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libpc\Desktop\projects\bedutilization\"/>
    </mc:Choice>
  </mc:AlternateContent>
  <xr:revisionPtr revIDLastSave="0" documentId="13_ncr:1_{79CEC249-1160-446E-8FE3-C54476467FDA}" xr6:coauthVersionLast="47" xr6:coauthVersionMax="47" xr10:uidLastSave="{00000000-0000-0000-0000-000000000000}"/>
  <bookViews>
    <workbookView xWindow="-120" yWindow="-120" windowWidth="20730" windowHeight="11040" firstSheet="11" activeTab="17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Intenive care ward" sheetId="15" r:id="rId15"/>
    <sheet name="Emergency" sheetId="16" r:id="rId16"/>
    <sheet name="Monthly Summary" sheetId="17" r:id="rId17"/>
    <sheet name="Quarterly Summary" sheetId="18" r:id="rId18"/>
    <sheet name="Half-Year Summary" sheetId="19" r:id="rId19"/>
    <sheet name="Ages Summary" sheetId="20" r:id="rId20"/>
    <sheet name="Deaths Summary" sheetId="21" r:id="rId21"/>
    <sheet name="COD Summary" sheetId="22" r:id="rId22"/>
    <sheet name="Statement of Inpatient" sheetId="23" r:id="rId23"/>
    <sheet name="Non-Insured Report" sheetId="24" r:id="rId24"/>
  </sheets>
  <functionGroups builtInGroupCount="19"/>
  <calcPr calcId="181029"/>
</workbook>
</file>

<file path=xl/calcChain.xml><?xml version="1.0" encoding="utf-8"?>
<calcChain xmlns="http://schemas.openxmlformats.org/spreadsheetml/2006/main">
  <c r="J13" i="23" l="1"/>
  <c r="I13" i="23"/>
  <c r="H13" i="23"/>
  <c r="G13" i="23"/>
  <c r="F13" i="23"/>
  <c r="E13" i="23"/>
  <c r="N13" i="23" s="1"/>
  <c r="D13" i="23"/>
  <c r="C13" i="23"/>
  <c r="B13" i="23"/>
  <c r="J12" i="23"/>
  <c r="I12" i="23"/>
  <c r="H12" i="23"/>
  <c r="O12" i="23" s="1"/>
  <c r="G12" i="23"/>
  <c r="F12" i="23"/>
  <c r="E12" i="23"/>
  <c r="N12" i="23" s="1"/>
  <c r="D12" i="23"/>
  <c r="C12" i="23"/>
  <c r="B12" i="23"/>
  <c r="J11" i="23"/>
  <c r="I11" i="23"/>
  <c r="H11" i="23"/>
  <c r="G11" i="23"/>
  <c r="F11" i="23"/>
  <c r="E11" i="23"/>
  <c r="D11" i="23"/>
  <c r="C11" i="23"/>
  <c r="B11" i="23"/>
  <c r="J10" i="23"/>
  <c r="I10" i="23"/>
  <c r="H10" i="23"/>
  <c r="G10" i="23"/>
  <c r="F10" i="23"/>
  <c r="E10" i="23"/>
  <c r="D10" i="23"/>
  <c r="C10" i="23"/>
  <c r="B10" i="23"/>
  <c r="J9" i="23"/>
  <c r="I9" i="23"/>
  <c r="H9" i="23"/>
  <c r="G9" i="23"/>
  <c r="F9" i="23"/>
  <c r="E9" i="23"/>
  <c r="D9" i="23"/>
  <c r="C9" i="23"/>
  <c r="O9" i="23" s="1"/>
  <c r="B9" i="23"/>
  <c r="J8" i="23"/>
  <c r="I8" i="23"/>
  <c r="H8" i="23"/>
  <c r="O8" i="23" s="1"/>
  <c r="G8" i="23"/>
  <c r="F8" i="23"/>
  <c r="E8" i="23"/>
  <c r="N8" i="23" s="1"/>
  <c r="D8" i="23"/>
  <c r="P8" i="23" s="1"/>
  <c r="C8" i="23"/>
  <c r="B8" i="23"/>
  <c r="K7" i="23"/>
  <c r="J7" i="23"/>
  <c r="I7" i="23"/>
  <c r="H7" i="23"/>
  <c r="G7" i="23"/>
  <c r="F7" i="23"/>
  <c r="E7" i="23"/>
  <c r="N7" i="23" s="1"/>
  <c r="D7" i="23"/>
  <c r="P7" i="23" s="1"/>
  <c r="C7" i="23"/>
  <c r="M7" i="23" s="1"/>
  <c r="B7" i="23"/>
  <c r="J6" i="23"/>
  <c r="I6" i="23"/>
  <c r="H6" i="23"/>
  <c r="G6" i="23"/>
  <c r="F6" i="23"/>
  <c r="E6" i="23"/>
  <c r="D6" i="23"/>
  <c r="C6" i="23"/>
  <c r="B6" i="23"/>
  <c r="J5" i="23"/>
  <c r="I5" i="23"/>
  <c r="H5" i="23"/>
  <c r="K5" i="23" s="1"/>
  <c r="G5" i="23"/>
  <c r="F5" i="23"/>
  <c r="E5" i="23"/>
  <c r="D5" i="23"/>
  <c r="C5" i="23"/>
  <c r="O5" i="23" s="1"/>
  <c r="B5" i="23"/>
  <c r="J4" i="23"/>
  <c r="I4" i="23"/>
  <c r="H4" i="23"/>
  <c r="O4" i="23" s="1"/>
  <c r="G4" i="23"/>
  <c r="F4" i="23"/>
  <c r="E4" i="23"/>
  <c r="N4" i="23" s="1"/>
  <c r="D4" i="23"/>
  <c r="P4" i="23" s="1"/>
  <c r="C4" i="23"/>
  <c r="B4" i="23"/>
  <c r="CF15" i="21"/>
  <c r="CE15" i="21"/>
  <c r="CD15" i="21"/>
  <c r="CC15" i="21"/>
  <c r="CB15" i="21"/>
  <c r="CA15" i="21"/>
  <c r="BY15" i="21"/>
  <c r="BX15" i="21"/>
  <c r="BW15" i="21"/>
  <c r="BV15" i="21"/>
  <c r="BU15" i="21"/>
  <c r="BT15" i="21"/>
  <c r="BR15" i="21"/>
  <c r="BQ15" i="21"/>
  <c r="BP15" i="21"/>
  <c r="BO15" i="21"/>
  <c r="BN15" i="21"/>
  <c r="BM15" i="21"/>
  <c r="BK15" i="21"/>
  <c r="BJ15" i="21"/>
  <c r="BI15" i="21"/>
  <c r="BH15" i="21"/>
  <c r="BG15" i="21"/>
  <c r="BF15" i="21"/>
  <c r="BD15" i="21"/>
  <c r="BC15" i="21"/>
  <c r="BB15" i="21"/>
  <c r="BA15" i="21"/>
  <c r="AZ15" i="21"/>
  <c r="AY15" i="21"/>
  <c r="AW15" i="21"/>
  <c r="AV15" i="21"/>
  <c r="AU15" i="21"/>
  <c r="AT15" i="21"/>
  <c r="AS15" i="21"/>
  <c r="AR15" i="21"/>
  <c r="AP15" i="21"/>
  <c r="AO15" i="21"/>
  <c r="AN15" i="21"/>
  <c r="AM15" i="21"/>
  <c r="AL15" i="21"/>
  <c r="AK15" i="21"/>
  <c r="AI15" i="21"/>
  <c r="AH15" i="21"/>
  <c r="AG15" i="21"/>
  <c r="AF15" i="21"/>
  <c r="AE15" i="21"/>
  <c r="AD15" i="21"/>
  <c r="AB15" i="21"/>
  <c r="AA15" i="21"/>
  <c r="Z15" i="21"/>
  <c r="Y15" i="21"/>
  <c r="X15" i="21"/>
  <c r="W15" i="21"/>
  <c r="U15" i="21"/>
  <c r="T15" i="21"/>
  <c r="S15" i="21"/>
  <c r="R15" i="21"/>
  <c r="Q15" i="21"/>
  <c r="P15" i="21"/>
  <c r="N15" i="21"/>
  <c r="M15" i="21"/>
  <c r="L15" i="21"/>
  <c r="K15" i="21"/>
  <c r="J15" i="21"/>
  <c r="I15" i="21"/>
  <c r="G15" i="21"/>
  <c r="F15" i="21"/>
  <c r="E15" i="21"/>
  <c r="D15" i="21"/>
  <c r="C15" i="21"/>
  <c r="B15" i="21"/>
  <c r="CF14" i="21"/>
  <c r="CE14" i="21"/>
  <c r="CD14" i="21"/>
  <c r="CC14" i="21"/>
  <c r="CB14" i="21"/>
  <c r="CA14" i="21"/>
  <c r="BY14" i="21"/>
  <c r="BX14" i="21"/>
  <c r="BW14" i="21"/>
  <c r="BV14" i="21"/>
  <c r="BU14" i="21"/>
  <c r="BT14" i="21"/>
  <c r="BR14" i="21"/>
  <c r="BQ14" i="21"/>
  <c r="BP14" i="21"/>
  <c r="BO14" i="21"/>
  <c r="BN14" i="21"/>
  <c r="BM14" i="21"/>
  <c r="BK14" i="21"/>
  <c r="BJ14" i="21"/>
  <c r="BI14" i="21"/>
  <c r="BH14" i="21"/>
  <c r="BG14" i="21"/>
  <c r="BF14" i="21"/>
  <c r="BD14" i="21"/>
  <c r="BC14" i="21"/>
  <c r="BB14" i="21"/>
  <c r="BA14" i="21"/>
  <c r="AZ14" i="21"/>
  <c r="AY14" i="21"/>
  <c r="AW14" i="21"/>
  <c r="AV14" i="21"/>
  <c r="AU14" i="21"/>
  <c r="AT14" i="21"/>
  <c r="AS14" i="21"/>
  <c r="AR14" i="21"/>
  <c r="AP14" i="21"/>
  <c r="AO14" i="21"/>
  <c r="AN14" i="21"/>
  <c r="AM14" i="21"/>
  <c r="AL14" i="21"/>
  <c r="AK14" i="21"/>
  <c r="AI14" i="21"/>
  <c r="AH14" i="21"/>
  <c r="AG14" i="21"/>
  <c r="AF14" i="21"/>
  <c r="AE14" i="21"/>
  <c r="AD14" i="21"/>
  <c r="AB14" i="21"/>
  <c r="AA14" i="21"/>
  <c r="Z14" i="21"/>
  <c r="Y14" i="21"/>
  <c r="X14" i="21"/>
  <c r="W14" i="21"/>
  <c r="U14" i="21"/>
  <c r="T14" i="21"/>
  <c r="S14" i="21"/>
  <c r="R14" i="21"/>
  <c r="Q14" i="21"/>
  <c r="P14" i="21"/>
  <c r="N14" i="21"/>
  <c r="M14" i="21"/>
  <c r="L14" i="21"/>
  <c r="K14" i="21"/>
  <c r="J14" i="21"/>
  <c r="I14" i="21"/>
  <c r="G14" i="21"/>
  <c r="F14" i="21"/>
  <c r="E14" i="21"/>
  <c r="D14" i="21"/>
  <c r="C14" i="21"/>
  <c r="B14" i="21"/>
  <c r="CF13" i="21"/>
  <c r="CE13" i="21"/>
  <c r="CD13" i="21"/>
  <c r="CC13" i="21"/>
  <c r="CB13" i="21"/>
  <c r="CA13" i="21"/>
  <c r="BY13" i="21"/>
  <c r="BX13" i="21"/>
  <c r="BW13" i="21"/>
  <c r="BV13" i="21"/>
  <c r="BU13" i="21"/>
  <c r="BT13" i="21"/>
  <c r="BR13" i="21"/>
  <c r="BQ13" i="21"/>
  <c r="BP13" i="21"/>
  <c r="BO13" i="21"/>
  <c r="BN13" i="21"/>
  <c r="BM13" i="21"/>
  <c r="BK13" i="21"/>
  <c r="BJ13" i="21"/>
  <c r="BI13" i="21"/>
  <c r="BH13" i="21"/>
  <c r="BG13" i="21"/>
  <c r="BF13" i="21"/>
  <c r="BD13" i="21"/>
  <c r="BC13" i="21"/>
  <c r="BB13" i="21"/>
  <c r="BA13" i="21"/>
  <c r="AZ13" i="21"/>
  <c r="AY13" i="21"/>
  <c r="AW13" i="21"/>
  <c r="AV13" i="21"/>
  <c r="AU13" i="21"/>
  <c r="AT13" i="21"/>
  <c r="AS13" i="21"/>
  <c r="AR13" i="21"/>
  <c r="AP13" i="21"/>
  <c r="AO13" i="21"/>
  <c r="AN13" i="21"/>
  <c r="AM13" i="21"/>
  <c r="AL13" i="21"/>
  <c r="AK13" i="21"/>
  <c r="AI13" i="21"/>
  <c r="AH13" i="21"/>
  <c r="AG13" i="21"/>
  <c r="AF13" i="21"/>
  <c r="AE13" i="21"/>
  <c r="AD13" i="21"/>
  <c r="AB13" i="21"/>
  <c r="AA13" i="21"/>
  <c r="Z13" i="21"/>
  <c r="Y13" i="21"/>
  <c r="X13" i="21"/>
  <c r="W13" i="21"/>
  <c r="U13" i="21"/>
  <c r="T13" i="21"/>
  <c r="S13" i="21"/>
  <c r="R13" i="21"/>
  <c r="Q13" i="21"/>
  <c r="P13" i="21"/>
  <c r="N13" i="21"/>
  <c r="M13" i="21"/>
  <c r="L13" i="21"/>
  <c r="K13" i="21"/>
  <c r="J13" i="21"/>
  <c r="I13" i="21"/>
  <c r="G13" i="21"/>
  <c r="F13" i="21"/>
  <c r="E13" i="21"/>
  <c r="D13" i="21"/>
  <c r="C13" i="21"/>
  <c r="B13" i="21"/>
  <c r="CF12" i="21"/>
  <c r="CE12" i="21"/>
  <c r="CD12" i="21"/>
  <c r="CC12" i="21"/>
  <c r="CB12" i="21"/>
  <c r="CA12" i="21"/>
  <c r="BY12" i="21"/>
  <c r="BX12" i="21"/>
  <c r="BW12" i="21"/>
  <c r="BV12" i="21"/>
  <c r="BU12" i="21"/>
  <c r="BT12" i="21"/>
  <c r="BR12" i="21"/>
  <c r="BQ12" i="21"/>
  <c r="BP12" i="21"/>
  <c r="BO12" i="21"/>
  <c r="BN12" i="21"/>
  <c r="BM12" i="21"/>
  <c r="BK12" i="21"/>
  <c r="BJ12" i="21"/>
  <c r="BI12" i="21"/>
  <c r="BH12" i="21"/>
  <c r="BG12" i="21"/>
  <c r="BF12" i="21"/>
  <c r="BD12" i="21"/>
  <c r="BC12" i="21"/>
  <c r="BB12" i="21"/>
  <c r="BA12" i="21"/>
  <c r="AZ12" i="21"/>
  <c r="AY12" i="21"/>
  <c r="AW12" i="21"/>
  <c r="AV12" i="21"/>
  <c r="AU12" i="21"/>
  <c r="AT12" i="21"/>
  <c r="AS12" i="21"/>
  <c r="AR12" i="21"/>
  <c r="AP12" i="21"/>
  <c r="AO12" i="21"/>
  <c r="AN12" i="21"/>
  <c r="AM12" i="21"/>
  <c r="AL12" i="21"/>
  <c r="AK12" i="21"/>
  <c r="AI12" i="21"/>
  <c r="AH12" i="21"/>
  <c r="AG12" i="21"/>
  <c r="AF12" i="21"/>
  <c r="AE12" i="21"/>
  <c r="AD12" i="21"/>
  <c r="AB12" i="21"/>
  <c r="AA12" i="21"/>
  <c r="Z12" i="21"/>
  <c r="Y12" i="21"/>
  <c r="X12" i="21"/>
  <c r="W12" i="21"/>
  <c r="U12" i="21"/>
  <c r="T12" i="21"/>
  <c r="S12" i="21"/>
  <c r="R12" i="21"/>
  <c r="Q12" i="21"/>
  <c r="P12" i="21"/>
  <c r="N12" i="21"/>
  <c r="M12" i="21"/>
  <c r="L12" i="21"/>
  <c r="K12" i="21"/>
  <c r="J12" i="21"/>
  <c r="I12" i="21"/>
  <c r="G12" i="21"/>
  <c r="F12" i="21"/>
  <c r="E12" i="21"/>
  <c r="D12" i="21"/>
  <c r="C12" i="21"/>
  <c r="B12" i="21"/>
  <c r="CF11" i="21"/>
  <c r="CE11" i="21"/>
  <c r="CD11" i="21"/>
  <c r="CC11" i="21"/>
  <c r="CB11" i="21"/>
  <c r="CA11" i="21"/>
  <c r="BY11" i="21"/>
  <c r="BX11" i="21"/>
  <c r="BW11" i="21"/>
  <c r="BV11" i="21"/>
  <c r="BU11" i="21"/>
  <c r="BT11" i="21"/>
  <c r="BR11" i="21"/>
  <c r="BQ11" i="21"/>
  <c r="BP11" i="21"/>
  <c r="BO11" i="21"/>
  <c r="BN11" i="21"/>
  <c r="BM11" i="21"/>
  <c r="BK11" i="21"/>
  <c r="BJ11" i="21"/>
  <c r="BI11" i="21"/>
  <c r="BH11" i="21"/>
  <c r="BG11" i="21"/>
  <c r="BF11" i="21"/>
  <c r="BD11" i="21"/>
  <c r="BC11" i="21"/>
  <c r="BB11" i="21"/>
  <c r="BA11" i="21"/>
  <c r="AZ11" i="21"/>
  <c r="AY11" i="21"/>
  <c r="AW11" i="21"/>
  <c r="AV11" i="21"/>
  <c r="AU11" i="21"/>
  <c r="AT11" i="21"/>
  <c r="AS11" i="21"/>
  <c r="AR11" i="21"/>
  <c r="AP11" i="21"/>
  <c r="AO11" i="21"/>
  <c r="AN11" i="21"/>
  <c r="AM11" i="21"/>
  <c r="AL11" i="21"/>
  <c r="AK11" i="21"/>
  <c r="AI11" i="21"/>
  <c r="AH11" i="21"/>
  <c r="AG11" i="21"/>
  <c r="AF11" i="21"/>
  <c r="AE11" i="21"/>
  <c r="AD11" i="21"/>
  <c r="AB11" i="21"/>
  <c r="AA11" i="21"/>
  <c r="Z11" i="21"/>
  <c r="Y11" i="21"/>
  <c r="X11" i="21"/>
  <c r="W11" i="21"/>
  <c r="U11" i="21"/>
  <c r="T11" i="21"/>
  <c r="S11" i="21"/>
  <c r="R11" i="21"/>
  <c r="Q11" i="21"/>
  <c r="P11" i="21"/>
  <c r="N11" i="21"/>
  <c r="M11" i="21"/>
  <c r="L11" i="21"/>
  <c r="K11" i="21"/>
  <c r="J11" i="21"/>
  <c r="I11" i="21"/>
  <c r="G11" i="21"/>
  <c r="F11" i="21"/>
  <c r="E11" i="21"/>
  <c r="D11" i="21"/>
  <c r="C11" i="21"/>
  <c r="B11" i="21"/>
  <c r="CF10" i="21"/>
  <c r="CE10" i="21"/>
  <c r="CD10" i="21"/>
  <c r="CC10" i="21"/>
  <c r="CB10" i="21"/>
  <c r="CA10" i="21"/>
  <c r="BY10" i="21"/>
  <c r="BX10" i="21"/>
  <c r="BW10" i="21"/>
  <c r="BV10" i="21"/>
  <c r="BU10" i="21"/>
  <c r="BT10" i="21"/>
  <c r="BR10" i="21"/>
  <c r="BQ10" i="21"/>
  <c r="BP10" i="21"/>
  <c r="BO10" i="21"/>
  <c r="BN10" i="21"/>
  <c r="BM10" i="21"/>
  <c r="BK10" i="21"/>
  <c r="BJ10" i="21"/>
  <c r="BI10" i="21"/>
  <c r="BH10" i="21"/>
  <c r="BG10" i="21"/>
  <c r="BF10" i="21"/>
  <c r="BD10" i="21"/>
  <c r="BC10" i="21"/>
  <c r="BB10" i="21"/>
  <c r="BA10" i="21"/>
  <c r="AZ10" i="21"/>
  <c r="AY10" i="21"/>
  <c r="AW10" i="21"/>
  <c r="AV10" i="21"/>
  <c r="AU10" i="21"/>
  <c r="AT10" i="21"/>
  <c r="AS10" i="21"/>
  <c r="AR10" i="21"/>
  <c r="AP10" i="21"/>
  <c r="AO10" i="21"/>
  <c r="AN10" i="21"/>
  <c r="AM10" i="21"/>
  <c r="AL10" i="21"/>
  <c r="AK10" i="21"/>
  <c r="AI10" i="21"/>
  <c r="AH10" i="21"/>
  <c r="AG10" i="21"/>
  <c r="AF10" i="21"/>
  <c r="AE10" i="21"/>
  <c r="AD10" i="21"/>
  <c r="AB10" i="21"/>
  <c r="AA10" i="21"/>
  <c r="Z10" i="21"/>
  <c r="Y10" i="21"/>
  <c r="X10" i="21"/>
  <c r="W10" i="21"/>
  <c r="U10" i="21"/>
  <c r="T10" i="21"/>
  <c r="S10" i="21"/>
  <c r="R10" i="21"/>
  <c r="Q10" i="21"/>
  <c r="P10" i="21"/>
  <c r="N10" i="21"/>
  <c r="M10" i="21"/>
  <c r="L10" i="21"/>
  <c r="K10" i="21"/>
  <c r="J10" i="21"/>
  <c r="I10" i="21"/>
  <c r="G10" i="21"/>
  <c r="F10" i="21"/>
  <c r="E10" i="21"/>
  <c r="D10" i="21"/>
  <c r="C10" i="21"/>
  <c r="B10" i="21"/>
  <c r="CF9" i="21"/>
  <c r="CE9" i="21"/>
  <c r="CD9" i="21"/>
  <c r="CC9" i="21"/>
  <c r="CB9" i="21"/>
  <c r="CA9" i="21"/>
  <c r="BY9" i="21"/>
  <c r="BX9" i="21"/>
  <c r="BW9" i="21"/>
  <c r="BV9" i="21"/>
  <c r="BU9" i="21"/>
  <c r="BT9" i="21"/>
  <c r="BR9" i="21"/>
  <c r="BQ9" i="21"/>
  <c r="BP9" i="21"/>
  <c r="BO9" i="21"/>
  <c r="BN9" i="21"/>
  <c r="BM9" i="21"/>
  <c r="BK9" i="21"/>
  <c r="BJ9" i="21"/>
  <c r="BI9" i="21"/>
  <c r="BH9" i="21"/>
  <c r="BG9" i="21"/>
  <c r="BF9" i="21"/>
  <c r="BD9" i="21"/>
  <c r="BC9" i="21"/>
  <c r="BB9" i="21"/>
  <c r="BA9" i="21"/>
  <c r="AZ9" i="21"/>
  <c r="AY9" i="21"/>
  <c r="AW9" i="21"/>
  <c r="AV9" i="21"/>
  <c r="AU9" i="21"/>
  <c r="AT9" i="21"/>
  <c r="AS9" i="21"/>
  <c r="AR9" i="21"/>
  <c r="AP9" i="21"/>
  <c r="AO9" i="21"/>
  <c r="AN9" i="21"/>
  <c r="AM9" i="21"/>
  <c r="AL9" i="21"/>
  <c r="AK9" i="21"/>
  <c r="AI9" i="21"/>
  <c r="AH9" i="21"/>
  <c r="AG9" i="21"/>
  <c r="AF9" i="21"/>
  <c r="AE9" i="21"/>
  <c r="AD9" i="21"/>
  <c r="AB9" i="21"/>
  <c r="AA9" i="21"/>
  <c r="Z9" i="21"/>
  <c r="Y9" i="21"/>
  <c r="X9" i="21"/>
  <c r="W9" i="21"/>
  <c r="U9" i="21"/>
  <c r="T9" i="21"/>
  <c r="S9" i="21"/>
  <c r="R9" i="21"/>
  <c r="Q9" i="21"/>
  <c r="P9" i="21"/>
  <c r="N9" i="21"/>
  <c r="M9" i="21"/>
  <c r="L9" i="21"/>
  <c r="K9" i="21"/>
  <c r="J9" i="21"/>
  <c r="I9" i="21"/>
  <c r="G9" i="21"/>
  <c r="F9" i="21"/>
  <c r="E9" i="21"/>
  <c r="D9" i="21"/>
  <c r="C9" i="21"/>
  <c r="B9" i="21"/>
  <c r="CF8" i="21"/>
  <c r="CE8" i="21"/>
  <c r="CD8" i="21"/>
  <c r="CC8" i="21"/>
  <c r="CB8" i="21"/>
  <c r="CA8" i="21"/>
  <c r="BY8" i="21"/>
  <c r="BX8" i="21"/>
  <c r="BW8" i="21"/>
  <c r="BV8" i="21"/>
  <c r="BU8" i="21"/>
  <c r="BT8" i="21"/>
  <c r="BR8" i="21"/>
  <c r="BQ8" i="21"/>
  <c r="BP8" i="21"/>
  <c r="BO8" i="21"/>
  <c r="BN8" i="21"/>
  <c r="BM8" i="21"/>
  <c r="BK8" i="21"/>
  <c r="BJ8" i="21"/>
  <c r="BI8" i="21"/>
  <c r="BH8" i="21"/>
  <c r="BG8" i="21"/>
  <c r="BF8" i="21"/>
  <c r="BD8" i="21"/>
  <c r="BC8" i="21"/>
  <c r="BB8" i="21"/>
  <c r="BA8" i="21"/>
  <c r="AZ8" i="21"/>
  <c r="AY8" i="21"/>
  <c r="AW8" i="21"/>
  <c r="AV8" i="21"/>
  <c r="AU8" i="21"/>
  <c r="AT8" i="21"/>
  <c r="AS8" i="21"/>
  <c r="AR8" i="21"/>
  <c r="AP8" i="21"/>
  <c r="AO8" i="21"/>
  <c r="AN8" i="21"/>
  <c r="AM8" i="21"/>
  <c r="AL8" i="21"/>
  <c r="AK8" i="21"/>
  <c r="AI8" i="21"/>
  <c r="AH8" i="21"/>
  <c r="AG8" i="21"/>
  <c r="AF8" i="21"/>
  <c r="AE8" i="21"/>
  <c r="AD8" i="21"/>
  <c r="AB8" i="21"/>
  <c r="AA8" i="21"/>
  <c r="Z8" i="21"/>
  <c r="Y8" i="21"/>
  <c r="X8" i="21"/>
  <c r="W8" i="21"/>
  <c r="U8" i="21"/>
  <c r="T8" i="21"/>
  <c r="S8" i="21"/>
  <c r="R8" i="21"/>
  <c r="Q8" i="21"/>
  <c r="P8" i="21"/>
  <c r="N8" i="21"/>
  <c r="M8" i="21"/>
  <c r="L8" i="21"/>
  <c r="K8" i="21"/>
  <c r="J8" i="21"/>
  <c r="I8" i="21"/>
  <c r="G8" i="21"/>
  <c r="F8" i="21"/>
  <c r="E8" i="21"/>
  <c r="D8" i="21"/>
  <c r="C8" i="21"/>
  <c r="B8" i="21"/>
  <c r="CF7" i="21"/>
  <c r="CE7" i="21"/>
  <c r="CD7" i="21"/>
  <c r="CC7" i="21"/>
  <c r="CB7" i="21"/>
  <c r="CA7" i="21"/>
  <c r="BY7" i="21"/>
  <c r="BX7" i="21"/>
  <c r="BW7" i="21"/>
  <c r="BV7" i="21"/>
  <c r="BU7" i="21"/>
  <c r="BT7" i="21"/>
  <c r="BR7" i="21"/>
  <c r="BQ7" i="21"/>
  <c r="BP7" i="21"/>
  <c r="BO7" i="21"/>
  <c r="BN7" i="21"/>
  <c r="BM7" i="21"/>
  <c r="BK7" i="21"/>
  <c r="BJ7" i="21"/>
  <c r="BI7" i="21"/>
  <c r="BH7" i="21"/>
  <c r="BG7" i="21"/>
  <c r="BF7" i="21"/>
  <c r="BD7" i="21"/>
  <c r="BC7" i="21"/>
  <c r="BB7" i="21"/>
  <c r="BA7" i="21"/>
  <c r="AZ7" i="21"/>
  <c r="AY7" i="21"/>
  <c r="AW7" i="21"/>
  <c r="AV7" i="21"/>
  <c r="AU7" i="21"/>
  <c r="AT7" i="21"/>
  <c r="AS7" i="21"/>
  <c r="AR7" i="21"/>
  <c r="AP7" i="21"/>
  <c r="AO7" i="21"/>
  <c r="AN7" i="21"/>
  <c r="AM7" i="21"/>
  <c r="AL7" i="21"/>
  <c r="AK7" i="21"/>
  <c r="AI7" i="21"/>
  <c r="AH7" i="21"/>
  <c r="AG7" i="21"/>
  <c r="AF7" i="21"/>
  <c r="AE7" i="21"/>
  <c r="AD7" i="21"/>
  <c r="AB7" i="21"/>
  <c r="AA7" i="21"/>
  <c r="Z7" i="21"/>
  <c r="Y7" i="21"/>
  <c r="X7" i="21"/>
  <c r="W7" i="21"/>
  <c r="U7" i="21"/>
  <c r="T7" i="21"/>
  <c r="S7" i="21"/>
  <c r="R7" i="21"/>
  <c r="Q7" i="21"/>
  <c r="P7" i="21"/>
  <c r="N7" i="21"/>
  <c r="M7" i="21"/>
  <c r="L7" i="21"/>
  <c r="K7" i="21"/>
  <c r="J7" i="21"/>
  <c r="I7" i="21"/>
  <c r="G7" i="21"/>
  <c r="F7" i="21"/>
  <c r="E7" i="21"/>
  <c r="D7" i="21"/>
  <c r="C7" i="21"/>
  <c r="B7" i="21"/>
  <c r="CF6" i="21"/>
  <c r="CE6" i="21"/>
  <c r="CD6" i="21"/>
  <c r="CC6" i="21"/>
  <c r="CB6" i="21"/>
  <c r="CA6" i="21"/>
  <c r="BY6" i="21"/>
  <c r="BX6" i="21"/>
  <c r="BW6" i="21"/>
  <c r="BV6" i="21"/>
  <c r="BU6" i="21"/>
  <c r="BT6" i="21"/>
  <c r="BR6" i="21"/>
  <c r="BQ6" i="21"/>
  <c r="BP6" i="21"/>
  <c r="BO6" i="21"/>
  <c r="BN6" i="21"/>
  <c r="BM6" i="21"/>
  <c r="BK6" i="21"/>
  <c r="BJ6" i="21"/>
  <c r="BI6" i="21"/>
  <c r="BH6" i="21"/>
  <c r="BG6" i="21"/>
  <c r="BF6" i="21"/>
  <c r="BD6" i="21"/>
  <c r="BC6" i="21"/>
  <c r="BB6" i="21"/>
  <c r="BA6" i="21"/>
  <c r="AZ6" i="21"/>
  <c r="AY6" i="21"/>
  <c r="AW6" i="21"/>
  <c r="AV6" i="21"/>
  <c r="AU6" i="21"/>
  <c r="AT6" i="21"/>
  <c r="AS6" i="21"/>
  <c r="AR6" i="21"/>
  <c r="AP6" i="21"/>
  <c r="AO6" i="21"/>
  <c r="AN6" i="21"/>
  <c r="AM6" i="21"/>
  <c r="AL6" i="21"/>
  <c r="AK6" i="21"/>
  <c r="AI6" i="21"/>
  <c r="AH6" i="21"/>
  <c r="AG6" i="21"/>
  <c r="AF6" i="21"/>
  <c r="AE6" i="21"/>
  <c r="AD6" i="21"/>
  <c r="AB6" i="21"/>
  <c r="AA6" i="21"/>
  <c r="Z6" i="21"/>
  <c r="Y6" i="21"/>
  <c r="X6" i="21"/>
  <c r="W6" i="21"/>
  <c r="U6" i="21"/>
  <c r="T6" i="21"/>
  <c r="S6" i="21"/>
  <c r="R6" i="21"/>
  <c r="Q6" i="21"/>
  <c r="P6" i="21"/>
  <c r="N6" i="21"/>
  <c r="M6" i="21"/>
  <c r="L6" i="21"/>
  <c r="K6" i="21"/>
  <c r="J6" i="21"/>
  <c r="I6" i="21"/>
  <c r="G6" i="21"/>
  <c r="F6" i="21"/>
  <c r="E6" i="21"/>
  <c r="D6" i="21"/>
  <c r="C6" i="21"/>
  <c r="B6" i="21"/>
  <c r="CF5" i="21"/>
  <c r="CE5" i="21"/>
  <c r="CD5" i="21"/>
  <c r="CC5" i="21"/>
  <c r="CB5" i="21"/>
  <c r="CA5" i="21"/>
  <c r="BY5" i="21"/>
  <c r="BX5" i="21"/>
  <c r="BW5" i="21"/>
  <c r="BV5" i="21"/>
  <c r="BU5" i="21"/>
  <c r="BT5" i="21"/>
  <c r="BR5" i="21"/>
  <c r="BQ5" i="21"/>
  <c r="BP5" i="21"/>
  <c r="BO5" i="21"/>
  <c r="BN5" i="21"/>
  <c r="BM5" i="21"/>
  <c r="BK5" i="21"/>
  <c r="BJ5" i="21"/>
  <c r="BI5" i="21"/>
  <c r="BH5" i="21"/>
  <c r="BG5" i="21"/>
  <c r="BF5" i="21"/>
  <c r="BD5" i="21"/>
  <c r="BC5" i="21"/>
  <c r="BB5" i="21"/>
  <c r="BA5" i="21"/>
  <c r="AZ5" i="21"/>
  <c r="AY5" i="21"/>
  <c r="AW5" i="21"/>
  <c r="AV5" i="21"/>
  <c r="AU5" i="21"/>
  <c r="AT5" i="21"/>
  <c r="AS5" i="21"/>
  <c r="AR5" i="21"/>
  <c r="AP5" i="21"/>
  <c r="AO5" i="21"/>
  <c r="AN5" i="21"/>
  <c r="AM5" i="21"/>
  <c r="AL5" i="21"/>
  <c r="AK5" i="21"/>
  <c r="AI5" i="21"/>
  <c r="AH5" i="21"/>
  <c r="AG5" i="21"/>
  <c r="AF5" i="21"/>
  <c r="AE5" i="21"/>
  <c r="AD5" i="21"/>
  <c r="AB5" i="21"/>
  <c r="AA5" i="21"/>
  <c r="Z5" i="21"/>
  <c r="Y5" i="21"/>
  <c r="X5" i="21"/>
  <c r="W5" i="21"/>
  <c r="U5" i="21"/>
  <c r="T5" i="21"/>
  <c r="S5" i="21"/>
  <c r="R5" i="21"/>
  <c r="Q5" i="21"/>
  <c r="P5" i="21"/>
  <c r="N5" i="21"/>
  <c r="M5" i="21"/>
  <c r="L5" i="21"/>
  <c r="K5" i="21"/>
  <c r="J5" i="21"/>
  <c r="I5" i="21"/>
  <c r="G5" i="21"/>
  <c r="F5" i="21"/>
  <c r="E5" i="21"/>
  <c r="D5" i="21"/>
  <c r="C5" i="21"/>
  <c r="B5" i="21"/>
  <c r="CF4" i="21"/>
  <c r="CF16" i="21" s="1"/>
  <c r="CE4" i="21"/>
  <c r="CE16" i="21" s="1"/>
  <c r="CD4" i="21"/>
  <c r="CD16" i="21" s="1"/>
  <c r="CC4" i="21"/>
  <c r="CC16" i="21" s="1"/>
  <c r="CB4" i="21"/>
  <c r="CB16" i="21" s="1"/>
  <c r="CA4" i="21"/>
  <c r="CA16" i="21" s="1"/>
  <c r="BY4" i="21"/>
  <c r="BY16" i="21" s="1"/>
  <c r="BX4" i="21"/>
  <c r="BX16" i="21" s="1"/>
  <c r="BW4" i="21"/>
  <c r="BW16" i="21" s="1"/>
  <c r="BV4" i="21"/>
  <c r="BV16" i="21" s="1"/>
  <c r="BU4" i="21"/>
  <c r="BU16" i="21" s="1"/>
  <c r="BT4" i="21"/>
  <c r="BT16" i="21" s="1"/>
  <c r="BR4" i="21"/>
  <c r="BR16" i="21" s="1"/>
  <c r="BQ4" i="21"/>
  <c r="BQ16" i="21" s="1"/>
  <c r="BP4" i="21"/>
  <c r="BP16" i="21" s="1"/>
  <c r="BO4" i="21"/>
  <c r="BO16" i="21" s="1"/>
  <c r="BN4" i="21"/>
  <c r="BN16" i="21" s="1"/>
  <c r="BM4" i="21"/>
  <c r="BM16" i="21" s="1"/>
  <c r="BK4" i="21"/>
  <c r="BK16" i="21" s="1"/>
  <c r="BJ4" i="21"/>
  <c r="BJ16" i="21" s="1"/>
  <c r="BI4" i="21"/>
  <c r="BI16" i="21" s="1"/>
  <c r="BH4" i="21"/>
  <c r="BH16" i="21" s="1"/>
  <c r="BG4" i="21"/>
  <c r="BG16" i="21" s="1"/>
  <c r="BF4" i="21"/>
  <c r="BF16" i="21" s="1"/>
  <c r="BD4" i="21"/>
  <c r="BD16" i="21" s="1"/>
  <c r="BC4" i="21"/>
  <c r="BC16" i="21" s="1"/>
  <c r="BB4" i="21"/>
  <c r="BB16" i="21" s="1"/>
  <c r="BA4" i="21"/>
  <c r="BA16" i="21" s="1"/>
  <c r="AZ4" i="21"/>
  <c r="AZ16" i="21" s="1"/>
  <c r="AY4" i="21"/>
  <c r="AY16" i="21" s="1"/>
  <c r="AW4" i="21"/>
  <c r="AW16" i="21" s="1"/>
  <c r="AV4" i="21"/>
  <c r="AV16" i="21" s="1"/>
  <c r="AU4" i="21"/>
  <c r="AU16" i="21" s="1"/>
  <c r="AT4" i="21"/>
  <c r="AT16" i="21" s="1"/>
  <c r="AS4" i="21"/>
  <c r="AS16" i="21" s="1"/>
  <c r="AR4" i="21"/>
  <c r="AR16" i="21" s="1"/>
  <c r="AP4" i="21"/>
  <c r="AP16" i="21" s="1"/>
  <c r="AO4" i="21"/>
  <c r="AO16" i="21" s="1"/>
  <c r="AN4" i="21"/>
  <c r="AN16" i="21" s="1"/>
  <c r="AM4" i="21"/>
  <c r="AM16" i="21" s="1"/>
  <c r="AL4" i="21"/>
  <c r="AL16" i="21" s="1"/>
  <c r="AK4" i="21"/>
  <c r="AK16" i="21" s="1"/>
  <c r="AI4" i="21"/>
  <c r="AI16" i="21" s="1"/>
  <c r="AH4" i="21"/>
  <c r="AH16" i="21" s="1"/>
  <c r="AG4" i="21"/>
  <c r="AG16" i="21" s="1"/>
  <c r="AF4" i="21"/>
  <c r="AF16" i="21" s="1"/>
  <c r="AE4" i="21"/>
  <c r="AE16" i="21" s="1"/>
  <c r="AD4" i="21"/>
  <c r="AD16" i="21" s="1"/>
  <c r="AB4" i="21"/>
  <c r="AB16" i="21" s="1"/>
  <c r="AA4" i="21"/>
  <c r="AA16" i="21" s="1"/>
  <c r="Z4" i="21"/>
  <c r="Z16" i="21" s="1"/>
  <c r="Y4" i="21"/>
  <c r="Y16" i="21" s="1"/>
  <c r="X4" i="21"/>
  <c r="X16" i="21" s="1"/>
  <c r="W4" i="21"/>
  <c r="W16" i="21" s="1"/>
  <c r="U4" i="21"/>
  <c r="U16" i="21" s="1"/>
  <c r="T4" i="21"/>
  <c r="T16" i="21" s="1"/>
  <c r="S4" i="21"/>
  <c r="S16" i="21" s="1"/>
  <c r="R4" i="21"/>
  <c r="R16" i="21" s="1"/>
  <c r="Q4" i="21"/>
  <c r="Q16" i="21" s="1"/>
  <c r="P4" i="21"/>
  <c r="P16" i="21" s="1"/>
  <c r="N4" i="21"/>
  <c r="N16" i="21" s="1"/>
  <c r="M4" i="21"/>
  <c r="M16" i="21" s="1"/>
  <c r="L4" i="21"/>
  <c r="L16" i="21" s="1"/>
  <c r="K4" i="21"/>
  <c r="K16" i="21" s="1"/>
  <c r="J4" i="21"/>
  <c r="J16" i="21" s="1"/>
  <c r="I4" i="21"/>
  <c r="I16" i="21" s="1"/>
  <c r="G4" i="21"/>
  <c r="G16" i="21" s="1"/>
  <c r="F4" i="21"/>
  <c r="F16" i="21" s="1"/>
  <c r="E4" i="21"/>
  <c r="E16" i="21" s="1"/>
  <c r="D4" i="21"/>
  <c r="D16" i="21" s="1"/>
  <c r="C4" i="21"/>
  <c r="C16" i="21" s="1"/>
  <c r="B4" i="21"/>
  <c r="B16" i="21" s="1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F16" i="20" s="1"/>
  <c r="CE4" i="20"/>
  <c r="CE16" i="20" s="1"/>
  <c r="CD4" i="20"/>
  <c r="CD16" i="20" s="1"/>
  <c r="CC4" i="20"/>
  <c r="CC16" i="20" s="1"/>
  <c r="CB4" i="20"/>
  <c r="CB16" i="20" s="1"/>
  <c r="CA4" i="20"/>
  <c r="CA16" i="20" s="1"/>
  <c r="BY4" i="20"/>
  <c r="BY16" i="20" s="1"/>
  <c r="BX4" i="20"/>
  <c r="BX16" i="20" s="1"/>
  <c r="BW4" i="20"/>
  <c r="BW16" i="20" s="1"/>
  <c r="BV4" i="20"/>
  <c r="BV16" i="20" s="1"/>
  <c r="BU4" i="20"/>
  <c r="BU16" i="20" s="1"/>
  <c r="BT4" i="20"/>
  <c r="BT16" i="20" s="1"/>
  <c r="BR4" i="20"/>
  <c r="BR16" i="20" s="1"/>
  <c r="BQ4" i="20"/>
  <c r="BQ16" i="20" s="1"/>
  <c r="BP4" i="20"/>
  <c r="BP16" i="20" s="1"/>
  <c r="BO4" i="20"/>
  <c r="BO16" i="20" s="1"/>
  <c r="BN4" i="20"/>
  <c r="BN16" i="20" s="1"/>
  <c r="BM4" i="20"/>
  <c r="BM16" i="20" s="1"/>
  <c r="BK4" i="20"/>
  <c r="BK16" i="20" s="1"/>
  <c r="BJ4" i="20"/>
  <c r="BJ16" i="20" s="1"/>
  <c r="BI4" i="20"/>
  <c r="BI16" i="20" s="1"/>
  <c r="BH4" i="20"/>
  <c r="BH16" i="20" s="1"/>
  <c r="BG4" i="20"/>
  <c r="BG16" i="20" s="1"/>
  <c r="BF4" i="20"/>
  <c r="BF16" i="20" s="1"/>
  <c r="BD4" i="20"/>
  <c r="BD16" i="20" s="1"/>
  <c r="BC4" i="20"/>
  <c r="BC16" i="20" s="1"/>
  <c r="BB4" i="20"/>
  <c r="BB16" i="20" s="1"/>
  <c r="BA4" i="20"/>
  <c r="BA16" i="20" s="1"/>
  <c r="AZ4" i="20"/>
  <c r="AZ16" i="20" s="1"/>
  <c r="AY4" i="20"/>
  <c r="AY16" i="20" s="1"/>
  <c r="AW4" i="20"/>
  <c r="AW16" i="20" s="1"/>
  <c r="AV4" i="20"/>
  <c r="AV16" i="20" s="1"/>
  <c r="AU4" i="20"/>
  <c r="AU16" i="20" s="1"/>
  <c r="AT4" i="20"/>
  <c r="AT16" i="20" s="1"/>
  <c r="AS4" i="20"/>
  <c r="AS16" i="20" s="1"/>
  <c r="AR4" i="20"/>
  <c r="AR16" i="20" s="1"/>
  <c r="AP4" i="20"/>
  <c r="AP16" i="20" s="1"/>
  <c r="AO4" i="20"/>
  <c r="AO16" i="20" s="1"/>
  <c r="AN4" i="20"/>
  <c r="AN16" i="20" s="1"/>
  <c r="AM4" i="20"/>
  <c r="AM16" i="20" s="1"/>
  <c r="AL4" i="20"/>
  <c r="AL16" i="20" s="1"/>
  <c r="AK4" i="20"/>
  <c r="AK16" i="20" s="1"/>
  <c r="AI4" i="20"/>
  <c r="AI16" i="20" s="1"/>
  <c r="AH4" i="20"/>
  <c r="AH16" i="20" s="1"/>
  <c r="AG4" i="20"/>
  <c r="AG16" i="20" s="1"/>
  <c r="AF4" i="20"/>
  <c r="AF16" i="20" s="1"/>
  <c r="AE4" i="20"/>
  <c r="AE16" i="20" s="1"/>
  <c r="AD4" i="20"/>
  <c r="AD16" i="20" s="1"/>
  <c r="AB4" i="20"/>
  <c r="AB16" i="20" s="1"/>
  <c r="AA4" i="20"/>
  <c r="AA16" i="20" s="1"/>
  <c r="Z4" i="20"/>
  <c r="Z16" i="20" s="1"/>
  <c r="Y4" i="20"/>
  <c r="Y16" i="20" s="1"/>
  <c r="X4" i="20"/>
  <c r="X16" i="20" s="1"/>
  <c r="W4" i="20"/>
  <c r="W16" i="20" s="1"/>
  <c r="U4" i="20"/>
  <c r="U16" i="20" s="1"/>
  <c r="T4" i="20"/>
  <c r="T16" i="20" s="1"/>
  <c r="S4" i="20"/>
  <c r="S16" i="20" s="1"/>
  <c r="R4" i="20"/>
  <c r="R16" i="20" s="1"/>
  <c r="Q4" i="20"/>
  <c r="Q16" i="20" s="1"/>
  <c r="P4" i="20"/>
  <c r="P16" i="20" s="1"/>
  <c r="N4" i="20"/>
  <c r="N16" i="20" s="1"/>
  <c r="M4" i="20"/>
  <c r="M16" i="20" s="1"/>
  <c r="L4" i="20"/>
  <c r="L16" i="20" s="1"/>
  <c r="K4" i="20"/>
  <c r="K16" i="20" s="1"/>
  <c r="J4" i="20"/>
  <c r="J16" i="20" s="1"/>
  <c r="I4" i="20"/>
  <c r="I16" i="20" s="1"/>
  <c r="G4" i="20"/>
  <c r="G16" i="20" s="1"/>
  <c r="F4" i="20"/>
  <c r="F16" i="20" s="1"/>
  <c r="E4" i="20"/>
  <c r="E16" i="20" s="1"/>
  <c r="D4" i="20"/>
  <c r="D16" i="20" s="1"/>
  <c r="C4" i="20"/>
  <c r="C16" i="20" s="1"/>
  <c r="B4" i="20"/>
  <c r="B16" i="20" s="1"/>
  <c r="K29" i="19"/>
  <c r="J29" i="19"/>
  <c r="I29" i="19"/>
  <c r="H29" i="19"/>
  <c r="O29" i="19" s="1"/>
  <c r="G29" i="19"/>
  <c r="F29" i="19"/>
  <c r="E29" i="19"/>
  <c r="D29" i="19"/>
  <c r="C29" i="19"/>
  <c r="B29" i="19"/>
  <c r="J28" i="19"/>
  <c r="I28" i="19"/>
  <c r="H28" i="19"/>
  <c r="K28" i="19" s="1"/>
  <c r="G28" i="19"/>
  <c r="F28" i="19"/>
  <c r="E28" i="19"/>
  <c r="N28" i="19" s="1"/>
  <c r="D28" i="19"/>
  <c r="C28" i="19"/>
  <c r="B28" i="19"/>
  <c r="P27" i="19"/>
  <c r="J27" i="19"/>
  <c r="J31" i="19" s="1"/>
  <c r="I27" i="19"/>
  <c r="H27" i="19"/>
  <c r="G27" i="19"/>
  <c r="G31" i="19" s="1"/>
  <c r="F27" i="19"/>
  <c r="F31" i="19" s="1"/>
  <c r="E27" i="19"/>
  <c r="D27" i="19"/>
  <c r="D31" i="19" s="1"/>
  <c r="C27" i="19"/>
  <c r="C31" i="19" s="1"/>
  <c r="B27" i="19"/>
  <c r="B31" i="19" s="1"/>
  <c r="K26" i="19"/>
  <c r="J26" i="19"/>
  <c r="I26" i="19"/>
  <c r="H26" i="19"/>
  <c r="G26" i="19"/>
  <c r="F26" i="19"/>
  <c r="P26" i="19" s="1"/>
  <c r="E26" i="19"/>
  <c r="D26" i="19"/>
  <c r="C26" i="19"/>
  <c r="B26" i="19"/>
  <c r="J25" i="19"/>
  <c r="I25" i="19"/>
  <c r="H25" i="19"/>
  <c r="L25" i="19" s="1"/>
  <c r="G25" i="19"/>
  <c r="F25" i="19"/>
  <c r="E25" i="19"/>
  <c r="N25" i="19" s="1"/>
  <c r="D25" i="19"/>
  <c r="C25" i="19"/>
  <c r="B25" i="19"/>
  <c r="J24" i="19"/>
  <c r="I24" i="19"/>
  <c r="H24" i="19"/>
  <c r="G24" i="19"/>
  <c r="F24" i="19"/>
  <c r="E24" i="19"/>
  <c r="N24" i="19" s="1"/>
  <c r="D24" i="19"/>
  <c r="C24" i="19"/>
  <c r="B24" i="19"/>
  <c r="P23" i="19"/>
  <c r="J23" i="19"/>
  <c r="I23" i="19"/>
  <c r="H23" i="19"/>
  <c r="K23" i="19" s="1"/>
  <c r="G23" i="19"/>
  <c r="F23" i="19"/>
  <c r="E23" i="19"/>
  <c r="D23" i="19"/>
  <c r="C23" i="19"/>
  <c r="B23" i="19"/>
  <c r="N22" i="19"/>
  <c r="J22" i="19"/>
  <c r="I22" i="19"/>
  <c r="H22" i="19"/>
  <c r="G22" i="19"/>
  <c r="F22" i="19"/>
  <c r="E22" i="19"/>
  <c r="D22" i="19"/>
  <c r="C22" i="19"/>
  <c r="B22" i="19"/>
  <c r="K21" i="19"/>
  <c r="J21" i="19"/>
  <c r="I21" i="19"/>
  <c r="H21" i="19"/>
  <c r="O21" i="19" s="1"/>
  <c r="G21" i="19"/>
  <c r="F21" i="19"/>
  <c r="N21" i="19" s="1"/>
  <c r="E21" i="19"/>
  <c r="D21" i="19"/>
  <c r="C21" i="19"/>
  <c r="B21" i="19"/>
  <c r="J20" i="19"/>
  <c r="I20" i="19"/>
  <c r="H20" i="19"/>
  <c r="L20" i="19" s="1"/>
  <c r="G20" i="19"/>
  <c r="F20" i="19"/>
  <c r="E20" i="19"/>
  <c r="D20" i="19"/>
  <c r="C20" i="19"/>
  <c r="B20" i="19"/>
  <c r="G15" i="19"/>
  <c r="J13" i="19"/>
  <c r="I13" i="19"/>
  <c r="H13" i="19"/>
  <c r="O13" i="19" s="1"/>
  <c r="G13" i="19"/>
  <c r="F13" i="19"/>
  <c r="E13" i="19"/>
  <c r="N13" i="19" s="1"/>
  <c r="D13" i="19"/>
  <c r="C13" i="19"/>
  <c r="B13" i="19"/>
  <c r="J12" i="19"/>
  <c r="I12" i="19"/>
  <c r="H12" i="19"/>
  <c r="G12" i="19"/>
  <c r="F12" i="19"/>
  <c r="E12" i="19"/>
  <c r="D12" i="19"/>
  <c r="C12" i="19"/>
  <c r="B12" i="19"/>
  <c r="J11" i="19"/>
  <c r="I11" i="19"/>
  <c r="I15" i="19" s="1"/>
  <c r="H11" i="19"/>
  <c r="O11" i="19" s="1"/>
  <c r="G11" i="19"/>
  <c r="F11" i="19"/>
  <c r="E11" i="19"/>
  <c r="E15" i="19" s="1"/>
  <c r="D11" i="19"/>
  <c r="C11" i="19"/>
  <c r="C15" i="19" s="1"/>
  <c r="B11" i="19"/>
  <c r="J10" i="19"/>
  <c r="I10" i="19"/>
  <c r="H10" i="19"/>
  <c r="L10" i="19" s="1"/>
  <c r="G10" i="19"/>
  <c r="F10" i="19"/>
  <c r="E10" i="19"/>
  <c r="N10" i="19" s="1"/>
  <c r="D10" i="19"/>
  <c r="P10" i="19" s="1"/>
  <c r="C10" i="19"/>
  <c r="B10" i="19"/>
  <c r="J9" i="19"/>
  <c r="I9" i="19"/>
  <c r="H9" i="19"/>
  <c r="G9" i="19"/>
  <c r="F9" i="19"/>
  <c r="E9" i="19"/>
  <c r="N9" i="19" s="1"/>
  <c r="D9" i="19"/>
  <c r="P9" i="19" s="1"/>
  <c r="C9" i="19"/>
  <c r="B9" i="19"/>
  <c r="J8" i="19"/>
  <c r="I8" i="19"/>
  <c r="H8" i="19"/>
  <c r="L8" i="19" s="1"/>
  <c r="G8" i="19"/>
  <c r="F8" i="19"/>
  <c r="E8" i="19"/>
  <c r="D8" i="19"/>
  <c r="C8" i="19"/>
  <c r="M8" i="19" s="1"/>
  <c r="B8" i="19"/>
  <c r="K7" i="19"/>
  <c r="J7" i="19"/>
  <c r="I7" i="19"/>
  <c r="H7" i="19"/>
  <c r="G7" i="19"/>
  <c r="F7" i="19"/>
  <c r="E7" i="19"/>
  <c r="D7" i="19"/>
  <c r="C7" i="19"/>
  <c r="B7" i="19"/>
  <c r="J6" i="19"/>
  <c r="I6" i="19"/>
  <c r="H6" i="19"/>
  <c r="G6" i="19"/>
  <c r="F6" i="19"/>
  <c r="E6" i="19"/>
  <c r="D6" i="19"/>
  <c r="C6" i="19"/>
  <c r="B6" i="19"/>
  <c r="K5" i="19"/>
  <c r="J5" i="19"/>
  <c r="I5" i="19"/>
  <c r="H5" i="19"/>
  <c r="G5" i="19"/>
  <c r="F5" i="19"/>
  <c r="P5" i="19" s="1"/>
  <c r="E5" i="19"/>
  <c r="D5" i="19"/>
  <c r="C5" i="19"/>
  <c r="B5" i="19"/>
  <c r="J4" i="19"/>
  <c r="I4" i="19"/>
  <c r="H4" i="19"/>
  <c r="G4" i="19"/>
  <c r="F4" i="19"/>
  <c r="E4" i="19"/>
  <c r="N4" i="19" s="1"/>
  <c r="D4" i="19"/>
  <c r="C4" i="19"/>
  <c r="B4" i="19"/>
  <c r="E63" i="18"/>
  <c r="J61" i="18"/>
  <c r="I61" i="18"/>
  <c r="H61" i="18"/>
  <c r="M61" i="18" s="1"/>
  <c r="G61" i="18"/>
  <c r="F61" i="18"/>
  <c r="E61" i="18"/>
  <c r="N61" i="18" s="1"/>
  <c r="D61" i="18"/>
  <c r="P61" i="18" s="1"/>
  <c r="C61" i="18"/>
  <c r="B61" i="18"/>
  <c r="K60" i="18"/>
  <c r="J60" i="18"/>
  <c r="J63" i="18" s="1"/>
  <c r="I60" i="18"/>
  <c r="H60" i="18"/>
  <c r="G60" i="18"/>
  <c r="F60" i="18"/>
  <c r="E60" i="18"/>
  <c r="D60" i="18"/>
  <c r="C60" i="18"/>
  <c r="B60" i="18"/>
  <c r="J59" i="18"/>
  <c r="I59" i="18"/>
  <c r="I63" i="18" s="1"/>
  <c r="H59" i="18"/>
  <c r="H63" i="18" s="1"/>
  <c r="G59" i="18"/>
  <c r="F59" i="18"/>
  <c r="E59" i="18"/>
  <c r="D59" i="18"/>
  <c r="D63" i="18" s="1"/>
  <c r="C59" i="18"/>
  <c r="B59" i="18"/>
  <c r="J58" i="18"/>
  <c r="I58" i="18"/>
  <c r="H58" i="18"/>
  <c r="G58" i="18"/>
  <c r="F58" i="18"/>
  <c r="E58" i="18"/>
  <c r="N58" i="18" s="1"/>
  <c r="D58" i="18"/>
  <c r="C58" i="18"/>
  <c r="B58" i="18"/>
  <c r="P57" i="18"/>
  <c r="K57" i="18"/>
  <c r="J57" i="18"/>
  <c r="I57" i="18"/>
  <c r="H57" i="18"/>
  <c r="G57" i="18"/>
  <c r="F57" i="18"/>
  <c r="E57" i="18"/>
  <c r="D57" i="18"/>
  <c r="C57" i="18"/>
  <c r="B57" i="18"/>
  <c r="N56" i="18"/>
  <c r="J56" i="18"/>
  <c r="I56" i="18"/>
  <c r="H56" i="18"/>
  <c r="G56" i="18"/>
  <c r="F56" i="18"/>
  <c r="E56" i="18"/>
  <c r="D56" i="18"/>
  <c r="C56" i="18"/>
  <c r="B56" i="18"/>
  <c r="K55" i="18"/>
  <c r="J55" i="18"/>
  <c r="I55" i="18"/>
  <c r="H55" i="18"/>
  <c r="O55" i="18" s="1"/>
  <c r="G55" i="18"/>
  <c r="F55" i="18"/>
  <c r="E55" i="18"/>
  <c r="D55" i="18"/>
  <c r="C55" i="18"/>
  <c r="B55" i="18"/>
  <c r="J54" i="18"/>
  <c r="I54" i="18"/>
  <c r="H54" i="18"/>
  <c r="G54" i="18"/>
  <c r="F54" i="18"/>
  <c r="P54" i="18" s="1"/>
  <c r="E54" i="18"/>
  <c r="L54" i="18" s="1"/>
  <c r="D54" i="18"/>
  <c r="C54" i="18"/>
  <c r="B54" i="18"/>
  <c r="L53" i="18"/>
  <c r="J53" i="18"/>
  <c r="I53" i="18"/>
  <c r="H53" i="18"/>
  <c r="G53" i="18"/>
  <c r="F53" i="18"/>
  <c r="E53" i="18"/>
  <c r="D53" i="18"/>
  <c r="P53" i="18" s="1"/>
  <c r="C53" i="18"/>
  <c r="B53" i="18"/>
  <c r="K52" i="18"/>
  <c r="J52" i="18"/>
  <c r="J62" i="18" s="1"/>
  <c r="I52" i="18"/>
  <c r="H52" i="18"/>
  <c r="G52" i="18"/>
  <c r="F52" i="18"/>
  <c r="E52" i="18"/>
  <c r="D52" i="18"/>
  <c r="C52" i="18"/>
  <c r="B52" i="18"/>
  <c r="B62" i="18" s="1"/>
  <c r="G47" i="18"/>
  <c r="K45" i="18"/>
  <c r="J45" i="18"/>
  <c r="I45" i="18"/>
  <c r="H45" i="18"/>
  <c r="L45" i="18" s="1"/>
  <c r="G45" i="18"/>
  <c r="F45" i="18"/>
  <c r="E45" i="18"/>
  <c r="D45" i="18"/>
  <c r="P45" i="18" s="1"/>
  <c r="C45" i="18"/>
  <c r="M45" i="18" s="1"/>
  <c r="B45" i="18"/>
  <c r="J44" i="18"/>
  <c r="I44" i="18"/>
  <c r="H44" i="18"/>
  <c r="G44" i="18"/>
  <c r="F44" i="18"/>
  <c r="E44" i="18"/>
  <c r="N44" i="18" s="1"/>
  <c r="D44" i="18"/>
  <c r="C44" i="18"/>
  <c r="B44" i="18"/>
  <c r="O43" i="18"/>
  <c r="K43" i="18"/>
  <c r="J43" i="18"/>
  <c r="J47" i="18" s="1"/>
  <c r="I43" i="18"/>
  <c r="I47" i="18" s="1"/>
  <c r="H43" i="18"/>
  <c r="G43" i="18"/>
  <c r="F43" i="18"/>
  <c r="F47" i="18" s="1"/>
  <c r="E43" i="18"/>
  <c r="E47" i="18" s="1"/>
  <c r="D43" i="18"/>
  <c r="C43" i="18"/>
  <c r="B43" i="18"/>
  <c r="B47" i="18" s="1"/>
  <c r="J42" i="18"/>
  <c r="I42" i="18"/>
  <c r="H42" i="18"/>
  <c r="L42" i="18" s="1"/>
  <c r="G42" i="18"/>
  <c r="F42" i="18"/>
  <c r="E42" i="18"/>
  <c r="D42" i="18"/>
  <c r="C42" i="18"/>
  <c r="B42" i="18"/>
  <c r="J41" i="18"/>
  <c r="I41" i="18"/>
  <c r="H41" i="18"/>
  <c r="G41" i="18"/>
  <c r="F41" i="18"/>
  <c r="E41" i="18"/>
  <c r="N41" i="18" s="1"/>
  <c r="D41" i="18"/>
  <c r="P41" i="18" s="1"/>
  <c r="C41" i="18"/>
  <c r="B41" i="18"/>
  <c r="J40" i="18"/>
  <c r="I40" i="18"/>
  <c r="H40" i="18"/>
  <c r="K40" i="18" s="1"/>
  <c r="G40" i="18"/>
  <c r="F40" i="18"/>
  <c r="E40" i="18"/>
  <c r="D40" i="18"/>
  <c r="C40" i="18"/>
  <c r="B40" i="18"/>
  <c r="K39" i="18"/>
  <c r="J39" i="18"/>
  <c r="I39" i="18"/>
  <c r="H39" i="18"/>
  <c r="G39" i="18"/>
  <c r="F39" i="18"/>
  <c r="E39" i="18"/>
  <c r="D39" i="18"/>
  <c r="C39" i="18"/>
  <c r="O39" i="18" s="1"/>
  <c r="B39" i="18"/>
  <c r="J38" i="18"/>
  <c r="I38" i="18"/>
  <c r="H38" i="18"/>
  <c r="G38" i="18"/>
  <c r="F38" i="18"/>
  <c r="E38" i="18"/>
  <c r="D38" i="18"/>
  <c r="C38" i="18"/>
  <c r="B38" i="18"/>
  <c r="K37" i="18"/>
  <c r="J37" i="18"/>
  <c r="I37" i="18"/>
  <c r="H37" i="18"/>
  <c r="G37" i="18"/>
  <c r="F37" i="18"/>
  <c r="P37" i="18" s="1"/>
  <c r="E37" i="18"/>
  <c r="D37" i="18"/>
  <c r="C37" i="18"/>
  <c r="B37" i="18"/>
  <c r="J36" i="18"/>
  <c r="I36" i="18"/>
  <c r="H36" i="18"/>
  <c r="O36" i="18" s="1"/>
  <c r="G36" i="18"/>
  <c r="F36" i="18"/>
  <c r="E36" i="18"/>
  <c r="D36" i="18"/>
  <c r="C36" i="18"/>
  <c r="B36" i="18"/>
  <c r="E31" i="18"/>
  <c r="C31" i="18"/>
  <c r="K29" i="18"/>
  <c r="J29" i="18"/>
  <c r="I29" i="18"/>
  <c r="H29" i="18"/>
  <c r="G29" i="18"/>
  <c r="F29" i="18"/>
  <c r="P29" i="18" s="1"/>
  <c r="E29" i="18"/>
  <c r="D29" i="18"/>
  <c r="C29" i="18"/>
  <c r="B29" i="18"/>
  <c r="N28" i="18"/>
  <c r="J28" i="18"/>
  <c r="I28" i="18"/>
  <c r="H28" i="18"/>
  <c r="K28" i="18" s="1"/>
  <c r="G28" i="18"/>
  <c r="F28" i="18"/>
  <c r="E28" i="18"/>
  <c r="D28" i="18"/>
  <c r="P28" i="18" s="1"/>
  <c r="C28" i="18"/>
  <c r="B28" i="18"/>
  <c r="K27" i="18"/>
  <c r="J27" i="18"/>
  <c r="J31" i="18" s="1"/>
  <c r="I27" i="18"/>
  <c r="H27" i="18"/>
  <c r="O27" i="18" s="1"/>
  <c r="G27" i="18"/>
  <c r="F27" i="18"/>
  <c r="E27" i="18"/>
  <c r="D27" i="18"/>
  <c r="C27" i="18"/>
  <c r="B27" i="18"/>
  <c r="B31" i="18" s="1"/>
  <c r="J26" i="18"/>
  <c r="I26" i="18"/>
  <c r="H26" i="18"/>
  <c r="L26" i="18" s="1"/>
  <c r="G26" i="18"/>
  <c r="F26" i="18"/>
  <c r="E26" i="18"/>
  <c r="N26" i="18" s="1"/>
  <c r="D26" i="18"/>
  <c r="C26" i="18"/>
  <c r="B26" i="18"/>
  <c r="M25" i="18"/>
  <c r="J25" i="18"/>
  <c r="I25" i="18"/>
  <c r="H25" i="18"/>
  <c r="K25" i="18" s="1"/>
  <c r="G25" i="18"/>
  <c r="F25" i="18"/>
  <c r="E25" i="18"/>
  <c r="D25" i="18"/>
  <c r="C25" i="18"/>
  <c r="B25" i="18"/>
  <c r="K24" i="18"/>
  <c r="J24" i="18"/>
  <c r="I24" i="18"/>
  <c r="H24" i="18"/>
  <c r="G24" i="18"/>
  <c r="F24" i="18"/>
  <c r="P24" i="18" s="1"/>
  <c r="E24" i="18"/>
  <c r="D24" i="18"/>
  <c r="C24" i="18"/>
  <c r="B24" i="18"/>
  <c r="J23" i="18"/>
  <c r="I23" i="18"/>
  <c r="H23" i="18"/>
  <c r="G23" i="18"/>
  <c r="F23" i="18"/>
  <c r="E23" i="18"/>
  <c r="D23" i="18"/>
  <c r="C23" i="18"/>
  <c r="B23" i="18"/>
  <c r="J22" i="18"/>
  <c r="I22" i="18"/>
  <c r="H22" i="18"/>
  <c r="O22" i="18" s="1"/>
  <c r="G22" i="18"/>
  <c r="F22" i="18"/>
  <c r="E22" i="18"/>
  <c r="D22" i="18"/>
  <c r="P22" i="18" s="1"/>
  <c r="C22" i="18"/>
  <c r="B22" i="18"/>
  <c r="L21" i="18"/>
  <c r="J21" i="18"/>
  <c r="I21" i="18"/>
  <c r="H21" i="18"/>
  <c r="G21" i="18"/>
  <c r="F21" i="18"/>
  <c r="N21" i="18" s="1"/>
  <c r="E21" i="18"/>
  <c r="D21" i="18"/>
  <c r="C21" i="18"/>
  <c r="M21" i="18" s="1"/>
  <c r="B21" i="18"/>
  <c r="K20" i="18"/>
  <c r="J20" i="18"/>
  <c r="J30" i="18" s="1"/>
  <c r="I20" i="18"/>
  <c r="I30" i="18" s="1"/>
  <c r="H20" i="18"/>
  <c r="G20" i="18"/>
  <c r="F20" i="18"/>
  <c r="E20" i="18"/>
  <c r="D20" i="18"/>
  <c r="C20" i="18"/>
  <c r="B20" i="18"/>
  <c r="B30" i="18" s="1"/>
  <c r="J13" i="18"/>
  <c r="I13" i="18"/>
  <c r="H13" i="18"/>
  <c r="G13" i="18"/>
  <c r="F13" i="18"/>
  <c r="N13" i="18" s="1"/>
  <c r="E13" i="18"/>
  <c r="D13" i="18"/>
  <c r="C13" i="18"/>
  <c r="B13" i="18"/>
  <c r="J12" i="18"/>
  <c r="I12" i="18"/>
  <c r="H12" i="18"/>
  <c r="L12" i="18" s="1"/>
  <c r="G12" i="18"/>
  <c r="F12" i="18"/>
  <c r="E12" i="18"/>
  <c r="D12" i="18"/>
  <c r="C12" i="18"/>
  <c r="B12" i="18"/>
  <c r="J11" i="18"/>
  <c r="J15" i="18" s="1"/>
  <c r="I11" i="18"/>
  <c r="I15" i="18" s="1"/>
  <c r="H11" i="18"/>
  <c r="G11" i="18"/>
  <c r="F11" i="18"/>
  <c r="E11" i="18"/>
  <c r="D11" i="18"/>
  <c r="C11" i="18"/>
  <c r="B11" i="18"/>
  <c r="B15" i="18" s="1"/>
  <c r="M10" i="18"/>
  <c r="J10" i="18"/>
  <c r="I10" i="18"/>
  <c r="H10" i="18"/>
  <c r="O10" i="18" s="1"/>
  <c r="G10" i="18"/>
  <c r="F10" i="18"/>
  <c r="E10" i="18"/>
  <c r="N10" i="18" s="1"/>
  <c r="D10" i="18"/>
  <c r="P10" i="18" s="1"/>
  <c r="C10" i="18"/>
  <c r="B10" i="18"/>
  <c r="J9" i="18"/>
  <c r="I9" i="18"/>
  <c r="H9" i="18"/>
  <c r="L9" i="18" s="1"/>
  <c r="G9" i="18"/>
  <c r="F9" i="18"/>
  <c r="E9" i="18"/>
  <c r="D9" i="18"/>
  <c r="P9" i="18" s="1"/>
  <c r="C9" i="18"/>
  <c r="B9" i="18"/>
  <c r="K8" i="18"/>
  <c r="J8" i="18"/>
  <c r="I8" i="18"/>
  <c r="H8" i="18"/>
  <c r="L8" i="18" s="1"/>
  <c r="G8" i="18"/>
  <c r="F8" i="18"/>
  <c r="E8" i="18"/>
  <c r="D8" i="18"/>
  <c r="C8" i="18"/>
  <c r="M8" i="18" s="1"/>
  <c r="B8" i="18"/>
  <c r="J7" i="18"/>
  <c r="I7" i="18"/>
  <c r="H7" i="18"/>
  <c r="G7" i="18"/>
  <c r="F7" i="18"/>
  <c r="E7" i="18"/>
  <c r="D7" i="18"/>
  <c r="C7" i="18"/>
  <c r="B7" i="18"/>
  <c r="J6" i="18"/>
  <c r="I6" i="18"/>
  <c r="H6" i="18"/>
  <c r="O6" i="18" s="1"/>
  <c r="G6" i="18"/>
  <c r="F6" i="18"/>
  <c r="M6" i="18" s="1"/>
  <c r="E6" i="18"/>
  <c r="D6" i="18"/>
  <c r="C6" i="18"/>
  <c r="B6" i="18"/>
  <c r="J5" i="18"/>
  <c r="I5" i="18"/>
  <c r="H5" i="18"/>
  <c r="L5" i="18" s="1"/>
  <c r="G5" i="18"/>
  <c r="F5" i="18"/>
  <c r="E5" i="18"/>
  <c r="D5" i="18"/>
  <c r="D14" i="18" s="1"/>
  <c r="C5" i="18"/>
  <c r="B5" i="18"/>
  <c r="K4" i="18"/>
  <c r="J4" i="18"/>
  <c r="J14" i="18" s="1"/>
  <c r="I4" i="18"/>
  <c r="H4" i="18"/>
  <c r="G4" i="18"/>
  <c r="F4" i="18"/>
  <c r="F14" i="18" s="1"/>
  <c r="E4" i="18"/>
  <c r="D4" i="18"/>
  <c r="C4" i="18"/>
  <c r="O4" i="18" s="1"/>
  <c r="B4" i="18"/>
  <c r="B14" i="18" s="1"/>
  <c r="J189" i="17"/>
  <c r="I189" i="17"/>
  <c r="H189" i="17"/>
  <c r="L189" i="17" s="1"/>
  <c r="G189" i="17"/>
  <c r="F189" i="17"/>
  <c r="E189" i="17"/>
  <c r="D189" i="17"/>
  <c r="P189" i="17" s="1"/>
  <c r="C189" i="17"/>
  <c r="B189" i="17"/>
  <c r="K188" i="17"/>
  <c r="J188" i="17"/>
  <c r="I188" i="17"/>
  <c r="H188" i="17"/>
  <c r="L188" i="17" s="1"/>
  <c r="G188" i="17"/>
  <c r="F188" i="17"/>
  <c r="E188" i="17"/>
  <c r="D188" i="17"/>
  <c r="C188" i="17"/>
  <c r="B188" i="17"/>
  <c r="J187" i="17"/>
  <c r="I187" i="17"/>
  <c r="I191" i="17" s="1"/>
  <c r="H187" i="17"/>
  <c r="H191" i="17" s="1"/>
  <c r="G187" i="17"/>
  <c r="F187" i="17"/>
  <c r="E187" i="17"/>
  <c r="E191" i="17" s="1"/>
  <c r="D187" i="17"/>
  <c r="C187" i="17"/>
  <c r="B187" i="17"/>
  <c r="B191" i="17" s="1"/>
  <c r="M186" i="17"/>
  <c r="J186" i="17"/>
  <c r="I186" i="17"/>
  <c r="H186" i="17"/>
  <c r="O186" i="17" s="1"/>
  <c r="G186" i="17"/>
  <c r="F186" i="17"/>
  <c r="E186" i="17"/>
  <c r="N186" i="17" s="1"/>
  <c r="D186" i="17"/>
  <c r="C186" i="17"/>
  <c r="B186" i="17"/>
  <c r="J185" i="17"/>
  <c r="I185" i="17"/>
  <c r="H185" i="17"/>
  <c r="G185" i="17"/>
  <c r="F185" i="17"/>
  <c r="E185" i="17"/>
  <c r="L185" i="17" s="1"/>
  <c r="D185" i="17"/>
  <c r="P185" i="17" s="1"/>
  <c r="C185" i="17"/>
  <c r="B185" i="17"/>
  <c r="J184" i="17"/>
  <c r="I184" i="17"/>
  <c r="H184" i="17"/>
  <c r="L184" i="17" s="1"/>
  <c r="G184" i="17"/>
  <c r="F184" i="17"/>
  <c r="E184" i="17"/>
  <c r="D184" i="17"/>
  <c r="C184" i="17"/>
  <c r="B184" i="17"/>
  <c r="J183" i="17"/>
  <c r="I183" i="17"/>
  <c r="H183" i="17"/>
  <c r="G183" i="17"/>
  <c r="F183" i="17"/>
  <c r="E183" i="17"/>
  <c r="D183" i="17"/>
  <c r="C183" i="17"/>
  <c r="B183" i="17"/>
  <c r="J182" i="17"/>
  <c r="I182" i="17"/>
  <c r="H182" i="17"/>
  <c r="O182" i="17" s="1"/>
  <c r="G182" i="17"/>
  <c r="F182" i="17"/>
  <c r="E182" i="17"/>
  <c r="D182" i="17"/>
  <c r="C182" i="17"/>
  <c r="B182" i="17"/>
  <c r="J181" i="17"/>
  <c r="I181" i="17"/>
  <c r="H181" i="17"/>
  <c r="L181" i="17" s="1"/>
  <c r="G181" i="17"/>
  <c r="F181" i="17"/>
  <c r="N181" i="17" s="1"/>
  <c r="E181" i="17"/>
  <c r="D181" i="17"/>
  <c r="D190" i="17" s="1"/>
  <c r="C181" i="17"/>
  <c r="B181" i="17"/>
  <c r="J180" i="17"/>
  <c r="I180" i="17"/>
  <c r="H180" i="17"/>
  <c r="G180" i="17"/>
  <c r="F180" i="17"/>
  <c r="E180" i="17"/>
  <c r="D180" i="17"/>
  <c r="C180" i="17"/>
  <c r="B180" i="17"/>
  <c r="F175" i="17"/>
  <c r="J173" i="17"/>
  <c r="I173" i="17"/>
  <c r="H173" i="17"/>
  <c r="G173" i="17"/>
  <c r="F173" i="17"/>
  <c r="E173" i="17"/>
  <c r="D173" i="17"/>
  <c r="P173" i="17" s="1"/>
  <c r="C173" i="17"/>
  <c r="B173" i="17"/>
  <c r="K172" i="17"/>
  <c r="J172" i="17"/>
  <c r="I172" i="17"/>
  <c r="H172" i="17"/>
  <c r="L172" i="17" s="1"/>
  <c r="G172" i="17"/>
  <c r="F172" i="17"/>
  <c r="E172" i="17"/>
  <c r="D172" i="17"/>
  <c r="C172" i="17"/>
  <c r="B172" i="17"/>
  <c r="J171" i="17"/>
  <c r="I171" i="17"/>
  <c r="I175" i="17" s="1"/>
  <c r="H171" i="17"/>
  <c r="G171" i="17"/>
  <c r="F171" i="17"/>
  <c r="E171" i="17"/>
  <c r="E175" i="17" s="1"/>
  <c r="N175" i="17" s="1"/>
  <c r="D171" i="17"/>
  <c r="C171" i="17"/>
  <c r="C175" i="17" s="1"/>
  <c r="B171" i="17"/>
  <c r="J170" i="17"/>
  <c r="I170" i="17"/>
  <c r="H170" i="17"/>
  <c r="G170" i="17"/>
  <c r="F170" i="17"/>
  <c r="E170" i="17"/>
  <c r="D170" i="17"/>
  <c r="C170" i="17"/>
  <c r="B170" i="17"/>
  <c r="K169" i="17"/>
  <c r="J169" i="17"/>
  <c r="I169" i="17"/>
  <c r="H169" i="17"/>
  <c r="G169" i="17"/>
  <c r="F169" i="17"/>
  <c r="E169" i="17"/>
  <c r="D169" i="17"/>
  <c r="C169" i="17"/>
  <c r="M169" i="17" s="1"/>
  <c r="B169" i="17"/>
  <c r="O168" i="17"/>
  <c r="J168" i="17"/>
  <c r="I168" i="17"/>
  <c r="H168" i="17"/>
  <c r="G168" i="17"/>
  <c r="F168" i="17"/>
  <c r="E168" i="17"/>
  <c r="D168" i="17"/>
  <c r="C168" i="17"/>
  <c r="B168" i="17"/>
  <c r="J167" i="17"/>
  <c r="I167" i="17"/>
  <c r="H167" i="17"/>
  <c r="O167" i="17" s="1"/>
  <c r="G167" i="17"/>
  <c r="F167" i="17"/>
  <c r="E167" i="17"/>
  <c r="N167" i="17" s="1"/>
  <c r="D167" i="17"/>
  <c r="C167" i="17"/>
  <c r="B167" i="17"/>
  <c r="L166" i="17"/>
  <c r="J166" i="17"/>
  <c r="I166" i="17"/>
  <c r="H166" i="17"/>
  <c r="G166" i="17"/>
  <c r="F166" i="17"/>
  <c r="E166" i="17"/>
  <c r="D166" i="17"/>
  <c r="C166" i="17"/>
  <c r="B166" i="17"/>
  <c r="J165" i="17"/>
  <c r="I165" i="17"/>
  <c r="I174" i="17" s="1"/>
  <c r="H165" i="17"/>
  <c r="O165" i="17" s="1"/>
  <c r="G165" i="17"/>
  <c r="F165" i="17"/>
  <c r="E165" i="17"/>
  <c r="N165" i="17" s="1"/>
  <c r="D165" i="17"/>
  <c r="P165" i="17" s="1"/>
  <c r="C165" i="17"/>
  <c r="B165" i="17"/>
  <c r="J164" i="17"/>
  <c r="I164" i="17"/>
  <c r="H164" i="17"/>
  <c r="L164" i="17" s="1"/>
  <c r="G164" i="17"/>
  <c r="F164" i="17"/>
  <c r="N164" i="17" s="1"/>
  <c r="E164" i="17"/>
  <c r="D164" i="17"/>
  <c r="D174" i="17" s="1"/>
  <c r="C164" i="17"/>
  <c r="B164" i="17"/>
  <c r="J157" i="17"/>
  <c r="I157" i="17"/>
  <c r="H157" i="17"/>
  <c r="L157" i="17" s="1"/>
  <c r="G157" i="17"/>
  <c r="F157" i="17"/>
  <c r="E157" i="17"/>
  <c r="D157" i="17"/>
  <c r="P157" i="17" s="1"/>
  <c r="C157" i="17"/>
  <c r="B157" i="17"/>
  <c r="J156" i="17"/>
  <c r="I156" i="17"/>
  <c r="H156" i="17"/>
  <c r="O156" i="17" s="1"/>
  <c r="G156" i="17"/>
  <c r="F156" i="17"/>
  <c r="E156" i="17"/>
  <c r="N156" i="17" s="1"/>
  <c r="D156" i="17"/>
  <c r="C156" i="17"/>
  <c r="B156" i="17"/>
  <c r="J155" i="17"/>
  <c r="J159" i="17" s="1"/>
  <c r="I155" i="17"/>
  <c r="H155" i="17"/>
  <c r="G155" i="17"/>
  <c r="G159" i="17" s="1"/>
  <c r="F155" i="17"/>
  <c r="E155" i="17"/>
  <c r="D155" i="17"/>
  <c r="C155" i="17"/>
  <c r="C159" i="17" s="1"/>
  <c r="B155" i="17"/>
  <c r="B159" i="17" s="1"/>
  <c r="J154" i="17"/>
  <c r="I154" i="17"/>
  <c r="H154" i="17"/>
  <c r="L154" i="17" s="1"/>
  <c r="G154" i="17"/>
  <c r="F154" i="17"/>
  <c r="E154" i="17"/>
  <c r="D154" i="17"/>
  <c r="C154" i="17"/>
  <c r="B154" i="17"/>
  <c r="J153" i="17"/>
  <c r="I153" i="17"/>
  <c r="H153" i="17"/>
  <c r="K153" i="17" s="1"/>
  <c r="G153" i="17"/>
  <c r="F153" i="17"/>
  <c r="N153" i="17" s="1"/>
  <c r="E153" i="17"/>
  <c r="D153" i="17"/>
  <c r="C153" i="17"/>
  <c r="O153" i="17" s="1"/>
  <c r="B153" i="17"/>
  <c r="J152" i="17"/>
  <c r="I152" i="17"/>
  <c r="H152" i="17"/>
  <c r="G152" i="17"/>
  <c r="F152" i="17"/>
  <c r="E152" i="17"/>
  <c r="D152" i="17"/>
  <c r="C152" i="17"/>
  <c r="B152" i="17"/>
  <c r="J151" i="17"/>
  <c r="I151" i="17"/>
  <c r="H151" i="17"/>
  <c r="L151" i="17" s="1"/>
  <c r="G151" i="17"/>
  <c r="F151" i="17"/>
  <c r="E151" i="17"/>
  <c r="D151" i="17"/>
  <c r="P151" i="17" s="1"/>
  <c r="C151" i="17"/>
  <c r="B151" i="17"/>
  <c r="J150" i="17"/>
  <c r="I150" i="17"/>
  <c r="H150" i="17"/>
  <c r="K150" i="17" s="1"/>
  <c r="G150" i="17"/>
  <c r="F150" i="17"/>
  <c r="E150" i="17"/>
  <c r="D150" i="17"/>
  <c r="C150" i="17"/>
  <c r="B150" i="17"/>
  <c r="J149" i="17"/>
  <c r="I149" i="17"/>
  <c r="H149" i="17"/>
  <c r="L149" i="17" s="1"/>
  <c r="G149" i="17"/>
  <c r="F149" i="17"/>
  <c r="E149" i="17"/>
  <c r="D149" i="17"/>
  <c r="C149" i="17"/>
  <c r="B149" i="17"/>
  <c r="J148" i="17"/>
  <c r="I148" i="17"/>
  <c r="I158" i="17" s="1"/>
  <c r="H148" i="17"/>
  <c r="G148" i="17"/>
  <c r="F148" i="17"/>
  <c r="E148" i="17"/>
  <c r="N148" i="17" s="1"/>
  <c r="D148" i="17"/>
  <c r="P148" i="17" s="1"/>
  <c r="C148" i="17"/>
  <c r="B148" i="17"/>
  <c r="K141" i="17"/>
  <c r="J141" i="17"/>
  <c r="I141" i="17"/>
  <c r="H141" i="17"/>
  <c r="G141" i="17"/>
  <c r="F141" i="17"/>
  <c r="N141" i="17" s="1"/>
  <c r="E141" i="17"/>
  <c r="D141" i="17"/>
  <c r="C141" i="17"/>
  <c r="O141" i="17" s="1"/>
  <c r="B141" i="17"/>
  <c r="J140" i="17"/>
  <c r="I140" i="17"/>
  <c r="H140" i="17"/>
  <c r="L140" i="17" s="1"/>
  <c r="G140" i="17"/>
  <c r="F140" i="17"/>
  <c r="E140" i="17"/>
  <c r="D140" i="17"/>
  <c r="P140" i="17" s="1"/>
  <c r="C140" i="17"/>
  <c r="B140" i="17"/>
  <c r="J139" i="17"/>
  <c r="I139" i="17"/>
  <c r="I143" i="17" s="1"/>
  <c r="H139" i="17"/>
  <c r="G139" i="17"/>
  <c r="F139" i="17"/>
  <c r="E139" i="17"/>
  <c r="E143" i="17" s="1"/>
  <c r="D139" i="17"/>
  <c r="C139" i="17"/>
  <c r="B139" i="17"/>
  <c r="K138" i="17"/>
  <c r="J138" i="17"/>
  <c r="I138" i="17"/>
  <c r="H138" i="17"/>
  <c r="G138" i="17"/>
  <c r="F138" i="17"/>
  <c r="E138" i="17"/>
  <c r="D138" i="17"/>
  <c r="C138" i="17"/>
  <c r="O138" i="17" s="1"/>
  <c r="B138" i="17"/>
  <c r="J137" i="17"/>
  <c r="I137" i="17"/>
  <c r="H137" i="17"/>
  <c r="K137" i="17" s="1"/>
  <c r="G137" i="17"/>
  <c r="F137" i="17"/>
  <c r="E137" i="17"/>
  <c r="M137" i="17" s="1"/>
  <c r="D137" i="17"/>
  <c r="C137" i="17"/>
  <c r="B137" i="17"/>
  <c r="J136" i="17"/>
  <c r="I136" i="17"/>
  <c r="H136" i="17"/>
  <c r="G136" i="17"/>
  <c r="F136" i="17"/>
  <c r="E136" i="17"/>
  <c r="D136" i="17"/>
  <c r="C136" i="17"/>
  <c r="B136" i="17"/>
  <c r="J135" i="17"/>
  <c r="I135" i="17"/>
  <c r="H135" i="17"/>
  <c r="G135" i="17"/>
  <c r="F135" i="17"/>
  <c r="E135" i="17"/>
  <c r="D135" i="17"/>
  <c r="C135" i="17"/>
  <c r="M135" i="17" s="1"/>
  <c r="B135" i="17"/>
  <c r="J134" i="17"/>
  <c r="I134" i="17"/>
  <c r="H134" i="17"/>
  <c r="K134" i="17" s="1"/>
  <c r="G134" i="17"/>
  <c r="F134" i="17"/>
  <c r="E134" i="17"/>
  <c r="D134" i="17"/>
  <c r="C134" i="17"/>
  <c r="C142" i="17" s="1"/>
  <c r="B134" i="17"/>
  <c r="K133" i="17"/>
  <c r="J133" i="17"/>
  <c r="I133" i="17"/>
  <c r="H133" i="17"/>
  <c r="G133" i="17"/>
  <c r="F133" i="17"/>
  <c r="N133" i="17" s="1"/>
  <c r="E133" i="17"/>
  <c r="D133" i="17"/>
  <c r="C133" i="17"/>
  <c r="O133" i="17" s="1"/>
  <c r="B133" i="17"/>
  <c r="J132" i="17"/>
  <c r="I132" i="17"/>
  <c r="H132" i="17"/>
  <c r="H142" i="17" s="1"/>
  <c r="G132" i="17"/>
  <c r="F132" i="17"/>
  <c r="E132" i="17"/>
  <c r="N132" i="17" s="1"/>
  <c r="D132" i="17"/>
  <c r="D142" i="17" s="1"/>
  <c r="C132" i="17"/>
  <c r="B132" i="17"/>
  <c r="K125" i="17"/>
  <c r="J125" i="17"/>
  <c r="I125" i="17"/>
  <c r="H125" i="17"/>
  <c r="G125" i="17"/>
  <c r="F125" i="17"/>
  <c r="N125" i="17" s="1"/>
  <c r="E125" i="17"/>
  <c r="D125" i="17"/>
  <c r="C125" i="17"/>
  <c r="O125" i="17" s="1"/>
  <c r="B125" i="17"/>
  <c r="J124" i="17"/>
  <c r="I124" i="17"/>
  <c r="H124" i="17"/>
  <c r="G124" i="17"/>
  <c r="F124" i="17"/>
  <c r="E124" i="17"/>
  <c r="D124" i="17"/>
  <c r="C124" i="17"/>
  <c r="B124" i="17"/>
  <c r="J123" i="17"/>
  <c r="I123" i="17"/>
  <c r="I127" i="17" s="1"/>
  <c r="H123" i="17"/>
  <c r="H127" i="17" s="1"/>
  <c r="G123" i="17"/>
  <c r="F123" i="17"/>
  <c r="E123" i="17"/>
  <c r="E127" i="17" s="1"/>
  <c r="D123" i="17"/>
  <c r="D127" i="17" s="1"/>
  <c r="C123" i="17"/>
  <c r="B123" i="17"/>
  <c r="K122" i="17"/>
  <c r="J122" i="17"/>
  <c r="I122" i="17"/>
  <c r="H122" i="17"/>
  <c r="G122" i="17"/>
  <c r="F122" i="17"/>
  <c r="E122" i="17"/>
  <c r="D122" i="17"/>
  <c r="C122" i="17"/>
  <c r="O122" i="17" s="1"/>
  <c r="B122" i="17"/>
  <c r="J121" i="17"/>
  <c r="I121" i="17"/>
  <c r="H121" i="17"/>
  <c r="L121" i="17" s="1"/>
  <c r="G121" i="17"/>
  <c r="F121" i="17"/>
  <c r="E121" i="17"/>
  <c r="D121" i="17"/>
  <c r="C121" i="17"/>
  <c r="B121" i="17"/>
  <c r="J120" i="17"/>
  <c r="I120" i="17"/>
  <c r="H120" i="17"/>
  <c r="G120" i="17"/>
  <c r="F120" i="17"/>
  <c r="E120" i="17"/>
  <c r="N120" i="17" s="1"/>
  <c r="D120" i="17"/>
  <c r="P120" i="17" s="1"/>
  <c r="C120" i="17"/>
  <c r="B120" i="17"/>
  <c r="J119" i="17"/>
  <c r="I119" i="17"/>
  <c r="H119" i="17"/>
  <c r="G119" i="17"/>
  <c r="F119" i="17"/>
  <c r="E119" i="17"/>
  <c r="D119" i="17"/>
  <c r="C119" i="17"/>
  <c r="B119" i="17"/>
  <c r="J118" i="17"/>
  <c r="I118" i="17"/>
  <c r="H118" i="17"/>
  <c r="L118" i="17" s="1"/>
  <c r="G118" i="17"/>
  <c r="F118" i="17"/>
  <c r="E118" i="17"/>
  <c r="D118" i="17"/>
  <c r="C118" i="17"/>
  <c r="C126" i="17" s="1"/>
  <c r="B118" i="17"/>
  <c r="J117" i="17"/>
  <c r="I117" i="17"/>
  <c r="H117" i="17"/>
  <c r="K117" i="17" s="1"/>
  <c r="G117" i="17"/>
  <c r="F117" i="17"/>
  <c r="N117" i="17" s="1"/>
  <c r="E117" i="17"/>
  <c r="D117" i="17"/>
  <c r="C117" i="17"/>
  <c r="O117" i="17" s="1"/>
  <c r="B117" i="17"/>
  <c r="J116" i="17"/>
  <c r="I116" i="17"/>
  <c r="H116" i="17"/>
  <c r="G116" i="17"/>
  <c r="F116" i="17"/>
  <c r="E116" i="17"/>
  <c r="D116" i="17"/>
  <c r="C116" i="17"/>
  <c r="B116" i="17"/>
  <c r="J109" i="17"/>
  <c r="I109" i="17"/>
  <c r="H109" i="17"/>
  <c r="K109" i="17" s="1"/>
  <c r="G109" i="17"/>
  <c r="F109" i="17"/>
  <c r="E109" i="17"/>
  <c r="M109" i="17" s="1"/>
  <c r="D109" i="17"/>
  <c r="C109" i="17"/>
  <c r="B109" i="17"/>
  <c r="J108" i="17"/>
  <c r="I108" i="17"/>
  <c r="H108" i="17"/>
  <c r="G108" i="17"/>
  <c r="F108" i="17"/>
  <c r="E108" i="17"/>
  <c r="D108" i="17"/>
  <c r="C108" i="17"/>
  <c r="B108" i="17"/>
  <c r="J107" i="17"/>
  <c r="I107" i="17"/>
  <c r="H107" i="17"/>
  <c r="H111" i="17" s="1"/>
  <c r="G107" i="17"/>
  <c r="G111" i="17" s="1"/>
  <c r="F107" i="17"/>
  <c r="E107" i="17"/>
  <c r="D107" i="17"/>
  <c r="D111" i="17" s="1"/>
  <c r="C107" i="17"/>
  <c r="M107" i="17" s="1"/>
  <c r="B107" i="17"/>
  <c r="J106" i="17"/>
  <c r="I106" i="17"/>
  <c r="H106" i="17"/>
  <c r="K106" i="17" s="1"/>
  <c r="G106" i="17"/>
  <c r="F106" i="17"/>
  <c r="E106" i="17"/>
  <c r="D106" i="17"/>
  <c r="C106" i="17"/>
  <c r="B106" i="17"/>
  <c r="K105" i="17"/>
  <c r="J105" i="17"/>
  <c r="I105" i="17"/>
  <c r="H105" i="17"/>
  <c r="G105" i="17"/>
  <c r="F105" i="17"/>
  <c r="N105" i="17" s="1"/>
  <c r="E105" i="17"/>
  <c r="D105" i="17"/>
  <c r="C105" i="17"/>
  <c r="O105" i="17" s="1"/>
  <c r="B105" i="17"/>
  <c r="J104" i="17"/>
  <c r="I104" i="17"/>
  <c r="H104" i="17"/>
  <c r="L104" i="17" s="1"/>
  <c r="G104" i="17"/>
  <c r="F104" i="17"/>
  <c r="E104" i="17"/>
  <c r="N104" i="17" s="1"/>
  <c r="D104" i="17"/>
  <c r="P104" i="17" s="1"/>
  <c r="C104" i="17"/>
  <c r="B104" i="17"/>
  <c r="J103" i="17"/>
  <c r="I103" i="17"/>
  <c r="H103" i="17"/>
  <c r="G103" i="17"/>
  <c r="F103" i="17"/>
  <c r="E103" i="17"/>
  <c r="M103" i="17" s="1"/>
  <c r="D103" i="17"/>
  <c r="P103" i="17" s="1"/>
  <c r="C103" i="17"/>
  <c r="B103" i="17"/>
  <c r="J102" i="17"/>
  <c r="I102" i="17"/>
  <c r="H102" i="17"/>
  <c r="G102" i="17"/>
  <c r="F102" i="17"/>
  <c r="N102" i="17" s="1"/>
  <c r="E102" i="17"/>
  <c r="D102" i="17"/>
  <c r="C102" i="17"/>
  <c r="B102" i="17"/>
  <c r="J101" i="17"/>
  <c r="I101" i="17"/>
  <c r="H101" i="17"/>
  <c r="G101" i="17"/>
  <c r="F101" i="17"/>
  <c r="E101" i="17"/>
  <c r="D101" i="17"/>
  <c r="C101" i="17"/>
  <c r="B101" i="17"/>
  <c r="J100" i="17"/>
  <c r="I100" i="17"/>
  <c r="I110" i="17" s="1"/>
  <c r="H100" i="17"/>
  <c r="G100" i="17"/>
  <c r="F100" i="17"/>
  <c r="E100" i="17"/>
  <c r="M100" i="17" s="1"/>
  <c r="D100" i="17"/>
  <c r="C100" i="17"/>
  <c r="B100" i="17"/>
  <c r="K93" i="17"/>
  <c r="J93" i="17"/>
  <c r="I93" i="17"/>
  <c r="H93" i="17"/>
  <c r="G93" i="17"/>
  <c r="F93" i="17"/>
  <c r="N93" i="17" s="1"/>
  <c r="E93" i="17"/>
  <c r="D93" i="17"/>
  <c r="C93" i="17"/>
  <c r="O93" i="17" s="1"/>
  <c r="B93" i="17"/>
  <c r="J92" i="17"/>
  <c r="I92" i="17"/>
  <c r="H92" i="17"/>
  <c r="L92" i="17" s="1"/>
  <c r="G92" i="17"/>
  <c r="F92" i="17"/>
  <c r="E92" i="17"/>
  <c r="D92" i="17"/>
  <c r="C92" i="17"/>
  <c r="B92" i="17"/>
  <c r="J91" i="17"/>
  <c r="J95" i="17" s="1"/>
  <c r="I91" i="17"/>
  <c r="I95" i="17" s="1"/>
  <c r="H91" i="17"/>
  <c r="G91" i="17"/>
  <c r="F91" i="17"/>
  <c r="E91" i="17"/>
  <c r="E95" i="17" s="1"/>
  <c r="D91" i="17"/>
  <c r="C91" i="17"/>
  <c r="C95" i="17" s="1"/>
  <c r="B91" i="17"/>
  <c r="B95" i="17" s="1"/>
  <c r="J90" i="17"/>
  <c r="I90" i="17"/>
  <c r="H90" i="17"/>
  <c r="G90" i="17"/>
  <c r="F90" i="17"/>
  <c r="E90" i="17"/>
  <c r="D90" i="17"/>
  <c r="C90" i="17"/>
  <c r="B90" i="17"/>
  <c r="J89" i="17"/>
  <c r="I89" i="17"/>
  <c r="H89" i="17"/>
  <c r="O89" i="17" s="1"/>
  <c r="G89" i="17"/>
  <c r="F89" i="17"/>
  <c r="N89" i="17" s="1"/>
  <c r="E89" i="17"/>
  <c r="D89" i="17"/>
  <c r="C89" i="17"/>
  <c r="M89" i="17" s="1"/>
  <c r="B89" i="17"/>
  <c r="J88" i="17"/>
  <c r="I88" i="17"/>
  <c r="H88" i="17"/>
  <c r="G88" i="17"/>
  <c r="F88" i="17"/>
  <c r="E88" i="17"/>
  <c r="D88" i="17"/>
  <c r="C88" i="17"/>
  <c r="B88" i="17"/>
  <c r="J87" i="17"/>
  <c r="I87" i="17"/>
  <c r="H87" i="17"/>
  <c r="G87" i="17"/>
  <c r="F87" i="17"/>
  <c r="E87" i="17"/>
  <c r="M87" i="17" s="1"/>
  <c r="D87" i="17"/>
  <c r="C87" i="17"/>
  <c r="B87" i="17"/>
  <c r="J86" i="17"/>
  <c r="I86" i="17"/>
  <c r="H86" i="17"/>
  <c r="G86" i="17"/>
  <c r="F86" i="17"/>
  <c r="E86" i="17"/>
  <c r="D86" i="17"/>
  <c r="C86" i="17"/>
  <c r="B86" i="17"/>
  <c r="J85" i="17"/>
  <c r="I85" i="17"/>
  <c r="H85" i="17"/>
  <c r="G85" i="17"/>
  <c r="F85" i="17"/>
  <c r="E85" i="17"/>
  <c r="D85" i="17"/>
  <c r="C85" i="17"/>
  <c r="M85" i="17" s="1"/>
  <c r="B85" i="17"/>
  <c r="K84" i="17"/>
  <c r="J84" i="17"/>
  <c r="I84" i="17"/>
  <c r="I94" i="17" s="1"/>
  <c r="H84" i="17"/>
  <c r="G84" i="17"/>
  <c r="F84" i="17"/>
  <c r="E84" i="17"/>
  <c r="E94" i="17" s="1"/>
  <c r="D84" i="17"/>
  <c r="C84" i="17"/>
  <c r="C94" i="17" s="1"/>
  <c r="B84" i="17"/>
  <c r="J77" i="17"/>
  <c r="I77" i="17"/>
  <c r="H77" i="17"/>
  <c r="O77" i="17" s="1"/>
  <c r="G77" i="17"/>
  <c r="F77" i="17"/>
  <c r="N77" i="17" s="1"/>
  <c r="E77" i="17"/>
  <c r="D77" i="17"/>
  <c r="C77" i="17"/>
  <c r="B77" i="17"/>
  <c r="J76" i="17"/>
  <c r="I76" i="17"/>
  <c r="H76" i="17"/>
  <c r="G76" i="17"/>
  <c r="F76" i="17"/>
  <c r="E76" i="17"/>
  <c r="D76" i="17"/>
  <c r="C76" i="17"/>
  <c r="B76" i="17"/>
  <c r="J75" i="17"/>
  <c r="J79" i="17" s="1"/>
  <c r="I75" i="17"/>
  <c r="I79" i="17" s="1"/>
  <c r="H75" i="17"/>
  <c r="G75" i="17"/>
  <c r="G79" i="17" s="1"/>
  <c r="F75" i="17"/>
  <c r="E75" i="17"/>
  <c r="E79" i="17" s="1"/>
  <c r="D75" i="17"/>
  <c r="C75" i="17"/>
  <c r="C79" i="17" s="1"/>
  <c r="B75" i="17"/>
  <c r="B79" i="17" s="1"/>
  <c r="J74" i="17"/>
  <c r="I74" i="17"/>
  <c r="H74" i="17"/>
  <c r="G74" i="17"/>
  <c r="F74" i="17"/>
  <c r="E74" i="17"/>
  <c r="D74" i="17"/>
  <c r="C74" i="17"/>
  <c r="B74" i="17"/>
  <c r="J73" i="17"/>
  <c r="I73" i="17"/>
  <c r="H73" i="17"/>
  <c r="G73" i="17"/>
  <c r="F73" i="17"/>
  <c r="E73" i="17"/>
  <c r="D73" i="17"/>
  <c r="P73" i="17" s="1"/>
  <c r="C73" i="17"/>
  <c r="B73" i="17"/>
  <c r="J72" i="17"/>
  <c r="I72" i="17"/>
  <c r="H72" i="17"/>
  <c r="L72" i="17" s="1"/>
  <c r="G72" i="17"/>
  <c r="F72" i="17"/>
  <c r="N72" i="17" s="1"/>
  <c r="E72" i="17"/>
  <c r="D72" i="17"/>
  <c r="C72" i="17"/>
  <c r="B72" i="17"/>
  <c r="J71" i="17"/>
  <c r="I71" i="17"/>
  <c r="H71" i="17"/>
  <c r="G71" i="17"/>
  <c r="F71" i="17"/>
  <c r="E71" i="17"/>
  <c r="M71" i="17" s="1"/>
  <c r="D71" i="17"/>
  <c r="C71" i="17"/>
  <c r="B71" i="17"/>
  <c r="M70" i="17"/>
  <c r="J70" i="17"/>
  <c r="I70" i="17"/>
  <c r="H70" i="17"/>
  <c r="G70" i="17"/>
  <c r="F70" i="17"/>
  <c r="E70" i="17"/>
  <c r="N70" i="17" s="1"/>
  <c r="D70" i="17"/>
  <c r="C70" i="17"/>
  <c r="B70" i="17"/>
  <c r="J69" i="17"/>
  <c r="I69" i="17"/>
  <c r="H69" i="17"/>
  <c r="K69" i="17" s="1"/>
  <c r="G69" i="17"/>
  <c r="F69" i="17"/>
  <c r="E69" i="17"/>
  <c r="D69" i="17"/>
  <c r="P69" i="17" s="1"/>
  <c r="C69" i="17"/>
  <c r="B69" i="17"/>
  <c r="K68" i="17"/>
  <c r="J68" i="17"/>
  <c r="I68" i="17"/>
  <c r="H68" i="17"/>
  <c r="O68" i="17" s="1"/>
  <c r="G68" i="17"/>
  <c r="G78" i="17" s="1"/>
  <c r="F68" i="17"/>
  <c r="E68" i="17"/>
  <c r="D68" i="17"/>
  <c r="C68" i="17"/>
  <c r="B68" i="17"/>
  <c r="J61" i="17"/>
  <c r="I61" i="17"/>
  <c r="H61" i="17"/>
  <c r="L61" i="17" s="1"/>
  <c r="G61" i="17"/>
  <c r="F61" i="17"/>
  <c r="E61" i="17"/>
  <c r="D61" i="17"/>
  <c r="C61" i="17"/>
  <c r="B61" i="17"/>
  <c r="J60" i="17"/>
  <c r="I60" i="17"/>
  <c r="H60" i="17"/>
  <c r="G60" i="17"/>
  <c r="F60" i="17"/>
  <c r="E60" i="17"/>
  <c r="N60" i="17" s="1"/>
  <c r="D60" i="17"/>
  <c r="C60" i="17"/>
  <c r="B60" i="17"/>
  <c r="J59" i="17"/>
  <c r="J63" i="17" s="1"/>
  <c r="I59" i="17"/>
  <c r="H59" i="17"/>
  <c r="H63" i="17" s="1"/>
  <c r="G59" i="17"/>
  <c r="G63" i="17" s="1"/>
  <c r="F59" i="17"/>
  <c r="F63" i="17" s="1"/>
  <c r="E59" i="17"/>
  <c r="D59" i="17"/>
  <c r="D63" i="17" s="1"/>
  <c r="C59" i="17"/>
  <c r="C63" i="17" s="1"/>
  <c r="B59" i="17"/>
  <c r="J58" i="17"/>
  <c r="I58" i="17"/>
  <c r="H58" i="17"/>
  <c r="L58" i="17" s="1"/>
  <c r="G58" i="17"/>
  <c r="F58" i="17"/>
  <c r="E58" i="17"/>
  <c r="N58" i="17" s="1"/>
  <c r="D58" i="17"/>
  <c r="P58" i="17" s="1"/>
  <c r="C58" i="17"/>
  <c r="B58" i="17"/>
  <c r="K57" i="17"/>
  <c r="J57" i="17"/>
  <c r="I57" i="17"/>
  <c r="H57" i="17"/>
  <c r="G57" i="17"/>
  <c r="F57" i="17"/>
  <c r="E57" i="17"/>
  <c r="D57" i="17"/>
  <c r="C57" i="17"/>
  <c r="B57" i="17"/>
  <c r="J56" i="17"/>
  <c r="I56" i="17"/>
  <c r="H56" i="17"/>
  <c r="G56" i="17"/>
  <c r="F56" i="17"/>
  <c r="E56" i="17"/>
  <c r="N56" i="17" s="1"/>
  <c r="D56" i="17"/>
  <c r="C56" i="17"/>
  <c r="B56" i="17"/>
  <c r="J55" i="17"/>
  <c r="I55" i="17"/>
  <c r="H55" i="17"/>
  <c r="O55" i="17" s="1"/>
  <c r="G55" i="17"/>
  <c r="F55" i="17"/>
  <c r="E55" i="17"/>
  <c r="N55" i="17" s="1"/>
  <c r="D55" i="17"/>
  <c r="P55" i="17" s="1"/>
  <c r="C55" i="17"/>
  <c r="B55" i="17"/>
  <c r="J54" i="17"/>
  <c r="I54" i="17"/>
  <c r="H54" i="17"/>
  <c r="K54" i="17" s="1"/>
  <c r="G54" i="17"/>
  <c r="F54" i="17"/>
  <c r="E54" i="17"/>
  <c r="D54" i="17"/>
  <c r="C54" i="17"/>
  <c r="B54" i="17"/>
  <c r="J53" i="17"/>
  <c r="I53" i="17"/>
  <c r="H53" i="17"/>
  <c r="L53" i="17" s="1"/>
  <c r="G53" i="17"/>
  <c r="F53" i="17"/>
  <c r="E53" i="17"/>
  <c r="D53" i="17"/>
  <c r="C53" i="17"/>
  <c r="B53" i="17"/>
  <c r="J52" i="17"/>
  <c r="I52" i="17"/>
  <c r="I62" i="17" s="1"/>
  <c r="H52" i="17"/>
  <c r="G52" i="17"/>
  <c r="F52" i="17"/>
  <c r="E52" i="17"/>
  <c r="N52" i="17" s="1"/>
  <c r="D52" i="17"/>
  <c r="C52" i="17"/>
  <c r="B52" i="17"/>
  <c r="K45" i="17"/>
  <c r="J45" i="17"/>
  <c r="I45" i="17"/>
  <c r="H45" i="17"/>
  <c r="G45" i="17"/>
  <c r="F45" i="17"/>
  <c r="E45" i="17"/>
  <c r="D45" i="17"/>
  <c r="C45" i="17"/>
  <c r="M45" i="17" s="1"/>
  <c r="B45" i="17"/>
  <c r="J44" i="17"/>
  <c r="I44" i="17"/>
  <c r="H44" i="17"/>
  <c r="L44" i="17" s="1"/>
  <c r="G44" i="17"/>
  <c r="F44" i="17"/>
  <c r="E44" i="17"/>
  <c r="D44" i="17"/>
  <c r="C44" i="17"/>
  <c r="B44" i="17"/>
  <c r="J43" i="17"/>
  <c r="J47" i="17" s="1"/>
  <c r="I43" i="17"/>
  <c r="I47" i="17" s="1"/>
  <c r="H43" i="17"/>
  <c r="O43" i="17" s="1"/>
  <c r="G43" i="17"/>
  <c r="G47" i="17" s="1"/>
  <c r="F43" i="17"/>
  <c r="F47" i="17" s="1"/>
  <c r="E43" i="17"/>
  <c r="N43" i="17" s="1"/>
  <c r="D43" i="17"/>
  <c r="C43" i="17"/>
  <c r="C47" i="17" s="1"/>
  <c r="B43" i="17"/>
  <c r="B47" i="17" s="1"/>
  <c r="K42" i="17"/>
  <c r="J42" i="17"/>
  <c r="I42" i="17"/>
  <c r="H42" i="17"/>
  <c r="G42" i="17"/>
  <c r="F42" i="17"/>
  <c r="E42" i="17"/>
  <c r="N42" i="17" s="1"/>
  <c r="D42" i="17"/>
  <c r="P42" i="17" s="1"/>
  <c r="C42" i="17"/>
  <c r="M42" i="17" s="1"/>
  <c r="B42" i="17"/>
  <c r="K41" i="17"/>
  <c r="J41" i="17"/>
  <c r="I41" i="17"/>
  <c r="H41" i="17"/>
  <c r="G41" i="17"/>
  <c r="F41" i="17"/>
  <c r="E41" i="17"/>
  <c r="D41" i="17"/>
  <c r="C41" i="17"/>
  <c r="B41" i="17"/>
  <c r="J40" i="17"/>
  <c r="I40" i="17"/>
  <c r="H40" i="17"/>
  <c r="G40" i="17"/>
  <c r="F40" i="17"/>
  <c r="E40" i="17"/>
  <c r="D40" i="17"/>
  <c r="C40" i="17"/>
  <c r="B40" i="17"/>
  <c r="J39" i="17"/>
  <c r="I39" i="17"/>
  <c r="H39" i="17"/>
  <c r="O39" i="17" s="1"/>
  <c r="G39" i="17"/>
  <c r="F39" i="17"/>
  <c r="E39" i="17"/>
  <c r="N39" i="17" s="1"/>
  <c r="D39" i="17"/>
  <c r="P39" i="17" s="1"/>
  <c r="C39" i="17"/>
  <c r="B39" i="17"/>
  <c r="K38" i="17"/>
  <c r="J38" i="17"/>
  <c r="I38" i="17"/>
  <c r="H38" i="17"/>
  <c r="G38" i="17"/>
  <c r="F38" i="17"/>
  <c r="E38" i="17"/>
  <c r="N38" i="17" s="1"/>
  <c r="D38" i="17"/>
  <c r="C38" i="17"/>
  <c r="B38" i="17"/>
  <c r="K37" i="17"/>
  <c r="J37" i="17"/>
  <c r="I37" i="17"/>
  <c r="H37" i="17"/>
  <c r="L37" i="17" s="1"/>
  <c r="G37" i="17"/>
  <c r="F37" i="17"/>
  <c r="E37" i="17"/>
  <c r="D37" i="17"/>
  <c r="C37" i="17"/>
  <c r="M37" i="17" s="1"/>
  <c r="B37" i="17"/>
  <c r="J36" i="17"/>
  <c r="I36" i="17"/>
  <c r="H36" i="17"/>
  <c r="L36" i="17" s="1"/>
  <c r="G36" i="17"/>
  <c r="F36" i="17"/>
  <c r="E36" i="17"/>
  <c r="D36" i="17"/>
  <c r="C36" i="17"/>
  <c r="B36" i="17"/>
  <c r="K29" i="17"/>
  <c r="J29" i="17"/>
  <c r="I29" i="17"/>
  <c r="H29" i="17"/>
  <c r="G29" i="17"/>
  <c r="F29" i="17"/>
  <c r="E29" i="17"/>
  <c r="D29" i="17"/>
  <c r="C29" i="17"/>
  <c r="B29" i="17"/>
  <c r="J28" i="17"/>
  <c r="I28" i="17"/>
  <c r="H28" i="17"/>
  <c r="L28" i="17" s="1"/>
  <c r="G28" i="17"/>
  <c r="F28" i="17"/>
  <c r="E28" i="17"/>
  <c r="N28" i="17" s="1"/>
  <c r="D28" i="17"/>
  <c r="C28" i="17"/>
  <c r="B28" i="17"/>
  <c r="J27" i="17"/>
  <c r="J31" i="17" s="1"/>
  <c r="I27" i="17"/>
  <c r="I31" i="17" s="1"/>
  <c r="H27" i="17"/>
  <c r="O27" i="17" s="1"/>
  <c r="G27" i="17"/>
  <c r="F27" i="17"/>
  <c r="F31" i="17" s="1"/>
  <c r="E27" i="17"/>
  <c r="N27" i="17" s="1"/>
  <c r="D27" i="17"/>
  <c r="D31" i="17" s="1"/>
  <c r="C27" i="17"/>
  <c r="C31" i="17" s="1"/>
  <c r="B27" i="17"/>
  <c r="B31" i="17" s="1"/>
  <c r="K26" i="17"/>
  <c r="J26" i="17"/>
  <c r="I26" i="17"/>
  <c r="H26" i="17"/>
  <c r="G26" i="17"/>
  <c r="F26" i="17"/>
  <c r="E26" i="17"/>
  <c r="D26" i="17"/>
  <c r="C26" i="17"/>
  <c r="B26" i="17"/>
  <c r="J25" i="17"/>
  <c r="I25" i="17"/>
  <c r="H25" i="17"/>
  <c r="L25" i="17" s="1"/>
  <c r="G25" i="17"/>
  <c r="F25" i="17"/>
  <c r="E25" i="17"/>
  <c r="D25" i="17"/>
  <c r="C25" i="17"/>
  <c r="B25" i="17"/>
  <c r="K24" i="17"/>
  <c r="J24" i="17"/>
  <c r="I24" i="17"/>
  <c r="H24" i="17"/>
  <c r="G24" i="17"/>
  <c r="F24" i="17"/>
  <c r="E24" i="17"/>
  <c r="D24" i="17"/>
  <c r="C24" i="17"/>
  <c r="O24" i="17" s="1"/>
  <c r="B24" i="17"/>
  <c r="J23" i="17"/>
  <c r="I23" i="17"/>
  <c r="H23" i="17"/>
  <c r="O23" i="17" s="1"/>
  <c r="G23" i="17"/>
  <c r="F23" i="17"/>
  <c r="E23" i="17"/>
  <c r="N23" i="17" s="1"/>
  <c r="D23" i="17"/>
  <c r="P23" i="17" s="1"/>
  <c r="C23" i="17"/>
  <c r="B23" i="17"/>
  <c r="K22" i="17"/>
  <c r="J22" i="17"/>
  <c r="I22" i="17"/>
  <c r="H22" i="17"/>
  <c r="G22" i="17"/>
  <c r="F22" i="17"/>
  <c r="E22" i="17"/>
  <c r="N22" i="17" s="1"/>
  <c r="D22" i="17"/>
  <c r="C22" i="17"/>
  <c r="B22" i="17"/>
  <c r="K21" i="17"/>
  <c r="J21" i="17"/>
  <c r="I21" i="17"/>
  <c r="H21" i="17"/>
  <c r="L21" i="17" s="1"/>
  <c r="G21" i="17"/>
  <c r="F21" i="17"/>
  <c r="E21" i="17"/>
  <c r="D21" i="17"/>
  <c r="C21" i="17"/>
  <c r="M21" i="17" s="1"/>
  <c r="B21" i="17"/>
  <c r="J20" i="17"/>
  <c r="I20" i="17"/>
  <c r="H20" i="17"/>
  <c r="L20" i="17" s="1"/>
  <c r="G20" i="17"/>
  <c r="F20" i="17"/>
  <c r="E20" i="17"/>
  <c r="D20" i="17"/>
  <c r="C20" i="17"/>
  <c r="B20" i="17"/>
  <c r="K13" i="17"/>
  <c r="J13" i="17"/>
  <c r="I13" i="17"/>
  <c r="H13" i="17"/>
  <c r="G13" i="17"/>
  <c r="F13" i="17"/>
  <c r="E13" i="17"/>
  <c r="D13" i="17"/>
  <c r="C13" i="17"/>
  <c r="B13" i="17"/>
  <c r="J12" i="17"/>
  <c r="I12" i="17"/>
  <c r="H12" i="17"/>
  <c r="L12" i="17" s="1"/>
  <c r="G12" i="17"/>
  <c r="F12" i="17"/>
  <c r="E12" i="17"/>
  <c r="N12" i="17" s="1"/>
  <c r="D12" i="17"/>
  <c r="C12" i="17"/>
  <c r="B12" i="17"/>
  <c r="J11" i="17"/>
  <c r="J15" i="17" s="1"/>
  <c r="I11" i="17"/>
  <c r="I15" i="17" s="1"/>
  <c r="H11" i="17"/>
  <c r="O11" i="17" s="1"/>
  <c r="G11" i="17"/>
  <c r="F11" i="17"/>
  <c r="F15" i="17" s="1"/>
  <c r="E11" i="17"/>
  <c r="N11" i="17" s="1"/>
  <c r="D11" i="17"/>
  <c r="D15" i="17" s="1"/>
  <c r="C11" i="17"/>
  <c r="C15" i="17" s="1"/>
  <c r="B11" i="17"/>
  <c r="B15" i="17" s="1"/>
  <c r="K10" i="17"/>
  <c r="J10" i="17"/>
  <c r="I10" i="17"/>
  <c r="H10" i="17"/>
  <c r="G10" i="17"/>
  <c r="F10" i="17"/>
  <c r="E10" i="17"/>
  <c r="D10" i="17"/>
  <c r="C10" i="17"/>
  <c r="B10" i="17"/>
  <c r="J9" i="17"/>
  <c r="I9" i="17"/>
  <c r="H9" i="17"/>
  <c r="L9" i="17" s="1"/>
  <c r="G9" i="17"/>
  <c r="F9" i="17"/>
  <c r="E9" i="17"/>
  <c r="D9" i="17"/>
  <c r="C9" i="17"/>
  <c r="B9" i="17"/>
  <c r="J8" i="17"/>
  <c r="I8" i="17"/>
  <c r="H8" i="17"/>
  <c r="G8" i="17"/>
  <c r="F8" i="17"/>
  <c r="E8" i="17"/>
  <c r="N8" i="17" s="1"/>
  <c r="D8" i="17"/>
  <c r="C8" i="17"/>
  <c r="B8" i="17"/>
  <c r="J7" i="17"/>
  <c r="I7" i="17"/>
  <c r="H7" i="17"/>
  <c r="O7" i="17" s="1"/>
  <c r="G7" i="17"/>
  <c r="F7" i="17"/>
  <c r="E7" i="17"/>
  <c r="D7" i="17"/>
  <c r="C7" i="17"/>
  <c r="B7" i="17"/>
  <c r="J6" i="17"/>
  <c r="I6" i="17"/>
  <c r="H6" i="17"/>
  <c r="H14" i="17" s="1"/>
  <c r="G6" i="17"/>
  <c r="F6" i="17"/>
  <c r="E6" i="17"/>
  <c r="D6" i="17"/>
  <c r="D14" i="17" s="1"/>
  <c r="C6" i="17"/>
  <c r="B6" i="17"/>
  <c r="J5" i="17"/>
  <c r="I5" i="17"/>
  <c r="H5" i="17"/>
  <c r="K5" i="17" s="1"/>
  <c r="G5" i="17"/>
  <c r="F5" i="17"/>
  <c r="E5" i="17"/>
  <c r="D5" i="17"/>
  <c r="C5" i="17"/>
  <c r="B5" i="17"/>
  <c r="J4" i="17"/>
  <c r="I4" i="17"/>
  <c r="I14" i="17" s="1"/>
  <c r="H4" i="17"/>
  <c r="G4" i="17"/>
  <c r="F4" i="17"/>
  <c r="E4" i="17"/>
  <c r="E14" i="17" s="1"/>
  <c r="D4" i="17"/>
  <c r="C4" i="17"/>
  <c r="B4" i="17"/>
  <c r="O479" i="16"/>
  <c r="N479" i="16"/>
  <c r="M479" i="16"/>
  <c r="L479" i="16"/>
  <c r="K479" i="16"/>
  <c r="J479" i="16"/>
  <c r="I479" i="16"/>
  <c r="H479" i="16"/>
  <c r="G479" i="16"/>
  <c r="F479" i="16"/>
  <c r="E479" i="16"/>
  <c r="D479" i="16"/>
  <c r="C479" i="16"/>
  <c r="B479" i="16"/>
  <c r="O478" i="16"/>
  <c r="N478" i="16"/>
  <c r="M478" i="16"/>
  <c r="L478" i="16"/>
  <c r="K478" i="16"/>
  <c r="J478" i="16"/>
  <c r="I478" i="16"/>
  <c r="H478" i="16"/>
  <c r="G478" i="16"/>
  <c r="F478" i="16"/>
  <c r="E478" i="16"/>
  <c r="D478" i="16"/>
  <c r="C478" i="16"/>
  <c r="B478" i="16"/>
  <c r="O477" i="16"/>
  <c r="N477" i="16"/>
  <c r="M477" i="16"/>
  <c r="L477" i="16"/>
  <c r="K477" i="16"/>
  <c r="J477" i="16"/>
  <c r="I477" i="16"/>
  <c r="H477" i="16"/>
  <c r="G477" i="16"/>
  <c r="F477" i="16"/>
  <c r="E477" i="16"/>
  <c r="D477" i="16"/>
  <c r="C477" i="16"/>
  <c r="B477" i="16"/>
  <c r="O476" i="16"/>
  <c r="N476" i="16"/>
  <c r="M476" i="16"/>
  <c r="L476" i="16"/>
  <c r="K476" i="16"/>
  <c r="J476" i="16"/>
  <c r="I476" i="16"/>
  <c r="H476" i="16"/>
  <c r="G476" i="16"/>
  <c r="F476" i="16"/>
  <c r="E476" i="16"/>
  <c r="D476" i="16"/>
  <c r="C476" i="16"/>
  <c r="B476" i="16"/>
  <c r="O475" i="16"/>
  <c r="N475" i="16"/>
  <c r="M475" i="16"/>
  <c r="L475" i="16"/>
  <c r="K475" i="16"/>
  <c r="J475" i="16"/>
  <c r="I475" i="16"/>
  <c r="H475" i="16"/>
  <c r="G475" i="16"/>
  <c r="F475" i="16"/>
  <c r="E475" i="16"/>
  <c r="D475" i="16"/>
  <c r="C475" i="16"/>
  <c r="B475" i="16"/>
  <c r="O474" i="16"/>
  <c r="N474" i="16"/>
  <c r="M474" i="16"/>
  <c r="L474" i="16"/>
  <c r="K474" i="16"/>
  <c r="J474" i="16"/>
  <c r="I474" i="16"/>
  <c r="H474" i="16"/>
  <c r="G474" i="16"/>
  <c r="F474" i="16"/>
  <c r="E474" i="16"/>
  <c r="D474" i="16"/>
  <c r="C474" i="16"/>
  <c r="B474" i="16"/>
  <c r="O473" i="16"/>
  <c r="N473" i="16"/>
  <c r="M473" i="16"/>
  <c r="L473" i="16"/>
  <c r="K473" i="16"/>
  <c r="J473" i="16"/>
  <c r="I473" i="16"/>
  <c r="H473" i="16"/>
  <c r="G473" i="16"/>
  <c r="F473" i="16"/>
  <c r="E473" i="16"/>
  <c r="D473" i="16"/>
  <c r="C473" i="16"/>
  <c r="B473" i="16"/>
  <c r="O472" i="16"/>
  <c r="N472" i="16"/>
  <c r="M472" i="16"/>
  <c r="L472" i="16"/>
  <c r="K472" i="16"/>
  <c r="J472" i="16"/>
  <c r="I472" i="16"/>
  <c r="H472" i="16"/>
  <c r="G472" i="16"/>
  <c r="F472" i="16"/>
  <c r="E472" i="16"/>
  <c r="D472" i="16"/>
  <c r="C472" i="16"/>
  <c r="B472" i="16"/>
  <c r="O471" i="16"/>
  <c r="N471" i="16"/>
  <c r="M471" i="16"/>
  <c r="L471" i="16"/>
  <c r="K471" i="16"/>
  <c r="J471" i="16"/>
  <c r="I471" i="16"/>
  <c r="H471" i="16"/>
  <c r="G471" i="16"/>
  <c r="F471" i="16"/>
  <c r="E471" i="16"/>
  <c r="D471" i="16"/>
  <c r="C471" i="16"/>
  <c r="B471" i="16"/>
  <c r="O470" i="16"/>
  <c r="N470" i="16"/>
  <c r="M470" i="16"/>
  <c r="L470" i="16"/>
  <c r="K470" i="16"/>
  <c r="J470" i="16"/>
  <c r="I470" i="16"/>
  <c r="H470" i="16"/>
  <c r="G470" i="16"/>
  <c r="F470" i="16"/>
  <c r="E470" i="16"/>
  <c r="D470" i="16"/>
  <c r="C470" i="16"/>
  <c r="B470" i="16"/>
  <c r="O469" i="16"/>
  <c r="N469" i="16"/>
  <c r="M469" i="16"/>
  <c r="L469" i="16"/>
  <c r="K469" i="16"/>
  <c r="J469" i="16"/>
  <c r="I469" i="16"/>
  <c r="H469" i="16"/>
  <c r="G469" i="16"/>
  <c r="F469" i="16"/>
  <c r="E469" i="16"/>
  <c r="D469" i="16"/>
  <c r="C469" i="16"/>
  <c r="B469" i="16"/>
  <c r="O468" i="16"/>
  <c r="N468" i="16"/>
  <c r="M468" i="16"/>
  <c r="L468" i="16"/>
  <c r="K468" i="16"/>
  <c r="J468" i="16"/>
  <c r="I468" i="16"/>
  <c r="H468" i="16"/>
  <c r="G468" i="16"/>
  <c r="F468" i="16"/>
  <c r="E468" i="16"/>
  <c r="D468" i="16"/>
  <c r="C468" i="16"/>
  <c r="B468" i="16"/>
  <c r="O467" i="16"/>
  <c r="N467" i="16"/>
  <c r="M467" i="16"/>
  <c r="L467" i="16"/>
  <c r="K467" i="16"/>
  <c r="J467" i="16"/>
  <c r="I467" i="16"/>
  <c r="H467" i="16"/>
  <c r="G467" i="16"/>
  <c r="F467" i="16"/>
  <c r="E467" i="16"/>
  <c r="D467" i="16"/>
  <c r="C467" i="16"/>
  <c r="B467" i="16"/>
  <c r="O466" i="16"/>
  <c r="N466" i="16"/>
  <c r="M466" i="16"/>
  <c r="L466" i="16"/>
  <c r="K466" i="16"/>
  <c r="J466" i="16"/>
  <c r="I466" i="16"/>
  <c r="H466" i="16"/>
  <c r="G466" i="16"/>
  <c r="F466" i="16"/>
  <c r="E466" i="16"/>
  <c r="D466" i="16"/>
  <c r="C466" i="16"/>
  <c r="B466" i="16"/>
  <c r="O465" i="16"/>
  <c r="N465" i="16"/>
  <c r="M465" i="16"/>
  <c r="L465" i="16"/>
  <c r="K465" i="16"/>
  <c r="J465" i="16"/>
  <c r="I465" i="16"/>
  <c r="H465" i="16"/>
  <c r="G465" i="16"/>
  <c r="F465" i="16"/>
  <c r="E465" i="16"/>
  <c r="D465" i="16"/>
  <c r="C465" i="16"/>
  <c r="B465" i="16"/>
  <c r="O464" i="16"/>
  <c r="N464" i="16"/>
  <c r="M464" i="16"/>
  <c r="L464" i="16"/>
  <c r="K464" i="16"/>
  <c r="J464" i="16"/>
  <c r="I464" i="16"/>
  <c r="H464" i="16"/>
  <c r="G464" i="16"/>
  <c r="F464" i="16"/>
  <c r="E464" i="16"/>
  <c r="D464" i="16"/>
  <c r="C464" i="16"/>
  <c r="B464" i="16"/>
  <c r="O463" i="16"/>
  <c r="N463" i="16"/>
  <c r="M463" i="16"/>
  <c r="L463" i="16"/>
  <c r="K463" i="16"/>
  <c r="J463" i="16"/>
  <c r="I463" i="16"/>
  <c r="H463" i="16"/>
  <c r="G463" i="16"/>
  <c r="F463" i="16"/>
  <c r="E463" i="16"/>
  <c r="D463" i="16"/>
  <c r="C463" i="16"/>
  <c r="B463" i="16"/>
  <c r="O462" i="16"/>
  <c r="N462" i="16"/>
  <c r="M462" i="16"/>
  <c r="L462" i="16"/>
  <c r="K462" i="16"/>
  <c r="J462" i="16"/>
  <c r="I462" i="16"/>
  <c r="H462" i="16"/>
  <c r="G462" i="16"/>
  <c r="F462" i="16"/>
  <c r="E462" i="16"/>
  <c r="D462" i="16"/>
  <c r="C462" i="16"/>
  <c r="B462" i="16"/>
  <c r="O461" i="16"/>
  <c r="N461" i="16"/>
  <c r="M461" i="16"/>
  <c r="L461" i="16"/>
  <c r="K461" i="16"/>
  <c r="J461" i="16"/>
  <c r="I461" i="16"/>
  <c r="H461" i="16"/>
  <c r="G461" i="16"/>
  <c r="F461" i="16"/>
  <c r="E461" i="16"/>
  <c r="D461" i="16"/>
  <c r="C461" i="16"/>
  <c r="B461" i="16"/>
  <c r="O460" i="16"/>
  <c r="N460" i="16"/>
  <c r="M460" i="16"/>
  <c r="L460" i="16"/>
  <c r="K460" i="16"/>
  <c r="J460" i="16"/>
  <c r="I460" i="16"/>
  <c r="H460" i="16"/>
  <c r="G460" i="16"/>
  <c r="F460" i="16"/>
  <c r="E460" i="16"/>
  <c r="D460" i="16"/>
  <c r="C460" i="16"/>
  <c r="B460" i="16"/>
  <c r="O459" i="16"/>
  <c r="N459" i="16"/>
  <c r="M459" i="16"/>
  <c r="L459" i="16"/>
  <c r="K459" i="16"/>
  <c r="J459" i="16"/>
  <c r="I459" i="16"/>
  <c r="H459" i="16"/>
  <c r="G459" i="16"/>
  <c r="F459" i="16"/>
  <c r="E459" i="16"/>
  <c r="D459" i="16"/>
  <c r="C459" i="16"/>
  <c r="B459" i="16"/>
  <c r="O458" i="16"/>
  <c r="N458" i="16"/>
  <c r="M458" i="16"/>
  <c r="L458" i="16"/>
  <c r="K458" i="16"/>
  <c r="J458" i="16"/>
  <c r="I458" i="16"/>
  <c r="H458" i="16"/>
  <c r="G458" i="16"/>
  <c r="F458" i="16"/>
  <c r="E458" i="16"/>
  <c r="D458" i="16"/>
  <c r="C458" i="16"/>
  <c r="B458" i="16"/>
  <c r="O457" i="16"/>
  <c r="N457" i="16"/>
  <c r="M457" i="16"/>
  <c r="L457" i="16"/>
  <c r="K457" i="16"/>
  <c r="J457" i="16"/>
  <c r="I457" i="16"/>
  <c r="H457" i="16"/>
  <c r="G457" i="16"/>
  <c r="F457" i="16"/>
  <c r="E457" i="16"/>
  <c r="D457" i="16"/>
  <c r="C457" i="16"/>
  <c r="B457" i="16"/>
  <c r="O456" i="16"/>
  <c r="N456" i="16"/>
  <c r="M456" i="16"/>
  <c r="L456" i="16"/>
  <c r="K456" i="16"/>
  <c r="J456" i="16"/>
  <c r="I456" i="16"/>
  <c r="H456" i="16"/>
  <c r="G456" i="16"/>
  <c r="F456" i="16"/>
  <c r="E456" i="16"/>
  <c r="D456" i="16"/>
  <c r="C456" i="16"/>
  <c r="B456" i="16"/>
  <c r="O455" i="16"/>
  <c r="N455" i="16"/>
  <c r="M455" i="16"/>
  <c r="L455" i="16"/>
  <c r="K455" i="16"/>
  <c r="J455" i="16"/>
  <c r="I455" i="16"/>
  <c r="H455" i="16"/>
  <c r="G455" i="16"/>
  <c r="F455" i="16"/>
  <c r="E455" i="16"/>
  <c r="D455" i="16"/>
  <c r="C455" i="16"/>
  <c r="B455" i="16"/>
  <c r="O454" i="16"/>
  <c r="N454" i="16"/>
  <c r="M454" i="16"/>
  <c r="L454" i="16"/>
  <c r="K454" i="16"/>
  <c r="J454" i="16"/>
  <c r="I454" i="16"/>
  <c r="H454" i="16"/>
  <c r="G454" i="16"/>
  <c r="F454" i="16"/>
  <c r="E454" i="16"/>
  <c r="D454" i="16"/>
  <c r="C454" i="16"/>
  <c r="B454" i="16"/>
  <c r="O453" i="16"/>
  <c r="N453" i="16"/>
  <c r="M453" i="16"/>
  <c r="L453" i="16"/>
  <c r="K453" i="16"/>
  <c r="J453" i="16"/>
  <c r="I453" i="16"/>
  <c r="H453" i="16"/>
  <c r="G453" i="16"/>
  <c r="F453" i="16"/>
  <c r="E453" i="16"/>
  <c r="D453" i="16"/>
  <c r="C453" i="16"/>
  <c r="B453" i="16"/>
  <c r="O452" i="16"/>
  <c r="N452" i="16"/>
  <c r="M452" i="16"/>
  <c r="L452" i="16"/>
  <c r="K452" i="16"/>
  <c r="J452" i="16"/>
  <c r="I452" i="16"/>
  <c r="H452" i="16"/>
  <c r="G452" i="16"/>
  <c r="F452" i="16"/>
  <c r="E452" i="16"/>
  <c r="D452" i="16"/>
  <c r="C452" i="16"/>
  <c r="B452" i="16"/>
  <c r="O451" i="16"/>
  <c r="N451" i="16"/>
  <c r="M451" i="16"/>
  <c r="L451" i="16"/>
  <c r="K451" i="16"/>
  <c r="J451" i="16"/>
  <c r="I451" i="16"/>
  <c r="H451" i="16"/>
  <c r="G451" i="16"/>
  <c r="F451" i="16"/>
  <c r="E451" i="16"/>
  <c r="D451" i="16"/>
  <c r="C451" i="16"/>
  <c r="B451" i="16"/>
  <c r="O450" i="16"/>
  <c r="N450" i="16"/>
  <c r="M450" i="16"/>
  <c r="L450" i="16"/>
  <c r="K450" i="16"/>
  <c r="J450" i="16"/>
  <c r="I450" i="16"/>
  <c r="H450" i="16"/>
  <c r="G450" i="16"/>
  <c r="F450" i="16"/>
  <c r="E450" i="16"/>
  <c r="D450" i="16"/>
  <c r="C450" i="16"/>
  <c r="B450" i="16"/>
  <c r="O449" i="16"/>
  <c r="N449" i="16"/>
  <c r="M449" i="16"/>
  <c r="L449" i="16"/>
  <c r="K449" i="16"/>
  <c r="J449" i="16"/>
  <c r="I449" i="16"/>
  <c r="H449" i="16"/>
  <c r="G449" i="16"/>
  <c r="F449" i="16"/>
  <c r="E449" i="16"/>
  <c r="D449" i="16"/>
  <c r="C449" i="16"/>
  <c r="B449" i="16"/>
  <c r="O448" i="16"/>
  <c r="N448" i="16"/>
  <c r="M448" i="16"/>
  <c r="L448" i="16"/>
  <c r="K448" i="16"/>
  <c r="J448" i="16"/>
  <c r="I448" i="16"/>
  <c r="H448" i="16"/>
  <c r="G448" i="16"/>
  <c r="F448" i="16"/>
  <c r="E448" i="16"/>
  <c r="D448" i="16"/>
  <c r="C448" i="16"/>
  <c r="B448" i="16"/>
  <c r="O445" i="16"/>
  <c r="I445" i="16"/>
  <c r="B445" i="16"/>
  <c r="I444" i="16"/>
  <c r="B444" i="16"/>
  <c r="O439" i="16"/>
  <c r="N439" i="16"/>
  <c r="M439" i="16"/>
  <c r="L439" i="16"/>
  <c r="K439" i="16"/>
  <c r="J439" i="16"/>
  <c r="I439" i="16"/>
  <c r="H439" i="16"/>
  <c r="P439" i="16" s="1"/>
  <c r="G439" i="16"/>
  <c r="F439" i="16"/>
  <c r="E439" i="16"/>
  <c r="D439" i="16"/>
  <c r="C439" i="16"/>
  <c r="B439" i="16"/>
  <c r="O437" i="16"/>
  <c r="N437" i="16"/>
  <c r="M437" i="16"/>
  <c r="L437" i="16"/>
  <c r="K437" i="16"/>
  <c r="J437" i="16"/>
  <c r="I437" i="16"/>
  <c r="H437" i="16"/>
  <c r="P437" i="16" s="1"/>
  <c r="G437" i="16"/>
  <c r="F437" i="16"/>
  <c r="E437" i="16"/>
  <c r="D437" i="16"/>
  <c r="C437" i="16"/>
  <c r="B437" i="16"/>
  <c r="O436" i="16"/>
  <c r="N436" i="16"/>
  <c r="M436" i="16"/>
  <c r="L436" i="16"/>
  <c r="K436" i="16"/>
  <c r="J436" i="16"/>
  <c r="I436" i="16"/>
  <c r="H436" i="16"/>
  <c r="P436" i="16" s="1"/>
  <c r="G436" i="16"/>
  <c r="F436" i="16"/>
  <c r="E436" i="16"/>
  <c r="D436" i="16"/>
  <c r="C436" i="16"/>
  <c r="B436" i="16"/>
  <c r="O435" i="16"/>
  <c r="N435" i="16"/>
  <c r="M435" i="16"/>
  <c r="L435" i="16"/>
  <c r="K435" i="16"/>
  <c r="J435" i="16"/>
  <c r="I435" i="16"/>
  <c r="H435" i="16"/>
  <c r="P435" i="16" s="1"/>
  <c r="G435" i="16"/>
  <c r="F435" i="16"/>
  <c r="E435" i="16"/>
  <c r="D435" i="16"/>
  <c r="C435" i="16"/>
  <c r="B435" i="16"/>
  <c r="O434" i="16"/>
  <c r="N434" i="16"/>
  <c r="M434" i="16"/>
  <c r="L434" i="16"/>
  <c r="K434" i="16"/>
  <c r="J434" i="16"/>
  <c r="I434" i="16"/>
  <c r="H434" i="16"/>
  <c r="P434" i="16" s="1"/>
  <c r="G434" i="16"/>
  <c r="F434" i="16"/>
  <c r="E434" i="16"/>
  <c r="D434" i="16"/>
  <c r="C434" i="16"/>
  <c r="B434" i="16"/>
  <c r="O433" i="16"/>
  <c r="N433" i="16"/>
  <c r="M433" i="16"/>
  <c r="L433" i="16"/>
  <c r="K433" i="16"/>
  <c r="J433" i="16"/>
  <c r="I433" i="16"/>
  <c r="H433" i="16"/>
  <c r="P433" i="16" s="1"/>
  <c r="G433" i="16"/>
  <c r="F433" i="16"/>
  <c r="E433" i="16"/>
  <c r="D433" i="16"/>
  <c r="C433" i="16"/>
  <c r="B433" i="16"/>
  <c r="O432" i="16"/>
  <c r="N432" i="16"/>
  <c r="M432" i="16"/>
  <c r="L432" i="16"/>
  <c r="K432" i="16"/>
  <c r="J432" i="16"/>
  <c r="I432" i="16"/>
  <c r="H432" i="16"/>
  <c r="P432" i="16" s="1"/>
  <c r="G432" i="16"/>
  <c r="F432" i="16"/>
  <c r="E432" i="16"/>
  <c r="D432" i="16"/>
  <c r="C432" i="16"/>
  <c r="B432" i="16"/>
  <c r="O431" i="16"/>
  <c r="N431" i="16"/>
  <c r="M431" i="16"/>
  <c r="L431" i="16"/>
  <c r="K431" i="16"/>
  <c r="J431" i="16"/>
  <c r="I431" i="16"/>
  <c r="H431" i="16"/>
  <c r="P431" i="16" s="1"/>
  <c r="G431" i="16"/>
  <c r="F431" i="16"/>
  <c r="E431" i="16"/>
  <c r="D431" i="16"/>
  <c r="C431" i="16"/>
  <c r="B431" i="16"/>
  <c r="O430" i="16"/>
  <c r="N430" i="16"/>
  <c r="M430" i="16"/>
  <c r="L430" i="16"/>
  <c r="K430" i="16"/>
  <c r="J430" i="16"/>
  <c r="I430" i="16"/>
  <c r="H430" i="16"/>
  <c r="P430" i="16" s="1"/>
  <c r="G430" i="16"/>
  <c r="F430" i="16"/>
  <c r="E430" i="16"/>
  <c r="D430" i="16"/>
  <c r="C430" i="16"/>
  <c r="B430" i="16"/>
  <c r="O429" i="16"/>
  <c r="N429" i="16"/>
  <c r="M429" i="16"/>
  <c r="L429" i="16"/>
  <c r="K429" i="16"/>
  <c r="J429" i="16"/>
  <c r="I429" i="16"/>
  <c r="H429" i="16"/>
  <c r="P429" i="16" s="1"/>
  <c r="G429" i="16"/>
  <c r="F429" i="16"/>
  <c r="E429" i="16"/>
  <c r="D429" i="16"/>
  <c r="C429" i="16"/>
  <c r="B429" i="16"/>
  <c r="O428" i="16"/>
  <c r="N428" i="16"/>
  <c r="M428" i="16"/>
  <c r="L428" i="16"/>
  <c r="K428" i="16"/>
  <c r="J428" i="16"/>
  <c r="I428" i="16"/>
  <c r="H428" i="16"/>
  <c r="P428" i="16" s="1"/>
  <c r="G428" i="16"/>
  <c r="F428" i="16"/>
  <c r="E428" i="16"/>
  <c r="D428" i="16"/>
  <c r="C428" i="16"/>
  <c r="B428" i="16"/>
  <c r="O427" i="16"/>
  <c r="N427" i="16"/>
  <c r="M427" i="16"/>
  <c r="L427" i="16"/>
  <c r="K427" i="16"/>
  <c r="J427" i="16"/>
  <c r="I427" i="16"/>
  <c r="H427" i="16"/>
  <c r="P427" i="16" s="1"/>
  <c r="G427" i="16"/>
  <c r="F427" i="16"/>
  <c r="E427" i="16"/>
  <c r="D427" i="16"/>
  <c r="C427" i="16"/>
  <c r="B427" i="16"/>
  <c r="O426" i="16"/>
  <c r="N426" i="16"/>
  <c r="M426" i="16"/>
  <c r="L426" i="16"/>
  <c r="K426" i="16"/>
  <c r="J426" i="16"/>
  <c r="I426" i="16"/>
  <c r="H426" i="16"/>
  <c r="P426" i="16" s="1"/>
  <c r="G426" i="16"/>
  <c r="F426" i="16"/>
  <c r="E426" i="16"/>
  <c r="D426" i="16"/>
  <c r="C426" i="16"/>
  <c r="B426" i="16"/>
  <c r="O425" i="16"/>
  <c r="N425" i="16"/>
  <c r="M425" i="16"/>
  <c r="L425" i="16"/>
  <c r="K425" i="16"/>
  <c r="J425" i="16"/>
  <c r="I425" i="16"/>
  <c r="H425" i="16"/>
  <c r="P425" i="16" s="1"/>
  <c r="G425" i="16"/>
  <c r="F425" i="16"/>
  <c r="E425" i="16"/>
  <c r="D425" i="16"/>
  <c r="C425" i="16"/>
  <c r="B425" i="16"/>
  <c r="O424" i="16"/>
  <c r="N424" i="16"/>
  <c r="M424" i="16"/>
  <c r="L424" i="16"/>
  <c r="K424" i="16"/>
  <c r="J424" i="16"/>
  <c r="I424" i="16"/>
  <c r="H424" i="16"/>
  <c r="P424" i="16" s="1"/>
  <c r="G424" i="16"/>
  <c r="F424" i="16"/>
  <c r="E424" i="16"/>
  <c r="D424" i="16"/>
  <c r="C424" i="16"/>
  <c r="B424" i="16"/>
  <c r="O423" i="16"/>
  <c r="N423" i="16"/>
  <c r="M423" i="16"/>
  <c r="L423" i="16"/>
  <c r="K423" i="16"/>
  <c r="J423" i="16"/>
  <c r="I423" i="16"/>
  <c r="H423" i="16"/>
  <c r="P423" i="16" s="1"/>
  <c r="G423" i="16"/>
  <c r="F423" i="16"/>
  <c r="E423" i="16"/>
  <c r="D423" i="16"/>
  <c r="C423" i="16"/>
  <c r="B423" i="16"/>
  <c r="O422" i="16"/>
  <c r="N422" i="16"/>
  <c r="M422" i="16"/>
  <c r="L422" i="16"/>
  <c r="K422" i="16"/>
  <c r="J422" i="16"/>
  <c r="I422" i="16"/>
  <c r="H422" i="16"/>
  <c r="P422" i="16" s="1"/>
  <c r="G422" i="16"/>
  <c r="F422" i="16"/>
  <c r="E422" i="16"/>
  <c r="D422" i="16"/>
  <c r="C422" i="16"/>
  <c r="B422" i="16"/>
  <c r="O421" i="16"/>
  <c r="N421" i="16"/>
  <c r="M421" i="16"/>
  <c r="L421" i="16"/>
  <c r="K421" i="16"/>
  <c r="J421" i="16"/>
  <c r="I421" i="16"/>
  <c r="H421" i="16"/>
  <c r="P421" i="16" s="1"/>
  <c r="G421" i="16"/>
  <c r="F421" i="16"/>
  <c r="E421" i="16"/>
  <c r="D421" i="16"/>
  <c r="C421" i="16"/>
  <c r="B421" i="16"/>
  <c r="O420" i="16"/>
  <c r="N420" i="16"/>
  <c r="M420" i="16"/>
  <c r="L420" i="16"/>
  <c r="K420" i="16"/>
  <c r="J420" i="16"/>
  <c r="I420" i="16"/>
  <c r="H420" i="16"/>
  <c r="P420" i="16" s="1"/>
  <c r="G420" i="16"/>
  <c r="F420" i="16"/>
  <c r="E420" i="16"/>
  <c r="D420" i="16"/>
  <c r="C420" i="16"/>
  <c r="B420" i="16"/>
  <c r="O419" i="16"/>
  <c r="N419" i="16"/>
  <c r="M419" i="16"/>
  <c r="L419" i="16"/>
  <c r="K419" i="16"/>
  <c r="J419" i="16"/>
  <c r="I419" i="16"/>
  <c r="H419" i="16"/>
  <c r="P419" i="16" s="1"/>
  <c r="G419" i="16"/>
  <c r="F419" i="16"/>
  <c r="E419" i="16"/>
  <c r="D419" i="16"/>
  <c r="C419" i="16"/>
  <c r="B419" i="16"/>
  <c r="O418" i="16"/>
  <c r="N418" i="16"/>
  <c r="M418" i="16"/>
  <c r="L418" i="16"/>
  <c r="K418" i="16"/>
  <c r="J418" i="16"/>
  <c r="I418" i="16"/>
  <c r="H418" i="16"/>
  <c r="P418" i="16" s="1"/>
  <c r="G418" i="16"/>
  <c r="F418" i="16"/>
  <c r="E418" i="16"/>
  <c r="D418" i="16"/>
  <c r="C418" i="16"/>
  <c r="B418" i="16"/>
  <c r="O417" i="16"/>
  <c r="N417" i="16"/>
  <c r="M417" i="16"/>
  <c r="L417" i="16"/>
  <c r="K417" i="16"/>
  <c r="J417" i="16"/>
  <c r="I417" i="16"/>
  <c r="H417" i="16"/>
  <c r="P417" i="16" s="1"/>
  <c r="G417" i="16"/>
  <c r="F417" i="16"/>
  <c r="E417" i="16"/>
  <c r="D417" i="16"/>
  <c r="C417" i="16"/>
  <c r="B417" i="16"/>
  <c r="O416" i="16"/>
  <c r="N416" i="16"/>
  <c r="M416" i="16"/>
  <c r="L416" i="16"/>
  <c r="K416" i="16"/>
  <c r="J416" i="16"/>
  <c r="I416" i="16"/>
  <c r="H416" i="16"/>
  <c r="P416" i="16" s="1"/>
  <c r="G416" i="16"/>
  <c r="F416" i="16"/>
  <c r="E416" i="16"/>
  <c r="D416" i="16"/>
  <c r="C416" i="16"/>
  <c r="B416" i="16"/>
  <c r="O415" i="16"/>
  <c r="N415" i="16"/>
  <c r="M415" i="16"/>
  <c r="L415" i="16"/>
  <c r="K415" i="16"/>
  <c r="J415" i="16"/>
  <c r="I415" i="16"/>
  <c r="H415" i="16"/>
  <c r="P415" i="16" s="1"/>
  <c r="G415" i="16"/>
  <c r="F415" i="16"/>
  <c r="E415" i="16"/>
  <c r="D415" i="16"/>
  <c r="C415" i="16"/>
  <c r="B415" i="16"/>
  <c r="O414" i="16"/>
  <c r="N414" i="16"/>
  <c r="M414" i="16"/>
  <c r="L414" i="16"/>
  <c r="K414" i="16"/>
  <c r="J414" i="16"/>
  <c r="I414" i="16"/>
  <c r="H414" i="16"/>
  <c r="P414" i="16" s="1"/>
  <c r="G414" i="16"/>
  <c r="F414" i="16"/>
  <c r="E414" i="16"/>
  <c r="D414" i="16"/>
  <c r="C414" i="16"/>
  <c r="B414" i="16"/>
  <c r="O413" i="16"/>
  <c r="N413" i="16"/>
  <c r="M413" i="16"/>
  <c r="L413" i="16"/>
  <c r="K413" i="16"/>
  <c r="J413" i="16"/>
  <c r="I413" i="16"/>
  <c r="H413" i="16"/>
  <c r="P413" i="16" s="1"/>
  <c r="G413" i="16"/>
  <c r="F413" i="16"/>
  <c r="E413" i="16"/>
  <c r="D413" i="16"/>
  <c r="C413" i="16"/>
  <c r="B413" i="16"/>
  <c r="O412" i="16"/>
  <c r="N412" i="16"/>
  <c r="M412" i="16"/>
  <c r="L412" i="16"/>
  <c r="K412" i="16"/>
  <c r="J412" i="16"/>
  <c r="I412" i="16"/>
  <c r="H412" i="16"/>
  <c r="P412" i="16" s="1"/>
  <c r="G412" i="16"/>
  <c r="F412" i="16"/>
  <c r="E412" i="16"/>
  <c r="D412" i="16"/>
  <c r="C412" i="16"/>
  <c r="B412" i="16"/>
  <c r="O411" i="16"/>
  <c r="N411" i="16"/>
  <c r="M411" i="16"/>
  <c r="L411" i="16"/>
  <c r="K411" i="16"/>
  <c r="J411" i="16"/>
  <c r="I411" i="16"/>
  <c r="H411" i="16"/>
  <c r="P411" i="16" s="1"/>
  <c r="G411" i="16"/>
  <c r="F411" i="16"/>
  <c r="E411" i="16"/>
  <c r="D411" i="16"/>
  <c r="C411" i="16"/>
  <c r="B411" i="16"/>
  <c r="O410" i="16"/>
  <c r="N410" i="16"/>
  <c r="M410" i="16"/>
  <c r="L410" i="16"/>
  <c r="K410" i="16"/>
  <c r="J410" i="16"/>
  <c r="I410" i="16"/>
  <c r="H410" i="16"/>
  <c r="P410" i="16" s="1"/>
  <c r="G410" i="16"/>
  <c r="F410" i="16"/>
  <c r="E410" i="16"/>
  <c r="D410" i="16"/>
  <c r="C410" i="16"/>
  <c r="B410" i="16"/>
  <c r="O409" i="16"/>
  <c r="N409" i="16"/>
  <c r="M409" i="16"/>
  <c r="L409" i="16"/>
  <c r="K409" i="16"/>
  <c r="J409" i="16"/>
  <c r="I409" i="16"/>
  <c r="H409" i="16"/>
  <c r="P409" i="16" s="1"/>
  <c r="G409" i="16"/>
  <c r="F409" i="16"/>
  <c r="E409" i="16"/>
  <c r="D409" i="16"/>
  <c r="C409" i="16"/>
  <c r="B409" i="16"/>
  <c r="O408" i="16"/>
  <c r="N408" i="16"/>
  <c r="M408" i="16"/>
  <c r="L408" i="16"/>
  <c r="K408" i="16"/>
  <c r="J408" i="16"/>
  <c r="I408" i="16"/>
  <c r="H408" i="16"/>
  <c r="P408" i="16" s="1"/>
  <c r="G408" i="16"/>
  <c r="F408" i="16"/>
  <c r="E408" i="16"/>
  <c r="D408" i="16"/>
  <c r="C408" i="16"/>
  <c r="B408" i="16"/>
  <c r="I405" i="16"/>
  <c r="B405" i="16"/>
  <c r="O405" i="16" s="1"/>
  <c r="I404" i="16"/>
  <c r="B404" i="16"/>
  <c r="O399" i="16"/>
  <c r="N399" i="16"/>
  <c r="M399" i="16"/>
  <c r="L399" i="16"/>
  <c r="K399" i="16"/>
  <c r="J399" i="16"/>
  <c r="I399" i="16"/>
  <c r="H399" i="16"/>
  <c r="P399" i="16" s="1"/>
  <c r="G399" i="16"/>
  <c r="F399" i="16"/>
  <c r="E399" i="16"/>
  <c r="D399" i="16"/>
  <c r="C399" i="16"/>
  <c r="B399" i="16"/>
  <c r="O398" i="16"/>
  <c r="N398" i="16"/>
  <c r="M398" i="16"/>
  <c r="L398" i="16"/>
  <c r="K398" i="16"/>
  <c r="J398" i="16"/>
  <c r="I398" i="16"/>
  <c r="H398" i="16"/>
  <c r="P398" i="16" s="1"/>
  <c r="G398" i="16"/>
  <c r="F398" i="16"/>
  <c r="E398" i="16"/>
  <c r="D398" i="16"/>
  <c r="C398" i="16"/>
  <c r="B398" i="16"/>
  <c r="O397" i="16"/>
  <c r="N397" i="16"/>
  <c r="M397" i="16"/>
  <c r="L397" i="16"/>
  <c r="K397" i="16"/>
  <c r="J397" i="16"/>
  <c r="I397" i="16"/>
  <c r="H397" i="16"/>
  <c r="P397" i="16" s="1"/>
  <c r="G397" i="16"/>
  <c r="F397" i="16"/>
  <c r="E397" i="16"/>
  <c r="D397" i="16"/>
  <c r="C397" i="16"/>
  <c r="B397" i="16"/>
  <c r="O396" i="16"/>
  <c r="N396" i="16"/>
  <c r="M396" i="16"/>
  <c r="L396" i="16"/>
  <c r="K396" i="16"/>
  <c r="J396" i="16"/>
  <c r="I396" i="16"/>
  <c r="H396" i="16"/>
  <c r="P396" i="16" s="1"/>
  <c r="G396" i="16"/>
  <c r="F396" i="16"/>
  <c r="E396" i="16"/>
  <c r="D396" i="16"/>
  <c r="C396" i="16"/>
  <c r="B396" i="16"/>
  <c r="O395" i="16"/>
  <c r="N395" i="16"/>
  <c r="M395" i="16"/>
  <c r="L395" i="16"/>
  <c r="K395" i="16"/>
  <c r="J395" i="16"/>
  <c r="I395" i="16"/>
  <c r="H395" i="16"/>
  <c r="P395" i="16" s="1"/>
  <c r="G395" i="16"/>
  <c r="F395" i="16"/>
  <c r="E395" i="16"/>
  <c r="D395" i="16"/>
  <c r="C395" i="16"/>
  <c r="B395" i="16"/>
  <c r="O394" i="16"/>
  <c r="N394" i="16"/>
  <c r="M394" i="16"/>
  <c r="L394" i="16"/>
  <c r="K394" i="16"/>
  <c r="J394" i="16"/>
  <c r="I394" i="16"/>
  <c r="H394" i="16"/>
  <c r="P394" i="16" s="1"/>
  <c r="G394" i="16"/>
  <c r="F394" i="16"/>
  <c r="E394" i="16"/>
  <c r="D394" i="16"/>
  <c r="C394" i="16"/>
  <c r="B394" i="16"/>
  <c r="O393" i="16"/>
  <c r="N393" i="16"/>
  <c r="M393" i="16"/>
  <c r="L393" i="16"/>
  <c r="K393" i="16"/>
  <c r="J393" i="16"/>
  <c r="I393" i="16"/>
  <c r="H393" i="16"/>
  <c r="P393" i="16" s="1"/>
  <c r="G393" i="16"/>
  <c r="F393" i="16"/>
  <c r="E393" i="16"/>
  <c r="D393" i="16"/>
  <c r="C393" i="16"/>
  <c r="B393" i="16"/>
  <c r="O392" i="16"/>
  <c r="N392" i="16"/>
  <c r="M392" i="16"/>
  <c r="L392" i="16"/>
  <c r="K392" i="16"/>
  <c r="J392" i="16"/>
  <c r="I392" i="16"/>
  <c r="H392" i="16"/>
  <c r="P392" i="16" s="1"/>
  <c r="G392" i="16"/>
  <c r="F392" i="16"/>
  <c r="E392" i="16"/>
  <c r="D392" i="16"/>
  <c r="C392" i="16"/>
  <c r="B392" i="16"/>
  <c r="O391" i="16"/>
  <c r="N391" i="16"/>
  <c r="M391" i="16"/>
  <c r="L391" i="16"/>
  <c r="K391" i="16"/>
  <c r="J391" i="16"/>
  <c r="I391" i="16"/>
  <c r="H391" i="16"/>
  <c r="P391" i="16" s="1"/>
  <c r="G391" i="16"/>
  <c r="F391" i="16"/>
  <c r="E391" i="16"/>
  <c r="D391" i="16"/>
  <c r="C391" i="16"/>
  <c r="B391" i="16"/>
  <c r="O390" i="16"/>
  <c r="N390" i="16"/>
  <c r="M390" i="16"/>
  <c r="L390" i="16"/>
  <c r="K390" i="16"/>
  <c r="J390" i="16"/>
  <c r="I390" i="16"/>
  <c r="H390" i="16"/>
  <c r="P390" i="16" s="1"/>
  <c r="G390" i="16"/>
  <c r="F390" i="16"/>
  <c r="E390" i="16"/>
  <c r="D390" i="16"/>
  <c r="C390" i="16"/>
  <c r="B390" i="16"/>
  <c r="O389" i="16"/>
  <c r="N389" i="16"/>
  <c r="M389" i="16"/>
  <c r="L389" i="16"/>
  <c r="K389" i="16"/>
  <c r="J389" i="16"/>
  <c r="I389" i="16"/>
  <c r="H389" i="16"/>
  <c r="P389" i="16" s="1"/>
  <c r="G389" i="16"/>
  <c r="F389" i="16"/>
  <c r="E389" i="16"/>
  <c r="D389" i="16"/>
  <c r="C389" i="16"/>
  <c r="B389" i="16"/>
  <c r="O388" i="16"/>
  <c r="N388" i="16"/>
  <c r="M388" i="16"/>
  <c r="L388" i="16"/>
  <c r="K388" i="16"/>
  <c r="J388" i="16"/>
  <c r="I388" i="16"/>
  <c r="H388" i="16"/>
  <c r="P388" i="16" s="1"/>
  <c r="G388" i="16"/>
  <c r="F388" i="16"/>
  <c r="E388" i="16"/>
  <c r="D388" i="16"/>
  <c r="C388" i="16"/>
  <c r="B388" i="16"/>
  <c r="O387" i="16"/>
  <c r="N387" i="16"/>
  <c r="M387" i="16"/>
  <c r="L387" i="16"/>
  <c r="K387" i="16"/>
  <c r="J387" i="16"/>
  <c r="I387" i="16"/>
  <c r="H387" i="16"/>
  <c r="P387" i="16" s="1"/>
  <c r="G387" i="16"/>
  <c r="F387" i="16"/>
  <c r="E387" i="16"/>
  <c r="D387" i="16"/>
  <c r="C387" i="16"/>
  <c r="B387" i="16"/>
  <c r="O386" i="16"/>
  <c r="N386" i="16"/>
  <c r="M386" i="16"/>
  <c r="L386" i="16"/>
  <c r="K386" i="16"/>
  <c r="J386" i="16"/>
  <c r="I386" i="16"/>
  <c r="H386" i="16"/>
  <c r="P386" i="16" s="1"/>
  <c r="G386" i="16"/>
  <c r="F386" i="16"/>
  <c r="E386" i="16"/>
  <c r="D386" i="16"/>
  <c r="C386" i="16"/>
  <c r="B386" i="16"/>
  <c r="O385" i="16"/>
  <c r="N385" i="16"/>
  <c r="M385" i="16"/>
  <c r="L385" i="16"/>
  <c r="K385" i="16"/>
  <c r="J385" i="16"/>
  <c r="I385" i="16"/>
  <c r="H385" i="16"/>
  <c r="P385" i="16" s="1"/>
  <c r="G385" i="16"/>
  <c r="F385" i="16"/>
  <c r="E385" i="16"/>
  <c r="D385" i="16"/>
  <c r="C385" i="16"/>
  <c r="B385" i="16"/>
  <c r="O384" i="16"/>
  <c r="N384" i="16"/>
  <c r="M384" i="16"/>
  <c r="L384" i="16"/>
  <c r="K384" i="16"/>
  <c r="J384" i="16"/>
  <c r="I384" i="16"/>
  <c r="H384" i="16"/>
  <c r="P384" i="16" s="1"/>
  <c r="G384" i="16"/>
  <c r="F384" i="16"/>
  <c r="E384" i="16"/>
  <c r="D384" i="16"/>
  <c r="C384" i="16"/>
  <c r="B384" i="16"/>
  <c r="O383" i="16"/>
  <c r="N383" i="16"/>
  <c r="M383" i="16"/>
  <c r="L383" i="16"/>
  <c r="K383" i="16"/>
  <c r="J383" i="16"/>
  <c r="I383" i="16"/>
  <c r="H383" i="16"/>
  <c r="P383" i="16" s="1"/>
  <c r="G383" i="16"/>
  <c r="F383" i="16"/>
  <c r="E383" i="16"/>
  <c r="D383" i="16"/>
  <c r="C383" i="16"/>
  <c r="B383" i="16"/>
  <c r="O382" i="16"/>
  <c r="N382" i="16"/>
  <c r="M382" i="16"/>
  <c r="L382" i="16"/>
  <c r="K382" i="16"/>
  <c r="J382" i="16"/>
  <c r="I382" i="16"/>
  <c r="H382" i="16"/>
  <c r="P382" i="16" s="1"/>
  <c r="G382" i="16"/>
  <c r="F382" i="16"/>
  <c r="E382" i="16"/>
  <c r="D382" i="16"/>
  <c r="C382" i="16"/>
  <c r="B382" i="16"/>
  <c r="O381" i="16"/>
  <c r="N381" i="16"/>
  <c r="M381" i="16"/>
  <c r="L381" i="16"/>
  <c r="K381" i="16"/>
  <c r="J381" i="16"/>
  <c r="I381" i="16"/>
  <c r="H381" i="16"/>
  <c r="P381" i="16" s="1"/>
  <c r="G381" i="16"/>
  <c r="F381" i="16"/>
  <c r="E381" i="16"/>
  <c r="D381" i="16"/>
  <c r="C381" i="16"/>
  <c r="B381" i="16"/>
  <c r="O380" i="16"/>
  <c r="N380" i="16"/>
  <c r="M380" i="16"/>
  <c r="L380" i="16"/>
  <c r="K380" i="16"/>
  <c r="J380" i="16"/>
  <c r="I380" i="16"/>
  <c r="H380" i="16"/>
  <c r="P380" i="16" s="1"/>
  <c r="G380" i="16"/>
  <c r="F380" i="16"/>
  <c r="E380" i="16"/>
  <c r="D380" i="16"/>
  <c r="C380" i="16"/>
  <c r="B380" i="16"/>
  <c r="O379" i="16"/>
  <c r="N379" i="16"/>
  <c r="M379" i="16"/>
  <c r="L379" i="16"/>
  <c r="K379" i="16"/>
  <c r="J379" i="16"/>
  <c r="I379" i="16"/>
  <c r="H379" i="16"/>
  <c r="P379" i="16" s="1"/>
  <c r="G379" i="16"/>
  <c r="F379" i="16"/>
  <c r="E379" i="16"/>
  <c r="D379" i="16"/>
  <c r="C379" i="16"/>
  <c r="B379" i="16"/>
  <c r="O378" i="16"/>
  <c r="N378" i="16"/>
  <c r="M378" i="16"/>
  <c r="L378" i="16"/>
  <c r="K378" i="16"/>
  <c r="J378" i="16"/>
  <c r="I378" i="16"/>
  <c r="H378" i="16"/>
  <c r="P378" i="16" s="1"/>
  <c r="G378" i="16"/>
  <c r="F378" i="16"/>
  <c r="E378" i="16"/>
  <c r="D378" i="16"/>
  <c r="C378" i="16"/>
  <c r="B378" i="16"/>
  <c r="O377" i="16"/>
  <c r="N377" i="16"/>
  <c r="M377" i="16"/>
  <c r="L377" i="16"/>
  <c r="K377" i="16"/>
  <c r="J377" i="16"/>
  <c r="I377" i="16"/>
  <c r="H377" i="16"/>
  <c r="P377" i="16" s="1"/>
  <c r="G377" i="16"/>
  <c r="F377" i="16"/>
  <c r="E377" i="16"/>
  <c r="D377" i="16"/>
  <c r="C377" i="16"/>
  <c r="B377" i="16"/>
  <c r="O376" i="16"/>
  <c r="N376" i="16"/>
  <c r="M376" i="16"/>
  <c r="L376" i="16"/>
  <c r="K376" i="16"/>
  <c r="J376" i="16"/>
  <c r="I376" i="16"/>
  <c r="H376" i="16"/>
  <c r="P376" i="16" s="1"/>
  <c r="G376" i="16"/>
  <c r="F376" i="16"/>
  <c r="E376" i="16"/>
  <c r="D376" i="16"/>
  <c r="C376" i="16"/>
  <c r="B376" i="16"/>
  <c r="O375" i="16"/>
  <c r="N375" i="16"/>
  <c r="M375" i="16"/>
  <c r="L375" i="16"/>
  <c r="K375" i="16"/>
  <c r="J375" i="16"/>
  <c r="I375" i="16"/>
  <c r="H375" i="16"/>
  <c r="P375" i="16" s="1"/>
  <c r="G375" i="16"/>
  <c r="F375" i="16"/>
  <c r="E375" i="16"/>
  <c r="D375" i="16"/>
  <c r="C375" i="16"/>
  <c r="B375" i="16"/>
  <c r="O374" i="16"/>
  <c r="N374" i="16"/>
  <c r="M374" i="16"/>
  <c r="L374" i="16"/>
  <c r="K374" i="16"/>
  <c r="J374" i="16"/>
  <c r="I374" i="16"/>
  <c r="H374" i="16"/>
  <c r="P374" i="16" s="1"/>
  <c r="G374" i="16"/>
  <c r="F374" i="16"/>
  <c r="E374" i="16"/>
  <c r="D374" i="16"/>
  <c r="C374" i="16"/>
  <c r="B374" i="16"/>
  <c r="O373" i="16"/>
  <c r="N373" i="16"/>
  <c r="M373" i="16"/>
  <c r="L373" i="16"/>
  <c r="K373" i="16"/>
  <c r="J373" i="16"/>
  <c r="I373" i="16"/>
  <c r="H373" i="16"/>
  <c r="P373" i="16" s="1"/>
  <c r="G373" i="16"/>
  <c r="F373" i="16"/>
  <c r="E373" i="16"/>
  <c r="D373" i="16"/>
  <c r="C373" i="16"/>
  <c r="B373" i="16"/>
  <c r="O372" i="16"/>
  <c r="N372" i="16"/>
  <c r="M372" i="16"/>
  <c r="L372" i="16"/>
  <c r="K372" i="16"/>
  <c r="J372" i="16"/>
  <c r="I372" i="16"/>
  <c r="H372" i="16"/>
  <c r="P372" i="16" s="1"/>
  <c r="G372" i="16"/>
  <c r="F372" i="16"/>
  <c r="E372" i="16"/>
  <c r="D372" i="16"/>
  <c r="C372" i="16"/>
  <c r="B372" i="16"/>
  <c r="O371" i="16"/>
  <c r="N371" i="16"/>
  <c r="M371" i="16"/>
  <c r="L371" i="16"/>
  <c r="K371" i="16"/>
  <c r="J371" i="16"/>
  <c r="I371" i="16"/>
  <c r="H371" i="16"/>
  <c r="P371" i="16" s="1"/>
  <c r="G371" i="16"/>
  <c r="F371" i="16"/>
  <c r="E371" i="16"/>
  <c r="D371" i="16"/>
  <c r="C371" i="16"/>
  <c r="B371" i="16"/>
  <c r="O370" i="16"/>
  <c r="N370" i="16"/>
  <c r="M370" i="16"/>
  <c r="L370" i="16"/>
  <c r="K370" i="16"/>
  <c r="J370" i="16"/>
  <c r="I370" i="16"/>
  <c r="H370" i="16"/>
  <c r="P370" i="16" s="1"/>
  <c r="G370" i="16"/>
  <c r="F370" i="16"/>
  <c r="E370" i="16"/>
  <c r="D370" i="16"/>
  <c r="C370" i="16"/>
  <c r="B370" i="16"/>
  <c r="O369" i="16"/>
  <c r="N369" i="16"/>
  <c r="M369" i="16"/>
  <c r="L369" i="16"/>
  <c r="K369" i="16"/>
  <c r="J369" i="16"/>
  <c r="I369" i="16"/>
  <c r="H369" i="16"/>
  <c r="P369" i="16" s="1"/>
  <c r="G369" i="16"/>
  <c r="F369" i="16"/>
  <c r="E369" i="16"/>
  <c r="D369" i="16"/>
  <c r="C369" i="16"/>
  <c r="B369" i="16"/>
  <c r="O368" i="16"/>
  <c r="N368" i="16"/>
  <c r="M368" i="16"/>
  <c r="L368" i="16"/>
  <c r="K368" i="16"/>
  <c r="J368" i="16"/>
  <c r="I368" i="16"/>
  <c r="H368" i="16"/>
  <c r="P368" i="16" s="1"/>
  <c r="G368" i="16"/>
  <c r="F368" i="16"/>
  <c r="E368" i="16"/>
  <c r="D368" i="16"/>
  <c r="C368" i="16"/>
  <c r="B368" i="16"/>
  <c r="I365" i="16"/>
  <c r="O365" i="16" s="1"/>
  <c r="B365" i="16"/>
  <c r="I364" i="16"/>
  <c r="B364" i="16"/>
  <c r="O359" i="16"/>
  <c r="N359" i="16"/>
  <c r="M359" i="16"/>
  <c r="L359" i="16"/>
  <c r="K359" i="16"/>
  <c r="J359" i="16"/>
  <c r="I359" i="16"/>
  <c r="H359" i="16"/>
  <c r="P359" i="16" s="1"/>
  <c r="G359" i="16"/>
  <c r="F359" i="16"/>
  <c r="E359" i="16"/>
  <c r="D359" i="16"/>
  <c r="C359" i="16"/>
  <c r="B359" i="16"/>
  <c r="O357" i="16"/>
  <c r="N357" i="16"/>
  <c r="M357" i="16"/>
  <c r="L357" i="16"/>
  <c r="K357" i="16"/>
  <c r="J357" i="16"/>
  <c r="I357" i="16"/>
  <c r="H357" i="16"/>
  <c r="P357" i="16" s="1"/>
  <c r="G357" i="16"/>
  <c r="F357" i="16"/>
  <c r="E357" i="16"/>
  <c r="D357" i="16"/>
  <c r="C357" i="16"/>
  <c r="B357" i="16"/>
  <c r="O356" i="16"/>
  <c r="N356" i="16"/>
  <c r="M356" i="16"/>
  <c r="L356" i="16"/>
  <c r="K356" i="16"/>
  <c r="J356" i="16"/>
  <c r="I356" i="16"/>
  <c r="H356" i="16"/>
  <c r="P356" i="16" s="1"/>
  <c r="G356" i="16"/>
  <c r="F356" i="16"/>
  <c r="E356" i="16"/>
  <c r="D356" i="16"/>
  <c r="C356" i="16"/>
  <c r="B356" i="16"/>
  <c r="O355" i="16"/>
  <c r="N355" i="16"/>
  <c r="M355" i="16"/>
  <c r="L355" i="16"/>
  <c r="K355" i="16"/>
  <c r="J355" i="16"/>
  <c r="I355" i="16"/>
  <c r="H355" i="16"/>
  <c r="P355" i="16" s="1"/>
  <c r="G355" i="16"/>
  <c r="F355" i="16"/>
  <c r="E355" i="16"/>
  <c r="D355" i="16"/>
  <c r="C355" i="16"/>
  <c r="B355" i="16"/>
  <c r="O354" i="16"/>
  <c r="N354" i="16"/>
  <c r="M354" i="16"/>
  <c r="L354" i="16"/>
  <c r="K354" i="16"/>
  <c r="J354" i="16"/>
  <c r="I354" i="16"/>
  <c r="H354" i="16"/>
  <c r="P354" i="16" s="1"/>
  <c r="G354" i="16"/>
  <c r="F354" i="16"/>
  <c r="E354" i="16"/>
  <c r="D354" i="16"/>
  <c r="C354" i="16"/>
  <c r="B354" i="16"/>
  <c r="O353" i="16"/>
  <c r="N353" i="16"/>
  <c r="M353" i="16"/>
  <c r="L353" i="16"/>
  <c r="K353" i="16"/>
  <c r="J353" i="16"/>
  <c r="I353" i="16"/>
  <c r="H353" i="16"/>
  <c r="P353" i="16" s="1"/>
  <c r="G353" i="16"/>
  <c r="F353" i="16"/>
  <c r="E353" i="16"/>
  <c r="D353" i="16"/>
  <c r="C353" i="16"/>
  <c r="B353" i="16"/>
  <c r="O352" i="16"/>
  <c r="N352" i="16"/>
  <c r="M352" i="16"/>
  <c r="L352" i="16"/>
  <c r="K352" i="16"/>
  <c r="J352" i="16"/>
  <c r="I352" i="16"/>
  <c r="H352" i="16"/>
  <c r="P352" i="16" s="1"/>
  <c r="G352" i="16"/>
  <c r="F352" i="16"/>
  <c r="E352" i="16"/>
  <c r="D352" i="16"/>
  <c r="C352" i="16"/>
  <c r="B352" i="16"/>
  <c r="O351" i="16"/>
  <c r="N351" i="16"/>
  <c r="M351" i="16"/>
  <c r="L351" i="16"/>
  <c r="K351" i="16"/>
  <c r="J351" i="16"/>
  <c r="I351" i="16"/>
  <c r="H351" i="16"/>
  <c r="P351" i="16" s="1"/>
  <c r="G351" i="16"/>
  <c r="F351" i="16"/>
  <c r="E351" i="16"/>
  <c r="D351" i="16"/>
  <c r="C351" i="16"/>
  <c r="B351" i="16"/>
  <c r="O350" i="16"/>
  <c r="N350" i="16"/>
  <c r="M350" i="16"/>
  <c r="L350" i="16"/>
  <c r="K350" i="16"/>
  <c r="J350" i="16"/>
  <c r="I350" i="16"/>
  <c r="H350" i="16"/>
  <c r="P350" i="16" s="1"/>
  <c r="G350" i="16"/>
  <c r="F350" i="16"/>
  <c r="E350" i="16"/>
  <c r="D350" i="16"/>
  <c r="C350" i="16"/>
  <c r="B350" i="16"/>
  <c r="O349" i="16"/>
  <c r="N349" i="16"/>
  <c r="M349" i="16"/>
  <c r="L349" i="16"/>
  <c r="K349" i="16"/>
  <c r="J349" i="16"/>
  <c r="I349" i="16"/>
  <c r="H349" i="16"/>
  <c r="P349" i="16" s="1"/>
  <c r="G349" i="16"/>
  <c r="F349" i="16"/>
  <c r="E349" i="16"/>
  <c r="D349" i="16"/>
  <c r="C349" i="16"/>
  <c r="B349" i="16"/>
  <c r="O348" i="16"/>
  <c r="N348" i="16"/>
  <c r="M348" i="16"/>
  <c r="L348" i="16"/>
  <c r="K348" i="16"/>
  <c r="J348" i="16"/>
  <c r="I348" i="16"/>
  <c r="H348" i="16"/>
  <c r="P348" i="16" s="1"/>
  <c r="G348" i="16"/>
  <c r="F348" i="16"/>
  <c r="E348" i="16"/>
  <c r="D348" i="16"/>
  <c r="C348" i="16"/>
  <c r="B348" i="16"/>
  <c r="O347" i="16"/>
  <c r="N347" i="16"/>
  <c r="M347" i="16"/>
  <c r="L347" i="16"/>
  <c r="K347" i="16"/>
  <c r="J347" i="16"/>
  <c r="I347" i="16"/>
  <c r="H347" i="16"/>
  <c r="P347" i="16" s="1"/>
  <c r="G347" i="16"/>
  <c r="F347" i="16"/>
  <c r="E347" i="16"/>
  <c r="D347" i="16"/>
  <c r="C347" i="16"/>
  <c r="B347" i="16"/>
  <c r="O346" i="16"/>
  <c r="N346" i="16"/>
  <c r="M346" i="16"/>
  <c r="L346" i="16"/>
  <c r="K346" i="16"/>
  <c r="J346" i="16"/>
  <c r="I346" i="16"/>
  <c r="H346" i="16"/>
  <c r="P346" i="16" s="1"/>
  <c r="G346" i="16"/>
  <c r="F346" i="16"/>
  <c r="E346" i="16"/>
  <c r="D346" i="16"/>
  <c r="C346" i="16"/>
  <c r="B346" i="16"/>
  <c r="O345" i="16"/>
  <c r="N345" i="16"/>
  <c r="M345" i="16"/>
  <c r="L345" i="16"/>
  <c r="K345" i="16"/>
  <c r="J345" i="16"/>
  <c r="I345" i="16"/>
  <c r="H345" i="16"/>
  <c r="P345" i="16" s="1"/>
  <c r="G345" i="16"/>
  <c r="F345" i="16"/>
  <c r="E345" i="16"/>
  <c r="D345" i="16"/>
  <c r="C345" i="16"/>
  <c r="B345" i="16"/>
  <c r="O344" i="16"/>
  <c r="N344" i="16"/>
  <c r="M344" i="16"/>
  <c r="L344" i="16"/>
  <c r="K344" i="16"/>
  <c r="J344" i="16"/>
  <c r="I344" i="16"/>
  <c r="H344" i="16"/>
  <c r="P344" i="16" s="1"/>
  <c r="G344" i="16"/>
  <c r="F344" i="16"/>
  <c r="E344" i="16"/>
  <c r="D344" i="16"/>
  <c r="C344" i="16"/>
  <c r="B344" i="16"/>
  <c r="O343" i="16"/>
  <c r="N343" i="16"/>
  <c r="M343" i="16"/>
  <c r="L343" i="16"/>
  <c r="K343" i="16"/>
  <c r="J343" i="16"/>
  <c r="I343" i="16"/>
  <c r="H343" i="16"/>
  <c r="P343" i="16" s="1"/>
  <c r="G343" i="16"/>
  <c r="F343" i="16"/>
  <c r="E343" i="16"/>
  <c r="D343" i="16"/>
  <c r="C343" i="16"/>
  <c r="B343" i="16"/>
  <c r="O342" i="16"/>
  <c r="N342" i="16"/>
  <c r="M342" i="16"/>
  <c r="L342" i="16"/>
  <c r="K342" i="16"/>
  <c r="J342" i="16"/>
  <c r="I342" i="16"/>
  <c r="H342" i="16"/>
  <c r="P342" i="16" s="1"/>
  <c r="G342" i="16"/>
  <c r="F342" i="16"/>
  <c r="E342" i="16"/>
  <c r="D342" i="16"/>
  <c r="C342" i="16"/>
  <c r="B342" i="16"/>
  <c r="O341" i="16"/>
  <c r="N341" i="16"/>
  <c r="M341" i="16"/>
  <c r="L341" i="16"/>
  <c r="K341" i="16"/>
  <c r="J341" i="16"/>
  <c r="I341" i="16"/>
  <c r="H341" i="16"/>
  <c r="P341" i="16" s="1"/>
  <c r="G341" i="16"/>
  <c r="F341" i="16"/>
  <c r="E341" i="16"/>
  <c r="D341" i="16"/>
  <c r="C341" i="16"/>
  <c r="B341" i="16"/>
  <c r="O340" i="16"/>
  <c r="N340" i="16"/>
  <c r="M340" i="16"/>
  <c r="L340" i="16"/>
  <c r="K340" i="16"/>
  <c r="J340" i="16"/>
  <c r="I340" i="16"/>
  <c r="H340" i="16"/>
  <c r="P340" i="16" s="1"/>
  <c r="G340" i="16"/>
  <c r="F340" i="16"/>
  <c r="E340" i="16"/>
  <c r="D340" i="16"/>
  <c r="C340" i="16"/>
  <c r="B340" i="16"/>
  <c r="O339" i="16"/>
  <c r="N339" i="16"/>
  <c r="M339" i="16"/>
  <c r="L339" i="16"/>
  <c r="K339" i="16"/>
  <c r="J339" i="16"/>
  <c r="I339" i="16"/>
  <c r="H339" i="16"/>
  <c r="P339" i="16" s="1"/>
  <c r="G339" i="16"/>
  <c r="F339" i="16"/>
  <c r="E339" i="16"/>
  <c r="D339" i="16"/>
  <c r="C339" i="16"/>
  <c r="B339" i="16"/>
  <c r="O338" i="16"/>
  <c r="N338" i="16"/>
  <c r="M338" i="16"/>
  <c r="L338" i="16"/>
  <c r="K338" i="16"/>
  <c r="J338" i="16"/>
  <c r="I338" i="16"/>
  <c r="H338" i="16"/>
  <c r="P338" i="16" s="1"/>
  <c r="G338" i="16"/>
  <c r="F338" i="16"/>
  <c r="E338" i="16"/>
  <c r="D338" i="16"/>
  <c r="C338" i="16"/>
  <c r="B338" i="16"/>
  <c r="O337" i="16"/>
  <c r="N337" i="16"/>
  <c r="M337" i="16"/>
  <c r="L337" i="16"/>
  <c r="K337" i="16"/>
  <c r="J337" i="16"/>
  <c r="I337" i="16"/>
  <c r="H337" i="16"/>
  <c r="P337" i="16" s="1"/>
  <c r="G337" i="16"/>
  <c r="F337" i="16"/>
  <c r="E337" i="16"/>
  <c r="D337" i="16"/>
  <c r="C337" i="16"/>
  <c r="B337" i="16"/>
  <c r="O336" i="16"/>
  <c r="N336" i="16"/>
  <c r="M336" i="16"/>
  <c r="L336" i="16"/>
  <c r="K336" i="16"/>
  <c r="J336" i="16"/>
  <c r="I336" i="16"/>
  <c r="H336" i="16"/>
  <c r="P336" i="16" s="1"/>
  <c r="G336" i="16"/>
  <c r="F336" i="16"/>
  <c r="E336" i="16"/>
  <c r="D336" i="16"/>
  <c r="C336" i="16"/>
  <c r="B336" i="16"/>
  <c r="O335" i="16"/>
  <c r="N335" i="16"/>
  <c r="M335" i="16"/>
  <c r="L335" i="16"/>
  <c r="K335" i="16"/>
  <c r="J335" i="16"/>
  <c r="I335" i="16"/>
  <c r="H335" i="16"/>
  <c r="P335" i="16" s="1"/>
  <c r="G335" i="16"/>
  <c r="F335" i="16"/>
  <c r="E335" i="16"/>
  <c r="D335" i="16"/>
  <c r="C335" i="16"/>
  <c r="B335" i="16"/>
  <c r="O334" i="16"/>
  <c r="N334" i="16"/>
  <c r="M334" i="16"/>
  <c r="L334" i="16"/>
  <c r="K334" i="16"/>
  <c r="J334" i="16"/>
  <c r="I334" i="16"/>
  <c r="H334" i="16"/>
  <c r="P334" i="16" s="1"/>
  <c r="G334" i="16"/>
  <c r="F334" i="16"/>
  <c r="E334" i="16"/>
  <c r="D334" i="16"/>
  <c r="C334" i="16"/>
  <c r="B334" i="16"/>
  <c r="O333" i="16"/>
  <c r="N333" i="16"/>
  <c r="M333" i="16"/>
  <c r="L333" i="16"/>
  <c r="K333" i="16"/>
  <c r="J333" i="16"/>
  <c r="I333" i="16"/>
  <c r="H333" i="16"/>
  <c r="P333" i="16" s="1"/>
  <c r="G333" i="16"/>
  <c r="F333" i="16"/>
  <c r="E333" i="16"/>
  <c r="D333" i="16"/>
  <c r="C333" i="16"/>
  <c r="B333" i="16"/>
  <c r="O332" i="16"/>
  <c r="N332" i="16"/>
  <c r="M332" i="16"/>
  <c r="L332" i="16"/>
  <c r="K332" i="16"/>
  <c r="J332" i="16"/>
  <c r="I332" i="16"/>
  <c r="H332" i="16"/>
  <c r="P332" i="16" s="1"/>
  <c r="G332" i="16"/>
  <c r="F332" i="16"/>
  <c r="E332" i="16"/>
  <c r="D332" i="16"/>
  <c r="C332" i="16"/>
  <c r="B332" i="16"/>
  <c r="O331" i="16"/>
  <c r="N331" i="16"/>
  <c r="M331" i="16"/>
  <c r="L331" i="16"/>
  <c r="K331" i="16"/>
  <c r="J331" i="16"/>
  <c r="I331" i="16"/>
  <c r="H331" i="16"/>
  <c r="P331" i="16" s="1"/>
  <c r="G331" i="16"/>
  <c r="F331" i="16"/>
  <c r="E331" i="16"/>
  <c r="D331" i="16"/>
  <c r="C331" i="16"/>
  <c r="B331" i="16"/>
  <c r="O330" i="16"/>
  <c r="N330" i="16"/>
  <c r="M330" i="16"/>
  <c r="L330" i="16"/>
  <c r="K330" i="16"/>
  <c r="J330" i="16"/>
  <c r="I330" i="16"/>
  <c r="H330" i="16"/>
  <c r="P330" i="16" s="1"/>
  <c r="G330" i="16"/>
  <c r="F330" i="16"/>
  <c r="E330" i="16"/>
  <c r="D330" i="16"/>
  <c r="C330" i="16"/>
  <c r="B330" i="16"/>
  <c r="O329" i="16"/>
  <c r="N329" i="16"/>
  <c r="M329" i="16"/>
  <c r="L329" i="16"/>
  <c r="K329" i="16"/>
  <c r="J329" i="16"/>
  <c r="I329" i="16"/>
  <c r="H329" i="16"/>
  <c r="P329" i="16" s="1"/>
  <c r="G329" i="16"/>
  <c r="F329" i="16"/>
  <c r="E329" i="16"/>
  <c r="D329" i="16"/>
  <c r="C329" i="16"/>
  <c r="B329" i="16"/>
  <c r="O328" i="16"/>
  <c r="N328" i="16"/>
  <c r="M328" i="16"/>
  <c r="L328" i="16"/>
  <c r="K328" i="16"/>
  <c r="J328" i="16"/>
  <c r="I328" i="16"/>
  <c r="H328" i="16"/>
  <c r="P328" i="16" s="1"/>
  <c r="G328" i="16"/>
  <c r="F328" i="16"/>
  <c r="E328" i="16"/>
  <c r="D328" i="16"/>
  <c r="C328" i="16"/>
  <c r="B328" i="16"/>
  <c r="I325" i="16"/>
  <c r="B325" i="16"/>
  <c r="O325" i="16" s="1"/>
  <c r="I324" i="16"/>
  <c r="B324" i="16"/>
  <c r="O319" i="16"/>
  <c r="N319" i="16"/>
  <c r="M319" i="16"/>
  <c r="L319" i="16"/>
  <c r="K319" i="16"/>
  <c r="J319" i="16"/>
  <c r="I319" i="16"/>
  <c r="H319" i="16"/>
  <c r="P319" i="16" s="1"/>
  <c r="G319" i="16"/>
  <c r="F319" i="16"/>
  <c r="E319" i="16"/>
  <c r="D319" i="16"/>
  <c r="C319" i="16"/>
  <c r="B319" i="16"/>
  <c r="O318" i="16"/>
  <c r="N318" i="16"/>
  <c r="M318" i="16"/>
  <c r="L318" i="16"/>
  <c r="K318" i="16"/>
  <c r="J318" i="16"/>
  <c r="I318" i="16"/>
  <c r="H318" i="16"/>
  <c r="P318" i="16" s="1"/>
  <c r="G318" i="16"/>
  <c r="F318" i="16"/>
  <c r="E318" i="16"/>
  <c r="D318" i="16"/>
  <c r="C318" i="16"/>
  <c r="B318" i="16"/>
  <c r="O317" i="16"/>
  <c r="N317" i="16"/>
  <c r="M317" i="16"/>
  <c r="L317" i="16"/>
  <c r="K317" i="16"/>
  <c r="J317" i="16"/>
  <c r="I317" i="16"/>
  <c r="H317" i="16"/>
  <c r="P317" i="16" s="1"/>
  <c r="G317" i="16"/>
  <c r="F317" i="16"/>
  <c r="E317" i="16"/>
  <c r="D317" i="16"/>
  <c r="C317" i="16"/>
  <c r="B317" i="16"/>
  <c r="O316" i="16"/>
  <c r="N316" i="16"/>
  <c r="M316" i="16"/>
  <c r="L316" i="16"/>
  <c r="K316" i="16"/>
  <c r="J316" i="16"/>
  <c r="I316" i="16"/>
  <c r="H316" i="16"/>
  <c r="P316" i="16" s="1"/>
  <c r="G316" i="16"/>
  <c r="F316" i="16"/>
  <c r="E316" i="16"/>
  <c r="D316" i="16"/>
  <c r="C316" i="16"/>
  <c r="B316" i="16"/>
  <c r="O315" i="16"/>
  <c r="N315" i="16"/>
  <c r="M315" i="16"/>
  <c r="L315" i="16"/>
  <c r="K315" i="16"/>
  <c r="J315" i="16"/>
  <c r="I315" i="16"/>
  <c r="H315" i="16"/>
  <c r="P315" i="16" s="1"/>
  <c r="G315" i="16"/>
  <c r="F315" i="16"/>
  <c r="E315" i="16"/>
  <c r="D315" i="16"/>
  <c r="C315" i="16"/>
  <c r="B315" i="16"/>
  <c r="O314" i="16"/>
  <c r="N314" i="16"/>
  <c r="M314" i="16"/>
  <c r="L314" i="16"/>
  <c r="K314" i="16"/>
  <c r="J314" i="16"/>
  <c r="I314" i="16"/>
  <c r="H314" i="16"/>
  <c r="P314" i="16" s="1"/>
  <c r="G314" i="16"/>
  <c r="F314" i="16"/>
  <c r="E314" i="16"/>
  <c r="D314" i="16"/>
  <c r="C314" i="16"/>
  <c r="B314" i="16"/>
  <c r="O313" i="16"/>
  <c r="N313" i="16"/>
  <c r="M313" i="16"/>
  <c r="L313" i="16"/>
  <c r="K313" i="16"/>
  <c r="J313" i="16"/>
  <c r="I313" i="16"/>
  <c r="H313" i="16"/>
  <c r="P313" i="16" s="1"/>
  <c r="G313" i="16"/>
  <c r="F313" i="16"/>
  <c r="E313" i="16"/>
  <c r="D313" i="16"/>
  <c r="C313" i="16"/>
  <c r="B313" i="16"/>
  <c r="O312" i="16"/>
  <c r="N312" i="16"/>
  <c r="M312" i="16"/>
  <c r="L312" i="16"/>
  <c r="K312" i="16"/>
  <c r="J312" i="16"/>
  <c r="I312" i="16"/>
  <c r="H312" i="16"/>
  <c r="P312" i="16" s="1"/>
  <c r="G312" i="16"/>
  <c r="F312" i="16"/>
  <c r="E312" i="16"/>
  <c r="D312" i="16"/>
  <c r="C312" i="16"/>
  <c r="B312" i="16"/>
  <c r="O311" i="16"/>
  <c r="N311" i="16"/>
  <c r="M311" i="16"/>
  <c r="L311" i="16"/>
  <c r="K311" i="16"/>
  <c r="J311" i="16"/>
  <c r="I311" i="16"/>
  <c r="H311" i="16"/>
  <c r="P311" i="16" s="1"/>
  <c r="G311" i="16"/>
  <c r="F311" i="16"/>
  <c r="E311" i="16"/>
  <c r="D311" i="16"/>
  <c r="C311" i="16"/>
  <c r="B311" i="16"/>
  <c r="O310" i="16"/>
  <c r="N310" i="16"/>
  <c r="M310" i="16"/>
  <c r="L310" i="16"/>
  <c r="K310" i="16"/>
  <c r="J310" i="16"/>
  <c r="I310" i="16"/>
  <c r="H310" i="16"/>
  <c r="P310" i="16" s="1"/>
  <c r="G310" i="16"/>
  <c r="F310" i="16"/>
  <c r="E310" i="16"/>
  <c r="D310" i="16"/>
  <c r="C310" i="16"/>
  <c r="B310" i="16"/>
  <c r="O309" i="16"/>
  <c r="N309" i="16"/>
  <c r="M309" i="16"/>
  <c r="L309" i="16"/>
  <c r="K309" i="16"/>
  <c r="J309" i="16"/>
  <c r="I309" i="16"/>
  <c r="H309" i="16"/>
  <c r="P309" i="16" s="1"/>
  <c r="G309" i="16"/>
  <c r="F309" i="16"/>
  <c r="E309" i="16"/>
  <c r="D309" i="16"/>
  <c r="C309" i="16"/>
  <c r="B309" i="16"/>
  <c r="O308" i="16"/>
  <c r="N308" i="16"/>
  <c r="M308" i="16"/>
  <c r="L308" i="16"/>
  <c r="K308" i="16"/>
  <c r="J308" i="16"/>
  <c r="I308" i="16"/>
  <c r="H308" i="16"/>
  <c r="P308" i="16" s="1"/>
  <c r="G308" i="16"/>
  <c r="F308" i="16"/>
  <c r="E308" i="16"/>
  <c r="D308" i="16"/>
  <c r="C308" i="16"/>
  <c r="B308" i="16"/>
  <c r="O307" i="16"/>
  <c r="N307" i="16"/>
  <c r="M307" i="16"/>
  <c r="L307" i="16"/>
  <c r="K307" i="16"/>
  <c r="J307" i="16"/>
  <c r="I307" i="16"/>
  <c r="H307" i="16"/>
  <c r="P307" i="16" s="1"/>
  <c r="G307" i="16"/>
  <c r="F307" i="16"/>
  <c r="E307" i="16"/>
  <c r="D307" i="16"/>
  <c r="C307" i="16"/>
  <c r="B307" i="16"/>
  <c r="O306" i="16"/>
  <c r="N306" i="16"/>
  <c r="M306" i="16"/>
  <c r="L306" i="16"/>
  <c r="K306" i="16"/>
  <c r="J306" i="16"/>
  <c r="I306" i="16"/>
  <c r="H306" i="16"/>
  <c r="P306" i="16" s="1"/>
  <c r="G306" i="16"/>
  <c r="F306" i="16"/>
  <c r="E306" i="16"/>
  <c r="D306" i="16"/>
  <c r="C306" i="16"/>
  <c r="B306" i="16"/>
  <c r="O305" i="16"/>
  <c r="N305" i="16"/>
  <c r="M305" i="16"/>
  <c r="L305" i="16"/>
  <c r="K305" i="16"/>
  <c r="J305" i="16"/>
  <c r="I305" i="16"/>
  <c r="H305" i="16"/>
  <c r="P305" i="16" s="1"/>
  <c r="G305" i="16"/>
  <c r="F305" i="16"/>
  <c r="E305" i="16"/>
  <c r="D305" i="16"/>
  <c r="C305" i="16"/>
  <c r="B305" i="16"/>
  <c r="O304" i="16"/>
  <c r="N304" i="16"/>
  <c r="M304" i="16"/>
  <c r="L304" i="16"/>
  <c r="K304" i="16"/>
  <c r="J304" i="16"/>
  <c r="I304" i="16"/>
  <c r="H304" i="16"/>
  <c r="P304" i="16" s="1"/>
  <c r="G304" i="16"/>
  <c r="F304" i="16"/>
  <c r="E304" i="16"/>
  <c r="D304" i="16"/>
  <c r="C304" i="16"/>
  <c r="B304" i="16"/>
  <c r="O303" i="16"/>
  <c r="N303" i="16"/>
  <c r="M303" i="16"/>
  <c r="L303" i="16"/>
  <c r="K303" i="16"/>
  <c r="J303" i="16"/>
  <c r="I303" i="16"/>
  <c r="H303" i="16"/>
  <c r="P303" i="16" s="1"/>
  <c r="G303" i="16"/>
  <c r="F303" i="16"/>
  <c r="E303" i="16"/>
  <c r="D303" i="16"/>
  <c r="C303" i="16"/>
  <c r="B303" i="16"/>
  <c r="O302" i="16"/>
  <c r="N302" i="16"/>
  <c r="M302" i="16"/>
  <c r="L302" i="16"/>
  <c r="K302" i="16"/>
  <c r="J302" i="16"/>
  <c r="I302" i="16"/>
  <c r="H302" i="16"/>
  <c r="P302" i="16" s="1"/>
  <c r="G302" i="16"/>
  <c r="F302" i="16"/>
  <c r="E302" i="16"/>
  <c r="D302" i="16"/>
  <c r="C302" i="16"/>
  <c r="B302" i="16"/>
  <c r="O301" i="16"/>
  <c r="N301" i="16"/>
  <c r="M301" i="16"/>
  <c r="L301" i="16"/>
  <c r="K301" i="16"/>
  <c r="J301" i="16"/>
  <c r="I301" i="16"/>
  <c r="H301" i="16"/>
  <c r="P301" i="16" s="1"/>
  <c r="G301" i="16"/>
  <c r="F301" i="16"/>
  <c r="E301" i="16"/>
  <c r="D301" i="16"/>
  <c r="C301" i="16"/>
  <c r="B301" i="16"/>
  <c r="O300" i="16"/>
  <c r="N300" i="16"/>
  <c r="M300" i="16"/>
  <c r="L300" i="16"/>
  <c r="K300" i="16"/>
  <c r="J300" i="16"/>
  <c r="I300" i="16"/>
  <c r="H300" i="16"/>
  <c r="P300" i="16" s="1"/>
  <c r="G300" i="16"/>
  <c r="F300" i="16"/>
  <c r="E300" i="16"/>
  <c r="D300" i="16"/>
  <c r="C300" i="16"/>
  <c r="B300" i="16"/>
  <c r="O299" i="16"/>
  <c r="N299" i="16"/>
  <c r="M299" i="16"/>
  <c r="L299" i="16"/>
  <c r="K299" i="16"/>
  <c r="J299" i="16"/>
  <c r="I299" i="16"/>
  <c r="H299" i="16"/>
  <c r="P299" i="16" s="1"/>
  <c r="G299" i="16"/>
  <c r="F299" i="16"/>
  <c r="E299" i="16"/>
  <c r="D299" i="16"/>
  <c r="C299" i="16"/>
  <c r="B299" i="16"/>
  <c r="O298" i="16"/>
  <c r="N298" i="16"/>
  <c r="M298" i="16"/>
  <c r="L298" i="16"/>
  <c r="K298" i="16"/>
  <c r="J298" i="16"/>
  <c r="I298" i="16"/>
  <c r="H298" i="16"/>
  <c r="P298" i="16" s="1"/>
  <c r="G298" i="16"/>
  <c r="F298" i="16"/>
  <c r="E298" i="16"/>
  <c r="D298" i="16"/>
  <c r="C298" i="16"/>
  <c r="B298" i="16"/>
  <c r="O297" i="16"/>
  <c r="N297" i="16"/>
  <c r="M297" i="16"/>
  <c r="L297" i="16"/>
  <c r="K297" i="16"/>
  <c r="J297" i="16"/>
  <c r="I297" i="16"/>
  <c r="H297" i="16"/>
  <c r="P297" i="16" s="1"/>
  <c r="G297" i="16"/>
  <c r="F297" i="16"/>
  <c r="E297" i="16"/>
  <c r="D297" i="16"/>
  <c r="C297" i="16"/>
  <c r="B297" i="16"/>
  <c r="O296" i="16"/>
  <c r="N296" i="16"/>
  <c r="M296" i="16"/>
  <c r="L296" i="16"/>
  <c r="K296" i="16"/>
  <c r="J296" i="16"/>
  <c r="I296" i="16"/>
  <c r="H296" i="16"/>
  <c r="P296" i="16" s="1"/>
  <c r="G296" i="16"/>
  <c r="F296" i="16"/>
  <c r="E296" i="16"/>
  <c r="D296" i="16"/>
  <c r="C296" i="16"/>
  <c r="B296" i="16"/>
  <c r="O295" i="16"/>
  <c r="N295" i="16"/>
  <c r="M295" i="16"/>
  <c r="L295" i="16"/>
  <c r="K295" i="16"/>
  <c r="J295" i="16"/>
  <c r="I295" i="16"/>
  <c r="H295" i="16"/>
  <c r="P295" i="16" s="1"/>
  <c r="G295" i="16"/>
  <c r="F295" i="16"/>
  <c r="E295" i="16"/>
  <c r="D295" i="16"/>
  <c r="C295" i="16"/>
  <c r="B295" i="16"/>
  <c r="O294" i="16"/>
  <c r="N294" i="16"/>
  <c r="M294" i="16"/>
  <c r="L294" i="16"/>
  <c r="K294" i="16"/>
  <c r="J294" i="16"/>
  <c r="I294" i="16"/>
  <c r="H294" i="16"/>
  <c r="P294" i="16" s="1"/>
  <c r="G294" i="16"/>
  <c r="F294" i="16"/>
  <c r="E294" i="16"/>
  <c r="D294" i="16"/>
  <c r="C294" i="16"/>
  <c r="B294" i="16"/>
  <c r="O293" i="16"/>
  <c r="N293" i="16"/>
  <c r="M293" i="16"/>
  <c r="L293" i="16"/>
  <c r="K293" i="16"/>
  <c r="J293" i="16"/>
  <c r="I293" i="16"/>
  <c r="H293" i="16"/>
  <c r="P293" i="16" s="1"/>
  <c r="G293" i="16"/>
  <c r="F293" i="16"/>
  <c r="E293" i="16"/>
  <c r="D293" i="16"/>
  <c r="C293" i="16"/>
  <c r="B293" i="16"/>
  <c r="O292" i="16"/>
  <c r="N292" i="16"/>
  <c r="M292" i="16"/>
  <c r="L292" i="16"/>
  <c r="K292" i="16"/>
  <c r="J292" i="16"/>
  <c r="I292" i="16"/>
  <c r="H292" i="16"/>
  <c r="P292" i="16" s="1"/>
  <c r="G292" i="16"/>
  <c r="F292" i="16"/>
  <c r="E292" i="16"/>
  <c r="D292" i="16"/>
  <c r="C292" i="16"/>
  <c r="B292" i="16"/>
  <c r="O291" i="16"/>
  <c r="N291" i="16"/>
  <c r="M291" i="16"/>
  <c r="L291" i="16"/>
  <c r="K291" i="16"/>
  <c r="J291" i="16"/>
  <c r="I291" i="16"/>
  <c r="H291" i="16"/>
  <c r="P291" i="16" s="1"/>
  <c r="G291" i="16"/>
  <c r="F291" i="16"/>
  <c r="E291" i="16"/>
  <c r="D291" i="16"/>
  <c r="C291" i="16"/>
  <c r="B291" i="16"/>
  <c r="O290" i="16"/>
  <c r="N290" i="16"/>
  <c r="M290" i="16"/>
  <c r="L290" i="16"/>
  <c r="K290" i="16"/>
  <c r="J290" i="16"/>
  <c r="I290" i="16"/>
  <c r="H290" i="16"/>
  <c r="P290" i="16" s="1"/>
  <c r="G290" i="16"/>
  <c r="F290" i="16"/>
  <c r="E290" i="16"/>
  <c r="D290" i="16"/>
  <c r="C290" i="16"/>
  <c r="B290" i="16"/>
  <c r="O289" i="16"/>
  <c r="N289" i="16"/>
  <c r="M289" i="16"/>
  <c r="L289" i="16"/>
  <c r="K289" i="16"/>
  <c r="J289" i="16"/>
  <c r="I289" i="16"/>
  <c r="H289" i="16"/>
  <c r="G289" i="16"/>
  <c r="F289" i="16"/>
  <c r="E289" i="16"/>
  <c r="D289" i="16"/>
  <c r="C289" i="16"/>
  <c r="B289" i="16"/>
  <c r="O288" i="16"/>
  <c r="N288" i="16"/>
  <c r="M288" i="16"/>
  <c r="L288" i="16"/>
  <c r="K288" i="16"/>
  <c r="J288" i="16"/>
  <c r="I288" i="16"/>
  <c r="H288" i="16"/>
  <c r="P288" i="16" s="1"/>
  <c r="G288" i="16"/>
  <c r="F288" i="16"/>
  <c r="E288" i="16"/>
  <c r="D288" i="16"/>
  <c r="C288" i="16"/>
  <c r="B288" i="16"/>
  <c r="I285" i="16"/>
  <c r="B285" i="16"/>
  <c r="O285" i="16" s="1"/>
  <c r="I284" i="16"/>
  <c r="B284" i="16"/>
  <c r="O279" i="16"/>
  <c r="N279" i="16"/>
  <c r="M279" i="16"/>
  <c r="L279" i="16"/>
  <c r="K279" i="16"/>
  <c r="J279" i="16"/>
  <c r="I279" i="16"/>
  <c r="H279" i="16"/>
  <c r="P279" i="16" s="1"/>
  <c r="G279" i="16"/>
  <c r="F279" i="16"/>
  <c r="E279" i="16"/>
  <c r="D279" i="16"/>
  <c r="C279" i="16"/>
  <c r="B279" i="16"/>
  <c r="O278" i="16"/>
  <c r="N278" i="16"/>
  <c r="M278" i="16"/>
  <c r="L278" i="16"/>
  <c r="K278" i="16"/>
  <c r="J278" i="16"/>
  <c r="I278" i="16"/>
  <c r="H278" i="16"/>
  <c r="P278" i="16" s="1"/>
  <c r="G278" i="16"/>
  <c r="F278" i="16"/>
  <c r="E278" i="16"/>
  <c r="D278" i="16"/>
  <c r="C278" i="16"/>
  <c r="B278" i="16"/>
  <c r="O277" i="16"/>
  <c r="N277" i="16"/>
  <c r="M277" i="16"/>
  <c r="L277" i="16"/>
  <c r="K277" i="16"/>
  <c r="J277" i="16"/>
  <c r="I277" i="16"/>
  <c r="H277" i="16"/>
  <c r="P277" i="16" s="1"/>
  <c r="G277" i="16"/>
  <c r="F277" i="16"/>
  <c r="E277" i="16"/>
  <c r="D277" i="16"/>
  <c r="C277" i="16"/>
  <c r="B277" i="16"/>
  <c r="O276" i="16"/>
  <c r="N276" i="16"/>
  <c r="M276" i="16"/>
  <c r="L276" i="16"/>
  <c r="K276" i="16"/>
  <c r="J276" i="16"/>
  <c r="I276" i="16"/>
  <c r="H276" i="16"/>
  <c r="P276" i="16" s="1"/>
  <c r="G276" i="16"/>
  <c r="F276" i="16"/>
  <c r="E276" i="16"/>
  <c r="D276" i="16"/>
  <c r="C276" i="16"/>
  <c r="B276" i="16"/>
  <c r="O275" i="16"/>
  <c r="N275" i="16"/>
  <c r="M275" i="16"/>
  <c r="L275" i="16"/>
  <c r="K275" i="16"/>
  <c r="J275" i="16"/>
  <c r="I275" i="16"/>
  <c r="H275" i="16"/>
  <c r="G275" i="16"/>
  <c r="F275" i="16"/>
  <c r="E275" i="16"/>
  <c r="D275" i="16"/>
  <c r="C275" i="16"/>
  <c r="B275" i="16"/>
  <c r="O274" i="16"/>
  <c r="N274" i="16"/>
  <c r="M274" i="16"/>
  <c r="L274" i="16"/>
  <c r="K274" i="16"/>
  <c r="J274" i="16"/>
  <c r="I274" i="16"/>
  <c r="H274" i="16"/>
  <c r="P274" i="16" s="1"/>
  <c r="G274" i="16"/>
  <c r="F274" i="16"/>
  <c r="E274" i="16"/>
  <c r="D274" i="16"/>
  <c r="C274" i="16"/>
  <c r="B274" i="16"/>
  <c r="O273" i="16"/>
  <c r="N273" i="16"/>
  <c r="M273" i="16"/>
  <c r="L273" i="16"/>
  <c r="K273" i="16"/>
  <c r="J273" i="16"/>
  <c r="I273" i="16"/>
  <c r="H273" i="16"/>
  <c r="G273" i="16"/>
  <c r="F273" i="16"/>
  <c r="E273" i="16"/>
  <c r="D273" i="16"/>
  <c r="C273" i="16"/>
  <c r="B273" i="16"/>
  <c r="O272" i="16"/>
  <c r="N272" i="16"/>
  <c r="M272" i="16"/>
  <c r="L272" i="16"/>
  <c r="K272" i="16"/>
  <c r="J272" i="16"/>
  <c r="I272" i="16"/>
  <c r="H272" i="16"/>
  <c r="P272" i="16" s="1"/>
  <c r="G272" i="16"/>
  <c r="F272" i="16"/>
  <c r="E272" i="16"/>
  <c r="D272" i="16"/>
  <c r="C272" i="16"/>
  <c r="B272" i="16"/>
  <c r="O271" i="16"/>
  <c r="N271" i="16"/>
  <c r="M271" i="16"/>
  <c r="L271" i="16"/>
  <c r="K271" i="16"/>
  <c r="J271" i="16"/>
  <c r="I271" i="16"/>
  <c r="H271" i="16"/>
  <c r="G271" i="16"/>
  <c r="F271" i="16"/>
  <c r="E271" i="16"/>
  <c r="D271" i="16"/>
  <c r="C271" i="16"/>
  <c r="B271" i="16"/>
  <c r="O270" i="16"/>
  <c r="N270" i="16"/>
  <c r="M270" i="16"/>
  <c r="L270" i="16"/>
  <c r="K270" i="16"/>
  <c r="J270" i="16"/>
  <c r="I270" i="16"/>
  <c r="H270" i="16"/>
  <c r="P270" i="16" s="1"/>
  <c r="G270" i="16"/>
  <c r="F270" i="16"/>
  <c r="E270" i="16"/>
  <c r="D270" i="16"/>
  <c r="C270" i="16"/>
  <c r="B270" i="16"/>
  <c r="O269" i="16"/>
  <c r="N269" i="16"/>
  <c r="M269" i="16"/>
  <c r="L269" i="16"/>
  <c r="K269" i="16"/>
  <c r="J269" i="16"/>
  <c r="I269" i="16"/>
  <c r="H269" i="16"/>
  <c r="G269" i="16"/>
  <c r="F269" i="16"/>
  <c r="E269" i="16"/>
  <c r="D269" i="16"/>
  <c r="C269" i="16"/>
  <c r="B269" i="16"/>
  <c r="O268" i="16"/>
  <c r="N268" i="16"/>
  <c r="M268" i="16"/>
  <c r="L268" i="16"/>
  <c r="K268" i="16"/>
  <c r="J268" i="16"/>
  <c r="I268" i="16"/>
  <c r="H268" i="16"/>
  <c r="P268" i="16" s="1"/>
  <c r="G268" i="16"/>
  <c r="F268" i="16"/>
  <c r="E268" i="16"/>
  <c r="D268" i="16"/>
  <c r="C268" i="16"/>
  <c r="B268" i="16"/>
  <c r="O267" i="16"/>
  <c r="N267" i="16"/>
  <c r="M267" i="16"/>
  <c r="L267" i="16"/>
  <c r="K267" i="16"/>
  <c r="J267" i="16"/>
  <c r="I267" i="16"/>
  <c r="H267" i="16"/>
  <c r="G267" i="16"/>
  <c r="F267" i="16"/>
  <c r="E267" i="16"/>
  <c r="D267" i="16"/>
  <c r="C267" i="16"/>
  <c r="B267" i="16"/>
  <c r="O266" i="16"/>
  <c r="N266" i="16"/>
  <c r="M266" i="16"/>
  <c r="L266" i="16"/>
  <c r="K266" i="16"/>
  <c r="J266" i="16"/>
  <c r="I266" i="16"/>
  <c r="H266" i="16"/>
  <c r="P266" i="16" s="1"/>
  <c r="G266" i="16"/>
  <c r="F266" i="16"/>
  <c r="E266" i="16"/>
  <c r="D266" i="16"/>
  <c r="C266" i="16"/>
  <c r="B266" i="16"/>
  <c r="O265" i="16"/>
  <c r="N265" i="16"/>
  <c r="M265" i="16"/>
  <c r="L265" i="16"/>
  <c r="K265" i="16"/>
  <c r="J265" i="16"/>
  <c r="I265" i="16"/>
  <c r="H265" i="16"/>
  <c r="G265" i="16"/>
  <c r="F265" i="16"/>
  <c r="E265" i="16"/>
  <c r="D265" i="16"/>
  <c r="C265" i="16"/>
  <c r="B265" i="16"/>
  <c r="O264" i="16"/>
  <c r="N264" i="16"/>
  <c r="M264" i="16"/>
  <c r="L264" i="16"/>
  <c r="K264" i="16"/>
  <c r="J264" i="16"/>
  <c r="I264" i="16"/>
  <c r="H264" i="16"/>
  <c r="P264" i="16" s="1"/>
  <c r="G264" i="16"/>
  <c r="F264" i="16"/>
  <c r="E264" i="16"/>
  <c r="D264" i="16"/>
  <c r="C264" i="16"/>
  <c r="B264" i="16"/>
  <c r="O263" i="16"/>
  <c r="N263" i="16"/>
  <c r="M263" i="16"/>
  <c r="L263" i="16"/>
  <c r="K263" i="16"/>
  <c r="J263" i="16"/>
  <c r="I263" i="16"/>
  <c r="H263" i="16"/>
  <c r="G263" i="16"/>
  <c r="F263" i="16"/>
  <c r="E263" i="16"/>
  <c r="D263" i="16"/>
  <c r="C263" i="16"/>
  <c r="B263" i="16"/>
  <c r="O262" i="16"/>
  <c r="N262" i="16"/>
  <c r="M262" i="16"/>
  <c r="L262" i="16"/>
  <c r="K262" i="16"/>
  <c r="J262" i="16"/>
  <c r="I262" i="16"/>
  <c r="H262" i="16"/>
  <c r="P262" i="16" s="1"/>
  <c r="G262" i="16"/>
  <c r="F262" i="16"/>
  <c r="E262" i="16"/>
  <c r="D262" i="16"/>
  <c r="C262" i="16"/>
  <c r="B262" i="16"/>
  <c r="O261" i="16"/>
  <c r="N261" i="16"/>
  <c r="M261" i="16"/>
  <c r="L261" i="16"/>
  <c r="K261" i="16"/>
  <c r="J261" i="16"/>
  <c r="I261" i="16"/>
  <c r="H261" i="16"/>
  <c r="G261" i="16"/>
  <c r="F261" i="16"/>
  <c r="E261" i="16"/>
  <c r="D261" i="16"/>
  <c r="C261" i="16"/>
  <c r="B261" i="16"/>
  <c r="O260" i="16"/>
  <c r="N260" i="16"/>
  <c r="M260" i="16"/>
  <c r="L260" i="16"/>
  <c r="K260" i="16"/>
  <c r="J260" i="16"/>
  <c r="I260" i="16"/>
  <c r="H260" i="16"/>
  <c r="P260" i="16" s="1"/>
  <c r="G260" i="16"/>
  <c r="F260" i="16"/>
  <c r="E260" i="16"/>
  <c r="D260" i="16"/>
  <c r="C260" i="16"/>
  <c r="B260" i="16"/>
  <c r="O259" i="16"/>
  <c r="N259" i="16"/>
  <c r="M259" i="16"/>
  <c r="L259" i="16"/>
  <c r="K259" i="16"/>
  <c r="J259" i="16"/>
  <c r="I259" i="16"/>
  <c r="H259" i="16"/>
  <c r="G259" i="16"/>
  <c r="F259" i="16"/>
  <c r="E259" i="16"/>
  <c r="D259" i="16"/>
  <c r="C259" i="16"/>
  <c r="B259" i="16"/>
  <c r="O258" i="16"/>
  <c r="N258" i="16"/>
  <c r="M258" i="16"/>
  <c r="L258" i="16"/>
  <c r="K258" i="16"/>
  <c r="J258" i="16"/>
  <c r="I258" i="16"/>
  <c r="H258" i="16"/>
  <c r="P258" i="16" s="1"/>
  <c r="G258" i="16"/>
  <c r="F258" i="16"/>
  <c r="E258" i="16"/>
  <c r="D258" i="16"/>
  <c r="C258" i="16"/>
  <c r="B258" i="16"/>
  <c r="O257" i="16"/>
  <c r="N257" i="16"/>
  <c r="M257" i="16"/>
  <c r="L257" i="16"/>
  <c r="K257" i="16"/>
  <c r="J257" i="16"/>
  <c r="I257" i="16"/>
  <c r="H257" i="16"/>
  <c r="G257" i="16"/>
  <c r="F257" i="16"/>
  <c r="E257" i="16"/>
  <c r="D257" i="16"/>
  <c r="C257" i="16"/>
  <c r="B257" i="16"/>
  <c r="O256" i="16"/>
  <c r="N256" i="16"/>
  <c r="M256" i="16"/>
  <c r="L256" i="16"/>
  <c r="K256" i="16"/>
  <c r="J256" i="16"/>
  <c r="I256" i="16"/>
  <c r="H256" i="16"/>
  <c r="P256" i="16" s="1"/>
  <c r="G256" i="16"/>
  <c r="F256" i="16"/>
  <c r="E256" i="16"/>
  <c r="D256" i="16"/>
  <c r="C256" i="16"/>
  <c r="B256" i="16"/>
  <c r="O255" i="16"/>
  <c r="N255" i="16"/>
  <c r="M255" i="16"/>
  <c r="L255" i="16"/>
  <c r="K255" i="16"/>
  <c r="J255" i="16"/>
  <c r="I255" i="16"/>
  <c r="H255" i="16"/>
  <c r="G255" i="16"/>
  <c r="F255" i="16"/>
  <c r="E255" i="16"/>
  <c r="D255" i="16"/>
  <c r="C255" i="16"/>
  <c r="B255" i="16"/>
  <c r="O254" i="16"/>
  <c r="N254" i="16"/>
  <c r="M254" i="16"/>
  <c r="L254" i="16"/>
  <c r="K254" i="16"/>
  <c r="J254" i="16"/>
  <c r="I254" i="16"/>
  <c r="H254" i="16"/>
  <c r="P254" i="16" s="1"/>
  <c r="G254" i="16"/>
  <c r="F254" i="16"/>
  <c r="E254" i="16"/>
  <c r="D254" i="16"/>
  <c r="C254" i="16"/>
  <c r="B254" i="16"/>
  <c r="O253" i="16"/>
  <c r="N253" i="16"/>
  <c r="M253" i="16"/>
  <c r="L253" i="16"/>
  <c r="K253" i="16"/>
  <c r="J253" i="16"/>
  <c r="I253" i="16"/>
  <c r="H253" i="16"/>
  <c r="G253" i="16"/>
  <c r="F253" i="16"/>
  <c r="E253" i="16"/>
  <c r="D253" i="16"/>
  <c r="C253" i="16"/>
  <c r="B253" i="16"/>
  <c r="O252" i="16"/>
  <c r="N252" i="16"/>
  <c r="M252" i="16"/>
  <c r="L252" i="16"/>
  <c r="K252" i="16"/>
  <c r="J252" i="16"/>
  <c r="I252" i="16"/>
  <c r="H252" i="16"/>
  <c r="P252" i="16" s="1"/>
  <c r="G252" i="16"/>
  <c r="F252" i="16"/>
  <c r="E252" i="16"/>
  <c r="D252" i="16"/>
  <c r="C252" i="16"/>
  <c r="B252" i="16"/>
  <c r="O251" i="16"/>
  <c r="N251" i="16"/>
  <c r="M251" i="16"/>
  <c r="L251" i="16"/>
  <c r="K251" i="16"/>
  <c r="J251" i="16"/>
  <c r="I251" i="16"/>
  <c r="H251" i="16"/>
  <c r="G251" i="16"/>
  <c r="F251" i="16"/>
  <c r="E251" i="16"/>
  <c r="D251" i="16"/>
  <c r="C251" i="16"/>
  <c r="B251" i="16"/>
  <c r="O250" i="16"/>
  <c r="N250" i="16"/>
  <c r="M250" i="16"/>
  <c r="L250" i="16"/>
  <c r="K250" i="16"/>
  <c r="J250" i="16"/>
  <c r="I250" i="16"/>
  <c r="H250" i="16"/>
  <c r="P250" i="16" s="1"/>
  <c r="G250" i="16"/>
  <c r="F250" i="16"/>
  <c r="E250" i="16"/>
  <c r="D250" i="16"/>
  <c r="C250" i="16"/>
  <c r="B250" i="16"/>
  <c r="O249" i="16"/>
  <c r="N249" i="16"/>
  <c r="M249" i="16"/>
  <c r="L249" i="16"/>
  <c r="K249" i="16"/>
  <c r="J249" i="16"/>
  <c r="I249" i="16"/>
  <c r="H249" i="16"/>
  <c r="G249" i="16"/>
  <c r="F249" i="16"/>
  <c r="E249" i="16"/>
  <c r="D249" i="16"/>
  <c r="C249" i="16"/>
  <c r="B249" i="16"/>
  <c r="O248" i="16"/>
  <c r="N248" i="16"/>
  <c r="M248" i="16"/>
  <c r="L248" i="16"/>
  <c r="K248" i="16"/>
  <c r="J248" i="16"/>
  <c r="I248" i="16"/>
  <c r="H248" i="16"/>
  <c r="P248" i="16" s="1"/>
  <c r="G248" i="16"/>
  <c r="F248" i="16"/>
  <c r="E248" i="16"/>
  <c r="D248" i="16"/>
  <c r="C248" i="16"/>
  <c r="B248" i="16"/>
  <c r="I245" i="16"/>
  <c r="B245" i="16"/>
  <c r="O245" i="16" s="1"/>
  <c r="I244" i="16"/>
  <c r="B244" i="16"/>
  <c r="O239" i="16"/>
  <c r="N239" i="16"/>
  <c r="M239" i="16"/>
  <c r="L239" i="16"/>
  <c r="K239" i="16"/>
  <c r="J239" i="16"/>
  <c r="I239" i="16"/>
  <c r="H239" i="16"/>
  <c r="G239" i="16"/>
  <c r="F239" i="16"/>
  <c r="E239" i="16"/>
  <c r="D239" i="16"/>
  <c r="C239" i="16"/>
  <c r="B239" i="16"/>
  <c r="O237" i="16"/>
  <c r="N237" i="16"/>
  <c r="M237" i="16"/>
  <c r="L237" i="16"/>
  <c r="K237" i="16"/>
  <c r="J237" i="16"/>
  <c r="I237" i="16"/>
  <c r="H237" i="16"/>
  <c r="P237" i="16" s="1"/>
  <c r="G237" i="16"/>
  <c r="F237" i="16"/>
  <c r="E237" i="16"/>
  <c r="D237" i="16"/>
  <c r="C237" i="16"/>
  <c r="B237" i="16"/>
  <c r="O236" i="16"/>
  <c r="N236" i="16"/>
  <c r="M236" i="16"/>
  <c r="L236" i="16"/>
  <c r="K236" i="16"/>
  <c r="J236" i="16"/>
  <c r="I236" i="16"/>
  <c r="H236" i="16"/>
  <c r="P236" i="16" s="1"/>
  <c r="G236" i="16"/>
  <c r="F236" i="16"/>
  <c r="E236" i="16"/>
  <c r="D236" i="16"/>
  <c r="C236" i="16"/>
  <c r="B236" i="16"/>
  <c r="O235" i="16"/>
  <c r="N235" i="16"/>
  <c r="M235" i="16"/>
  <c r="L235" i="16"/>
  <c r="K235" i="16"/>
  <c r="J235" i="16"/>
  <c r="I235" i="16"/>
  <c r="H235" i="16"/>
  <c r="P235" i="16" s="1"/>
  <c r="G235" i="16"/>
  <c r="F235" i="16"/>
  <c r="E235" i="16"/>
  <c r="D235" i="16"/>
  <c r="C235" i="16"/>
  <c r="B235" i="16"/>
  <c r="O234" i="16"/>
  <c r="N234" i="16"/>
  <c r="M234" i="16"/>
  <c r="L234" i="16"/>
  <c r="K234" i="16"/>
  <c r="J234" i="16"/>
  <c r="I234" i="16"/>
  <c r="H234" i="16"/>
  <c r="P234" i="16" s="1"/>
  <c r="G234" i="16"/>
  <c r="F234" i="16"/>
  <c r="E234" i="16"/>
  <c r="D234" i="16"/>
  <c r="C234" i="16"/>
  <c r="B234" i="16"/>
  <c r="O233" i="16"/>
  <c r="N233" i="16"/>
  <c r="M233" i="16"/>
  <c r="L233" i="16"/>
  <c r="K233" i="16"/>
  <c r="J233" i="16"/>
  <c r="I233" i="16"/>
  <c r="H233" i="16"/>
  <c r="P233" i="16" s="1"/>
  <c r="G233" i="16"/>
  <c r="F233" i="16"/>
  <c r="E233" i="16"/>
  <c r="D233" i="16"/>
  <c r="C233" i="16"/>
  <c r="B233" i="16"/>
  <c r="O232" i="16"/>
  <c r="N232" i="16"/>
  <c r="M232" i="16"/>
  <c r="L232" i="16"/>
  <c r="K232" i="16"/>
  <c r="J232" i="16"/>
  <c r="I232" i="16"/>
  <c r="H232" i="16"/>
  <c r="P232" i="16" s="1"/>
  <c r="G232" i="16"/>
  <c r="F232" i="16"/>
  <c r="E232" i="16"/>
  <c r="D232" i="16"/>
  <c r="C232" i="16"/>
  <c r="B232" i="16"/>
  <c r="O231" i="16"/>
  <c r="N231" i="16"/>
  <c r="M231" i="16"/>
  <c r="L231" i="16"/>
  <c r="K231" i="16"/>
  <c r="J231" i="16"/>
  <c r="I231" i="16"/>
  <c r="H231" i="16"/>
  <c r="P231" i="16" s="1"/>
  <c r="G231" i="16"/>
  <c r="F231" i="16"/>
  <c r="E231" i="16"/>
  <c r="D231" i="16"/>
  <c r="C231" i="16"/>
  <c r="B231" i="16"/>
  <c r="O230" i="16"/>
  <c r="N230" i="16"/>
  <c r="M230" i="16"/>
  <c r="L230" i="16"/>
  <c r="K230" i="16"/>
  <c r="J230" i="16"/>
  <c r="I230" i="16"/>
  <c r="H230" i="16"/>
  <c r="P230" i="16" s="1"/>
  <c r="G230" i="16"/>
  <c r="F230" i="16"/>
  <c r="E230" i="16"/>
  <c r="D230" i="16"/>
  <c r="C230" i="16"/>
  <c r="B230" i="16"/>
  <c r="O229" i="16"/>
  <c r="N229" i="16"/>
  <c r="M229" i="16"/>
  <c r="L229" i="16"/>
  <c r="K229" i="16"/>
  <c r="J229" i="16"/>
  <c r="I229" i="16"/>
  <c r="H229" i="16"/>
  <c r="P229" i="16" s="1"/>
  <c r="G229" i="16"/>
  <c r="F229" i="16"/>
  <c r="E229" i="16"/>
  <c r="D229" i="16"/>
  <c r="C229" i="16"/>
  <c r="B229" i="16"/>
  <c r="O228" i="16"/>
  <c r="N228" i="16"/>
  <c r="M228" i="16"/>
  <c r="L228" i="16"/>
  <c r="K228" i="16"/>
  <c r="J228" i="16"/>
  <c r="I228" i="16"/>
  <c r="H228" i="16"/>
  <c r="G228" i="16"/>
  <c r="F228" i="16"/>
  <c r="E228" i="16"/>
  <c r="D228" i="16"/>
  <c r="C228" i="16"/>
  <c r="B228" i="16"/>
  <c r="O227" i="16"/>
  <c r="N227" i="16"/>
  <c r="M227" i="16"/>
  <c r="L227" i="16"/>
  <c r="K227" i="16"/>
  <c r="J227" i="16"/>
  <c r="I227" i="16"/>
  <c r="H227" i="16"/>
  <c r="P227" i="16" s="1"/>
  <c r="G227" i="16"/>
  <c r="F227" i="16"/>
  <c r="E227" i="16"/>
  <c r="D227" i="16"/>
  <c r="C227" i="16"/>
  <c r="B227" i="16"/>
  <c r="O226" i="16"/>
  <c r="N226" i="16"/>
  <c r="M226" i="16"/>
  <c r="L226" i="16"/>
  <c r="K226" i="16"/>
  <c r="J226" i="16"/>
  <c r="I226" i="16"/>
  <c r="H226" i="16"/>
  <c r="P226" i="16" s="1"/>
  <c r="G226" i="16"/>
  <c r="F226" i="16"/>
  <c r="E226" i="16"/>
  <c r="D226" i="16"/>
  <c r="C226" i="16"/>
  <c r="B226" i="16"/>
  <c r="O225" i="16"/>
  <c r="N225" i="16"/>
  <c r="M225" i="16"/>
  <c r="L225" i="16"/>
  <c r="K225" i="16"/>
  <c r="J225" i="16"/>
  <c r="I225" i="16"/>
  <c r="H225" i="16"/>
  <c r="P225" i="16" s="1"/>
  <c r="G225" i="16"/>
  <c r="F225" i="16"/>
  <c r="E225" i="16"/>
  <c r="D225" i="16"/>
  <c r="C225" i="16"/>
  <c r="B225" i="16"/>
  <c r="O224" i="16"/>
  <c r="N224" i="16"/>
  <c r="M224" i="16"/>
  <c r="L224" i="16"/>
  <c r="K224" i="16"/>
  <c r="J224" i="16"/>
  <c r="I224" i="16"/>
  <c r="H224" i="16"/>
  <c r="G224" i="16"/>
  <c r="F224" i="16"/>
  <c r="E224" i="16"/>
  <c r="D224" i="16"/>
  <c r="C224" i="16"/>
  <c r="B224" i="16"/>
  <c r="O223" i="16"/>
  <c r="N223" i="16"/>
  <c r="M223" i="16"/>
  <c r="L223" i="16"/>
  <c r="K223" i="16"/>
  <c r="J223" i="16"/>
  <c r="I223" i="16"/>
  <c r="H223" i="16"/>
  <c r="P223" i="16" s="1"/>
  <c r="G223" i="16"/>
  <c r="F223" i="16"/>
  <c r="E223" i="16"/>
  <c r="D223" i="16"/>
  <c r="C223" i="16"/>
  <c r="B223" i="16"/>
  <c r="O222" i="16"/>
  <c r="N222" i="16"/>
  <c r="M222" i="16"/>
  <c r="L222" i="16"/>
  <c r="K222" i="16"/>
  <c r="J222" i="16"/>
  <c r="I222" i="16"/>
  <c r="H222" i="16"/>
  <c r="P222" i="16" s="1"/>
  <c r="G222" i="16"/>
  <c r="F222" i="16"/>
  <c r="E222" i="16"/>
  <c r="D222" i="16"/>
  <c r="C222" i="16"/>
  <c r="B222" i="16"/>
  <c r="O221" i="16"/>
  <c r="N221" i="16"/>
  <c r="M221" i="16"/>
  <c r="L221" i="16"/>
  <c r="K221" i="16"/>
  <c r="J221" i="16"/>
  <c r="I221" i="16"/>
  <c r="H221" i="16"/>
  <c r="P221" i="16" s="1"/>
  <c r="G221" i="16"/>
  <c r="F221" i="16"/>
  <c r="E221" i="16"/>
  <c r="D221" i="16"/>
  <c r="C221" i="16"/>
  <c r="B221" i="16"/>
  <c r="O220" i="16"/>
  <c r="N220" i="16"/>
  <c r="M220" i="16"/>
  <c r="L220" i="16"/>
  <c r="K220" i="16"/>
  <c r="J220" i="16"/>
  <c r="I220" i="16"/>
  <c r="H220" i="16"/>
  <c r="G220" i="16"/>
  <c r="F220" i="16"/>
  <c r="E220" i="16"/>
  <c r="D220" i="16"/>
  <c r="C220" i="16"/>
  <c r="B220" i="16"/>
  <c r="O219" i="16"/>
  <c r="N219" i="16"/>
  <c r="M219" i="16"/>
  <c r="L219" i="16"/>
  <c r="K219" i="16"/>
  <c r="J219" i="16"/>
  <c r="I219" i="16"/>
  <c r="H219" i="16"/>
  <c r="P219" i="16" s="1"/>
  <c r="G219" i="16"/>
  <c r="F219" i="16"/>
  <c r="E219" i="16"/>
  <c r="D219" i="16"/>
  <c r="C219" i="16"/>
  <c r="B219" i="16"/>
  <c r="O218" i="16"/>
  <c r="N218" i="16"/>
  <c r="M218" i="16"/>
  <c r="L218" i="16"/>
  <c r="K218" i="16"/>
  <c r="J218" i="16"/>
  <c r="I218" i="16"/>
  <c r="H218" i="16"/>
  <c r="P218" i="16" s="1"/>
  <c r="G218" i="16"/>
  <c r="F218" i="16"/>
  <c r="E218" i="16"/>
  <c r="D218" i="16"/>
  <c r="C218" i="16"/>
  <c r="B218" i="16"/>
  <c r="O217" i="16"/>
  <c r="N217" i="16"/>
  <c r="M217" i="16"/>
  <c r="L217" i="16"/>
  <c r="K217" i="16"/>
  <c r="J217" i="16"/>
  <c r="I217" i="16"/>
  <c r="H217" i="16"/>
  <c r="P217" i="16" s="1"/>
  <c r="G217" i="16"/>
  <c r="F217" i="16"/>
  <c r="E217" i="16"/>
  <c r="D217" i="16"/>
  <c r="C217" i="16"/>
  <c r="B217" i="16"/>
  <c r="O216" i="16"/>
  <c r="N216" i="16"/>
  <c r="M216" i="16"/>
  <c r="L216" i="16"/>
  <c r="K216" i="16"/>
  <c r="J216" i="16"/>
  <c r="I216" i="16"/>
  <c r="H216" i="16"/>
  <c r="P216" i="16" s="1"/>
  <c r="G216" i="16"/>
  <c r="F216" i="16"/>
  <c r="E216" i="16"/>
  <c r="D216" i="16"/>
  <c r="C216" i="16"/>
  <c r="B216" i="16"/>
  <c r="O215" i="16"/>
  <c r="N215" i="16"/>
  <c r="M215" i="16"/>
  <c r="L215" i="16"/>
  <c r="K215" i="16"/>
  <c r="J215" i="16"/>
  <c r="I215" i="16"/>
  <c r="H215" i="16"/>
  <c r="P215" i="16" s="1"/>
  <c r="G215" i="16"/>
  <c r="F215" i="16"/>
  <c r="E215" i="16"/>
  <c r="D215" i="16"/>
  <c r="C215" i="16"/>
  <c r="B215" i="16"/>
  <c r="O214" i="16"/>
  <c r="N214" i="16"/>
  <c r="M214" i="16"/>
  <c r="L214" i="16"/>
  <c r="K214" i="16"/>
  <c r="J214" i="16"/>
  <c r="I214" i="16"/>
  <c r="H214" i="16"/>
  <c r="G214" i="16"/>
  <c r="F214" i="16"/>
  <c r="E214" i="16"/>
  <c r="D214" i="16"/>
  <c r="C214" i="16"/>
  <c r="B214" i="16"/>
  <c r="O213" i="16"/>
  <c r="N213" i="16"/>
  <c r="M213" i="16"/>
  <c r="L213" i="16"/>
  <c r="K213" i="16"/>
  <c r="J213" i="16"/>
  <c r="I213" i="16"/>
  <c r="H213" i="16"/>
  <c r="P213" i="16" s="1"/>
  <c r="G213" i="16"/>
  <c r="F213" i="16"/>
  <c r="E213" i="16"/>
  <c r="D213" i="16"/>
  <c r="C213" i="16"/>
  <c r="B213" i="16"/>
  <c r="O212" i="16"/>
  <c r="N212" i="16"/>
  <c r="M212" i="16"/>
  <c r="L212" i="16"/>
  <c r="K212" i="16"/>
  <c r="J212" i="16"/>
  <c r="I212" i="16"/>
  <c r="H212" i="16"/>
  <c r="G212" i="16"/>
  <c r="F212" i="16"/>
  <c r="E212" i="16"/>
  <c r="D212" i="16"/>
  <c r="C212" i="16"/>
  <c r="B212" i="16"/>
  <c r="O211" i="16"/>
  <c r="N211" i="16"/>
  <c r="M211" i="16"/>
  <c r="L211" i="16"/>
  <c r="K211" i="16"/>
  <c r="J211" i="16"/>
  <c r="I211" i="16"/>
  <c r="H211" i="16"/>
  <c r="P211" i="16" s="1"/>
  <c r="G211" i="16"/>
  <c r="F211" i="16"/>
  <c r="E211" i="16"/>
  <c r="D211" i="16"/>
  <c r="C211" i="16"/>
  <c r="B211" i="16"/>
  <c r="O210" i="16"/>
  <c r="N210" i="16"/>
  <c r="M210" i="16"/>
  <c r="L210" i="16"/>
  <c r="K210" i="16"/>
  <c r="J210" i="16"/>
  <c r="I210" i="16"/>
  <c r="H210" i="16"/>
  <c r="P210" i="16" s="1"/>
  <c r="G210" i="16"/>
  <c r="F210" i="16"/>
  <c r="E210" i="16"/>
  <c r="D210" i="16"/>
  <c r="C210" i="16"/>
  <c r="B210" i="16"/>
  <c r="O209" i="16"/>
  <c r="N209" i="16"/>
  <c r="M209" i="16"/>
  <c r="L209" i="16"/>
  <c r="K209" i="16"/>
  <c r="J209" i="16"/>
  <c r="I209" i="16"/>
  <c r="H209" i="16"/>
  <c r="P209" i="16" s="1"/>
  <c r="G209" i="16"/>
  <c r="F209" i="16"/>
  <c r="E209" i="16"/>
  <c r="D209" i="16"/>
  <c r="C209" i="16"/>
  <c r="B209" i="16"/>
  <c r="O208" i="16"/>
  <c r="N208" i="16"/>
  <c r="M208" i="16"/>
  <c r="L208" i="16"/>
  <c r="K208" i="16"/>
  <c r="J208" i="16"/>
  <c r="I208" i="16"/>
  <c r="H208" i="16"/>
  <c r="G208" i="16"/>
  <c r="F208" i="16"/>
  <c r="E208" i="16"/>
  <c r="D208" i="16"/>
  <c r="C208" i="16"/>
  <c r="B208" i="16"/>
  <c r="O205" i="16"/>
  <c r="I205" i="16"/>
  <c r="B205" i="16"/>
  <c r="I204" i="16"/>
  <c r="B204" i="16"/>
  <c r="O199" i="16"/>
  <c r="N199" i="16"/>
  <c r="M199" i="16"/>
  <c r="L199" i="16"/>
  <c r="K199" i="16"/>
  <c r="J199" i="16"/>
  <c r="I199" i="16"/>
  <c r="H199" i="16"/>
  <c r="G199" i="16"/>
  <c r="F199" i="16"/>
  <c r="E199" i="16"/>
  <c r="D199" i="16"/>
  <c r="C199" i="16"/>
  <c r="B199" i="16"/>
  <c r="O198" i="16"/>
  <c r="N198" i="16"/>
  <c r="M198" i="16"/>
  <c r="L198" i="16"/>
  <c r="K198" i="16"/>
  <c r="J198" i="16"/>
  <c r="I198" i="16"/>
  <c r="H198" i="16"/>
  <c r="P198" i="16" s="1"/>
  <c r="G198" i="16"/>
  <c r="F198" i="16"/>
  <c r="E198" i="16"/>
  <c r="D198" i="16"/>
  <c r="C198" i="16"/>
  <c r="B198" i="16"/>
  <c r="O197" i="16"/>
  <c r="N197" i="16"/>
  <c r="M197" i="16"/>
  <c r="L197" i="16"/>
  <c r="K197" i="16"/>
  <c r="J197" i="16"/>
  <c r="I197" i="16"/>
  <c r="H197" i="16"/>
  <c r="G197" i="16"/>
  <c r="F197" i="16"/>
  <c r="E197" i="16"/>
  <c r="D197" i="16"/>
  <c r="C197" i="16"/>
  <c r="B197" i="16"/>
  <c r="O196" i="16"/>
  <c r="N196" i="16"/>
  <c r="M196" i="16"/>
  <c r="L196" i="16"/>
  <c r="K196" i="16"/>
  <c r="J196" i="16"/>
  <c r="I196" i="16"/>
  <c r="H196" i="16"/>
  <c r="P196" i="16" s="1"/>
  <c r="G196" i="16"/>
  <c r="F196" i="16"/>
  <c r="E196" i="16"/>
  <c r="D196" i="16"/>
  <c r="C196" i="16"/>
  <c r="B196" i="16"/>
  <c r="O195" i="16"/>
  <c r="N195" i="16"/>
  <c r="M195" i="16"/>
  <c r="L195" i="16"/>
  <c r="K195" i="16"/>
  <c r="J195" i="16"/>
  <c r="I195" i="16"/>
  <c r="H195" i="16"/>
  <c r="G195" i="16"/>
  <c r="F195" i="16"/>
  <c r="E195" i="16"/>
  <c r="D195" i="16"/>
  <c r="C195" i="16"/>
  <c r="B195" i="16"/>
  <c r="O194" i="16"/>
  <c r="N194" i="16"/>
  <c r="M194" i="16"/>
  <c r="L194" i="16"/>
  <c r="K194" i="16"/>
  <c r="J194" i="16"/>
  <c r="I194" i="16"/>
  <c r="H194" i="16"/>
  <c r="P194" i="16" s="1"/>
  <c r="G194" i="16"/>
  <c r="F194" i="16"/>
  <c r="E194" i="16"/>
  <c r="D194" i="16"/>
  <c r="C194" i="16"/>
  <c r="B194" i="16"/>
  <c r="O193" i="16"/>
  <c r="N193" i="16"/>
  <c r="M193" i="16"/>
  <c r="L193" i="16"/>
  <c r="K193" i="16"/>
  <c r="J193" i="16"/>
  <c r="I193" i="16"/>
  <c r="H193" i="16"/>
  <c r="G193" i="16"/>
  <c r="F193" i="16"/>
  <c r="E193" i="16"/>
  <c r="D193" i="16"/>
  <c r="C193" i="16"/>
  <c r="B193" i="16"/>
  <c r="O192" i="16"/>
  <c r="N192" i="16"/>
  <c r="M192" i="16"/>
  <c r="L192" i="16"/>
  <c r="K192" i="16"/>
  <c r="J192" i="16"/>
  <c r="I192" i="16"/>
  <c r="H192" i="16"/>
  <c r="P192" i="16" s="1"/>
  <c r="G192" i="16"/>
  <c r="F192" i="16"/>
  <c r="E192" i="16"/>
  <c r="D192" i="16"/>
  <c r="C192" i="16"/>
  <c r="B192" i="16"/>
  <c r="O191" i="16"/>
  <c r="N191" i="16"/>
  <c r="M191" i="16"/>
  <c r="L191" i="16"/>
  <c r="K191" i="16"/>
  <c r="J191" i="16"/>
  <c r="I191" i="16"/>
  <c r="H191" i="16"/>
  <c r="G191" i="16"/>
  <c r="F191" i="16"/>
  <c r="E191" i="16"/>
  <c r="D191" i="16"/>
  <c r="C191" i="16"/>
  <c r="B191" i="16"/>
  <c r="O190" i="16"/>
  <c r="N190" i="16"/>
  <c r="M190" i="16"/>
  <c r="L190" i="16"/>
  <c r="K190" i="16"/>
  <c r="J190" i="16"/>
  <c r="I190" i="16"/>
  <c r="H190" i="16"/>
  <c r="P190" i="16" s="1"/>
  <c r="G190" i="16"/>
  <c r="F190" i="16"/>
  <c r="E190" i="16"/>
  <c r="D190" i="16"/>
  <c r="C190" i="16"/>
  <c r="B190" i="16"/>
  <c r="O189" i="16"/>
  <c r="N189" i="16"/>
  <c r="M189" i="16"/>
  <c r="L189" i="16"/>
  <c r="K189" i="16"/>
  <c r="J189" i="16"/>
  <c r="I189" i="16"/>
  <c r="H189" i="16"/>
  <c r="G189" i="16"/>
  <c r="F189" i="16"/>
  <c r="E189" i="16"/>
  <c r="D189" i="16"/>
  <c r="C189" i="16"/>
  <c r="B189" i="16"/>
  <c r="O188" i="16"/>
  <c r="N188" i="16"/>
  <c r="M188" i="16"/>
  <c r="L188" i="16"/>
  <c r="K188" i="16"/>
  <c r="J188" i="16"/>
  <c r="I188" i="16"/>
  <c r="H188" i="16"/>
  <c r="P188" i="16" s="1"/>
  <c r="G188" i="16"/>
  <c r="F188" i="16"/>
  <c r="E188" i="16"/>
  <c r="D188" i="16"/>
  <c r="C188" i="16"/>
  <c r="B188" i="16"/>
  <c r="O187" i="16"/>
  <c r="N187" i="16"/>
  <c r="M187" i="16"/>
  <c r="L187" i="16"/>
  <c r="K187" i="16"/>
  <c r="J187" i="16"/>
  <c r="I187" i="16"/>
  <c r="H187" i="16"/>
  <c r="G187" i="16"/>
  <c r="F187" i="16"/>
  <c r="E187" i="16"/>
  <c r="D187" i="16"/>
  <c r="C187" i="16"/>
  <c r="B187" i="16"/>
  <c r="O186" i="16"/>
  <c r="N186" i="16"/>
  <c r="M186" i="16"/>
  <c r="L186" i="16"/>
  <c r="K186" i="16"/>
  <c r="J186" i="16"/>
  <c r="I186" i="16"/>
  <c r="H186" i="16"/>
  <c r="P186" i="16" s="1"/>
  <c r="G186" i="16"/>
  <c r="F186" i="16"/>
  <c r="E186" i="16"/>
  <c r="D186" i="16"/>
  <c r="C186" i="16"/>
  <c r="B186" i="16"/>
  <c r="O185" i="16"/>
  <c r="N185" i="16"/>
  <c r="M185" i="16"/>
  <c r="L185" i="16"/>
  <c r="K185" i="16"/>
  <c r="J185" i="16"/>
  <c r="I185" i="16"/>
  <c r="H185" i="16"/>
  <c r="G185" i="16"/>
  <c r="F185" i="16"/>
  <c r="E185" i="16"/>
  <c r="D185" i="16"/>
  <c r="C185" i="16"/>
  <c r="B185" i="16"/>
  <c r="O184" i="16"/>
  <c r="N184" i="16"/>
  <c r="M184" i="16"/>
  <c r="L184" i="16"/>
  <c r="K184" i="16"/>
  <c r="J184" i="16"/>
  <c r="I184" i="16"/>
  <c r="H184" i="16"/>
  <c r="P184" i="16" s="1"/>
  <c r="G184" i="16"/>
  <c r="F184" i="16"/>
  <c r="E184" i="16"/>
  <c r="D184" i="16"/>
  <c r="C184" i="16"/>
  <c r="B184" i="16"/>
  <c r="O183" i="16"/>
  <c r="N183" i="16"/>
  <c r="M183" i="16"/>
  <c r="L183" i="16"/>
  <c r="K183" i="16"/>
  <c r="J183" i="16"/>
  <c r="I183" i="16"/>
  <c r="H183" i="16"/>
  <c r="G183" i="16"/>
  <c r="F183" i="16"/>
  <c r="E183" i="16"/>
  <c r="D183" i="16"/>
  <c r="C183" i="16"/>
  <c r="B183" i="16"/>
  <c r="O182" i="16"/>
  <c r="N182" i="16"/>
  <c r="M182" i="16"/>
  <c r="L182" i="16"/>
  <c r="K182" i="16"/>
  <c r="J182" i="16"/>
  <c r="I182" i="16"/>
  <c r="H182" i="16"/>
  <c r="P182" i="16" s="1"/>
  <c r="G182" i="16"/>
  <c r="F182" i="16"/>
  <c r="E182" i="16"/>
  <c r="D182" i="16"/>
  <c r="C182" i="16"/>
  <c r="B182" i="16"/>
  <c r="O181" i="16"/>
  <c r="N181" i="16"/>
  <c r="M181" i="16"/>
  <c r="L181" i="16"/>
  <c r="K181" i="16"/>
  <c r="J181" i="16"/>
  <c r="I181" i="16"/>
  <c r="H181" i="16"/>
  <c r="G181" i="16"/>
  <c r="F181" i="16"/>
  <c r="E181" i="16"/>
  <c r="D181" i="16"/>
  <c r="C181" i="16"/>
  <c r="B181" i="16"/>
  <c r="O180" i="16"/>
  <c r="N180" i="16"/>
  <c r="M180" i="16"/>
  <c r="L180" i="16"/>
  <c r="K180" i="16"/>
  <c r="J180" i="16"/>
  <c r="I180" i="16"/>
  <c r="H180" i="16"/>
  <c r="P180" i="16" s="1"/>
  <c r="G180" i="16"/>
  <c r="F180" i="16"/>
  <c r="E180" i="16"/>
  <c r="D180" i="16"/>
  <c r="C180" i="16"/>
  <c r="B180" i="16"/>
  <c r="O179" i="16"/>
  <c r="N179" i="16"/>
  <c r="M179" i="16"/>
  <c r="L179" i="16"/>
  <c r="K179" i="16"/>
  <c r="J179" i="16"/>
  <c r="I179" i="16"/>
  <c r="H179" i="16"/>
  <c r="G179" i="16"/>
  <c r="F179" i="16"/>
  <c r="E179" i="16"/>
  <c r="D179" i="16"/>
  <c r="C179" i="16"/>
  <c r="B179" i="16"/>
  <c r="O178" i="16"/>
  <c r="N178" i="16"/>
  <c r="M178" i="16"/>
  <c r="L178" i="16"/>
  <c r="K178" i="16"/>
  <c r="J178" i="16"/>
  <c r="I178" i="16"/>
  <c r="H178" i="16"/>
  <c r="P178" i="16" s="1"/>
  <c r="G178" i="16"/>
  <c r="F178" i="16"/>
  <c r="E178" i="16"/>
  <c r="D178" i="16"/>
  <c r="C178" i="16"/>
  <c r="B178" i="16"/>
  <c r="O177" i="16"/>
  <c r="N177" i="16"/>
  <c r="M177" i="16"/>
  <c r="L177" i="16"/>
  <c r="K177" i="16"/>
  <c r="J177" i="16"/>
  <c r="I177" i="16"/>
  <c r="H177" i="16"/>
  <c r="G177" i="16"/>
  <c r="F177" i="16"/>
  <c r="E177" i="16"/>
  <c r="D177" i="16"/>
  <c r="C177" i="16"/>
  <c r="B177" i="16"/>
  <c r="O176" i="16"/>
  <c r="N176" i="16"/>
  <c r="M176" i="16"/>
  <c r="L176" i="16"/>
  <c r="K176" i="16"/>
  <c r="J176" i="16"/>
  <c r="I176" i="16"/>
  <c r="H176" i="16"/>
  <c r="P176" i="16" s="1"/>
  <c r="G176" i="16"/>
  <c r="F176" i="16"/>
  <c r="E176" i="16"/>
  <c r="D176" i="16"/>
  <c r="C176" i="16"/>
  <c r="B176" i="16"/>
  <c r="O175" i="16"/>
  <c r="N175" i="16"/>
  <c r="M175" i="16"/>
  <c r="L175" i="16"/>
  <c r="K175" i="16"/>
  <c r="J175" i="16"/>
  <c r="I175" i="16"/>
  <c r="H175" i="16"/>
  <c r="G175" i="16"/>
  <c r="F175" i="16"/>
  <c r="E175" i="16"/>
  <c r="D175" i="16"/>
  <c r="C175" i="16"/>
  <c r="B175" i="16"/>
  <c r="O174" i="16"/>
  <c r="N174" i="16"/>
  <c r="M174" i="16"/>
  <c r="L174" i="16"/>
  <c r="K174" i="16"/>
  <c r="J174" i="16"/>
  <c r="I174" i="16"/>
  <c r="H174" i="16"/>
  <c r="P174" i="16" s="1"/>
  <c r="G174" i="16"/>
  <c r="F174" i="16"/>
  <c r="E174" i="16"/>
  <c r="D174" i="16"/>
  <c r="C174" i="16"/>
  <c r="B174" i="16"/>
  <c r="O173" i="16"/>
  <c r="N173" i="16"/>
  <c r="M173" i="16"/>
  <c r="L173" i="16"/>
  <c r="K173" i="16"/>
  <c r="J173" i="16"/>
  <c r="I173" i="16"/>
  <c r="H173" i="16"/>
  <c r="G173" i="16"/>
  <c r="F173" i="16"/>
  <c r="E173" i="16"/>
  <c r="D173" i="16"/>
  <c r="C173" i="16"/>
  <c r="B173" i="16"/>
  <c r="O172" i="16"/>
  <c r="N172" i="16"/>
  <c r="M172" i="16"/>
  <c r="L172" i="16"/>
  <c r="K172" i="16"/>
  <c r="J172" i="16"/>
  <c r="I172" i="16"/>
  <c r="H172" i="16"/>
  <c r="P172" i="16" s="1"/>
  <c r="G172" i="16"/>
  <c r="F172" i="16"/>
  <c r="E172" i="16"/>
  <c r="D172" i="16"/>
  <c r="C172" i="16"/>
  <c r="B172" i="16"/>
  <c r="O171" i="16"/>
  <c r="N171" i="16"/>
  <c r="M171" i="16"/>
  <c r="L171" i="16"/>
  <c r="K171" i="16"/>
  <c r="J171" i="16"/>
  <c r="I171" i="16"/>
  <c r="H171" i="16"/>
  <c r="G171" i="16"/>
  <c r="F171" i="16"/>
  <c r="E171" i="16"/>
  <c r="D171" i="16"/>
  <c r="C171" i="16"/>
  <c r="B171" i="16"/>
  <c r="O170" i="16"/>
  <c r="N170" i="16"/>
  <c r="M170" i="16"/>
  <c r="L170" i="16"/>
  <c r="K170" i="16"/>
  <c r="J170" i="16"/>
  <c r="I170" i="16"/>
  <c r="H170" i="16"/>
  <c r="P170" i="16" s="1"/>
  <c r="G170" i="16"/>
  <c r="F170" i="16"/>
  <c r="E170" i="16"/>
  <c r="D170" i="16"/>
  <c r="C170" i="16"/>
  <c r="B170" i="16"/>
  <c r="O169" i="16"/>
  <c r="N169" i="16"/>
  <c r="M169" i="16"/>
  <c r="L169" i="16"/>
  <c r="K169" i="16"/>
  <c r="J169" i="16"/>
  <c r="I169" i="16"/>
  <c r="H169" i="16"/>
  <c r="G169" i="16"/>
  <c r="F169" i="16"/>
  <c r="E169" i="16"/>
  <c r="D169" i="16"/>
  <c r="C169" i="16"/>
  <c r="B169" i="16"/>
  <c r="O168" i="16"/>
  <c r="N168" i="16"/>
  <c r="M168" i="16"/>
  <c r="L168" i="16"/>
  <c r="K168" i="16"/>
  <c r="J168" i="16"/>
  <c r="I168" i="16"/>
  <c r="H168" i="16"/>
  <c r="G168" i="16"/>
  <c r="F168" i="16"/>
  <c r="E168" i="16"/>
  <c r="D168" i="16"/>
  <c r="C168" i="16"/>
  <c r="B168" i="16"/>
  <c r="I165" i="16"/>
  <c r="B165" i="16"/>
  <c r="O165" i="16" s="1"/>
  <c r="I164" i="16"/>
  <c r="B164" i="16"/>
  <c r="O159" i="16"/>
  <c r="N159" i="16"/>
  <c r="M159" i="16"/>
  <c r="L159" i="16"/>
  <c r="K159" i="16"/>
  <c r="J159" i="16"/>
  <c r="I159" i="16"/>
  <c r="H159" i="16"/>
  <c r="G159" i="16"/>
  <c r="F159" i="16"/>
  <c r="E159" i="16"/>
  <c r="D159" i="16"/>
  <c r="C159" i="16"/>
  <c r="B159" i="16"/>
  <c r="O157" i="16"/>
  <c r="N157" i="16"/>
  <c r="M157" i="16"/>
  <c r="L157" i="16"/>
  <c r="K157" i="16"/>
  <c r="J157" i="16"/>
  <c r="I157" i="16"/>
  <c r="H157" i="16"/>
  <c r="G157" i="16"/>
  <c r="F157" i="16"/>
  <c r="E157" i="16"/>
  <c r="D157" i="16"/>
  <c r="C157" i="16"/>
  <c r="B157" i="16"/>
  <c r="O156" i="16"/>
  <c r="N156" i="16"/>
  <c r="M156" i="16"/>
  <c r="L156" i="16"/>
  <c r="K156" i="16"/>
  <c r="J156" i="16"/>
  <c r="I156" i="16"/>
  <c r="H156" i="16"/>
  <c r="G156" i="16"/>
  <c r="F156" i="16"/>
  <c r="E156" i="16"/>
  <c r="D156" i="16"/>
  <c r="C156" i="16"/>
  <c r="B156" i="16"/>
  <c r="O155" i="16"/>
  <c r="N155" i="16"/>
  <c r="M155" i="16"/>
  <c r="L155" i="16"/>
  <c r="K155" i="16"/>
  <c r="J155" i="16"/>
  <c r="I155" i="16"/>
  <c r="H155" i="16"/>
  <c r="G155" i="16"/>
  <c r="F155" i="16"/>
  <c r="E155" i="16"/>
  <c r="D155" i="16"/>
  <c r="C155" i="16"/>
  <c r="B155" i="16"/>
  <c r="O154" i="16"/>
  <c r="N154" i="16"/>
  <c r="M154" i="16"/>
  <c r="L154" i="16"/>
  <c r="K154" i="16"/>
  <c r="J154" i="16"/>
  <c r="I154" i="16"/>
  <c r="H154" i="16"/>
  <c r="G154" i="16"/>
  <c r="F154" i="16"/>
  <c r="E154" i="16"/>
  <c r="D154" i="16"/>
  <c r="C154" i="16"/>
  <c r="B154" i="16"/>
  <c r="O153" i="16"/>
  <c r="N153" i="16"/>
  <c r="M153" i="16"/>
  <c r="L153" i="16"/>
  <c r="K153" i="16"/>
  <c r="J153" i="16"/>
  <c r="I153" i="16"/>
  <c r="H153" i="16"/>
  <c r="G153" i="16"/>
  <c r="F153" i="16"/>
  <c r="E153" i="16"/>
  <c r="D153" i="16"/>
  <c r="C153" i="16"/>
  <c r="B153" i="16"/>
  <c r="O152" i="16"/>
  <c r="N152" i="16"/>
  <c r="M152" i="16"/>
  <c r="L152" i="16"/>
  <c r="K152" i="16"/>
  <c r="J152" i="16"/>
  <c r="I152" i="16"/>
  <c r="H152" i="16"/>
  <c r="G152" i="16"/>
  <c r="F152" i="16"/>
  <c r="E152" i="16"/>
  <c r="D152" i="16"/>
  <c r="C152" i="16"/>
  <c r="B152" i="16"/>
  <c r="O151" i="16"/>
  <c r="N151" i="16"/>
  <c r="M151" i="16"/>
  <c r="L151" i="16"/>
  <c r="K151" i="16"/>
  <c r="J151" i="16"/>
  <c r="I151" i="16"/>
  <c r="H151" i="16"/>
  <c r="G151" i="16"/>
  <c r="F151" i="16"/>
  <c r="E151" i="16"/>
  <c r="D151" i="16"/>
  <c r="C151" i="16"/>
  <c r="B151" i="16"/>
  <c r="O150" i="16"/>
  <c r="N150" i="16"/>
  <c r="M150" i="16"/>
  <c r="L150" i="16"/>
  <c r="K150" i="16"/>
  <c r="J150" i="16"/>
  <c r="I150" i="16"/>
  <c r="H150" i="16"/>
  <c r="G150" i="16"/>
  <c r="F150" i="16"/>
  <c r="E150" i="16"/>
  <c r="D150" i="16"/>
  <c r="C150" i="16"/>
  <c r="B150" i="16"/>
  <c r="O149" i="16"/>
  <c r="N149" i="16"/>
  <c r="M149" i="16"/>
  <c r="L149" i="16"/>
  <c r="K149" i="16"/>
  <c r="J149" i="16"/>
  <c r="I149" i="16"/>
  <c r="H149" i="16"/>
  <c r="G149" i="16"/>
  <c r="F149" i="16"/>
  <c r="E149" i="16"/>
  <c r="D149" i="16"/>
  <c r="C149" i="16"/>
  <c r="B149" i="16"/>
  <c r="O148" i="16"/>
  <c r="N148" i="16"/>
  <c r="M148" i="16"/>
  <c r="L148" i="16"/>
  <c r="K148" i="16"/>
  <c r="J148" i="16"/>
  <c r="I148" i="16"/>
  <c r="H148" i="16"/>
  <c r="G148" i="16"/>
  <c r="F148" i="16"/>
  <c r="E148" i="16"/>
  <c r="D148" i="16"/>
  <c r="C148" i="16"/>
  <c r="B148" i="16"/>
  <c r="O147" i="16"/>
  <c r="N147" i="16"/>
  <c r="M147" i="16"/>
  <c r="L147" i="16"/>
  <c r="K147" i="16"/>
  <c r="J147" i="16"/>
  <c r="I147" i="16"/>
  <c r="H147" i="16"/>
  <c r="G147" i="16"/>
  <c r="F147" i="16"/>
  <c r="E147" i="16"/>
  <c r="D147" i="16"/>
  <c r="C147" i="16"/>
  <c r="B147" i="16"/>
  <c r="O146" i="16"/>
  <c r="N146" i="16"/>
  <c r="M146" i="16"/>
  <c r="L146" i="16"/>
  <c r="K146" i="16"/>
  <c r="J146" i="16"/>
  <c r="I146" i="16"/>
  <c r="H146" i="16"/>
  <c r="G146" i="16"/>
  <c r="F146" i="16"/>
  <c r="E146" i="16"/>
  <c r="D146" i="16"/>
  <c r="C146" i="16"/>
  <c r="B146" i="16"/>
  <c r="O145" i="16"/>
  <c r="N145" i="16"/>
  <c r="M145" i="16"/>
  <c r="L145" i="16"/>
  <c r="K145" i="16"/>
  <c r="J145" i="16"/>
  <c r="I145" i="16"/>
  <c r="H145" i="16"/>
  <c r="G145" i="16"/>
  <c r="F145" i="16"/>
  <c r="E145" i="16"/>
  <c r="D145" i="16"/>
  <c r="C145" i="16"/>
  <c r="B145" i="16"/>
  <c r="O144" i="16"/>
  <c r="N144" i="16"/>
  <c r="M144" i="16"/>
  <c r="L144" i="16"/>
  <c r="K144" i="16"/>
  <c r="J144" i="16"/>
  <c r="I144" i="16"/>
  <c r="H144" i="16"/>
  <c r="G144" i="16"/>
  <c r="F144" i="16"/>
  <c r="E144" i="16"/>
  <c r="D144" i="16"/>
  <c r="C144" i="16"/>
  <c r="B144" i="16"/>
  <c r="O143" i="16"/>
  <c r="N143" i="16"/>
  <c r="M143" i="16"/>
  <c r="L143" i="16"/>
  <c r="K143" i="16"/>
  <c r="J143" i="16"/>
  <c r="I143" i="16"/>
  <c r="H143" i="16"/>
  <c r="G143" i="16"/>
  <c r="F143" i="16"/>
  <c r="E143" i="16"/>
  <c r="D143" i="16"/>
  <c r="C143" i="16"/>
  <c r="B143" i="16"/>
  <c r="O142" i="16"/>
  <c r="N142" i="16"/>
  <c r="M142" i="16"/>
  <c r="L142" i="16"/>
  <c r="K142" i="16"/>
  <c r="J142" i="16"/>
  <c r="I142" i="16"/>
  <c r="H142" i="16"/>
  <c r="G142" i="16"/>
  <c r="F142" i="16"/>
  <c r="E142" i="16"/>
  <c r="D142" i="16"/>
  <c r="C142" i="16"/>
  <c r="B142" i="16"/>
  <c r="O141" i="16"/>
  <c r="N141" i="16"/>
  <c r="M141" i="16"/>
  <c r="L141" i="16"/>
  <c r="K141" i="16"/>
  <c r="J141" i="16"/>
  <c r="I141" i="16"/>
  <c r="H141" i="16"/>
  <c r="G141" i="16"/>
  <c r="F141" i="16"/>
  <c r="E141" i="16"/>
  <c r="D141" i="16"/>
  <c r="C141" i="16"/>
  <c r="B141" i="16"/>
  <c r="O140" i="16"/>
  <c r="N140" i="16"/>
  <c r="M140" i="16"/>
  <c r="L140" i="16"/>
  <c r="K140" i="16"/>
  <c r="J140" i="16"/>
  <c r="I140" i="16"/>
  <c r="H140" i="16"/>
  <c r="G140" i="16"/>
  <c r="F140" i="16"/>
  <c r="E140" i="16"/>
  <c r="D140" i="16"/>
  <c r="C140" i="16"/>
  <c r="B140" i="16"/>
  <c r="O139" i="16"/>
  <c r="N139" i="16"/>
  <c r="M139" i="16"/>
  <c r="L139" i="16"/>
  <c r="K139" i="16"/>
  <c r="J139" i="16"/>
  <c r="I139" i="16"/>
  <c r="H139" i="16"/>
  <c r="G139" i="16"/>
  <c r="F139" i="16"/>
  <c r="E139" i="16"/>
  <c r="D139" i="16"/>
  <c r="C139" i="16"/>
  <c r="B139" i="16"/>
  <c r="O138" i="16"/>
  <c r="N138" i="16"/>
  <c r="M138" i="16"/>
  <c r="L138" i="16"/>
  <c r="K138" i="16"/>
  <c r="J138" i="16"/>
  <c r="I138" i="16"/>
  <c r="H138" i="16"/>
  <c r="G138" i="16"/>
  <c r="F138" i="16"/>
  <c r="E138" i="16"/>
  <c r="D138" i="16"/>
  <c r="C138" i="16"/>
  <c r="B138" i="16"/>
  <c r="O137" i="16"/>
  <c r="N137" i="16"/>
  <c r="M137" i="16"/>
  <c r="L137" i="16"/>
  <c r="K137" i="16"/>
  <c r="J137" i="16"/>
  <c r="I137" i="16"/>
  <c r="H137" i="16"/>
  <c r="G137" i="16"/>
  <c r="F137" i="16"/>
  <c r="E137" i="16"/>
  <c r="D137" i="16"/>
  <c r="C137" i="16"/>
  <c r="B137" i="16"/>
  <c r="O136" i="16"/>
  <c r="N136" i="16"/>
  <c r="M136" i="16"/>
  <c r="L136" i="16"/>
  <c r="K136" i="16"/>
  <c r="J136" i="16"/>
  <c r="I136" i="16"/>
  <c r="H136" i="16"/>
  <c r="G136" i="16"/>
  <c r="F136" i="16"/>
  <c r="E136" i="16"/>
  <c r="D136" i="16"/>
  <c r="C136" i="16"/>
  <c r="B136" i="16"/>
  <c r="O135" i="16"/>
  <c r="N135" i="16"/>
  <c r="M135" i="16"/>
  <c r="L135" i="16"/>
  <c r="K135" i="16"/>
  <c r="J135" i="16"/>
  <c r="I135" i="16"/>
  <c r="H135" i="16"/>
  <c r="G135" i="16"/>
  <c r="F135" i="16"/>
  <c r="E135" i="16"/>
  <c r="D135" i="16"/>
  <c r="C135" i="16"/>
  <c r="B135" i="16"/>
  <c r="O134" i="16"/>
  <c r="N134" i="16"/>
  <c r="M134" i="16"/>
  <c r="L134" i="16"/>
  <c r="K134" i="16"/>
  <c r="J134" i="16"/>
  <c r="I134" i="16"/>
  <c r="H134" i="16"/>
  <c r="G134" i="16"/>
  <c r="F134" i="16"/>
  <c r="E134" i="16"/>
  <c r="D134" i="16"/>
  <c r="C134" i="16"/>
  <c r="B134" i="16"/>
  <c r="O133" i="16"/>
  <c r="N133" i="16"/>
  <c r="M133" i="16"/>
  <c r="L133" i="16"/>
  <c r="K133" i="16"/>
  <c r="J133" i="16"/>
  <c r="I133" i="16"/>
  <c r="H133" i="16"/>
  <c r="G133" i="16"/>
  <c r="F133" i="16"/>
  <c r="E133" i="16"/>
  <c r="D133" i="16"/>
  <c r="C133" i="16"/>
  <c r="B133" i="16"/>
  <c r="O132" i="16"/>
  <c r="N132" i="16"/>
  <c r="M132" i="16"/>
  <c r="L132" i="16"/>
  <c r="K132" i="16"/>
  <c r="J132" i="16"/>
  <c r="I132" i="16"/>
  <c r="H132" i="16"/>
  <c r="G132" i="16"/>
  <c r="F132" i="16"/>
  <c r="E132" i="16"/>
  <c r="D132" i="16"/>
  <c r="C132" i="16"/>
  <c r="B132" i="16"/>
  <c r="O131" i="16"/>
  <c r="N131" i="16"/>
  <c r="M131" i="16"/>
  <c r="L131" i="16"/>
  <c r="K131" i="16"/>
  <c r="J131" i="16"/>
  <c r="I131" i="16"/>
  <c r="H131" i="16"/>
  <c r="G131" i="16"/>
  <c r="F131" i="16"/>
  <c r="E131" i="16"/>
  <c r="D131" i="16"/>
  <c r="C131" i="16"/>
  <c r="B131" i="16"/>
  <c r="O130" i="16"/>
  <c r="N130" i="16"/>
  <c r="M130" i="16"/>
  <c r="L130" i="16"/>
  <c r="K130" i="16"/>
  <c r="J130" i="16"/>
  <c r="I130" i="16"/>
  <c r="H130" i="16"/>
  <c r="G130" i="16"/>
  <c r="F130" i="16"/>
  <c r="E130" i="16"/>
  <c r="D130" i="16"/>
  <c r="C130" i="16"/>
  <c r="B130" i="16"/>
  <c r="O129" i="16"/>
  <c r="N129" i="16"/>
  <c r="M129" i="16"/>
  <c r="L129" i="16"/>
  <c r="K129" i="16"/>
  <c r="J129" i="16"/>
  <c r="I129" i="16"/>
  <c r="H129" i="16"/>
  <c r="G129" i="16"/>
  <c r="F129" i="16"/>
  <c r="E129" i="16"/>
  <c r="D129" i="16"/>
  <c r="C129" i="16"/>
  <c r="B129" i="16"/>
  <c r="O128" i="16"/>
  <c r="N128" i="16"/>
  <c r="M128" i="16"/>
  <c r="L128" i="16"/>
  <c r="K128" i="16"/>
  <c r="J128" i="16"/>
  <c r="I128" i="16"/>
  <c r="H128" i="16"/>
  <c r="G128" i="16"/>
  <c r="F128" i="16"/>
  <c r="E128" i="16"/>
  <c r="D128" i="16"/>
  <c r="C128" i="16"/>
  <c r="B128" i="16"/>
  <c r="I125" i="16"/>
  <c r="B125" i="16"/>
  <c r="O125" i="16" s="1"/>
  <c r="I124" i="16"/>
  <c r="B124" i="16"/>
  <c r="O119" i="16"/>
  <c r="N119" i="16"/>
  <c r="M119" i="16"/>
  <c r="L119" i="16"/>
  <c r="K119" i="16"/>
  <c r="J119" i="16"/>
  <c r="I119" i="16"/>
  <c r="H119" i="16"/>
  <c r="G119" i="16"/>
  <c r="F119" i="16"/>
  <c r="E119" i="16"/>
  <c r="D119" i="16"/>
  <c r="C119" i="16"/>
  <c r="B119" i="16"/>
  <c r="O118" i="16"/>
  <c r="N118" i="16"/>
  <c r="M118" i="16"/>
  <c r="L118" i="16"/>
  <c r="K118" i="16"/>
  <c r="J118" i="16"/>
  <c r="I118" i="16"/>
  <c r="H118" i="16"/>
  <c r="G118" i="16"/>
  <c r="F118" i="16"/>
  <c r="E118" i="16"/>
  <c r="D118" i="16"/>
  <c r="C118" i="16"/>
  <c r="B118" i="16"/>
  <c r="O117" i="16"/>
  <c r="N117" i="16"/>
  <c r="M117" i="16"/>
  <c r="L117" i="16"/>
  <c r="K117" i="16"/>
  <c r="J117" i="16"/>
  <c r="I117" i="16"/>
  <c r="H117" i="16"/>
  <c r="P117" i="16" s="1"/>
  <c r="G117" i="16"/>
  <c r="F117" i="16"/>
  <c r="E117" i="16"/>
  <c r="D117" i="16"/>
  <c r="C117" i="16"/>
  <c r="B117" i="16"/>
  <c r="O116" i="16"/>
  <c r="N116" i="16"/>
  <c r="M116" i="16"/>
  <c r="L116" i="16"/>
  <c r="K116" i="16"/>
  <c r="J116" i="16"/>
  <c r="I116" i="16"/>
  <c r="H116" i="16"/>
  <c r="G116" i="16"/>
  <c r="F116" i="16"/>
  <c r="E116" i="16"/>
  <c r="D116" i="16"/>
  <c r="C116" i="16"/>
  <c r="B116" i="16"/>
  <c r="O115" i="16"/>
  <c r="N115" i="16"/>
  <c r="M115" i="16"/>
  <c r="L115" i="16"/>
  <c r="K115" i="16"/>
  <c r="J115" i="16"/>
  <c r="I115" i="16"/>
  <c r="H115" i="16"/>
  <c r="G115" i="16"/>
  <c r="F115" i="16"/>
  <c r="E115" i="16"/>
  <c r="D115" i="16"/>
  <c r="C115" i="16"/>
  <c r="B115" i="16"/>
  <c r="O114" i="16"/>
  <c r="N114" i="16"/>
  <c r="M114" i="16"/>
  <c r="L114" i="16"/>
  <c r="K114" i="16"/>
  <c r="J114" i="16"/>
  <c r="I114" i="16"/>
  <c r="H114" i="16"/>
  <c r="G114" i="16"/>
  <c r="F114" i="16"/>
  <c r="E114" i="16"/>
  <c r="D114" i="16"/>
  <c r="C114" i="16"/>
  <c r="B114" i="16"/>
  <c r="O113" i="16"/>
  <c r="N113" i="16"/>
  <c r="M113" i="16"/>
  <c r="L113" i="16"/>
  <c r="K113" i="16"/>
  <c r="J113" i="16"/>
  <c r="I113" i="16"/>
  <c r="H113" i="16"/>
  <c r="P113" i="16" s="1"/>
  <c r="G113" i="16"/>
  <c r="F113" i="16"/>
  <c r="E113" i="16"/>
  <c r="D113" i="16"/>
  <c r="C113" i="16"/>
  <c r="B113" i="16"/>
  <c r="O112" i="16"/>
  <c r="N112" i="16"/>
  <c r="M112" i="16"/>
  <c r="L112" i="16"/>
  <c r="K112" i="16"/>
  <c r="J112" i="16"/>
  <c r="I112" i="16"/>
  <c r="H112" i="16"/>
  <c r="G112" i="16"/>
  <c r="F112" i="16"/>
  <c r="E112" i="16"/>
  <c r="D112" i="16"/>
  <c r="C112" i="16"/>
  <c r="B112" i="16"/>
  <c r="O111" i="16"/>
  <c r="N111" i="16"/>
  <c r="M111" i="16"/>
  <c r="L111" i="16"/>
  <c r="K111" i="16"/>
  <c r="J111" i="16"/>
  <c r="I111" i="16"/>
  <c r="H111" i="16"/>
  <c r="G111" i="16"/>
  <c r="F111" i="16"/>
  <c r="E111" i="16"/>
  <c r="D111" i="16"/>
  <c r="C111" i="16"/>
  <c r="B111" i="16"/>
  <c r="O110" i="16"/>
  <c r="N110" i="16"/>
  <c r="M110" i="16"/>
  <c r="L110" i="16"/>
  <c r="K110" i="16"/>
  <c r="J110" i="16"/>
  <c r="I110" i="16"/>
  <c r="H110" i="16"/>
  <c r="G110" i="16"/>
  <c r="F110" i="16"/>
  <c r="E110" i="16"/>
  <c r="D110" i="16"/>
  <c r="C110" i="16"/>
  <c r="B110" i="16"/>
  <c r="O109" i="16"/>
  <c r="N109" i="16"/>
  <c r="M109" i="16"/>
  <c r="L109" i="16"/>
  <c r="K109" i="16"/>
  <c r="J109" i="16"/>
  <c r="I109" i="16"/>
  <c r="H109" i="16"/>
  <c r="P109" i="16" s="1"/>
  <c r="G109" i="16"/>
  <c r="F109" i="16"/>
  <c r="E109" i="16"/>
  <c r="D109" i="16"/>
  <c r="C109" i="16"/>
  <c r="B109" i="16"/>
  <c r="O108" i="16"/>
  <c r="N108" i="16"/>
  <c r="M108" i="16"/>
  <c r="L108" i="16"/>
  <c r="K108" i="16"/>
  <c r="J108" i="16"/>
  <c r="I108" i="16"/>
  <c r="H108" i="16"/>
  <c r="G108" i="16"/>
  <c r="F108" i="16"/>
  <c r="E108" i="16"/>
  <c r="D108" i="16"/>
  <c r="C108" i="16"/>
  <c r="B108" i="16"/>
  <c r="O107" i="16"/>
  <c r="N107" i="16"/>
  <c r="M107" i="16"/>
  <c r="L107" i="16"/>
  <c r="K107" i="16"/>
  <c r="J107" i="16"/>
  <c r="I107" i="16"/>
  <c r="H107" i="16"/>
  <c r="P107" i="16" s="1"/>
  <c r="G107" i="16"/>
  <c r="F107" i="16"/>
  <c r="E107" i="16"/>
  <c r="D107" i="16"/>
  <c r="C107" i="16"/>
  <c r="B107" i="16"/>
  <c r="O106" i="16"/>
  <c r="N106" i="16"/>
  <c r="M106" i="16"/>
  <c r="L106" i="16"/>
  <c r="K106" i="16"/>
  <c r="J106" i="16"/>
  <c r="I106" i="16"/>
  <c r="H106" i="16"/>
  <c r="G106" i="16"/>
  <c r="F106" i="16"/>
  <c r="E106" i="16"/>
  <c r="D106" i="16"/>
  <c r="C106" i="16"/>
  <c r="B106" i="16"/>
  <c r="O105" i="16"/>
  <c r="N105" i="16"/>
  <c r="M105" i="16"/>
  <c r="L105" i="16"/>
  <c r="K105" i="16"/>
  <c r="J105" i="16"/>
  <c r="I105" i="16"/>
  <c r="H105" i="16"/>
  <c r="P105" i="16" s="1"/>
  <c r="G105" i="16"/>
  <c r="F105" i="16"/>
  <c r="E105" i="16"/>
  <c r="D105" i="16"/>
  <c r="C105" i="16"/>
  <c r="B105" i="16"/>
  <c r="O104" i="16"/>
  <c r="N104" i="16"/>
  <c r="M104" i="16"/>
  <c r="L104" i="16"/>
  <c r="K104" i="16"/>
  <c r="J104" i="16"/>
  <c r="I104" i="16"/>
  <c r="H104" i="16"/>
  <c r="G104" i="16"/>
  <c r="F104" i="16"/>
  <c r="E104" i="16"/>
  <c r="D104" i="16"/>
  <c r="C104" i="16"/>
  <c r="B104" i="16"/>
  <c r="O103" i="16"/>
  <c r="N103" i="16"/>
  <c r="M103" i="16"/>
  <c r="L103" i="16"/>
  <c r="K103" i="16"/>
  <c r="J103" i="16"/>
  <c r="I103" i="16"/>
  <c r="H103" i="16"/>
  <c r="P103" i="16" s="1"/>
  <c r="G103" i="16"/>
  <c r="F103" i="16"/>
  <c r="E103" i="16"/>
  <c r="D103" i="16"/>
  <c r="C103" i="16"/>
  <c r="B103" i="16"/>
  <c r="O102" i="16"/>
  <c r="N102" i="16"/>
  <c r="M102" i="16"/>
  <c r="L102" i="16"/>
  <c r="K102" i="16"/>
  <c r="J102" i="16"/>
  <c r="I102" i="16"/>
  <c r="H102" i="16"/>
  <c r="G102" i="16"/>
  <c r="F102" i="16"/>
  <c r="E102" i="16"/>
  <c r="D102" i="16"/>
  <c r="C102" i="16"/>
  <c r="B102" i="16"/>
  <c r="O101" i="16"/>
  <c r="N101" i="16"/>
  <c r="M101" i="16"/>
  <c r="L101" i="16"/>
  <c r="K101" i="16"/>
  <c r="J101" i="16"/>
  <c r="I101" i="16"/>
  <c r="H101" i="16"/>
  <c r="G101" i="16"/>
  <c r="F101" i="16"/>
  <c r="E101" i="16"/>
  <c r="D101" i="16"/>
  <c r="C101" i="16"/>
  <c r="B101" i="16"/>
  <c r="O100" i="16"/>
  <c r="N100" i="16"/>
  <c r="M100" i="16"/>
  <c r="L100" i="16"/>
  <c r="K100" i="16"/>
  <c r="J100" i="16"/>
  <c r="I100" i="16"/>
  <c r="H100" i="16"/>
  <c r="G100" i="16"/>
  <c r="F100" i="16"/>
  <c r="E100" i="16"/>
  <c r="D100" i="16"/>
  <c r="C100" i="16"/>
  <c r="B100" i="16"/>
  <c r="O99" i="16"/>
  <c r="N99" i="16"/>
  <c r="M99" i="16"/>
  <c r="L99" i="16"/>
  <c r="K99" i="16"/>
  <c r="J99" i="16"/>
  <c r="I99" i="16"/>
  <c r="H99" i="16"/>
  <c r="G99" i="16"/>
  <c r="F99" i="16"/>
  <c r="E99" i="16"/>
  <c r="D99" i="16"/>
  <c r="C99" i="16"/>
  <c r="B99" i="16"/>
  <c r="O98" i="16"/>
  <c r="N98" i="16"/>
  <c r="M98" i="16"/>
  <c r="L98" i="16"/>
  <c r="K98" i="16"/>
  <c r="J98" i="16"/>
  <c r="I98" i="16"/>
  <c r="H98" i="16"/>
  <c r="G98" i="16"/>
  <c r="F98" i="16"/>
  <c r="E98" i="16"/>
  <c r="D98" i="16"/>
  <c r="C98" i="16"/>
  <c r="B98" i="16"/>
  <c r="O97" i="16"/>
  <c r="N97" i="16"/>
  <c r="M97" i="16"/>
  <c r="L97" i="16"/>
  <c r="K97" i="16"/>
  <c r="J97" i="16"/>
  <c r="I97" i="16"/>
  <c r="H97" i="16"/>
  <c r="G97" i="16"/>
  <c r="F97" i="16"/>
  <c r="E97" i="16"/>
  <c r="D97" i="16"/>
  <c r="C97" i="16"/>
  <c r="B97" i="16"/>
  <c r="O96" i="16"/>
  <c r="N96" i="16"/>
  <c r="M96" i="16"/>
  <c r="L96" i="16"/>
  <c r="K96" i="16"/>
  <c r="J96" i="16"/>
  <c r="I96" i="16"/>
  <c r="H96" i="16"/>
  <c r="G96" i="16"/>
  <c r="F96" i="16"/>
  <c r="E96" i="16"/>
  <c r="D96" i="16"/>
  <c r="C96" i="16"/>
  <c r="B96" i="16"/>
  <c r="O95" i="16"/>
  <c r="N95" i="16"/>
  <c r="M95" i="16"/>
  <c r="L95" i="16"/>
  <c r="K95" i="16"/>
  <c r="J95" i="16"/>
  <c r="I95" i="16"/>
  <c r="H95" i="16"/>
  <c r="G95" i="16"/>
  <c r="F95" i="16"/>
  <c r="E95" i="16"/>
  <c r="D95" i="16"/>
  <c r="C95" i="16"/>
  <c r="B95" i="16"/>
  <c r="O94" i="16"/>
  <c r="N94" i="16"/>
  <c r="M94" i="16"/>
  <c r="L94" i="16"/>
  <c r="K94" i="16"/>
  <c r="J94" i="16"/>
  <c r="I94" i="16"/>
  <c r="H94" i="16"/>
  <c r="G94" i="16"/>
  <c r="F94" i="16"/>
  <c r="E94" i="16"/>
  <c r="D94" i="16"/>
  <c r="C94" i="16"/>
  <c r="B94" i="16"/>
  <c r="O93" i="16"/>
  <c r="N93" i="16"/>
  <c r="M93" i="16"/>
  <c r="L93" i="16"/>
  <c r="K93" i="16"/>
  <c r="J93" i="16"/>
  <c r="I93" i="16"/>
  <c r="H93" i="16"/>
  <c r="G93" i="16"/>
  <c r="F93" i="16"/>
  <c r="E93" i="16"/>
  <c r="D93" i="16"/>
  <c r="C93" i="16"/>
  <c r="B93" i="16"/>
  <c r="O92" i="16"/>
  <c r="N92" i="16"/>
  <c r="M92" i="16"/>
  <c r="L92" i="16"/>
  <c r="K92" i="16"/>
  <c r="J92" i="16"/>
  <c r="I92" i="16"/>
  <c r="H92" i="16"/>
  <c r="G92" i="16"/>
  <c r="F92" i="16"/>
  <c r="E92" i="16"/>
  <c r="D92" i="16"/>
  <c r="C92" i="16"/>
  <c r="B92" i="16"/>
  <c r="O91" i="16"/>
  <c r="N91" i="16"/>
  <c r="M91" i="16"/>
  <c r="L91" i="16"/>
  <c r="K91" i="16"/>
  <c r="J91" i="16"/>
  <c r="I91" i="16"/>
  <c r="H91" i="16"/>
  <c r="G91" i="16"/>
  <c r="F91" i="16"/>
  <c r="E91" i="16"/>
  <c r="D91" i="16"/>
  <c r="C91" i="16"/>
  <c r="B91" i="16"/>
  <c r="O90" i="16"/>
  <c r="N90" i="16"/>
  <c r="M90" i="16"/>
  <c r="L90" i="16"/>
  <c r="K90" i="16"/>
  <c r="J90" i="16"/>
  <c r="I90" i="16"/>
  <c r="H90" i="16"/>
  <c r="G90" i="16"/>
  <c r="F90" i="16"/>
  <c r="E90" i="16"/>
  <c r="D90" i="16"/>
  <c r="C90" i="16"/>
  <c r="B90" i="16"/>
  <c r="O89" i="16"/>
  <c r="N89" i="16"/>
  <c r="M89" i="16"/>
  <c r="L89" i="16"/>
  <c r="K89" i="16"/>
  <c r="J89" i="16"/>
  <c r="I89" i="16"/>
  <c r="H89" i="16"/>
  <c r="G89" i="16"/>
  <c r="F89" i="16"/>
  <c r="E89" i="16"/>
  <c r="D89" i="16"/>
  <c r="C89" i="16"/>
  <c r="B89" i="16"/>
  <c r="O88" i="16"/>
  <c r="N88" i="16"/>
  <c r="M88" i="16"/>
  <c r="L88" i="16"/>
  <c r="K88" i="16"/>
  <c r="J88" i="16"/>
  <c r="I88" i="16"/>
  <c r="H88" i="16"/>
  <c r="G88" i="16"/>
  <c r="F88" i="16"/>
  <c r="E88" i="16"/>
  <c r="D88" i="16"/>
  <c r="C88" i="16"/>
  <c r="B88" i="16"/>
  <c r="I85" i="16"/>
  <c r="B85" i="16"/>
  <c r="O85" i="16" s="1"/>
  <c r="I84" i="16"/>
  <c r="B84" i="16"/>
  <c r="O79" i="16"/>
  <c r="N79" i="16"/>
  <c r="M79" i="16"/>
  <c r="L79" i="16"/>
  <c r="K79" i="16"/>
  <c r="J79" i="16"/>
  <c r="I79" i="16"/>
  <c r="H79" i="16"/>
  <c r="G79" i="16"/>
  <c r="F79" i="16"/>
  <c r="E79" i="16"/>
  <c r="D79" i="16"/>
  <c r="C79" i="16"/>
  <c r="B79" i="16"/>
  <c r="O75" i="16"/>
  <c r="N75" i="16"/>
  <c r="M75" i="16"/>
  <c r="L75" i="16"/>
  <c r="K75" i="16"/>
  <c r="J75" i="16"/>
  <c r="I75" i="16"/>
  <c r="H75" i="16"/>
  <c r="G75" i="16"/>
  <c r="F75" i="16"/>
  <c r="E75" i="16"/>
  <c r="D75" i="16"/>
  <c r="C75" i="16"/>
  <c r="B75" i="16"/>
  <c r="O74" i="16"/>
  <c r="N74" i="16"/>
  <c r="M74" i="16"/>
  <c r="L74" i="16"/>
  <c r="K74" i="16"/>
  <c r="J74" i="16"/>
  <c r="I74" i="16"/>
  <c r="H74" i="16"/>
  <c r="G74" i="16"/>
  <c r="F74" i="16"/>
  <c r="E74" i="16"/>
  <c r="D74" i="16"/>
  <c r="C74" i="16"/>
  <c r="B74" i="16"/>
  <c r="O73" i="16"/>
  <c r="N73" i="16"/>
  <c r="M73" i="16"/>
  <c r="L73" i="16"/>
  <c r="K73" i="16"/>
  <c r="J73" i="16"/>
  <c r="I73" i="16"/>
  <c r="H73" i="16"/>
  <c r="G73" i="16"/>
  <c r="F73" i="16"/>
  <c r="E73" i="16"/>
  <c r="D73" i="16"/>
  <c r="C73" i="16"/>
  <c r="B73" i="16"/>
  <c r="O72" i="16"/>
  <c r="N72" i="16"/>
  <c r="M72" i="16"/>
  <c r="L72" i="16"/>
  <c r="K72" i="16"/>
  <c r="J72" i="16"/>
  <c r="I72" i="16"/>
  <c r="H72" i="16"/>
  <c r="G72" i="16"/>
  <c r="F72" i="16"/>
  <c r="E72" i="16"/>
  <c r="D72" i="16"/>
  <c r="C72" i="16"/>
  <c r="B72" i="16"/>
  <c r="O71" i="16"/>
  <c r="N71" i="16"/>
  <c r="M71" i="16"/>
  <c r="L71" i="16"/>
  <c r="K71" i="16"/>
  <c r="J71" i="16"/>
  <c r="I71" i="16"/>
  <c r="H71" i="16"/>
  <c r="G71" i="16"/>
  <c r="F71" i="16"/>
  <c r="E71" i="16"/>
  <c r="D71" i="16"/>
  <c r="C71" i="16"/>
  <c r="B71" i="16"/>
  <c r="O70" i="16"/>
  <c r="N70" i="16"/>
  <c r="M70" i="16"/>
  <c r="L70" i="16"/>
  <c r="K70" i="16"/>
  <c r="J70" i="16"/>
  <c r="I70" i="16"/>
  <c r="H70" i="16"/>
  <c r="G70" i="16"/>
  <c r="F70" i="16"/>
  <c r="E70" i="16"/>
  <c r="D70" i="16"/>
  <c r="C70" i="16"/>
  <c r="B70" i="16"/>
  <c r="O69" i="16"/>
  <c r="N69" i="16"/>
  <c r="M69" i="16"/>
  <c r="L69" i="16"/>
  <c r="K69" i="16"/>
  <c r="J69" i="16"/>
  <c r="I69" i="16"/>
  <c r="H69" i="16"/>
  <c r="G69" i="16"/>
  <c r="F69" i="16"/>
  <c r="E69" i="16"/>
  <c r="D69" i="16"/>
  <c r="C69" i="16"/>
  <c r="B69" i="16"/>
  <c r="O68" i="16"/>
  <c r="N68" i="16"/>
  <c r="M68" i="16"/>
  <c r="L68" i="16"/>
  <c r="K68" i="16"/>
  <c r="J68" i="16"/>
  <c r="I68" i="16"/>
  <c r="H68" i="16"/>
  <c r="G68" i="16"/>
  <c r="F68" i="16"/>
  <c r="E68" i="16"/>
  <c r="D68" i="16"/>
  <c r="C68" i="16"/>
  <c r="B68" i="16"/>
  <c r="O67" i="16"/>
  <c r="N67" i="16"/>
  <c r="M67" i="16"/>
  <c r="L67" i="16"/>
  <c r="K67" i="16"/>
  <c r="J67" i="16"/>
  <c r="I67" i="16"/>
  <c r="H67" i="16"/>
  <c r="G67" i="16"/>
  <c r="F67" i="16"/>
  <c r="E67" i="16"/>
  <c r="D67" i="16"/>
  <c r="C67" i="16"/>
  <c r="B67" i="16"/>
  <c r="O66" i="16"/>
  <c r="N66" i="16"/>
  <c r="M66" i="16"/>
  <c r="L66" i="16"/>
  <c r="K66" i="16"/>
  <c r="J66" i="16"/>
  <c r="I66" i="16"/>
  <c r="H66" i="16"/>
  <c r="G66" i="16"/>
  <c r="F66" i="16"/>
  <c r="E66" i="16"/>
  <c r="D66" i="16"/>
  <c r="C66" i="16"/>
  <c r="B66" i="16"/>
  <c r="O65" i="16"/>
  <c r="N65" i="16"/>
  <c r="M65" i="16"/>
  <c r="L65" i="16"/>
  <c r="K65" i="16"/>
  <c r="J65" i="16"/>
  <c r="I65" i="16"/>
  <c r="H65" i="16"/>
  <c r="G65" i="16"/>
  <c r="F65" i="16"/>
  <c r="E65" i="16"/>
  <c r="D65" i="16"/>
  <c r="C65" i="16"/>
  <c r="B65" i="16"/>
  <c r="O64" i="16"/>
  <c r="N64" i="16"/>
  <c r="M64" i="16"/>
  <c r="L64" i="16"/>
  <c r="K64" i="16"/>
  <c r="J64" i="16"/>
  <c r="I64" i="16"/>
  <c r="H64" i="16"/>
  <c r="G64" i="16"/>
  <c r="F64" i="16"/>
  <c r="E64" i="16"/>
  <c r="D64" i="16"/>
  <c r="C64" i="16"/>
  <c r="B64" i="16"/>
  <c r="O63" i="16"/>
  <c r="N63" i="16"/>
  <c r="M63" i="16"/>
  <c r="L63" i="16"/>
  <c r="K63" i="16"/>
  <c r="J63" i="16"/>
  <c r="I63" i="16"/>
  <c r="H63" i="16"/>
  <c r="G63" i="16"/>
  <c r="F63" i="16"/>
  <c r="E63" i="16"/>
  <c r="D63" i="16"/>
  <c r="C63" i="16"/>
  <c r="B63" i="16"/>
  <c r="O62" i="16"/>
  <c r="N62" i="16"/>
  <c r="M62" i="16"/>
  <c r="L62" i="16"/>
  <c r="K62" i="16"/>
  <c r="J62" i="16"/>
  <c r="I62" i="16"/>
  <c r="H62" i="16"/>
  <c r="G62" i="16"/>
  <c r="F62" i="16"/>
  <c r="E62" i="16"/>
  <c r="D62" i="16"/>
  <c r="C62" i="16"/>
  <c r="B62" i="16"/>
  <c r="O61" i="16"/>
  <c r="N61" i="16"/>
  <c r="M61" i="16"/>
  <c r="L61" i="16"/>
  <c r="K61" i="16"/>
  <c r="J61" i="16"/>
  <c r="I61" i="16"/>
  <c r="H61" i="16"/>
  <c r="G61" i="16"/>
  <c r="F61" i="16"/>
  <c r="E61" i="16"/>
  <c r="D61" i="16"/>
  <c r="C61" i="16"/>
  <c r="B61" i="16"/>
  <c r="O60" i="16"/>
  <c r="N60" i="16"/>
  <c r="M60" i="16"/>
  <c r="L60" i="16"/>
  <c r="K60" i="16"/>
  <c r="J60" i="16"/>
  <c r="I60" i="16"/>
  <c r="H60" i="16"/>
  <c r="G60" i="16"/>
  <c r="F60" i="16"/>
  <c r="E60" i="16"/>
  <c r="D60" i="16"/>
  <c r="C60" i="16"/>
  <c r="B60" i="16"/>
  <c r="O59" i="16"/>
  <c r="N59" i="16"/>
  <c r="M59" i="16"/>
  <c r="L59" i="16"/>
  <c r="K59" i="16"/>
  <c r="J59" i="16"/>
  <c r="I59" i="16"/>
  <c r="H59" i="16"/>
  <c r="G59" i="16"/>
  <c r="F59" i="16"/>
  <c r="E59" i="16"/>
  <c r="D59" i="16"/>
  <c r="C59" i="16"/>
  <c r="B59" i="16"/>
  <c r="O58" i="16"/>
  <c r="N58" i="16"/>
  <c r="M58" i="16"/>
  <c r="L58" i="16"/>
  <c r="K58" i="16"/>
  <c r="J58" i="16"/>
  <c r="I58" i="16"/>
  <c r="H58" i="16"/>
  <c r="G58" i="16"/>
  <c r="F58" i="16"/>
  <c r="E58" i="16"/>
  <c r="D58" i="16"/>
  <c r="C58" i="16"/>
  <c r="B58" i="16"/>
  <c r="O57" i="16"/>
  <c r="N57" i="16"/>
  <c r="M57" i="16"/>
  <c r="L57" i="16"/>
  <c r="K57" i="16"/>
  <c r="J57" i="16"/>
  <c r="I57" i="16"/>
  <c r="H57" i="16"/>
  <c r="G57" i="16"/>
  <c r="F57" i="16"/>
  <c r="E57" i="16"/>
  <c r="D57" i="16"/>
  <c r="C57" i="16"/>
  <c r="B57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C56" i="16"/>
  <c r="B56" i="16"/>
  <c r="O55" i="16"/>
  <c r="N55" i="16"/>
  <c r="M55" i="16"/>
  <c r="L55" i="16"/>
  <c r="K55" i="16"/>
  <c r="J55" i="16"/>
  <c r="I55" i="16"/>
  <c r="H55" i="16"/>
  <c r="G55" i="16"/>
  <c r="F55" i="16"/>
  <c r="E55" i="16"/>
  <c r="D55" i="16"/>
  <c r="C55" i="16"/>
  <c r="B55" i="16"/>
  <c r="O54" i="16"/>
  <c r="N54" i="16"/>
  <c r="M54" i="16"/>
  <c r="L54" i="16"/>
  <c r="K54" i="16"/>
  <c r="J54" i="16"/>
  <c r="I54" i="16"/>
  <c r="H54" i="16"/>
  <c r="G54" i="16"/>
  <c r="F54" i="16"/>
  <c r="E54" i="16"/>
  <c r="D54" i="16"/>
  <c r="C54" i="16"/>
  <c r="B54" i="16"/>
  <c r="O53" i="16"/>
  <c r="N53" i="16"/>
  <c r="M53" i="16"/>
  <c r="L53" i="16"/>
  <c r="K53" i="16"/>
  <c r="J53" i="16"/>
  <c r="I53" i="16"/>
  <c r="H53" i="16"/>
  <c r="G53" i="16"/>
  <c r="F53" i="16"/>
  <c r="E53" i="16"/>
  <c r="D53" i="16"/>
  <c r="C53" i="16"/>
  <c r="B53" i="16"/>
  <c r="O52" i="16"/>
  <c r="N52" i="16"/>
  <c r="M52" i="16"/>
  <c r="L52" i="16"/>
  <c r="K52" i="16"/>
  <c r="J52" i="16"/>
  <c r="I52" i="16"/>
  <c r="H52" i="16"/>
  <c r="G52" i="16"/>
  <c r="F52" i="16"/>
  <c r="E52" i="16"/>
  <c r="D52" i="16"/>
  <c r="C52" i="16"/>
  <c r="B52" i="16"/>
  <c r="O51" i="16"/>
  <c r="N51" i="16"/>
  <c r="M51" i="16"/>
  <c r="L51" i="16"/>
  <c r="K51" i="16"/>
  <c r="J51" i="16"/>
  <c r="I51" i="16"/>
  <c r="H51" i="16"/>
  <c r="G51" i="16"/>
  <c r="F51" i="16"/>
  <c r="E51" i="16"/>
  <c r="D51" i="16"/>
  <c r="C51" i="16"/>
  <c r="B51" i="16"/>
  <c r="O50" i="16"/>
  <c r="N50" i="16"/>
  <c r="M50" i="16"/>
  <c r="L50" i="16"/>
  <c r="K50" i="16"/>
  <c r="J50" i="16"/>
  <c r="I50" i="16"/>
  <c r="H50" i="16"/>
  <c r="G50" i="16"/>
  <c r="F50" i="16"/>
  <c r="E50" i="16"/>
  <c r="D50" i="16"/>
  <c r="C50" i="16"/>
  <c r="B50" i="16"/>
  <c r="O49" i="16"/>
  <c r="N49" i="16"/>
  <c r="M49" i="16"/>
  <c r="L49" i="16"/>
  <c r="K49" i="16"/>
  <c r="J49" i="16"/>
  <c r="I49" i="16"/>
  <c r="H49" i="16"/>
  <c r="G49" i="16"/>
  <c r="F49" i="16"/>
  <c r="E49" i="16"/>
  <c r="D49" i="16"/>
  <c r="C49" i="16"/>
  <c r="B49" i="16"/>
  <c r="O48" i="16"/>
  <c r="N48" i="16"/>
  <c r="M48" i="16"/>
  <c r="L48" i="16"/>
  <c r="K48" i="16"/>
  <c r="J48" i="16"/>
  <c r="I48" i="16"/>
  <c r="H48" i="16"/>
  <c r="G48" i="16"/>
  <c r="F48" i="16"/>
  <c r="E48" i="16"/>
  <c r="D48" i="16"/>
  <c r="C48" i="16"/>
  <c r="B48" i="16"/>
  <c r="I45" i="16"/>
  <c r="B45" i="16"/>
  <c r="O45" i="16" s="1"/>
  <c r="I44" i="16"/>
  <c r="B44" i="16"/>
  <c r="O39" i="16"/>
  <c r="N39" i="16"/>
  <c r="M39" i="16"/>
  <c r="L39" i="16"/>
  <c r="K39" i="16"/>
  <c r="J39" i="16"/>
  <c r="I39" i="16"/>
  <c r="H39" i="16"/>
  <c r="G39" i="16"/>
  <c r="F39" i="16"/>
  <c r="E39" i="16"/>
  <c r="D39" i="16"/>
  <c r="C39" i="16"/>
  <c r="B39" i="16"/>
  <c r="O38" i="16"/>
  <c r="N38" i="16"/>
  <c r="M38" i="16"/>
  <c r="L38" i="16"/>
  <c r="K38" i="16"/>
  <c r="J38" i="16"/>
  <c r="I38" i="16"/>
  <c r="H38" i="16"/>
  <c r="G38" i="16"/>
  <c r="F38" i="16"/>
  <c r="E38" i="16"/>
  <c r="D38" i="16"/>
  <c r="C38" i="16"/>
  <c r="B38" i="16"/>
  <c r="O37" i="16"/>
  <c r="N37" i="16"/>
  <c r="M37" i="16"/>
  <c r="L37" i="16"/>
  <c r="K37" i="16"/>
  <c r="J37" i="16"/>
  <c r="I37" i="16"/>
  <c r="H37" i="16"/>
  <c r="G37" i="16"/>
  <c r="F37" i="16"/>
  <c r="E37" i="16"/>
  <c r="D37" i="16"/>
  <c r="C37" i="16"/>
  <c r="B37" i="16"/>
  <c r="O36" i="16"/>
  <c r="N36" i="16"/>
  <c r="M36" i="16"/>
  <c r="L36" i="16"/>
  <c r="K36" i="16"/>
  <c r="J36" i="16"/>
  <c r="I36" i="16"/>
  <c r="H36" i="16"/>
  <c r="G36" i="16"/>
  <c r="F36" i="16"/>
  <c r="E36" i="16"/>
  <c r="D36" i="16"/>
  <c r="C36" i="16"/>
  <c r="B36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C35" i="16"/>
  <c r="B35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C34" i="16"/>
  <c r="B34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C33" i="16"/>
  <c r="B33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C32" i="16"/>
  <c r="B32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C31" i="16"/>
  <c r="B31" i="16"/>
  <c r="O30" i="16"/>
  <c r="N30" i="16"/>
  <c r="M30" i="16"/>
  <c r="L30" i="16"/>
  <c r="K30" i="16"/>
  <c r="J30" i="16"/>
  <c r="I30" i="16"/>
  <c r="H30" i="16"/>
  <c r="G30" i="16"/>
  <c r="F30" i="16"/>
  <c r="E30" i="16"/>
  <c r="D30" i="16"/>
  <c r="C30" i="16"/>
  <c r="B30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C29" i="16"/>
  <c r="B29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C28" i="16"/>
  <c r="B28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C27" i="16"/>
  <c r="B27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C26" i="16"/>
  <c r="B26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C25" i="16"/>
  <c r="B25" i="16"/>
  <c r="O24" i="16"/>
  <c r="N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B23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C22" i="16"/>
  <c r="B22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C20" i="16"/>
  <c r="B20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C18" i="16"/>
  <c r="B18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C17" i="16"/>
  <c r="B17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C16" i="16"/>
  <c r="B16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C14" i="16"/>
  <c r="B14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C10" i="16"/>
  <c r="B10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B9" i="16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I5" i="16"/>
  <c r="O5" i="16" s="1"/>
  <c r="B5" i="16"/>
  <c r="I4" i="16"/>
  <c r="B4" i="16"/>
  <c r="H467" i="15"/>
  <c r="G467" i="15"/>
  <c r="F467" i="15"/>
  <c r="E467" i="15"/>
  <c r="D467" i="15"/>
  <c r="C467" i="15"/>
  <c r="B467" i="15"/>
  <c r="H466" i="15"/>
  <c r="G466" i="15"/>
  <c r="F466" i="15"/>
  <c r="E466" i="15"/>
  <c r="D466" i="15"/>
  <c r="C466" i="15"/>
  <c r="B466" i="15"/>
  <c r="H465" i="15"/>
  <c r="G465" i="15"/>
  <c r="F465" i="15"/>
  <c r="E465" i="15"/>
  <c r="D465" i="15"/>
  <c r="C465" i="15"/>
  <c r="B465" i="15"/>
  <c r="H464" i="15"/>
  <c r="G464" i="15"/>
  <c r="F464" i="15"/>
  <c r="E464" i="15"/>
  <c r="D464" i="15"/>
  <c r="C464" i="15"/>
  <c r="B464" i="15"/>
  <c r="H463" i="15"/>
  <c r="G463" i="15"/>
  <c r="F463" i="15"/>
  <c r="E463" i="15"/>
  <c r="D463" i="15"/>
  <c r="C463" i="15"/>
  <c r="B463" i="15"/>
  <c r="H462" i="15"/>
  <c r="G462" i="15"/>
  <c r="F462" i="15"/>
  <c r="E462" i="15"/>
  <c r="D462" i="15"/>
  <c r="C462" i="15"/>
  <c r="B462" i="15"/>
  <c r="H461" i="15"/>
  <c r="G461" i="15"/>
  <c r="F461" i="15"/>
  <c r="E461" i="15"/>
  <c r="D461" i="15"/>
  <c r="C461" i="15"/>
  <c r="B461" i="15"/>
  <c r="H460" i="15"/>
  <c r="G460" i="15"/>
  <c r="F460" i="15"/>
  <c r="E460" i="15"/>
  <c r="D460" i="15"/>
  <c r="C460" i="15"/>
  <c r="B460" i="15"/>
  <c r="H459" i="15"/>
  <c r="G459" i="15"/>
  <c r="F459" i="15"/>
  <c r="E459" i="15"/>
  <c r="D459" i="15"/>
  <c r="C459" i="15"/>
  <c r="B459" i="15"/>
  <c r="H458" i="15"/>
  <c r="G458" i="15"/>
  <c r="F458" i="15"/>
  <c r="E458" i="15"/>
  <c r="D458" i="15"/>
  <c r="C458" i="15"/>
  <c r="B458" i="15"/>
  <c r="H457" i="15"/>
  <c r="G457" i="15"/>
  <c r="F457" i="15"/>
  <c r="E457" i="15"/>
  <c r="D457" i="15"/>
  <c r="C457" i="15"/>
  <c r="B457" i="15"/>
  <c r="H456" i="15"/>
  <c r="G456" i="15"/>
  <c r="F456" i="15"/>
  <c r="E456" i="15"/>
  <c r="D456" i="15"/>
  <c r="C456" i="15"/>
  <c r="B456" i="15"/>
  <c r="H455" i="15"/>
  <c r="G455" i="15"/>
  <c r="F455" i="15"/>
  <c r="E455" i="15"/>
  <c r="D455" i="15"/>
  <c r="C455" i="15"/>
  <c r="B455" i="15"/>
  <c r="H454" i="15"/>
  <c r="G454" i="15"/>
  <c r="F454" i="15"/>
  <c r="E454" i="15"/>
  <c r="D454" i="15"/>
  <c r="C454" i="15"/>
  <c r="B454" i="15"/>
  <c r="H453" i="15"/>
  <c r="G453" i="15"/>
  <c r="F453" i="15"/>
  <c r="E453" i="15"/>
  <c r="D453" i="15"/>
  <c r="C453" i="15"/>
  <c r="B453" i="15"/>
  <c r="H452" i="15"/>
  <c r="G452" i="15"/>
  <c r="F452" i="15"/>
  <c r="E452" i="15"/>
  <c r="D452" i="15"/>
  <c r="C452" i="15"/>
  <c r="B452" i="15"/>
  <c r="H451" i="15"/>
  <c r="G451" i="15"/>
  <c r="F451" i="15"/>
  <c r="E451" i="15"/>
  <c r="D451" i="15"/>
  <c r="C451" i="15"/>
  <c r="B451" i="15"/>
  <c r="H450" i="15"/>
  <c r="G450" i="15"/>
  <c r="F450" i="15"/>
  <c r="E450" i="15"/>
  <c r="D450" i="15"/>
  <c r="C450" i="15"/>
  <c r="B450" i="15"/>
  <c r="H449" i="15"/>
  <c r="G449" i="15"/>
  <c r="F449" i="15"/>
  <c r="E449" i="15"/>
  <c r="D449" i="15"/>
  <c r="C449" i="15"/>
  <c r="B449" i="15"/>
  <c r="H448" i="15"/>
  <c r="G448" i="15"/>
  <c r="F448" i="15"/>
  <c r="E448" i="15"/>
  <c r="D448" i="15"/>
  <c r="C448" i="15"/>
  <c r="B448" i="15"/>
  <c r="H447" i="15"/>
  <c r="G447" i="15"/>
  <c r="F447" i="15"/>
  <c r="E447" i="15"/>
  <c r="D447" i="15"/>
  <c r="C447" i="15"/>
  <c r="B447" i="15"/>
  <c r="H446" i="15"/>
  <c r="G446" i="15"/>
  <c r="F446" i="15"/>
  <c r="E446" i="15"/>
  <c r="D446" i="15"/>
  <c r="C446" i="15"/>
  <c r="B446" i="15"/>
  <c r="H445" i="15"/>
  <c r="G445" i="15"/>
  <c r="F445" i="15"/>
  <c r="E445" i="15"/>
  <c r="D445" i="15"/>
  <c r="C445" i="15"/>
  <c r="B445" i="15"/>
  <c r="H444" i="15"/>
  <c r="G444" i="15"/>
  <c r="F444" i="15"/>
  <c r="E444" i="15"/>
  <c r="D444" i="15"/>
  <c r="C444" i="15"/>
  <c r="B444" i="15"/>
  <c r="H443" i="15"/>
  <c r="G443" i="15"/>
  <c r="F443" i="15"/>
  <c r="E443" i="15"/>
  <c r="D443" i="15"/>
  <c r="C443" i="15"/>
  <c r="B443" i="15"/>
  <c r="H442" i="15"/>
  <c r="G442" i="15"/>
  <c r="F442" i="15"/>
  <c r="E442" i="15"/>
  <c r="D442" i="15"/>
  <c r="C442" i="15"/>
  <c r="B442" i="15"/>
  <c r="H441" i="15"/>
  <c r="G441" i="15"/>
  <c r="F441" i="15"/>
  <c r="E441" i="15"/>
  <c r="D441" i="15"/>
  <c r="C441" i="15"/>
  <c r="B441" i="15"/>
  <c r="H440" i="15"/>
  <c r="G440" i="15"/>
  <c r="F440" i="15"/>
  <c r="E440" i="15"/>
  <c r="D440" i="15"/>
  <c r="C440" i="15"/>
  <c r="B440" i="15"/>
  <c r="H439" i="15"/>
  <c r="G439" i="15"/>
  <c r="F439" i="15"/>
  <c r="E439" i="15"/>
  <c r="D439" i="15"/>
  <c r="C439" i="15"/>
  <c r="B439" i="15"/>
  <c r="H438" i="15"/>
  <c r="G438" i="15"/>
  <c r="F438" i="15"/>
  <c r="E438" i="15"/>
  <c r="D438" i="15"/>
  <c r="C438" i="15"/>
  <c r="B438" i="15"/>
  <c r="H437" i="15"/>
  <c r="G437" i="15"/>
  <c r="F437" i="15"/>
  <c r="E437" i="15"/>
  <c r="D437" i="15"/>
  <c r="C437" i="15"/>
  <c r="B437" i="15"/>
  <c r="H436" i="15"/>
  <c r="G436" i="15"/>
  <c r="F436" i="15"/>
  <c r="E436" i="15"/>
  <c r="D436" i="15"/>
  <c r="C436" i="15"/>
  <c r="B436" i="15"/>
  <c r="H434" i="15"/>
  <c r="H433" i="15"/>
  <c r="H428" i="15"/>
  <c r="G428" i="15"/>
  <c r="F428" i="15"/>
  <c r="E428" i="15"/>
  <c r="D428" i="15"/>
  <c r="C428" i="15"/>
  <c r="B428" i="15"/>
  <c r="H426" i="15"/>
  <c r="G426" i="15"/>
  <c r="F426" i="15"/>
  <c r="E426" i="15"/>
  <c r="D426" i="15"/>
  <c r="C426" i="15"/>
  <c r="B426" i="15"/>
  <c r="H425" i="15"/>
  <c r="G425" i="15"/>
  <c r="F425" i="15"/>
  <c r="E425" i="15"/>
  <c r="D425" i="15"/>
  <c r="C425" i="15"/>
  <c r="B425" i="15"/>
  <c r="H424" i="15"/>
  <c r="G424" i="15"/>
  <c r="F424" i="15"/>
  <c r="E424" i="15"/>
  <c r="D424" i="15"/>
  <c r="C424" i="15"/>
  <c r="B424" i="15"/>
  <c r="H423" i="15"/>
  <c r="G423" i="15"/>
  <c r="F423" i="15"/>
  <c r="E423" i="15"/>
  <c r="D423" i="15"/>
  <c r="C423" i="15"/>
  <c r="B423" i="15"/>
  <c r="H422" i="15"/>
  <c r="G422" i="15"/>
  <c r="F422" i="15"/>
  <c r="E422" i="15"/>
  <c r="D422" i="15"/>
  <c r="C422" i="15"/>
  <c r="B422" i="15"/>
  <c r="H421" i="15"/>
  <c r="G421" i="15"/>
  <c r="F421" i="15"/>
  <c r="E421" i="15"/>
  <c r="D421" i="15"/>
  <c r="C421" i="15"/>
  <c r="B421" i="15"/>
  <c r="H420" i="15"/>
  <c r="G420" i="15"/>
  <c r="F420" i="15"/>
  <c r="E420" i="15"/>
  <c r="D420" i="15"/>
  <c r="C420" i="15"/>
  <c r="B420" i="15"/>
  <c r="H419" i="15"/>
  <c r="G419" i="15"/>
  <c r="F419" i="15"/>
  <c r="E419" i="15"/>
  <c r="D419" i="15"/>
  <c r="C419" i="15"/>
  <c r="B419" i="15"/>
  <c r="H418" i="15"/>
  <c r="G418" i="15"/>
  <c r="F418" i="15"/>
  <c r="E418" i="15"/>
  <c r="D418" i="15"/>
  <c r="C418" i="15"/>
  <c r="B418" i="15"/>
  <c r="H417" i="15"/>
  <c r="G417" i="15"/>
  <c r="F417" i="15"/>
  <c r="E417" i="15"/>
  <c r="D417" i="15"/>
  <c r="C417" i="15"/>
  <c r="B417" i="15"/>
  <c r="H416" i="15"/>
  <c r="G416" i="15"/>
  <c r="F416" i="15"/>
  <c r="E416" i="15"/>
  <c r="D416" i="15"/>
  <c r="C416" i="15"/>
  <c r="B416" i="15"/>
  <c r="H415" i="15"/>
  <c r="G415" i="15"/>
  <c r="F415" i="15"/>
  <c r="E415" i="15"/>
  <c r="D415" i="15"/>
  <c r="C415" i="15"/>
  <c r="B415" i="15"/>
  <c r="H414" i="15"/>
  <c r="G414" i="15"/>
  <c r="F414" i="15"/>
  <c r="E414" i="15"/>
  <c r="D414" i="15"/>
  <c r="C414" i="15"/>
  <c r="B414" i="15"/>
  <c r="H413" i="15"/>
  <c r="G413" i="15"/>
  <c r="F413" i="15"/>
  <c r="E413" i="15"/>
  <c r="D413" i="15"/>
  <c r="C413" i="15"/>
  <c r="B413" i="15"/>
  <c r="H412" i="15"/>
  <c r="G412" i="15"/>
  <c r="F412" i="15"/>
  <c r="E412" i="15"/>
  <c r="D412" i="15"/>
  <c r="C412" i="15"/>
  <c r="B412" i="15"/>
  <c r="H411" i="15"/>
  <c r="G411" i="15"/>
  <c r="F411" i="15"/>
  <c r="E411" i="15"/>
  <c r="D411" i="15"/>
  <c r="C411" i="15"/>
  <c r="B411" i="15"/>
  <c r="H410" i="15"/>
  <c r="G410" i="15"/>
  <c r="F410" i="15"/>
  <c r="E410" i="15"/>
  <c r="D410" i="15"/>
  <c r="C410" i="15"/>
  <c r="B410" i="15"/>
  <c r="H409" i="15"/>
  <c r="G409" i="15"/>
  <c r="F409" i="15"/>
  <c r="E409" i="15"/>
  <c r="D409" i="15"/>
  <c r="C409" i="15"/>
  <c r="B409" i="15"/>
  <c r="H408" i="15"/>
  <c r="G408" i="15"/>
  <c r="F408" i="15"/>
  <c r="E408" i="15"/>
  <c r="D408" i="15"/>
  <c r="C408" i="15"/>
  <c r="B408" i="15"/>
  <c r="H407" i="15"/>
  <c r="G407" i="15"/>
  <c r="F407" i="15"/>
  <c r="E407" i="15"/>
  <c r="D407" i="15"/>
  <c r="C407" i="15"/>
  <c r="B407" i="15"/>
  <c r="H406" i="15"/>
  <c r="G406" i="15"/>
  <c r="F406" i="15"/>
  <c r="E406" i="15"/>
  <c r="D406" i="15"/>
  <c r="C406" i="15"/>
  <c r="B406" i="15"/>
  <c r="H405" i="15"/>
  <c r="G405" i="15"/>
  <c r="F405" i="15"/>
  <c r="E405" i="15"/>
  <c r="D405" i="15"/>
  <c r="C405" i="15"/>
  <c r="B405" i="15"/>
  <c r="H404" i="15"/>
  <c r="G404" i="15"/>
  <c r="F404" i="15"/>
  <c r="E404" i="15"/>
  <c r="D404" i="15"/>
  <c r="C404" i="15"/>
  <c r="B404" i="15"/>
  <c r="H403" i="15"/>
  <c r="G403" i="15"/>
  <c r="F403" i="15"/>
  <c r="E403" i="15"/>
  <c r="D403" i="15"/>
  <c r="C403" i="15"/>
  <c r="B403" i="15"/>
  <c r="H402" i="15"/>
  <c r="G402" i="15"/>
  <c r="F402" i="15"/>
  <c r="E402" i="15"/>
  <c r="D402" i="15"/>
  <c r="C402" i="15"/>
  <c r="B402" i="15"/>
  <c r="H401" i="15"/>
  <c r="G401" i="15"/>
  <c r="F401" i="15"/>
  <c r="E401" i="15"/>
  <c r="D401" i="15"/>
  <c r="C401" i="15"/>
  <c r="B401" i="15"/>
  <c r="H400" i="15"/>
  <c r="G400" i="15"/>
  <c r="F400" i="15"/>
  <c r="E400" i="15"/>
  <c r="D400" i="15"/>
  <c r="C400" i="15"/>
  <c r="B400" i="15"/>
  <c r="H399" i="15"/>
  <c r="G399" i="15"/>
  <c r="F399" i="15"/>
  <c r="E399" i="15"/>
  <c r="D399" i="15"/>
  <c r="C399" i="15"/>
  <c r="B399" i="15"/>
  <c r="H398" i="15"/>
  <c r="G398" i="15"/>
  <c r="F398" i="15"/>
  <c r="E398" i="15"/>
  <c r="D398" i="15"/>
  <c r="C398" i="15"/>
  <c r="B398" i="15"/>
  <c r="H397" i="15"/>
  <c r="G397" i="15"/>
  <c r="F397" i="15"/>
  <c r="E397" i="15"/>
  <c r="D397" i="15"/>
  <c r="C397" i="15"/>
  <c r="B397" i="15"/>
  <c r="H395" i="15"/>
  <c r="H394" i="15"/>
  <c r="H389" i="15"/>
  <c r="G389" i="15"/>
  <c r="F389" i="15"/>
  <c r="E389" i="15"/>
  <c r="D389" i="15"/>
  <c r="C389" i="15"/>
  <c r="B389" i="15"/>
  <c r="H388" i="15"/>
  <c r="G388" i="15"/>
  <c r="F388" i="15"/>
  <c r="E388" i="15"/>
  <c r="D388" i="15"/>
  <c r="C388" i="15"/>
  <c r="B388" i="15"/>
  <c r="H387" i="15"/>
  <c r="G387" i="15"/>
  <c r="F387" i="15"/>
  <c r="E387" i="15"/>
  <c r="D387" i="15"/>
  <c r="C387" i="15"/>
  <c r="B387" i="15"/>
  <c r="H386" i="15"/>
  <c r="G386" i="15"/>
  <c r="F386" i="15"/>
  <c r="E386" i="15"/>
  <c r="D386" i="15"/>
  <c r="C386" i="15"/>
  <c r="B386" i="15"/>
  <c r="H385" i="15"/>
  <c r="G385" i="15"/>
  <c r="F385" i="15"/>
  <c r="E385" i="15"/>
  <c r="D385" i="15"/>
  <c r="C385" i="15"/>
  <c r="B385" i="15"/>
  <c r="H384" i="15"/>
  <c r="G384" i="15"/>
  <c r="F384" i="15"/>
  <c r="E384" i="15"/>
  <c r="D384" i="15"/>
  <c r="C384" i="15"/>
  <c r="B384" i="15"/>
  <c r="H383" i="15"/>
  <c r="G383" i="15"/>
  <c r="F383" i="15"/>
  <c r="E383" i="15"/>
  <c r="D383" i="15"/>
  <c r="C383" i="15"/>
  <c r="B383" i="15"/>
  <c r="H382" i="15"/>
  <c r="G382" i="15"/>
  <c r="F382" i="15"/>
  <c r="E382" i="15"/>
  <c r="D382" i="15"/>
  <c r="C382" i="15"/>
  <c r="B382" i="15"/>
  <c r="H381" i="15"/>
  <c r="G381" i="15"/>
  <c r="F381" i="15"/>
  <c r="E381" i="15"/>
  <c r="D381" i="15"/>
  <c r="C381" i="15"/>
  <c r="B381" i="15"/>
  <c r="H380" i="15"/>
  <c r="G380" i="15"/>
  <c r="F380" i="15"/>
  <c r="E380" i="15"/>
  <c r="D380" i="15"/>
  <c r="C380" i="15"/>
  <c r="B380" i="15"/>
  <c r="H379" i="15"/>
  <c r="G379" i="15"/>
  <c r="F379" i="15"/>
  <c r="E379" i="15"/>
  <c r="D379" i="15"/>
  <c r="C379" i="15"/>
  <c r="B379" i="15"/>
  <c r="H378" i="15"/>
  <c r="G378" i="15"/>
  <c r="F378" i="15"/>
  <c r="E378" i="15"/>
  <c r="D378" i="15"/>
  <c r="C378" i="15"/>
  <c r="B378" i="15"/>
  <c r="H377" i="15"/>
  <c r="G377" i="15"/>
  <c r="F377" i="15"/>
  <c r="E377" i="15"/>
  <c r="D377" i="15"/>
  <c r="C377" i="15"/>
  <c r="B377" i="15"/>
  <c r="H376" i="15"/>
  <c r="G376" i="15"/>
  <c r="F376" i="15"/>
  <c r="E376" i="15"/>
  <c r="D376" i="15"/>
  <c r="C376" i="15"/>
  <c r="B376" i="15"/>
  <c r="H375" i="15"/>
  <c r="G375" i="15"/>
  <c r="F375" i="15"/>
  <c r="E375" i="15"/>
  <c r="D375" i="15"/>
  <c r="C375" i="15"/>
  <c r="B375" i="15"/>
  <c r="H374" i="15"/>
  <c r="G374" i="15"/>
  <c r="F374" i="15"/>
  <c r="E374" i="15"/>
  <c r="D374" i="15"/>
  <c r="C374" i="15"/>
  <c r="B374" i="15"/>
  <c r="H373" i="15"/>
  <c r="G373" i="15"/>
  <c r="F373" i="15"/>
  <c r="E373" i="15"/>
  <c r="D373" i="15"/>
  <c r="C373" i="15"/>
  <c r="B373" i="15"/>
  <c r="H372" i="15"/>
  <c r="G372" i="15"/>
  <c r="F372" i="15"/>
  <c r="E372" i="15"/>
  <c r="D372" i="15"/>
  <c r="C372" i="15"/>
  <c r="B372" i="15"/>
  <c r="H371" i="15"/>
  <c r="G371" i="15"/>
  <c r="F371" i="15"/>
  <c r="E371" i="15"/>
  <c r="D371" i="15"/>
  <c r="C371" i="15"/>
  <c r="B371" i="15"/>
  <c r="H370" i="15"/>
  <c r="G370" i="15"/>
  <c r="F370" i="15"/>
  <c r="E370" i="15"/>
  <c r="D370" i="15"/>
  <c r="C370" i="15"/>
  <c r="B370" i="15"/>
  <c r="H369" i="15"/>
  <c r="G369" i="15"/>
  <c r="F369" i="15"/>
  <c r="E369" i="15"/>
  <c r="D369" i="15"/>
  <c r="C369" i="15"/>
  <c r="B369" i="15"/>
  <c r="H368" i="15"/>
  <c r="G368" i="15"/>
  <c r="F368" i="15"/>
  <c r="E368" i="15"/>
  <c r="D368" i="15"/>
  <c r="C368" i="15"/>
  <c r="B368" i="15"/>
  <c r="H367" i="15"/>
  <c r="G367" i="15"/>
  <c r="F367" i="15"/>
  <c r="E367" i="15"/>
  <c r="D367" i="15"/>
  <c r="C367" i="15"/>
  <c r="B367" i="15"/>
  <c r="H366" i="15"/>
  <c r="G366" i="15"/>
  <c r="F366" i="15"/>
  <c r="E366" i="15"/>
  <c r="D366" i="15"/>
  <c r="C366" i="15"/>
  <c r="B366" i="15"/>
  <c r="H365" i="15"/>
  <c r="G365" i="15"/>
  <c r="F365" i="15"/>
  <c r="E365" i="15"/>
  <c r="D365" i="15"/>
  <c r="C365" i="15"/>
  <c r="B365" i="15"/>
  <c r="H364" i="15"/>
  <c r="G364" i="15"/>
  <c r="F364" i="15"/>
  <c r="E364" i="15"/>
  <c r="D364" i="15"/>
  <c r="C364" i="15"/>
  <c r="B364" i="15"/>
  <c r="H363" i="15"/>
  <c r="G363" i="15"/>
  <c r="F363" i="15"/>
  <c r="E363" i="15"/>
  <c r="D363" i="15"/>
  <c r="C363" i="15"/>
  <c r="B363" i="15"/>
  <c r="H362" i="15"/>
  <c r="G362" i="15"/>
  <c r="F362" i="15"/>
  <c r="E362" i="15"/>
  <c r="D362" i="15"/>
  <c r="C362" i="15"/>
  <c r="B362" i="15"/>
  <c r="H361" i="15"/>
  <c r="G361" i="15"/>
  <c r="F361" i="15"/>
  <c r="E361" i="15"/>
  <c r="D361" i="15"/>
  <c r="C361" i="15"/>
  <c r="B361" i="15"/>
  <c r="H360" i="15"/>
  <c r="G360" i="15"/>
  <c r="F360" i="15"/>
  <c r="E360" i="15"/>
  <c r="D360" i="15"/>
  <c r="C360" i="15"/>
  <c r="B360" i="15"/>
  <c r="H359" i="15"/>
  <c r="G359" i="15"/>
  <c r="F359" i="15"/>
  <c r="E359" i="15"/>
  <c r="D359" i="15"/>
  <c r="C359" i="15"/>
  <c r="B359" i="15"/>
  <c r="H358" i="15"/>
  <c r="G358" i="15"/>
  <c r="F358" i="15"/>
  <c r="E358" i="15"/>
  <c r="D358" i="15"/>
  <c r="C358" i="15"/>
  <c r="B358" i="15"/>
  <c r="H356" i="15"/>
  <c r="H355" i="15"/>
  <c r="H350" i="15"/>
  <c r="G350" i="15"/>
  <c r="F350" i="15"/>
  <c r="E350" i="15"/>
  <c r="D350" i="15"/>
  <c r="C350" i="15"/>
  <c r="B350" i="15"/>
  <c r="H348" i="15"/>
  <c r="G348" i="15"/>
  <c r="F348" i="15"/>
  <c r="E348" i="15"/>
  <c r="D348" i="15"/>
  <c r="C348" i="15"/>
  <c r="B348" i="15"/>
  <c r="H347" i="15"/>
  <c r="G347" i="15"/>
  <c r="F347" i="15"/>
  <c r="E347" i="15"/>
  <c r="D347" i="15"/>
  <c r="C347" i="15"/>
  <c r="B347" i="15"/>
  <c r="H346" i="15"/>
  <c r="G346" i="15"/>
  <c r="F346" i="15"/>
  <c r="E346" i="15"/>
  <c r="D346" i="15"/>
  <c r="C346" i="15"/>
  <c r="B346" i="15"/>
  <c r="H345" i="15"/>
  <c r="G345" i="15"/>
  <c r="F345" i="15"/>
  <c r="E345" i="15"/>
  <c r="D345" i="15"/>
  <c r="C345" i="15"/>
  <c r="B345" i="15"/>
  <c r="H344" i="15"/>
  <c r="G344" i="15"/>
  <c r="F344" i="15"/>
  <c r="E344" i="15"/>
  <c r="D344" i="15"/>
  <c r="C344" i="15"/>
  <c r="B344" i="15"/>
  <c r="H343" i="15"/>
  <c r="G343" i="15"/>
  <c r="F343" i="15"/>
  <c r="E343" i="15"/>
  <c r="D343" i="15"/>
  <c r="C343" i="15"/>
  <c r="B343" i="15"/>
  <c r="H342" i="15"/>
  <c r="G342" i="15"/>
  <c r="F342" i="15"/>
  <c r="E342" i="15"/>
  <c r="D342" i="15"/>
  <c r="C342" i="15"/>
  <c r="B342" i="15"/>
  <c r="H341" i="15"/>
  <c r="G341" i="15"/>
  <c r="F341" i="15"/>
  <c r="E341" i="15"/>
  <c r="D341" i="15"/>
  <c r="C341" i="15"/>
  <c r="B341" i="15"/>
  <c r="H340" i="15"/>
  <c r="G340" i="15"/>
  <c r="F340" i="15"/>
  <c r="E340" i="15"/>
  <c r="D340" i="15"/>
  <c r="C340" i="15"/>
  <c r="B340" i="15"/>
  <c r="H339" i="15"/>
  <c r="G339" i="15"/>
  <c r="F339" i="15"/>
  <c r="E339" i="15"/>
  <c r="D339" i="15"/>
  <c r="C339" i="15"/>
  <c r="B339" i="15"/>
  <c r="H338" i="15"/>
  <c r="G338" i="15"/>
  <c r="F338" i="15"/>
  <c r="E338" i="15"/>
  <c r="D338" i="15"/>
  <c r="C338" i="15"/>
  <c r="B338" i="15"/>
  <c r="H337" i="15"/>
  <c r="G337" i="15"/>
  <c r="F337" i="15"/>
  <c r="E337" i="15"/>
  <c r="D337" i="15"/>
  <c r="C337" i="15"/>
  <c r="B337" i="15"/>
  <c r="H336" i="15"/>
  <c r="G336" i="15"/>
  <c r="F336" i="15"/>
  <c r="E336" i="15"/>
  <c r="D336" i="15"/>
  <c r="C336" i="15"/>
  <c r="B336" i="15"/>
  <c r="H335" i="15"/>
  <c r="G335" i="15"/>
  <c r="F335" i="15"/>
  <c r="E335" i="15"/>
  <c r="D335" i="15"/>
  <c r="C335" i="15"/>
  <c r="B335" i="15"/>
  <c r="H334" i="15"/>
  <c r="G334" i="15"/>
  <c r="F334" i="15"/>
  <c r="E334" i="15"/>
  <c r="D334" i="15"/>
  <c r="C334" i="15"/>
  <c r="B334" i="15"/>
  <c r="H333" i="15"/>
  <c r="G333" i="15"/>
  <c r="F333" i="15"/>
  <c r="E333" i="15"/>
  <c r="D333" i="15"/>
  <c r="C333" i="15"/>
  <c r="B333" i="15"/>
  <c r="H332" i="15"/>
  <c r="G332" i="15"/>
  <c r="F332" i="15"/>
  <c r="E332" i="15"/>
  <c r="D332" i="15"/>
  <c r="C332" i="15"/>
  <c r="B332" i="15"/>
  <c r="H331" i="15"/>
  <c r="G331" i="15"/>
  <c r="F331" i="15"/>
  <c r="E331" i="15"/>
  <c r="D331" i="15"/>
  <c r="C331" i="15"/>
  <c r="B331" i="15"/>
  <c r="H330" i="15"/>
  <c r="G330" i="15"/>
  <c r="F330" i="15"/>
  <c r="E330" i="15"/>
  <c r="D330" i="15"/>
  <c r="C330" i="15"/>
  <c r="B330" i="15"/>
  <c r="H329" i="15"/>
  <c r="G329" i="15"/>
  <c r="F329" i="15"/>
  <c r="E329" i="15"/>
  <c r="D329" i="15"/>
  <c r="C329" i="15"/>
  <c r="B329" i="15"/>
  <c r="H328" i="15"/>
  <c r="G328" i="15"/>
  <c r="F328" i="15"/>
  <c r="E328" i="15"/>
  <c r="D328" i="15"/>
  <c r="C328" i="15"/>
  <c r="B328" i="15"/>
  <c r="H327" i="15"/>
  <c r="G327" i="15"/>
  <c r="F327" i="15"/>
  <c r="E327" i="15"/>
  <c r="D327" i="15"/>
  <c r="C327" i="15"/>
  <c r="B327" i="15"/>
  <c r="H326" i="15"/>
  <c r="G326" i="15"/>
  <c r="F326" i="15"/>
  <c r="E326" i="15"/>
  <c r="D326" i="15"/>
  <c r="C326" i="15"/>
  <c r="B326" i="15"/>
  <c r="H325" i="15"/>
  <c r="G325" i="15"/>
  <c r="F325" i="15"/>
  <c r="E325" i="15"/>
  <c r="D325" i="15"/>
  <c r="C325" i="15"/>
  <c r="B325" i="15"/>
  <c r="H324" i="15"/>
  <c r="G324" i="15"/>
  <c r="F324" i="15"/>
  <c r="E324" i="15"/>
  <c r="D324" i="15"/>
  <c r="C324" i="15"/>
  <c r="B324" i="15"/>
  <c r="H323" i="15"/>
  <c r="G323" i="15"/>
  <c r="F323" i="15"/>
  <c r="E323" i="15"/>
  <c r="D323" i="15"/>
  <c r="C323" i="15"/>
  <c r="B323" i="15"/>
  <c r="H322" i="15"/>
  <c r="G322" i="15"/>
  <c r="F322" i="15"/>
  <c r="E322" i="15"/>
  <c r="D322" i="15"/>
  <c r="C322" i="15"/>
  <c r="B322" i="15"/>
  <c r="H321" i="15"/>
  <c r="G321" i="15"/>
  <c r="F321" i="15"/>
  <c r="E321" i="15"/>
  <c r="D321" i="15"/>
  <c r="C321" i="15"/>
  <c r="B321" i="15"/>
  <c r="H320" i="15"/>
  <c r="G320" i="15"/>
  <c r="F320" i="15"/>
  <c r="E320" i="15"/>
  <c r="D320" i="15"/>
  <c r="C320" i="15"/>
  <c r="B320" i="15"/>
  <c r="H319" i="15"/>
  <c r="G319" i="15"/>
  <c r="F319" i="15"/>
  <c r="E319" i="15"/>
  <c r="D319" i="15"/>
  <c r="C319" i="15"/>
  <c r="B319" i="15"/>
  <c r="H317" i="15"/>
  <c r="H316" i="15"/>
  <c r="H311" i="15"/>
  <c r="G311" i="15"/>
  <c r="F311" i="15"/>
  <c r="E311" i="15"/>
  <c r="D311" i="15"/>
  <c r="C311" i="15"/>
  <c r="B311" i="15"/>
  <c r="H310" i="15"/>
  <c r="G310" i="15"/>
  <c r="F310" i="15"/>
  <c r="E310" i="15"/>
  <c r="D310" i="15"/>
  <c r="C310" i="15"/>
  <c r="B310" i="15"/>
  <c r="H309" i="15"/>
  <c r="G309" i="15"/>
  <c r="F309" i="15"/>
  <c r="E309" i="15"/>
  <c r="D309" i="15"/>
  <c r="C309" i="15"/>
  <c r="B309" i="15"/>
  <c r="H308" i="15"/>
  <c r="G308" i="15"/>
  <c r="F308" i="15"/>
  <c r="E308" i="15"/>
  <c r="D308" i="15"/>
  <c r="C308" i="15"/>
  <c r="B308" i="15"/>
  <c r="H307" i="15"/>
  <c r="G307" i="15"/>
  <c r="F307" i="15"/>
  <c r="E307" i="15"/>
  <c r="D307" i="15"/>
  <c r="C307" i="15"/>
  <c r="B307" i="15"/>
  <c r="H306" i="15"/>
  <c r="G306" i="15"/>
  <c r="F306" i="15"/>
  <c r="E306" i="15"/>
  <c r="D306" i="15"/>
  <c r="C306" i="15"/>
  <c r="B306" i="15"/>
  <c r="H305" i="15"/>
  <c r="G305" i="15"/>
  <c r="F305" i="15"/>
  <c r="E305" i="15"/>
  <c r="D305" i="15"/>
  <c r="C305" i="15"/>
  <c r="B305" i="15"/>
  <c r="H304" i="15"/>
  <c r="G304" i="15"/>
  <c r="F304" i="15"/>
  <c r="E304" i="15"/>
  <c r="D304" i="15"/>
  <c r="C304" i="15"/>
  <c r="B304" i="15"/>
  <c r="H303" i="15"/>
  <c r="G303" i="15"/>
  <c r="F303" i="15"/>
  <c r="E303" i="15"/>
  <c r="D303" i="15"/>
  <c r="C303" i="15"/>
  <c r="B303" i="15"/>
  <c r="H302" i="15"/>
  <c r="G302" i="15"/>
  <c r="F302" i="15"/>
  <c r="E302" i="15"/>
  <c r="D302" i="15"/>
  <c r="C302" i="15"/>
  <c r="B302" i="15"/>
  <c r="H301" i="15"/>
  <c r="G301" i="15"/>
  <c r="F301" i="15"/>
  <c r="E301" i="15"/>
  <c r="D301" i="15"/>
  <c r="C301" i="15"/>
  <c r="B301" i="15"/>
  <c r="H300" i="15"/>
  <c r="G300" i="15"/>
  <c r="F300" i="15"/>
  <c r="E300" i="15"/>
  <c r="D300" i="15"/>
  <c r="C300" i="15"/>
  <c r="B300" i="15"/>
  <c r="H299" i="15"/>
  <c r="G299" i="15"/>
  <c r="F299" i="15"/>
  <c r="E299" i="15"/>
  <c r="D299" i="15"/>
  <c r="C299" i="15"/>
  <c r="B299" i="15"/>
  <c r="H298" i="15"/>
  <c r="G298" i="15"/>
  <c r="F298" i="15"/>
  <c r="E298" i="15"/>
  <c r="D298" i="15"/>
  <c r="C298" i="15"/>
  <c r="B298" i="15"/>
  <c r="H297" i="15"/>
  <c r="G297" i="15"/>
  <c r="F297" i="15"/>
  <c r="E297" i="15"/>
  <c r="D297" i="15"/>
  <c r="C297" i="15"/>
  <c r="B297" i="15"/>
  <c r="H296" i="15"/>
  <c r="G296" i="15"/>
  <c r="F296" i="15"/>
  <c r="E296" i="15"/>
  <c r="D296" i="15"/>
  <c r="C296" i="15"/>
  <c r="B296" i="15"/>
  <c r="H295" i="15"/>
  <c r="G295" i="15"/>
  <c r="F295" i="15"/>
  <c r="E295" i="15"/>
  <c r="D295" i="15"/>
  <c r="C295" i="15"/>
  <c r="B295" i="15"/>
  <c r="H294" i="15"/>
  <c r="G294" i="15"/>
  <c r="F294" i="15"/>
  <c r="E294" i="15"/>
  <c r="D294" i="15"/>
  <c r="C294" i="15"/>
  <c r="B294" i="15"/>
  <c r="H293" i="15"/>
  <c r="G293" i="15"/>
  <c r="F293" i="15"/>
  <c r="E293" i="15"/>
  <c r="D293" i="15"/>
  <c r="C293" i="15"/>
  <c r="B293" i="15"/>
  <c r="H292" i="15"/>
  <c r="G292" i="15"/>
  <c r="F292" i="15"/>
  <c r="E292" i="15"/>
  <c r="D292" i="15"/>
  <c r="C292" i="15"/>
  <c r="B292" i="15"/>
  <c r="H291" i="15"/>
  <c r="G291" i="15"/>
  <c r="F291" i="15"/>
  <c r="E291" i="15"/>
  <c r="D291" i="15"/>
  <c r="C291" i="15"/>
  <c r="B291" i="15"/>
  <c r="H290" i="15"/>
  <c r="G290" i="15"/>
  <c r="F290" i="15"/>
  <c r="E290" i="15"/>
  <c r="D290" i="15"/>
  <c r="C290" i="15"/>
  <c r="B290" i="15"/>
  <c r="H289" i="15"/>
  <c r="G289" i="15"/>
  <c r="F289" i="15"/>
  <c r="E289" i="15"/>
  <c r="D289" i="15"/>
  <c r="C289" i="15"/>
  <c r="B289" i="15"/>
  <c r="H288" i="15"/>
  <c r="G288" i="15"/>
  <c r="F288" i="15"/>
  <c r="E288" i="15"/>
  <c r="D288" i="15"/>
  <c r="C288" i="15"/>
  <c r="B288" i="15"/>
  <c r="H287" i="15"/>
  <c r="G287" i="15"/>
  <c r="F287" i="15"/>
  <c r="E287" i="15"/>
  <c r="D287" i="15"/>
  <c r="C287" i="15"/>
  <c r="B287" i="15"/>
  <c r="H286" i="15"/>
  <c r="G286" i="15"/>
  <c r="F286" i="15"/>
  <c r="E286" i="15"/>
  <c r="D286" i="15"/>
  <c r="C286" i="15"/>
  <c r="B286" i="15"/>
  <c r="H285" i="15"/>
  <c r="G285" i="15"/>
  <c r="F285" i="15"/>
  <c r="E285" i="15"/>
  <c r="D285" i="15"/>
  <c r="C285" i="15"/>
  <c r="B285" i="15"/>
  <c r="H284" i="15"/>
  <c r="G284" i="15"/>
  <c r="F284" i="15"/>
  <c r="E284" i="15"/>
  <c r="D284" i="15"/>
  <c r="C284" i="15"/>
  <c r="B284" i="15"/>
  <c r="H283" i="15"/>
  <c r="G283" i="15"/>
  <c r="F283" i="15"/>
  <c r="E283" i="15"/>
  <c r="D283" i="15"/>
  <c r="C283" i="15"/>
  <c r="B283" i="15"/>
  <c r="H282" i="15"/>
  <c r="G282" i="15"/>
  <c r="F282" i="15"/>
  <c r="E282" i="15"/>
  <c r="D282" i="15"/>
  <c r="C282" i="15"/>
  <c r="B282" i="15"/>
  <c r="H281" i="15"/>
  <c r="G281" i="15"/>
  <c r="F281" i="15"/>
  <c r="E281" i="15"/>
  <c r="D281" i="15"/>
  <c r="C281" i="15"/>
  <c r="B281" i="15"/>
  <c r="H280" i="15"/>
  <c r="G280" i="15"/>
  <c r="F280" i="15"/>
  <c r="E280" i="15"/>
  <c r="D280" i="15"/>
  <c r="C280" i="15"/>
  <c r="B280" i="15"/>
  <c r="H278" i="15"/>
  <c r="H277" i="15"/>
  <c r="H272" i="15"/>
  <c r="G272" i="15"/>
  <c r="F272" i="15"/>
  <c r="E272" i="15"/>
  <c r="D272" i="15"/>
  <c r="C272" i="15"/>
  <c r="B272" i="15"/>
  <c r="H271" i="15"/>
  <c r="G271" i="15"/>
  <c r="F271" i="15"/>
  <c r="E271" i="15"/>
  <c r="D271" i="15"/>
  <c r="C271" i="15"/>
  <c r="B271" i="15"/>
  <c r="H270" i="15"/>
  <c r="G270" i="15"/>
  <c r="F270" i="15"/>
  <c r="E270" i="15"/>
  <c r="D270" i="15"/>
  <c r="C270" i="15"/>
  <c r="B270" i="15"/>
  <c r="H269" i="15"/>
  <c r="G269" i="15"/>
  <c r="F269" i="15"/>
  <c r="E269" i="15"/>
  <c r="D269" i="15"/>
  <c r="C269" i="15"/>
  <c r="B269" i="15"/>
  <c r="H268" i="15"/>
  <c r="G268" i="15"/>
  <c r="F268" i="15"/>
  <c r="E268" i="15"/>
  <c r="D268" i="15"/>
  <c r="C268" i="15"/>
  <c r="B268" i="15"/>
  <c r="H267" i="15"/>
  <c r="G267" i="15"/>
  <c r="F267" i="15"/>
  <c r="E267" i="15"/>
  <c r="D267" i="15"/>
  <c r="C267" i="15"/>
  <c r="B267" i="15"/>
  <c r="H266" i="15"/>
  <c r="G266" i="15"/>
  <c r="F266" i="15"/>
  <c r="E266" i="15"/>
  <c r="D266" i="15"/>
  <c r="C266" i="15"/>
  <c r="B266" i="15"/>
  <c r="H265" i="15"/>
  <c r="G265" i="15"/>
  <c r="F265" i="15"/>
  <c r="E265" i="15"/>
  <c r="D265" i="15"/>
  <c r="C265" i="15"/>
  <c r="B265" i="15"/>
  <c r="H264" i="15"/>
  <c r="G264" i="15"/>
  <c r="F264" i="15"/>
  <c r="E264" i="15"/>
  <c r="D264" i="15"/>
  <c r="C264" i="15"/>
  <c r="B264" i="15"/>
  <c r="H263" i="15"/>
  <c r="G263" i="15"/>
  <c r="F263" i="15"/>
  <c r="E263" i="15"/>
  <c r="D263" i="15"/>
  <c r="C263" i="15"/>
  <c r="B263" i="15"/>
  <c r="H262" i="15"/>
  <c r="G262" i="15"/>
  <c r="F262" i="15"/>
  <c r="E262" i="15"/>
  <c r="D262" i="15"/>
  <c r="C262" i="15"/>
  <c r="B262" i="15"/>
  <c r="H261" i="15"/>
  <c r="G261" i="15"/>
  <c r="F261" i="15"/>
  <c r="E261" i="15"/>
  <c r="D261" i="15"/>
  <c r="C261" i="15"/>
  <c r="B261" i="15"/>
  <c r="H260" i="15"/>
  <c r="G260" i="15"/>
  <c r="F260" i="15"/>
  <c r="E260" i="15"/>
  <c r="D260" i="15"/>
  <c r="C260" i="15"/>
  <c r="B260" i="15"/>
  <c r="H259" i="15"/>
  <c r="G259" i="15"/>
  <c r="F259" i="15"/>
  <c r="E259" i="15"/>
  <c r="D259" i="15"/>
  <c r="C259" i="15"/>
  <c r="B259" i="15"/>
  <c r="H258" i="15"/>
  <c r="G258" i="15"/>
  <c r="F258" i="15"/>
  <c r="E258" i="15"/>
  <c r="D258" i="15"/>
  <c r="C258" i="15"/>
  <c r="B258" i="15"/>
  <c r="H257" i="15"/>
  <c r="G257" i="15"/>
  <c r="F257" i="15"/>
  <c r="E257" i="15"/>
  <c r="D257" i="15"/>
  <c r="C257" i="15"/>
  <c r="B257" i="15"/>
  <c r="H256" i="15"/>
  <c r="G256" i="15"/>
  <c r="F256" i="15"/>
  <c r="E256" i="15"/>
  <c r="D256" i="15"/>
  <c r="C256" i="15"/>
  <c r="B256" i="15"/>
  <c r="H255" i="15"/>
  <c r="G255" i="15"/>
  <c r="F255" i="15"/>
  <c r="E255" i="15"/>
  <c r="D255" i="15"/>
  <c r="C255" i="15"/>
  <c r="B255" i="15"/>
  <c r="H254" i="15"/>
  <c r="G254" i="15"/>
  <c r="F254" i="15"/>
  <c r="E254" i="15"/>
  <c r="D254" i="15"/>
  <c r="C254" i="15"/>
  <c r="B254" i="15"/>
  <c r="H253" i="15"/>
  <c r="G253" i="15"/>
  <c r="F253" i="15"/>
  <c r="E253" i="15"/>
  <c r="D253" i="15"/>
  <c r="C253" i="15"/>
  <c r="B253" i="15"/>
  <c r="H252" i="15"/>
  <c r="G252" i="15"/>
  <c r="F252" i="15"/>
  <c r="E252" i="15"/>
  <c r="D252" i="15"/>
  <c r="C252" i="15"/>
  <c r="B252" i="15"/>
  <c r="H251" i="15"/>
  <c r="G251" i="15"/>
  <c r="F251" i="15"/>
  <c r="E251" i="15"/>
  <c r="D251" i="15"/>
  <c r="C251" i="15"/>
  <c r="B251" i="15"/>
  <c r="H250" i="15"/>
  <c r="G250" i="15"/>
  <c r="F250" i="15"/>
  <c r="E250" i="15"/>
  <c r="D250" i="15"/>
  <c r="C250" i="15"/>
  <c r="B250" i="15"/>
  <c r="H249" i="15"/>
  <c r="G249" i="15"/>
  <c r="F249" i="15"/>
  <c r="E249" i="15"/>
  <c r="D249" i="15"/>
  <c r="C249" i="15"/>
  <c r="B249" i="15"/>
  <c r="H248" i="15"/>
  <c r="G248" i="15"/>
  <c r="F248" i="15"/>
  <c r="E248" i="15"/>
  <c r="D248" i="15"/>
  <c r="C248" i="15"/>
  <c r="B248" i="15"/>
  <c r="H247" i="15"/>
  <c r="G247" i="15"/>
  <c r="F247" i="15"/>
  <c r="E247" i="15"/>
  <c r="D247" i="15"/>
  <c r="C247" i="15"/>
  <c r="B247" i="15"/>
  <c r="H246" i="15"/>
  <c r="G246" i="15"/>
  <c r="F246" i="15"/>
  <c r="E246" i="15"/>
  <c r="D246" i="15"/>
  <c r="C246" i="15"/>
  <c r="B246" i="15"/>
  <c r="H245" i="15"/>
  <c r="G245" i="15"/>
  <c r="F245" i="15"/>
  <c r="E245" i="15"/>
  <c r="D245" i="15"/>
  <c r="C245" i="15"/>
  <c r="B245" i="15"/>
  <c r="H244" i="15"/>
  <c r="G244" i="15"/>
  <c r="F244" i="15"/>
  <c r="E244" i="15"/>
  <c r="D244" i="15"/>
  <c r="C244" i="15"/>
  <c r="B244" i="15"/>
  <c r="H243" i="15"/>
  <c r="G243" i="15"/>
  <c r="F243" i="15"/>
  <c r="E243" i="15"/>
  <c r="D243" i="15"/>
  <c r="C243" i="15"/>
  <c r="B243" i="15"/>
  <c r="H242" i="15"/>
  <c r="G242" i="15"/>
  <c r="F242" i="15"/>
  <c r="E242" i="15"/>
  <c r="D242" i="15"/>
  <c r="C242" i="15"/>
  <c r="B242" i="15"/>
  <c r="H241" i="15"/>
  <c r="G241" i="15"/>
  <c r="F241" i="15"/>
  <c r="E241" i="15"/>
  <c r="D241" i="15"/>
  <c r="C241" i="15"/>
  <c r="B241" i="15"/>
  <c r="H239" i="15"/>
  <c r="H238" i="15"/>
  <c r="H233" i="15"/>
  <c r="G233" i="15"/>
  <c r="F233" i="15"/>
  <c r="E233" i="15"/>
  <c r="D233" i="15"/>
  <c r="C233" i="15"/>
  <c r="B233" i="15"/>
  <c r="H231" i="15"/>
  <c r="G231" i="15"/>
  <c r="F231" i="15"/>
  <c r="E231" i="15"/>
  <c r="D231" i="15"/>
  <c r="C231" i="15"/>
  <c r="B231" i="15"/>
  <c r="H230" i="15"/>
  <c r="G230" i="15"/>
  <c r="F230" i="15"/>
  <c r="E230" i="15"/>
  <c r="D230" i="15"/>
  <c r="C230" i="15"/>
  <c r="B230" i="15"/>
  <c r="H229" i="15"/>
  <c r="G229" i="15"/>
  <c r="F229" i="15"/>
  <c r="E229" i="15"/>
  <c r="D229" i="15"/>
  <c r="C229" i="15"/>
  <c r="B229" i="15"/>
  <c r="H228" i="15"/>
  <c r="G228" i="15"/>
  <c r="F228" i="15"/>
  <c r="E228" i="15"/>
  <c r="D228" i="15"/>
  <c r="C228" i="15"/>
  <c r="B228" i="15"/>
  <c r="H227" i="15"/>
  <c r="G227" i="15"/>
  <c r="F227" i="15"/>
  <c r="E227" i="15"/>
  <c r="D227" i="15"/>
  <c r="C227" i="15"/>
  <c r="B227" i="15"/>
  <c r="H226" i="15"/>
  <c r="G226" i="15"/>
  <c r="F226" i="15"/>
  <c r="E226" i="15"/>
  <c r="D226" i="15"/>
  <c r="C226" i="15"/>
  <c r="B226" i="15"/>
  <c r="H225" i="15"/>
  <c r="G225" i="15"/>
  <c r="F225" i="15"/>
  <c r="E225" i="15"/>
  <c r="D225" i="15"/>
  <c r="C225" i="15"/>
  <c r="B225" i="15"/>
  <c r="H224" i="15"/>
  <c r="G224" i="15"/>
  <c r="F224" i="15"/>
  <c r="E224" i="15"/>
  <c r="D224" i="15"/>
  <c r="C224" i="15"/>
  <c r="B224" i="15"/>
  <c r="H223" i="15"/>
  <c r="G223" i="15"/>
  <c r="F223" i="15"/>
  <c r="E223" i="15"/>
  <c r="D223" i="15"/>
  <c r="C223" i="15"/>
  <c r="B223" i="15"/>
  <c r="H222" i="15"/>
  <c r="G222" i="15"/>
  <c r="F222" i="15"/>
  <c r="E222" i="15"/>
  <c r="D222" i="15"/>
  <c r="C222" i="15"/>
  <c r="B222" i="15"/>
  <c r="H221" i="15"/>
  <c r="G221" i="15"/>
  <c r="F221" i="15"/>
  <c r="E221" i="15"/>
  <c r="D221" i="15"/>
  <c r="C221" i="15"/>
  <c r="B221" i="15"/>
  <c r="H220" i="15"/>
  <c r="G220" i="15"/>
  <c r="F220" i="15"/>
  <c r="E220" i="15"/>
  <c r="D220" i="15"/>
  <c r="C220" i="15"/>
  <c r="B220" i="15"/>
  <c r="H219" i="15"/>
  <c r="G219" i="15"/>
  <c r="F219" i="15"/>
  <c r="E219" i="15"/>
  <c r="D219" i="15"/>
  <c r="C219" i="15"/>
  <c r="B219" i="15"/>
  <c r="H218" i="15"/>
  <c r="G218" i="15"/>
  <c r="F218" i="15"/>
  <c r="E218" i="15"/>
  <c r="D218" i="15"/>
  <c r="C218" i="15"/>
  <c r="B218" i="15"/>
  <c r="H217" i="15"/>
  <c r="G217" i="15"/>
  <c r="F217" i="15"/>
  <c r="E217" i="15"/>
  <c r="D217" i="15"/>
  <c r="C217" i="15"/>
  <c r="B217" i="15"/>
  <c r="H216" i="15"/>
  <c r="G216" i="15"/>
  <c r="F216" i="15"/>
  <c r="E216" i="15"/>
  <c r="D216" i="15"/>
  <c r="C216" i="15"/>
  <c r="B216" i="15"/>
  <c r="H215" i="15"/>
  <c r="G215" i="15"/>
  <c r="F215" i="15"/>
  <c r="E215" i="15"/>
  <c r="D215" i="15"/>
  <c r="C215" i="15"/>
  <c r="B215" i="15"/>
  <c r="H214" i="15"/>
  <c r="G214" i="15"/>
  <c r="F214" i="15"/>
  <c r="E214" i="15"/>
  <c r="D214" i="15"/>
  <c r="C214" i="15"/>
  <c r="B214" i="15"/>
  <c r="H213" i="15"/>
  <c r="G213" i="15"/>
  <c r="F213" i="15"/>
  <c r="E213" i="15"/>
  <c r="D213" i="15"/>
  <c r="C213" i="15"/>
  <c r="B213" i="15"/>
  <c r="H212" i="15"/>
  <c r="G212" i="15"/>
  <c r="F212" i="15"/>
  <c r="E212" i="15"/>
  <c r="D212" i="15"/>
  <c r="C212" i="15"/>
  <c r="B212" i="15"/>
  <c r="H211" i="15"/>
  <c r="G211" i="15"/>
  <c r="F211" i="15"/>
  <c r="E211" i="15"/>
  <c r="D211" i="15"/>
  <c r="C211" i="15"/>
  <c r="B211" i="15"/>
  <c r="H210" i="15"/>
  <c r="G210" i="15"/>
  <c r="F210" i="15"/>
  <c r="E210" i="15"/>
  <c r="D210" i="15"/>
  <c r="C210" i="15"/>
  <c r="B210" i="15"/>
  <c r="H209" i="15"/>
  <c r="G209" i="15"/>
  <c r="F209" i="15"/>
  <c r="E209" i="15"/>
  <c r="D209" i="15"/>
  <c r="C209" i="15"/>
  <c r="B209" i="15"/>
  <c r="H208" i="15"/>
  <c r="G208" i="15"/>
  <c r="F208" i="15"/>
  <c r="E208" i="15"/>
  <c r="D208" i="15"/>
  <c r="C208" i="15"/>
  <c r="B208" i="15"/>
  <c r="H207" i="15"/>
  <c r="G207" i="15"/>
  <c r="F207" i="15"/>
  <c r="E207" i="15"/>
  <c r="D207" i="15"/>
  <c r="C207" i="15"/>
  <c r="B207" i="15"/>
  <c r="H206" i="15"/>
  <c r="G206" i="15"/>
  <c r="F206" i="15"/>
  <c r="E206" i="15"/>
  <c r="D206" i="15"/>
  <c r="C206" i="15"/>
  <c r="B206" i="15"/>
  <c r="H205" i="15"/>
  <c r="G205" i="15"/>
  <c r="F205" i="15"/>
  <c r="E205" i="15"/>
  <c r="D205" i="15"/>
  <c r="C205" i="15"/>
  <c r="B205" i="15"/>
  <c r="H204" i="15"/>
  <c r="G204" i="15"/>
  <c r="F204" i="15"/>
  <c r="E204" i="15"/>
  <c r="D204" i="15"/>
  <c r="C204" i="15"/>
  <c r="B204" i="15"/>
  <c r="H203" i="15"/>
  <c r="G203" i="15"/>
  <c r="F203" i="15"/>
  <c r="E203" i="15"/>
  <c r="D203" i="15"/>
  <c r="C203" i="15"/>
  <c r="B203" i="15"/>
  <c r="H202" i="15"/>
  <c r="G202" i="15"/>
  <c r="F202" i="15"/>
  <c r="E202" i="15"/>
  <c r="D202" i="15"/>
  <c r="C202" i="15"/>
  <c r="B202" i="15"/>
  <c r="H200" i="15"/>
  <c r="H199" i="15"/>
  <c r="H194" i="15"/>
  <c r="G194" i="15"/>
  <c r="F194" i="15"/>
  <c r="E194" i="15"/>
  <c r="D194" i="15"/>
  <c r="C194" i="15"/>
  <c r="B194" i="15"/>
  <c r="H193" i="15"/>
  <c r="G193" i="15"/>
  <c r="F193" i="15"/>
  <c r="E193" i="15"/>
  <c r="D193" i="15"/>
  <c r="C193" i="15"/>
  <c r="B193" i="15"/>
  <c r="H192" i="15"/>
  <c r="G192" i="15"/>
  <c r="F192" i="15"/>
  <c r="E192" i="15"/>
  <c r="D192" i="15"/>
  <c r="C192" i="15"/>
  <c r="B192" i="15"/>
  <c r="H191" i="15"/>
  <c r="G191" i="15"/>
  <c r="F191" i="15"/>
  <c r="E191" i="15"/>
  <c r="D191" i="15"/>
  <c r="C191" i="15"/>
  <c r="B191" i="15"/>
  <c r="H190" i="15"/>
  <c r="G190" i="15"/>
  <c r="F190" i="15"/>
  <c r="E190" i="15"/>
  <c r="D190" i="15"/>
  <c r="C190" i="15"/>
  <c r="B190" i="15"/>
  <c r="H189" i="15"/>
  <c r="G189" i="15"/>
  <c r="F189" i="15"/>
  <c r="E189" i="15"/>
  <c r="D189" i="15"/>
  <c r="C189" i="15"/>
  <c r="B189" i="15"/>
  <c r="H188" i="15"/>
  <c r="G188" i="15"/>
  <c r="F188" i="15"/>
  <c r="E188" i="15"/>
  <c r="D188" i="15"/>
  <c r="C188" i="15"/>
  <c r="B188" i="15"/>
  <c r="H187" i="15"/>
  <c r="G187" i="15"/>
  <c r="F187" i="15"/>
  <c r="E187" i="15"/>
  <c r="D187" i="15"/>
  <c r="C187" i="15"/>
  <c r="B187" i="15"/>
  <c r="H186" i="15"/>
  <c r="G186" i="15"/>
  <c r="F186" i="15"/>
  <c r="E186" i="15"/>
  <c r="D186" i="15"/>
  <c r="C186" i="15"/>
  <c r="B186" i="15"/>
  <c r="H185" i="15"/>
  <c r="G185" i="15"/>
  <c r="F185" i="15"/>
  <c r="E185" i="15"/>
  <c r="D185" i="15"/>
  <c r="C185" i="15"/>
  <c r="B185" i="15"/>
  <c r="H184" i="15"/>
  <c r="G184" i="15"/>
  <c r="F184" i="15"/>
  <c r="E184" i="15"/>
  <c r="D184" i="15"/>
  <c r="C184" i="15"/>
  <c r="B184" i="15"/>
  <c r="H183" i="15"/>
  <c r="G183" i="15"/>
  <c r="F183" i="15"/>
  <c r="E183" i="15"/>
  <c r="D183" i="15"/>
  <c r="C183" i="15"/>
  <c r="B183" i="15"/>
  <c r="H182" i="15"/>
  <c r="G182" i="15"/>
  <c r="F182" i="15"/>
  <c r="E182" i="15"/>
  <c r="D182" i="15"/>
  <c r="C182" i="15"/>
  <c r="B182" i="15"/>
  <c r="H181" i="15"/>
  <c r="G181" i="15"/>
  <c r="F181" i="15"/>
  <c r="E181" i="15"/>
  <c r="D181" i="15"/>
  <c r="C181" i="15"/>
  <c r="B181" i="15"/>
  <c r="H180" i="15"/>
  <c r="G180" i="15"/>
  <c r="F180" i="15"/>
  <c r="E180" i="15"/>
  <c r="D180" i="15"/>
  <c r="C180" i="15"/>
  <c r="B180" i="15"/>
  <c r="H179" i="15"/>
  <c r="G179" i="15"/>
  <c r="F179" i="15"/>
  <c r="E179" i="15"/>
  <c r="D179" i="15"/>
  <c r="C179" i="15"/>
  <c r="B179" i="15"/>
  <c r="H178" i="15"/>
  <c r="G178" i="15"/>
  <c r="F178" i="15"/>
  <c r="E178" i="15"/>
  <c r="D178" i="15"/>
  <c r="C178" i="15"/>
  <c r="B178" i="15"/>
  <c r="H177" i="15"/>
  <c r="G177" i="15"/>
  <c r="F177" i="15"/>
  <c r="E177" i="15"/>
  <c r="D177" i="15"/>
  <c r="C177" i="15"/>
  <c r="B177" i="15"/>
  <c r="H176" i="15"/>
  <c r="G176" i="15"/>
  <c r="F176" i="15"/>
  <c r="E176" i="15"/>
  <c r="D176" i="15"/>
  <c r="C176" i="15"/>
  <c r="B176" i="15"/>
  <c r="H175" i="15"/>
  <c r="G175" i="15"/>
  <c r="F175" i="15"/>
  <c r="E175" i="15"/>
  <c r="D175" i="15"/>
  <c r="C175" i="15"/>
  <c r="B175" i="15"/>
  <c r="H174" i="15"/>
  <c r="G174" i="15"/>
  <c r="F174" i="15"/>
  <c r="E174" i="15"/>
  <c r="D174" i="15"/>
  <c r="C174" i="15"/>
  <c r="B174" i="15"/>
  <c r="H173" i="15"/>
  <c r="G173" i="15"/>
  <c r="F173" i="15"/>
  <c r="E173" i="15"/>
  <c r="D173" i="15"/>
  <c r="C173" i="15"/>
  <c r="B173" i="15"/>
  <c r="H172" i="15"/>
  <c r="G172" i="15"/>
  <c r="F172" i="15"/>
  <c r="E172" i="15"/>
  <c r="D172" i="15"/>
  <c r="C172" i="15"/>
  <c r="B172" i="15"/>
  <c r="H171" i="15"/>
  <c r="G171" i="15"/>
  <c r="F171" i="15"/>
  <c r="E171" i="15"/>
  <c r="D171" i="15"/>
  <c r="C171" i="15"/>
  <c r="B171" i="15"/>
  <c r="H170" i="15"/>
  <c r="G170" i="15"/>
  <c r="F170" i="15"/>
  <c r="E170" i="15"/>
  <c r="D170" i="15"/>
  <c r="C170" i="15"/>
  <c r="B170" i="15"/>
  <c r="H169" i="15"/>
  <c r="G169" i="15"/>
  <c r="F169" i="15"/>
  <c r="E169" i="15"/>
  <c r="D169" i="15"/>
  <c r="C169" i="15"/>
  <c r="B169" i="15"/>
  <c r="H168" i="15"/>
  <c r="G168" i="15"/>
  <c r="F168" i="15"/>
  <c r="E168" i="15"/>
  <c r="D168" i="15"/>
  <c r="C168" i="15"/>
  <c r="B168" i="15"/>
  <c r="H167" i="15"/>
  <c r="G167" i="15"/>
  <c r="F167" i="15"/>
  <c r="E167" i="15"/>
  <c r="D167" i="15"/>
  <c r="C167" i="15"/>
  <c r="B167" i="15"/>
  <c r="H166" i="15"/>
  <c r="G166" i="15"/>
  <c r="F166" i="15"/>
  <c r="E166" i="15"/>
  <c r="D166" i="15"/>
  <c r="C166" i="15"/>
  <c r="B166" i="15"/>
  <c r="H165" i="15"/>
  <c r="G165" i="15"/>
  <c r="F165" i="15"/>
  <c r="E165" i="15"/>
  <c r="D165" i="15"/>
  <c r="C165" i="15"/>
  <c r="B165" i="15"/>
  <c r="H164" i="15"/>
  <c r="G164" i="15"/>
  <c r="F164" i="15"/>
  <c r="E164" i="15"/>
  <c r="D164" i="15"/>
  <c r="C164" i="15"/>
  <c r="B164" i="15"/>
  <c r="H163" i="15"/>
  <c r="G163" i="15"/>
  <c r="F163" i="15"/>
  <c r="E163" i="15"/>
  <c r="D163" i="15"/>
  <c r="C163" i="15"/>
  <c r="B163" i="15"/>
  <c r="H161" i="15"/>
  <c r="H160" i="15"/>
  <c r="H155" i="15"/>
  <c r="G155" i="15"/>
  <c r="F155" i="15"/>
  <c r="E155" i="15"/>
  <c r="D155" i="15"/>
  <c r="C155" i="15"/>
  <c r="B155" i="15"/>
  <c r="H153" i="15"/>
  <c r="G153" i="15"/>
  <c r="F153" i="15"/>
  <c r="E153" i="15"/>
  <c r="D153" i="15"/>
  <c r="C153" i="15"/>
  <c r="B153" i="15"/>
  <c r="H152" i="15"/>
  <c r="G152" i="15"/>
  <c r="F152" i="15"/>
  <c r="E152" i="15"/>
  <c r="D152" i="15"/>
  <c r="C152" i="15"/>
  <c r="B152" i="15"/>
  <c r="H151" i="15"/>
  <c r="G151" i="15"/>
  <c r="F151" i="15"/>
  <c r="E151" i="15"/>
  <c r="D151" i="15"/>
  <c r="C151" i="15"/>
  <c r="B151" i="15"/>
  <c r="H150" i="15"/>
  <c r="G150" i="15"/>
  <c r="F150" i="15"/>
  <c r="E150" i="15"/>
  <c r="D150" i="15"/>
  <c r="C150" i="15"/>
  <c r="B150" i="15"/>
  <c r="H149" i="15"/>
  <c r="G149" i="15"/>
  <c r="F149" i="15"/>
  <c r="E149" i="15"/>
  <c r="D149" i="15"/>
  <c r="C149" i="15"/>
  <c r="B149" i="15"/>
  <c r="H148" i="15"/>
  <c r="G148" i="15"/>
  <c r="F148" i="15"/>
  <c r="E148" i="15"/>
  <c r="D148" i="15"/>
  <c r="C148" i="15"/>
  <c r="B148" i="15"/>
  <c r="H147" i="15"/>
  <c r="G147" i="15"/>
  <c r="F147" i="15"/>
  <c r="E147" i="15"/>
  <c r="D147" i="15"/>
  <c r="C147" i="15"/>
  <c r="B147" i="15"/>
  <c r="H146" i="15"/>
  <c r="G146" i="15"/>
  <c r="F146" i="15"/>
  <c r="E146" i="15"/>
  <c r="D146" i="15"/>
  <c r="C146" i="15"/>
  <c r="B146" i="15"/>
  <c r="H145" i="15"/>
  <c r="G145" i="15"/>
  <c r="F145" i="15"/>
  <c r="E145" i="15"/>
  <c r="D145" i="15"/>
  <c r="C145" i="15"/>
  <c r="B145" i="15"/>
  <c r="H144" i="15"/>
  <c r="G144" i="15"/>
  <c r="F144" i="15"/>
  <c r="E144" i="15"/>
  <c r="D144" i="15"/>
  <c r="C144" i="15"/>
  <c r="B144" i="15"/>
  <c r="H143" i="15"/>
  <c r="G143" i="15"/>
  <c r="F143" i="15"/>
  <c r="E143" i="15"/>
  <c r="D143" i="15"/>
  <c r="C143" i="15"/>
  <c r="B143" i="15"/>
  <c r="H142" i="15"/>
  <c r="G142" i="15"/>
  <c r="F142" i="15"/>
  <c r="E142" i="15"/>
  <c r="D142" i="15"/>
  <c r="C142" i="15"/>
  <c r="B142" i="15"/>
  <c r="H141" i="15"/>
  <c r="G141" i="15"/>
  <c r="F141" i="15"/>
  <c r="E141" i="15"/>
  <c r="D141" i="15"/>
  <c r="C141" i="15"/>
  <c r="B141" i="15"/>
  <c r="H140" i="15"/>
  <c r="G140" i="15"/>
  <c r="F140" i="15"/>
  <c r="E140" i="15"/>
  <c r="D140" i="15"/>
  <c r="C140" i="15"/>
  <c r="B140" i="15"/>
  <c r="H139" i="15"/>
  <c r="G139" i="15"/>
  <c r="F139" i="15"/>
  <c r="E139" i="15"/>
  <c r="D139" i="15"/>
  <c r="C139" i="15"/>
  <c r="B139" i="15"/>
  <c r="H138" i="15"/>
  <c r="G138" i="15"/>
  <c r="F138" i="15"/>
  <c r="E138" i="15"/>
  <c r="D138" i="15"/>
  <c r="C138" i="15"/>
  <c r="B138" i="15"/>
  <c r="H137" i="15"/>
  <c r="G137" i="15"/>
  <c r="F137" i="15"/>
  <c r="E137" i="15"/>
  <c r="D137" i="15"/>
  <c r="C137" i="15"/>
  <c r="B137" i="15"/>
  <c r="H136" i="15"/>
  <c r="G136" i="15"/>
  <c r="F136" i="15"/>
  <c r="E136" i="15"/>
  <c r="D136" i="15"/>
  <c r="C136" i="15"/>
  <c r="B136" i="15"/>
  <c r="H135" i="15"/>
  <c r="G135" i="15"/>
  <c r="F135" i="15"/>
  <c r="E135" i="15"/>
  <c r="D135" i="15"/>
  <c r="C135" i="15"/>
  <c r="B135" i="15"/>
  <c r="H134" i="15"/>
  <c r="G134" i="15"/>
  <c r="F134" i="15"/>
  <c r="E134" i="15"/>
  <c r="D134" i="15"/>
  <c r="C134" i="15"/>
  <c r="B134" i="15"/>
  <c r="H133" i="15"/>
  <c r="G133" i="15"/>
  <c r="F133" i="15"/>
  <c r="E133" i="15"/>
  <c r="D133" i="15"/>
  <c r="C133" i="15"/>
  <c r="B133" i="15"/>
  <c r="H132" i="15"/>
  <c r="G132" i="15"/>
  <c r="F132" i="15"/>
  <c r="E132" i="15"/>
  <c r="D132" i="15"/>
  <c r="C132" i="15"/>
  <c r="B132" i="15"/>
  <c r="H131" i="15"/>
  <c r="G131" i="15"/>
  <c r="F131" i="15"/>
  <c r="E131" i="15"/>
  <c r="D131" i="15"/>
  <c r="C131" i="15"/>
  <c r="B131" i="15"/>
  <c r="H130" i="15"/>
  <c r="G130" i="15"/>
  <c r="F130" i="15"/>
  <c r="E130" i="15"/>
  <c r="D130" i="15"/>
  <c r="C130" i="15"/>
  <c r="B130" i="15"/>
  <c r="H129" i="15"/>
  <c r="G129" i="15"/>
  <c r="F129" i="15"/>
  <c r="E129" i="15"/>
  <c r="D129" i="15"/>
  <c r="C129" i="15"/>
  <c r="B129" i="15"/>
  <c r="H128" i="15"/>
  <c r="G128" i="15"/>
  <c r="F128" i="15"/>
  <c r="E128" i="15"/>
  <c r="D128" i="15"/>
  <c r="C128" i="15"/>
  <c r="B128" i="15"/>
  <c r="H127" i="15"/>
  <c r="G127" i="15"/>
  <c r="F127" i="15"/>
  <c r="E127" i="15"/>
  <c r="D127" i="15"/>
  <c r="C127" i="15"/>
  <c r="B127" i="15"/>
  <c r="H126" i="15"/>
  <c r="G126" i="15"/>
  <c r="F126" i="15"/>
  <c r="E126" i="15"/>
  <c r="D126" i="15"/>
  <c r="C126" i="15"/>
  <c r="B126" i="15"/>
  <c r="H125" i="15"/>
  <c r="G125" i="15"/>
  <c r="F125" i="15"/>
  <c r="E125" i="15"/>
  <c r="D125" i="15"/>
  <c r="C125" i="15"/>
  <c r="B125" i="15"/>
  <c r="H124" i="15"/>
  <c r="G124" i="15"/>
  <c r="F124" i="15"/>
  <c r="E124" i="15"/>
  <c r="D124" i="15"/>
  <c r="C124" i="15"/>
  <c r="B124" i="15"/>
  <c r="H122" i="15"/>
  <c r="H121" i="15"/>
  <c r="H116" i="15"/>
  <c r="G116" i="15"/>
  <c r="F116" i="15"/>
  <c r="E116" i="15"/>
  <c r="D116" i="15"/>
  <c r="C116" i="15"/>
  <c r="B116" i="15"/>
  <c r="H115" i="15"/>
  <c r="G115" i="15"/>
  <c r="F115" i="15"/>
  <c r="E115" i="15"/>
  <c r="D115" i="15"/>
  <c r="C115" i="15"/>
  <c r="B115" i="15"/>
  <c r="H114" i="15"/>
  <c r="G114" i="15"/>
  <c r="F114" i="15"/>
  <c r="E114" i="15"/>
  <c r="D114" i="15"/>
  <c r="C114" i="15"/>
  <c r="B114" i="15"/>
  <c r="H113" i="15"/>
  <c r="G113" i="15"/>
  <c r="F113" i="15"/>
  <c r="E113" i="15"/>
  <c r="D113" i="15"/>
  <c r="C113" i="15"/>
  <c r="B113" i="15"/>
  <c r="H112" i="15"/>
  <c r="G112" i="15"/>
  <c r="F112" i="15"/>
  <c r="E112" i="15"/>
  <c r="D112" i="15"/>
  <c r="C112" i="15"/>
  <c r="B112" i="15"/>
  <c r="H111" i="15"/>
  <c r="G111" i="15"/>
  <c r="F111" i="15"/>
  <c r="E111" i="15"/>
  <c r="D111" i="15"/>
  <c r="C111" i="15"/>
  <c r="B111" i="15"/>
  <c r="H110" i="15"/>
  <c r="G110" i="15"/>
  <c r="F110" i="15"/>
  <c r="E110" i="15"/>
  <c r="D110" i="15"/>
  <c r="C110" i="15"/>
  <c r="B110" i="15"/>
  <c r="H109" i="15"/>
  <c r="G109" i="15"/>
  <c r="F109" i="15"/>
  <c r="E109" i="15"/>
  <c r="D109" i="15"/>
  <c r="C109" i="15"/>
  <c r="B109" i="15"/>
  <c r="H108" i="15"/>
  <c r="G108" i="15"/>
  <c r="F108" i="15"/>
  <c r="E108" i="15"/>
  <c r="D108" i="15"/>
  <c r="C108" i="15"/>
  <c r="B108" i="15"/>
  <c r="H107" i="15"/>
  <c r="G107" i="15"/>
  <c r="F107" i="15"/>
  <c r="E107" i="15"/>
  <c r="D107" i="15"/>
  <c r="C107" i="15"/>
  <c r="B107" i="15"/>
  <c r="H106" i="15"/>
  <c r="G106" i="15"/>
  <c r="F106" i="15"/>
  <c r="E106" i="15"/>
  <c r="D106" i="15"/>
  <c r="C106" i="15"/>
  <c r="B106" i="15"/>
  <c r="H105" i="15"/>
  <c r="G105" i="15"/>
  <c r="F105" i="15"/>
  <c r="E105" i="15"/>
  <c r="D105" i="15"/>
  <c r="C105" i="15"/>
  <c r="B105" i="15"/>
  <c r="H104" i="15"/>
  <c r="G104" i="15"/>
  <c r="F104" i="15"/>
  <c r="E104" i="15"/>
  <c r="D104" i="15"/>
  <c r="C104" i="15"/>
  <c r="B104" i="15"/>
  <c r="H103" i="15"/>
  <c r="G103" i="15"/>
  <c r="F103" i="15"/>
  <c r="E103" i="15"/>
  <c r="D103" i="15"/>
  <c r="C103" i="15"/>
  <c r="B103" i="15"/>
  <c r="H102" i="15"/>
  <c r="G102" i="15"/>
  <c r="F102" i="15"/>
  <c r="E102" i="15"/>
  <c r="D102" i="15"/>
  <c r="C102" i="15"/>
  <c r="B102" i="15"/>
  <c r="H101" i="15"/>
  <c r="G101" i="15"/>
  <c r="F101" i="15"/>
  <c r="E101" i="15"/>
  <c r="D101" i="15"/>
  <c r="C101" i="15"/>
  <c r="B101" i="15"/>
  <c r="H100" i="15"/>
  <c r="G100" i="15"/>
  <c r="F100" i="15"/>
  <c r="E100" i="15"/>
  <c r="D100" i="15"/>
  <c r="C100" i="15"/>
  <c r="B100" i="15"/>
  <c r="H99" i="15"/>
  <c r="G99" i="15"/>
  <c r="F99" i="15"/>
  <c r="E99" i="15"/>
  <c r="D99" i="15"/>
  <c r="C99" i="15"/>
  <c r="B99" i="15"/>
  <c r="H98" i="15"/>
  <c r="G98" i="15"/>
  <c r="F98" i="15"/>
  <c r="E98" i="15"/>
  <c r="D98" i="15"/>
  <c r="C98" i="15"/>
  <c r="B98" i="15"/>
  <c r="H97" i="15"/>
  <c r="G97" i="15"/>
  <c r="F97" i="15"/>
  <c r="E97" i="15"/>
  <c r="D97" i="15"/>
  <c r="C97" i="15"/>
  <c r="B97" i="15"/>
  <c r="H96" i="15"/>
  <c r="G96" i="15"/>
  <c r="F96" i="15"/>
  <c r="E96" i="15"/>
  <c r="D96" i="15"/>
  <c r="C96" i="15"/>
  <c r="B96" i="15"/>
  <c r="H95" i="15"/>
  <c r="G95" i="15"/>
  <c r="F95" i="15"/>
  <c r="E95" i="15"/>
  <c r="D95" i="15"/>
  <c r="C95" i="15"/>
  <c r="B95" i="15"/>
  <c r="H94" i="15"/>
  <c r="G94" i="15"/>
  <c r="F94" i="15"/>
  <c r="E94" i="15"/>
  <c r="D94" i="15"/>
  <c r="C94" i="15"/>
  <c r="B94" i="15"/>
  <c r="H93" i="15"/>
  <c r="G93" i="15"/>
  <c r="F93" i="15"/>
  <c r="E93" i="15"/>
  <c r="D93" i="15"/>
  <c r="C93" i="15"/>
  <c r="B93" i="15"/>
  <c r="H92" i="15"/>
  <c r="G92" i="15"/>
  <c r="F92" i="15"/>
  <c r="E92" i="15"/>
  <c r="D92" i="15"/>
  <c r="C92" i="15"/>
  <c r="B92" i="15"/>
  <c r="H91" i="15"/>
  <c r="G91" i="15"/>
  <c r="F91" i="15"/>
  <c r="E91" i="15"/>
  <c r="D91" i="15"/>
  <c r="C91" i="15"/>
  <c r="B91" i="15"/>
  <c r="H90" i="15"/>
  <c r="G90" i="15"/>
  <c r="F90" i="15"/>
  <c r="E90" i="15"/>
  <c r="D90" i="15"/>
  <c r="C90" i="15"/>
  <c r="B90" i="15"/>
  <c r="H89" i="15"/>
  <c r="G89" i="15"/>
  <c r="F89" i="15"/>
  <c r="E89" i="15"/>
  <c r="D89" i="15"/>
  <c r="C89" i="15"/>
  <c r="B89" i="15"/>
  <c r="H88" i="15"/>
  <c r="G88" i="15"/>
  <c r="F88" i="15"/>
  <c r="E88" i="15"/>
  <c r="D88" i="15"/>
  <c r="C88" i="15"/>
  <c r="B88" i="15"/>
  <c r="H87" i="15"/>
  <c r="G87" i="15"/>
  <c r="F87" i="15"/>
  <c r="E87" i="15"/>
  <c r="D87" i="15"/>
  <c r="C87" i="15"/>
  <c r="B87" i="15"/>
  <c r="H86" i="15"/>
  <c r="G86" i="15"/>
  <c r="F86" i="15"/>
  <c r="E86" i="15"/>
  <c r="D86" i="15"/>
  <c r="C86" i="15"/>
  <c r="B86" i="15"/>
  <c r="H85" i="15"/>
  <c r="G85" i="15"/>
  <c r="F85" i="15"/>
  <c r="E85" i="15"/>
  <c r="D85" i="15"/>
  <c r="C85" i="15"/>
  <c r="B85" i="15"/>
  <c r="H83" i="15"/>
  <c r="H82" i="15"/>
  <c r="H77" i="15"/>
  <c r="G77" i="15"/>
  <c r="F77" i="15"/>
  <c r="E77" i="15"/>
  <c r="D77" i="15"/>
  <c r="C77" i="15"/>
  <c r="B77" i="15"/>
  <c r="H73" i="15"/>
  <c r="G73" i="15"/>
  <c r="F73" i="15"/>
  <c r="E73" i="15"/>
  <c r="D73" i="15"/>
  <c r="C73" i="15"/>
  <c r="B73" i="15"/>
  <c r="H72" i="15"/>
  <c r="G72" i="15"/>
  <c r="F72" i="15"/>
  <c r="E72" i="15"/>
  <c r="D72" i="15"/>
  <c r="C72" i="15"/>
  <c r="B72" i="15"/>
  <c r="H71" i="15"/>
  <c r="G71" i="15"/>
  <c r="F71" i="15"/>
  <c r="E71" i="15"/>
  <c r="D71" i="15"/>
  <c r="C71" i="15"/>
  <c r="B71" i="15"/>
  <c r="H70" i="15"/>
  <c r="G70" i="15"/>
  <c r="F70" i="15"/>
  <c r="E70" i="15"/>
  <c r="D70" i="15"/>
  <c r="C70" i="15"/>
  <c r="B70" i="15"/>
  <c r="H69" i="15"/>
  <c r="G69" i="15"/>
  <c r="F69" i="15"/>
  <c r="E69" i="15"/>
  <c r="D69" i="15"/>
  <c r="C69" i="15"/>
  <c r="B69" i="15"/>
  <c r="H68" i="15"/>
  <c r="G68" i="15"/>
  <c r="F68" i="15"/>
  <c r="E68" i="15"/>
  <c r="D68" i="15"/>
  <c r="C68" i="15"/>
  <c r="B68" i="15"/>
  <c r="H67" i="15"/>
  <c r="G67" i="15"/>
  <c r="F67" i="15"/>
  <c r="E67" i="15"/>
  <c r="D67" i="15"/>
  <c r="C67" i="15"/>
  <c r="B67" i="15"/>
  <c r="H66" i="15"/>
  <c r="G66" i="15"/>
  <c r="F66" i="15"/>
  <c r="E66" i="15"/>
  <c r="D66" i="15"/>
  <c r="C66" i="15"/>
  <c r="B66" i="15"/>
  <c r="H65" i="15"/>
  <c r="G65" i="15"/>
  <c r="F65" i="15"/>
  <c r="E65" i="15"/>
  <c r="D65" i="15"/>
  <c r="C65" i="15"/>
  <c r="B65" i="15"/>
  <c r="H64" i="15"/>
  <c r="G64" i="15"/>
  <c r="F64" i="15"/>
  <c r="E64" i="15"/>
  <c r="D64" i="15"/>
  <c r="C64" i="15"/>
  <c r="B64" i="15"/>
  <c r="H63" i="15"/>
  <c r="G63" i="15"/>
  <c r="F63" i="15"/>
  <c r="E63" i="15"/>
  <c r="D63" i="15"/>
  <c r="C63" i="15"/>
  <c r="B63" i="15"/>
  <c r="H62" i="15"/>
  <c r="G62" i="15"/>
  <c r="F62" i="15"/>
  <c r="E62" i="15"/>
  <c r="D62" i="15"/>
  <c r="C62" i="15"/>
  <c r="B62" i="15"/>
  <c r="H61" i="15"/>
  <c r="G61" i="15"/>
  <c r="F61" i="15"/>
  <c r="E61" i="15"/>
  <c r="D61" i="15"/>
  <c r="C61" i="15"/>
  <c r="B61" i="15"/>
  <c r="H60" i="15"/>
  <c r="G60" i="15"/>
  <c r="F60" i="15"/>
  <c r="E60" i="15"/>
  <c r="D60" i="15"/>
  <c r="C60" i="15"/>
  <c r="B60" i="15"/>
  <c r="H59" i="15"/>
  <c r="G59" i="15"/>
  <c r="F59" i="15"/>
  <c r="E59" i="15"/>
  <c r="D59" i="15"/>
  <c r="C59" i="15"/>
  <c r="B59" i="15"/>
  <c r="H58" i="15"/>
  <c r="G58" i="15"/>
  <c r="F58" i="15"/>
  <c r="E58" i="15"/>
  <c r="D58" i="15"/>
  <c r="C58" i="15"/>
  <c r="B58" i="15"/>
  <c r="H57" i="15"/>
  <c r="G57" i="15"/>
  <c r="F57" i="15"/>
  <c r="E57" i="15"/>
  <c r="D57" i="15"/>
  <c r="C57" i="15"/>
  <c r="B57" i="15"/>
  <c r="H56" i="15"/>
  <c r="G56" i="15"/>
  <c r="F56" i="15"/>
  <c r="E56" i="15"/>
  <c r="D56" i="15"/>
  <c r="C56" i="15"/>
  <c r="B56" i="15"/>
  <c r="H55" i="15"/>
  <c r="G55" i="15"/>
  <c r="F55" i="15"/>
  <c r="E55" i="15"/>
  <c r="D55" i="15"/>
  <c r="C55" i="15"/>
  <c r="B55" i="15"/>
  <c r="H54" i="15"/>
  <c r="G54" i="15"/>
  <c r="F54" i="15"/>
  <c r="E54" i="15"/>
  <c r="D54" i="15"/>
  <c r="C54" i="15"/>
  <c r="B54" i="15"/>
  <c r="H53" i="15"/>
  <c r="G53" i="15"/>
  <c r="F53" i="15"/>
  <c r="E53" i="15"/>
  <c r="D53" i="15"/>
  <c r="C53" i="15"/>
  <c r="B53" i="15"/>
  <c r="H52" i="15"/>
  <c r="G52" i="15"/>
  <c r="F52" i="15"/>
  <c r="E52" i="15"/>
  <c r="D52" i="15"/>
  <c r="C52" i="15"/>
  <c r="B52" i="15"/>
  <c r="H51" i="15"/>
  <c r="G51" i="15"/>
  <c r="F51" i="15"/>
  <c r="E51" i="15"/>
  <c r="D51" i="15"/>
  <c r="C51" i="15"/>
  <c r="B51" i="15"/>
  <c r="H50" i="15"/>
  <c r="G50" i="15"/>
  <c r="F50" i="15"/>
  <c r="E50" i="15"/>
  <c r="D50" i="15"/>
  <c r="C50" i="15"/>
  <c r="B50" i="15"/>
  <c r="H49" i="15"/>
  <c r="G49" i="15"/>
  <c r="F49" i="15"/>
  <c r="E49" i="15"/>
  <c r="D49" i="15"/>
  <c r="C49" i="15"/>
  <c r="B49" i="15"/>
  <c r="H48" i="15"/>
  <c r="G48" i="15"/>
  <c r="F48" i="15"/>
  <c r="E48" i="15"/>
  <c r="D48" i="15"/>
  <c r="C48" i="15"/>
  <c r="B48" i="15"/>
  <c r="H47" i="15"/>
  <c r="G47" i="15"/>
  <c r="F47" i="15"/>
  <c r="E47" i="15"/>
  <c r="D47" i="15"/>
  <c r="C47" i="15"/>
  <c r="B47" i="15"/>
  <c r="H46" i="15"/>
  <c r="G46" i="15"/>
  <c r="F46" i="15"/>
  <c r="E46" i="15"/>
  <c r="D46" i="15"/>
  <c r="C46" i="15"/>
  <c r="B46" i="15"/>
  <c r="H44" i="15"/>
  <c r="H43" i="15"/>
  <c r="H38" i="15"/>
  <c r="G38" i="15"/>
  <c r="F38" i="15"/>
  <c r="E38" i="15"/>
  <c r="D38" i="15"/>
  <c r="C38" i="15"/>
  <c r="B38" i="15"/>
  <c r="H37" i="15"/>
  <c r="G37" i="15"/>
  <c r="F37" i="15"/>
  <c r="E37" i="15"/>
  <c r="D37" i="15"/>
  <c r="C37" i="15"/>
  <c r="B37" i="15"/>
  <c r="H36" i="15"/>
  <c r="G36" i="15"/>
  <c r="F36" i="15"/>
  <c r="E36" i="15"/>
  <c r="D36" i="15"/>
  <c r="C36" i="15"/>
  <c r="B36" i="15"/>
  <c r="H35" i="15"/>
  <c r="G35" i="15"/>
  <c r="F35" i="15"/>
  <c r="E35" i="15"/>
  <c r="D35" i="15"/>
  <c r="C35" i="15"/>
  <c r="B35" i="15"/>
  <c r="H34" i="15"/>
  <c r="G34" i="15"/>
  <c r="F34" i="15"/>
  <c r="E34" i="15"/>
  <c r="D34" i="15"/>
  <c r="C34" i="15"/>
  <c r="B34" i="15"/>
  <c r="H33" i="15"/>
  <c r="G33" i="15"/>
  <c r="F33" i="15"/>
  <c r="E33" i="15"/>
  <c r="D33" i="15"/>
  <c r="C33" i="15"/>
  <c r="B33" i="15"/>
  <c r="H32" i="15"/>
  <c r="G32" i="15"/>
  <c r="F32" i="15"/>
  <c r="E32" i="15"/>
  <c r="D32" i="15"/>
  <c r="C32" i="15"/>
  <c r="B32" i="15"/>
  <c r="H31" i="15"/>
  <c r="G31" i="15"/>
  <c r="F31" i="15"/>
  <c r="E31" i="15"/>
  <c r="D31" i="15"/>
  <c r="C31" i="15"/>
  <c r="B31" i="15"/>
  <c r="H30" i="15"/>
  <c r="G30" i="15"/>
  <c r="F30" i="15"/>
  <c r="E30" i="15"/>
  <c r="D30" i="15"/>
  <c r="C30" i="15"/>
  <c r="B30" i="15"/>
  <c r="H29" i="15"/>
  <c r="G29" i="15"/>
  <c r="F29" i="15"/>
  <c r="E29" i="15"/>
  <c r="D29" i="15"/>
  <c r="C29" i="15"/>
  <c r="B29" i="15"/>
  <c r="H28" i="15"/>
  <c r="G28" i="15"/>
  <c r="F28" i="15"/>
  <c r="E28" i="15"/>
  <c r="D28" i="15"/>
  <c r="C28" i="15"/>
  <c r="B28" i="15"/>
  <c r="H27" i="15"/>
  <c r="G27" i="15"/>
  <c r="F27" i="15"/>
  <c r="E27" i="15"/>
  <c r="D27" i="15"/>
  <c r="C27" i="15"/>
  <c r="B27" i="15"/>
  <c r="H26" i="15"/>
  <c r="G26" i="15"/>
  <c r="F26" i="15"/>
  <c r="E26" i="15"/>
  <c r="D26" i="15"/>
  <c r="C26" i="15"/>
  <c r="B26" i="15"/>
  <c r="H25" i="15"/>
  <c r="G25" i="15"/>
  <c r="F25" i="15"/>
  <c r="E25" i="15"/>
  <c r="D25" i="15"/>
  <c r="C25" i="15"/>
  <c r="B25" i="15"/>
  <c r="H24" i="15"/>
  <c r="G24" i="15"/>
  <c r="F24" i="15"/>
  <c r="E24" i="15"/>
  <c r="D24" i="15"/>
  <c r="C24" i="15"/>
  <c r="B24" i="15"/>
  <c r="H23" i="15"/>
  <c r="G23" i="15"/>
  <c r="F23" i="15"/>
  <c r="E23" i="15"/>
  <c r="D23" i="15"/>
  <c r="C23" i="15"/>
  <c r="B23" i="15"/>
  <c r="H22" i="15"/>
  <c r="G22" i="15"/>
  <c r="F22" i="15"/>
  <c r="E22" i="15"/>
  <c r="D22" i="15"/>
  <c r="C22" i="15"/>
  <c r="B22" i="15"/>
  <c r="H21" i="15"/>
  <c r="G21" i="15"/>
  <c r="F21" i="15"/>
  <c r="E21" i="15"/>
  <c r="D21" i="15"/>
  <c r="C21" i="15"/>
  <c r="B21" i="15"/>
  <c r="H20" i="15"/>
  <c r="G20" i="15"/>
  <c r="F20" i="15"/>
  <c r="E20" i="15"/>
  <c r="D20" i="15"/>
  <c r="C20" i="15"/>
  <c r="B20" i="15"/>
  <c r="H19" i="15"/>
  <c r="G19" i="15"/>
  <c r="F19" i="15"/>
  <c r="E19" i="15"/>
  <c r="D19" i="15"/>
  <c r="C19" i="15"/>
  <c r="B19" i="15"/>
  <c r="H18" i="15"/>
  <c r="G18" i="15"/>
  <c r="F18" i="15"/>
  <c r="E18" i="15"/>
  <c r="D18" i="15"/>
  <c r="C18" i="15"/>
  <c r="B18" i="15"/>
  <c r="H17" i="15"/>
  <c r="G17" i="15"/>
  <c r="F17" i="15"/>
  <c r="E17" i="15"/>
  <c r="D17" i="15"/>
  <c r="C17" i="15"/>
  <c r="B17" i="15"/>
  <c r="H16" i="15"/>
  <c r="G16" i="15"/>
  <c r="F16" i="15"/>
  <c r="E16" i="15"/>
  <c r="D16" i="15"/>
  <c r="C16" i="15"/>
  <c r="B16" i="15"/>
  <c r="H15" i="15"/>
  <c r="G15" i="15"/>
  <c r="F15" i="15"/>
  <c r="E15" i="15"/>
  <c r="D15" i="15"/>
  <c r="C15" i="15"/>
  <c r="B15" i="15"/>
  <c r="H14" i="15"/>
  <c r="G14" i="15"/>
  <c r="F14" i="15"/>
  <c r="E14" i="15"/>
  <c r="D14" i="15"/>
  <c r="C14" i="15"/>
  <c r="B14" i="15"/>
  <c r="H13" i="15"/>
  <c r="G13" i="15"/>
  <c r="F13" i="15"/>
  <c r="E13" i="15"/>
  <c r="D13" i="15"/>
  <c r="C13" i="15"/>
  <c r="B13" i="15"/>
  <c r="H12" i="15"/>
  <c r="G12" i="15"/>
  <c r="F12" i="15"/>
  <c r="E12" i="15"/>
  <c r="D12" i="15"/>
  <c r="C12" i="15"/>
  <c r="B12" i="15"/>
  <c r="H11" i="15"/>
  <c r="G11" i="15"/>
  <c r="F11" i="15"/>
  <c r="E11" i="15"/>
  <c r="D11" i="15"/>
  <c r="C11" i="15"/>
  <c r="B11" i="15"/>
  <c r="H10" i="15"/>
  <c r="G10" i="15"/>
  <c r="F10" i="15"/>
  <c r="E10" i="15"/>
  <c r="D10" i="15"/>
  <c r="C10" i="15"/>
  <c r="B10" i="15"/>
  <c r="H9" i="15"/>
  <c r="G9" i="15"/>
  <c r="F9" i="15"/>
  <c r="E9" i="15"/>
  <c r="D9" i="15"/>
  <c r="C9" i="15"/>
  <c r="B9" i="15"/>
  <c r="H8" i="15"/>
  <c r="G8" i="15"/>
  <c r="F8" i="15"/>
  <c r="E8" i="15"/>
  <c r="D8" i="15"/>
  <c r="C8" i="15"/>
  <c r="B8" i="15"/>
  <c r="H7" i="15"/>
  <c r="G7" i="15"/>
  <c r="F7" i="15"/>
  <c r="E7" i="15"/>
  <c r="D7" i="15"/>
  <c r="C7" i="15"/>
  <c r="B7" i="15"/>
  <c r="H5" i="15"/>
  <c r="H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9" i="16" l="1"/>
  <c r="P11" i="16"/>
  <c r="P13" i="16"/>
  <c r="P15" i="16"/>
  <c r="P17" i="16"/>
  <c r="P19" i="16"/>
  <c r="P21" i="16"/>
  <c r="P23" i="16"/>
  <c r="P25" i="16"/>
  <c r="P27" i="16"/>
  <c r="P29" i="16"/>
  <c r="P31" i="16"/>
  <c r="P33" i="16"/>
  <c r="P35" i="16"/>
  <c r="P37" i="16"/>
  <c r="P39" i="16"/>
  <c r="P49" i="16"/>
  <c r="P51" i="16"/>
  <c r="P53" i="16"/>
  <c r="P55" i="16"/>
  <c r="P57" i="16"/>
  <c r="P59" i="16"/>
  <c r="P61" i="16"/>
  <c r="P63" i="16"/>
  <c r="P65" i="16"/>
  <c r="P67" i="16"/>
  <c r="P69" i="16"/>
  <c r="P71" i="16"/>
  <c r="P73" i="16"/>
  <c r="P75" i="16"/>
  <c r="P88" i="16"/>
  <c r="P90" i="16"/>
  <c r="P92" i="16"/>
  <c r="P94" i="16"/>
  <c r="P96" i="16"/>
  <c r="P98" i="16"/>
  <c r="P100" i="16"/>
  <c r="P102" i="16"/>
  <c r="P104" i="16"/>
  <c r="P106" i="16"/>
  <c r="P108" i="16"/>
  <c r="P110" i="16"/>
  <c r="P112" i="16"/>
  <c r="P114" i="16"/>
  <c r="P116" i="16"/>
  <c r="P118" i="16"/>
  <c r="P128" i="16"/>
  <c r="P130" i="16"/>
  <c r="P132" i="16"/>
  <c r="P134" i="16"/>
  <c r="P136" i="16"/>
  <c r="P138" i="16"/>
  <c r="P140" i="16"/>
  <c r="P142" i="16"/>
  <c r="P8" i="16"/>
  <c r="P10" i="16"/>
  <c r="P12" i="16"/>
  <c r="P14" i="16"/>
  <c r="P16" i="16"/>
  <c r="P18" i="16"/>
  <c r="P20" i="16"/>
  <c r="P22" i="16"/>
  <c r="P24" i="16"/>
  <c r="P26" i="16"/>
  <c r="P28" i="16"/>
  <c r="P30" i="16"/>
  <c r="P32" i="16"/>
  <c r="P34" i="16"/>
  <c r="P36" i="16"/>
  <c r="P38" i="16"/>
  <c r="P48" i="16"/>
  <c r="P50" i="16"/>
  <c r="P52" i="16"/>
  <c r="P54" i="16"/>
  <c r="P56" i="16"/>
  <c r="P58" i="16"/>
  <c r="P60" i="16"/>
  <c r="P62" i="16"/>
  <c r="P64" i="16"/>
  <c r="P66" i="16"/>
  <c r="P68" i="16"/>
  <c r="P70" i="16"/>
  <c r="P72" i="16"/>
  <c r="P74" i="16"/>
  <c r="P79" i="16"/>
  <c r="P89" i="16"/>
  <c r="P91" i="16"/>
  <c r="P93" i="16"/>
  <c r="P95" i="16"/>
  <c r="P97" i="16"/>
  <c r="P99" i="16"/>
  <c r="P101" i="16"/>
  <c r="P111" i="16"/>
  <c r="P115" i="16"/>
  <c r="P119" i="16"/>
  <c r="P129" i="16"/>
  <c r="P131" i="16"/>
  <c r="P133" i="16"/>
  <c r="P135" i="16"/>
  <c r="P137" i="16"/>
  <c r="P139" i="16"/>
  <c r="P141" i="16"/>
  <c r="P143" i="16"/>
  <c r="P145" i="16"/>
  <c r="P147" i="16"/>
  <c r="P149" i="16"/>
  <c r="P5" i="17"/>
  <c r="P13" i="17"/>
  <c r="P24" i="17"/>
  <c r="P29" i="17"/>
  <c r="P40" i="17"/>
  <c r="P57" i="17"/>
  <c r="O61" i="17"/>
  <c r="L88" i="17"/>
  <c r="K88" i="17"/>
  <c r="L101" i="17"/>
  <c r="K101" i="17"/>
  <c r="P151" i="16"/>
  <c r="P153" i="16"/>
  <c r="P155" i="16"/>
  <c r="P168" i="16"/>
  <c r="P448" i="16"/>
  <c r="P450" i="16"/>
  <c r="P452" i="16"/>
  <c r="P454" i="16"/>
  <c r="P456" i="16"/>
  <c r="P458" i="16"/>
  <c r="P460" i="16"/>
  <c r="P462" i="16"/>
  <c r="P464" i="16"/>
  <c r="P466" i="16"/>
  <c r="P468" i="16"/>
  <c r="P470" i="16"/>
  <c r="P472" i="16"/>
  <c r="P474" i="16"/>
  <c r="P476" i="16"/>
  <c r="P478" i="16"/>
  <c r="L4" i="17"/>
  <c r="M5" i="17"/>
  <c r="N6" i="17"/>
  <c r="P8" i="17"/>
  <c r="M10" i="17"/>
  <c r="M13" i="17"/>
  <c r="E30" i="17"/>
  <c r="I30" i="17"/>
  <c r="M26" i="17"/>
  <c r="M29" i="17"/>
  <c r="E46" i="17"/>
  <c r="I46" i="17"/>
  <c r="P41" i="17"/>
  <c r="L42" i="17"/>
  <c r="N44" i="17"/>
  <c r="L45" i="17"/>
  <c r="B62" i="17"/>
  <c r="P52" i="17"/>
  <c r="M54" i="17"/>
  <c r="L56" i="17"/>
  <c r="M57" i="17"/>
  <c r="B63" i="17"/>
  <c r="P60" i="17"/>
  <c r="L76" i="17"/>
  <c r="K76" i="17"/>
  <c r="M77" i="17"/>
  <c r="B94" i="17"/>
  <c r="N84" i="17"/>
  <c r="J94" i="17"/>
  <c r="D94" i="17"/>
  <c r="H94" i="17"/>
  <c r="P87" i="17"/>
  <c r="P239" i="16"/>
  <c r="P249" i="16"/>
  <c r="P251" i="16"/>
  <c r="P253" i="16"/>
  <c r="P255" i="16"/>
  <c r="P257" i="16"/>
  <c r="P259" i="16"/>
  <c r="P261" i="16"/>
  <c r="P263" i="16"/>
  <c r="P265" i="16"/>
  <c r="P267" i="16"/>
  <c r="P269" i="16"/>
  <c r="P271" i="16"/>
  <c r="P273" i="16"/>
  <c r="P275" i="16"/>
  <c r="P289" i="16"/>
  <c r="L5" i="17"/>
  <c r="P7" i="17"/>
  <c r="P9" i="17"/>
  <c r="P10" i="17"/>
  <c r="L10" i="17"/>
  <c r="L13" i="17"/>
  <c r="B30" i="17"/>
  <c r="F30" i="17"/>
  <c r="J30" i="17"/>
  <c r="M22" i="17"/>
  <c r="G30" i="17"/>
  <c r="L24" i="17"/>
  <c r="P25" i="17"/>
  <c r="P26" i="17"/>
  <c r="L26" i="17"/>
  <c r="L29" i="17"/>
  <c r="B46" i="17"/>
  <c r="F46" i="17"/>
  <c r="J46" i="17"/>
  <c r="M38" i="17"/>
  <c r="G46" i="17"/>
  <c r="L40" i="17"/>
  <c r="M41" i="17"/>
  <c r="P44" i="17"/>
  <c r="P53" i="17"/>
  <c r="J62" i="17"/>
  <c r="P54" i="17"/>
  <c r="L54" i="17"/>
  <c r="L57" i="17"/>
  <c r="P61" i="17"/>
  <c r="L73" i="17"/>
  <c r="P144" i="16"/>
  <c r="P146" i="16"/>
  <c r="P148" i="16"/>
  <c r="P150" i="16"/>
  <c r="P152" i="16"/>
  <c r="P154" i="16"/>
  <c r="P156" i="16"/>
  <c r="P159" i="16"/>
  <c r="P169" i="16"/>
  <c r="P173" i="16"/>
  <c r="P177" i="16"/>
  <c r="P181" i="16"/>
  <c r="P183" i="16"/>
  <c r="P185" i="16"/>
  <c r="P189" i="16"/>
  <c r="P193" i="16"/>
  <c r="P197" i="16"/>
  <c r="P199" i="16"/>
  <c r="P449" i="16"/>
  <c r="P451" i="16"/>
  <c r="P453" i="16"/>
  <c r="P455" i="16"/>
  <c r="P457" i="16"/>
  <c r="P459" i="16"/>
  <c r="P461" i="16"/>
  <c r="P463" i="16"/>
  <c r="P465" i="16"/>
  <c r="P467" i="16"/>
  <c r="P469" i="16"/>
  <c r="P471" i="16"/>
  <c r="P473" i="16"/>
  <c r="P475" i="16"/>
  <c r="P477" i="16"/>
  <c r="P479" i="16"/>
  <c r="B14" i="17"/>
  <c r="F14" i="17"/>
  <c r="J14" i="17"/>
  <c r="M6" i="17"/>
  <c r="G14" i="17"/>
  <c r="K6" i="17"/>
  <c r="N7" i="17"/>
  <c r="L8" i="17"/>
  <c r="M9" i="17"/>
  <c r="K9" i="17"/>
  <c r="N10" i="17"/>
  <c r="G15" i="17"/>
  <c r="P12" i="17"/>
  <c r="P21" i="17"/>
  <c r="D30" i="17"/>
  <c r="H30" i="17"/>
  <c r="N24" i="17"/>
  <c r="M25" i="17"/>
  <c r="K25" i="17"/>
  <c r="N26" i="17"/>
  <c r="G31" i="17"/>
  <c r="P28" i="17"/>
  <c r="P37" i="17"/>
  <c r="D46" i="17"/>
  <c r="H46" i="17"/>
  <c r="N40" i="17"/>
  <c r="L41" i="17"/>
  <c r="D47" i="17"/>
  <c r="P45" i="17"/>
  <c r="D62" i="17"/>
  <c r="L52" i="17"/>
  <c r="M53" i="17"/>
  <c r="K53" i="17"/>
  <c r="N54" i="17"/>
  <c r="P56" i="17"/>
  <c r="M58" i="17"/>
  <c r="K58" i="17"/>
  <c r="E63" i="17"/>
  <c r="N63" i="17" s="1"/>
  <c r="I63" i="17"/>
  <c r="L60" i="17"/>
  <c r="M61" i="17"/>
  <c r="K61" i="17"/>
  <c r="B78" i="17"/>
  <c r="F78" i="17"/>
  <c r="J78" i="17"/>
  <c r="L71" i="17"/>
  <c r="M72" i="17"/>
  <c r="K72" i="17"/>
  <c r="N90" i="17"/>
  <c r="D95" i="17"/>
  <c r="H95" i="17"/>
  <c r="N73" i="17"/>
  <c r="P74" i="17"/>
  <c r="L74" i="17"/>
  <c r="N76" i="17"/>
  <c r="P77" i="17"/>
  <c r="G94" i="17"/>
  <c r="P86" i="17"/>
  <c r="L86" i="17"/>
  <c r="N88" i="17"/>
  <c r="P89" i="17"/>
  <c r="P91" i="17"/>
  <c r="M92" i="17"/>
  <c r="L93" i="17"/>
  <c r="B110" i="17"/>
  <c r="N100" i="17"/>
  <c r="J110" i="17"/>
  <c r="M102" i="17"/>
  <c r="L105" i="17"/>
  <c r="P106" i="17"/>
  <c r="N109" i="17"/>
  <c r="D126" i="17"/>
  <c r="H126" i="17"/>
  <c r="M119" i="17"/>
  <c r="M121" i="17"/>
  <c r="P124" i="17"/>
  <c r="L124" i="17"/>
  <c r="I142" i="17"/>
  <c r="L133" i="17"/>
  <c r="P134" i="17"/>
  <c r="P135" i="17"/>
  <c r="L135" i="17"/>
  <c r="N137" i="17"/>
  <c r="L138" i="17"/>
  <c r="B143" i="17"/>
  <c r="F143" i="17"/>
  <c r="J143" i="17"/>
  <c r="N140" i="17"/>
  <c r="L141" i="17"/>
  <c r="B158" i="17"/>
  <c r="J158" i="17"/>
  <c r="M149" i="17"/>
  <c r="O150" i="17"/>
  <c r="N151" i="17"/>
  <c r="P152" i="17"/>
  <c r="L152" i="17"/>
  <c r="F159" i="17"/>
  <c r="P159" i="17" s="1"/>
  <c r="O172" i="17"/>
  <c r="F190" i="17"/>
  <c r="J190" i="17"/>
  <c r="P184" i="17"/>
  <c r="M185" i="17"/>
  <c r="P188" i="17"/>
  <c r="G14" i="18"/>
  <c r="I78" i="17"/>
  <c r="P70" i="17"/>
  <c r="L70" i="17"/>
  <c r="M73" i="17"/>
  <c r="N74" i="17"/>
  <c r="D79" i="17"/>
  <c r="H79" i="17"/>
  <c r="M76" i="17"/>
  <c r="L84" i="17"/>
  <c r="N85" i="17"/>
  <c r="N86" i="17"/>
  <c r="L87" i="17"/>
  <c r="M88" i="17"/>
  <c r="P90" i="17"/>
  <c r="L90" i="17"/>
  <c r="G95" i="17"/>
  <c r="N92" i="17"/>
  <c r="N101" i="17"/>
  <c r="P102" i="17"/>
  <c r="L102" i="17"/>
  <c r="M105" i="17"/>
  <c r="O106" i="17"/>
  <c r="E111" i="17"/>
  <c r="I111" i="17"/>
  <c r="P108" i="17"/>
  <c r="L108" i="17"/>
  <c r="O109" i="17"/>
  <c r="N116" i="17"/>
  <c r="I126" i="17"/>
  <c r="L117" i="17"/>
  <c r="P118" i="17"/>
  <c r="P119" i="17"/>
  <c r="L119" i="17"/>
  <c r="N121" i="17"/>
  <c r="L122" i="17"/>
  <c r="B127" i="17"/>
  <c r="F127" i="17"/>
  <c r="J127" i="17"/>
  <c r="N124" i="17"/>
  <c r="L125" i="17"/>
  <c r="B142" i="17"/>
  <c r="F142" i="17"/>
  <c r="J142" i="17"/>
  <c r="M133" i="17"/>
  <c r="G142" i="17"/>
  <c r="N135" i="17"/>
  <c r="P136" i="17"/>
  <c r="L136" i="17"/>
  <c r="O137" i="17"/>
  <c r="M139" i="17"/>
  <c r="G143" i="17"/>
  <c r="M141" i="17"/>
  <c r="F158" i="17"/>
  <c r="L150" i="17"/>
  <c r="N152" i="17"/>
  <c r="L153" i="17"/>
  <c r="P154" i="17"/>
  <c r="D159" i="17"/>
  <c r="N166" i="17"/>
  <c r="M167" i="17"/>
  <c r="K167" i="17"/>
  <c r="L168" i="17"/>
  <c r="P169" i="17"/>
  <c r="L170" i="17"/>
  <c r="G175" i="17"/>
  <c r="N171" i="17"/>
  <c r="N173" i="17"/>
  <c r="N182" i="17"/>
  <c r="I190" i="17"/>
  <c r="L183" i="17"/>
  <c r="M184" i="17"/>
  <c r="K184" i="17"/>
  <c r="D191" i="17"/>
  <c r="M188" i="17"/>
  <c r="M12" i="18"/>
  <c r="K12" i="18"/>
  <c r="L13" i="18"/>
  <c r="D110" i="17"/>
  <c r="H110" i="17"/>
  <c r="O101" i="17"/>
  <c r="G110" i="17"/>
  <c r="L103" i="17"/>
  <c r="L106" i="17"/>
  <c r="B111" i="17"/>
  <c r="F111" i="17"/>
  <c r="J111" i="17"/>
  <c r="N108" i="17"/>
  <c r="L109" i="17"/>
  <c r="B126" i="17"/>
  <c r="F126" i="17"/>
  <c r="J126" i="17"/>
  <c r="M117" i="17"/>
  <c r="G126" i="17"/>
  <c r="K118" i="17"/>
  <c r="N119" i="17"/>
  <c r="L120" i="17"/>
  <c r="O121" i="17"/>
  <c r="K121" i="17"/>
  <c r="M123" i="17"/>
  <c r="G127" i="17"/>
  <c r="M125" i="17"/>
  <c r="L134" i="17"/>
  <c r="N136" i="17"/>
  <c r="L137" i="17"/>
  <c r="P138" i="17"/>
  <c r="D143" i="17"/>
  <c r="H143" i="17"/>
  <c r="H158" i="17"/>
  <c r="O149" i="17"/>
  <c r="K149" i="17"/>
  <c r="M151" i="17"/>
  <c r="M153" i="17"/>
  <c r="O154" i="17"/>
  <c r="K154" i="17"/>
  <c r="E159" i="17"/>
  <c r="I159" i="17"/>
  <c r="O157" i="17"/>
  <c r="K157" i="17"/>
  <c r="O164" i="17"/>
  <c r="G174" i="17"/>
  <c r="K164" i="17"/>
  <c r="L165" i="17"/>
  <c r="P166" i="17"/>
  <c r="N168" i="17"/>
  <c r="H174" i="17"/>
  <c r="L180" i="17"/>
  <c r="K180" i="17"/>
  <c r="N183" i="17"/>
  <c r="O184" i="17"/>
  <c r="E15" i="18"/>
  <c r="N11" i="18"/>
  <c r="P122" i="17"/>
  <c r="P150" i="17"/>
  <c r="P164" i="17"/>
  <c r="P168" i="17"/>
  <c r="P170" i="17"/>
  <c r="L173" i="17"/>
  <c r="O173" i="17"/>
  <c r="O8" i="18"/>
  <c r="P20" i="18"/>
  <c r="O40" i="18"/>
  <c r="O45" i="18"/>
  <c r="D62" i="18"/>
  <c r="P58" i="18"/>
  <c r="M60" i="18"/>
  <c r="M5" i="19"/>
  <c r="O8" i="19"/>
  <c r="G30" i="19"/>
  <c r="P5" i="23"/>
  <c r="L6" i="23"/>
  <c r="L9" i="23"/>
  <c r="P10" i="23"/>
  <c r="N11" i="23"/>
  <c r="M13" i="23"/>
  <c r="N189" i="17"/>
  <c r="L4" i="18"/>
  <c r="N5" i="18"/>
  <c r="P6" i="18"/>
  <c r="N9" i="18"/>
  <c r="M13" i="18"/>
  <c r="P21" i="18"/>
  <c r="L23" i="18"/>
  <c r="P25" i="18"/>
  <c r="P26" i="18"/>
  <c r="M38" i="18"/>
  <c r="M43" i="18"/>
  <c r="G62" i="18"/>
  <c r="M57" i="18"/>
  <c r="B63" i="18"/>
  <c r="L60" i="18"/>
  <c r="O60" i="18"/>
  <c r="L5" i="19"/>
  <c r="O5" i="19"/>
  <c r="M6" i="19"/>
  <c r="B15" i="19"/>
  <c r="J15" i="19"/>
  <c r="B30" i="19"/>
  <c r="J30" i="19"/>
  <c r="P22" i="19"/>
  <c r="M26" i="19"/>
  <c r="L27" i="19"/>
  <c r="L7" i="23"/>
  <c r="N9" i="23"/>
  <c r="M10" i="23"/>
  <c r="L13" i="23"/>
  <c r="H159" i="17"/>
  <c r="K159" i="17" s="1"/>
  <c r="L169" i="17"/>
  <c r="N170" i="17"/>
  <c r="D175" i="17"/>
  <c r="H175" i="17"/>
  <c r="B175" i="17"/>
  <c r="N172" i="17"/>
  <c r="J175" i="17"/>
  <c r="G190" i="17"/>
  <c r="P182" i="17"/>
  <c r="N185" i="17"/>
  <c r="P186" i="17"/>
  <c r="N187" i="17"/>
  <c r="J191" i="17"/>
  <c r="M5" i="18"/>
  <c r="N6" i="18"/>
  <c r="I14" i="18"/>
  <c r="P8" i="18"/>
  <c r="D15" i="18"/>
  <c r="H15" i="18"/>
  <c r="P12" i="18"/>
  <c r="P13" i="18"/>
  <c r="D30" i="18"/>
  <c r="H30" i="18"/>
  <c r="O20" i="18"/>
  <c r="M22" i="18"/>
  <c r="M23" i="18"/>
  <c r="L24" i="18"/>
  <c r="N25" i="18"/>
  <c r="M27" i="18"/>
  <c r="I31" i="18"/>
  <c r="L29" i="18"/>
  <c r="L36" i="18"/>
  <c r="L37" i="18"/>
  <c r="N38" i="18"/>
  <c r="P42" i="18"/>
  <c r="N43" i="18"/>
  <c r="N55" i="18"/>
  <c r="I62" i="18"/>
  <c r="L57" i="18"/>
  <c r="O57" i="18"/>
  <c r="M58" i="18"/>
  <c r="G63" i="18"/>
  <c r="K59" i="18"/>
  <c r="N6" i="19"/>
  <c r="L7" i="19"/>
  <c r="B14" i="19"/>
  <c r="P8" i="19"/>
  <c r="K11" i="19"/>
  <c r="P12" i="19"/>
  <c r="M12" i="19"/>
  <c r="K13" i="19"/>
  <c r="L26" i="19"/>
  <c r="N27" i="19"/>
  <c r="I31" i="19"/>
  <c r="O28" i="19"/>
  <c r="L5" i="23"/>
  <c r="P6" i="23"/>
  <c r="P9" i="23"/>
  <c r="L10" i="23"/>
  <c r="M11" i="23"/>
  <c r="P12" i="23"/>
  <c r="F30" i="18"/>
  <c r="P30" i="18" s="1"/>
  <c r="M39" i="18"/>
  <c r="L41" i="18"/>
  <c r="P60" i="18"/>
  <c r="P6" i="19"/>
  <c r="K8" i="19"/>
  <c r="L9" i="19"/>
  <c r="N12" i="19"/>
  <c r="L23" i="19"/>
  <c r="O23" i="19"/>
  <c r="O25" i="19"/>
  <c r="K25" i="19"/>
  <c r="P31" i="19"/>
  <c r="N5" i="23"/>
  <c r="M6" i="23"/>
  <c r="K9" i="23"/>
  <c r="P11" i="23"/>
  <c r="L11" i="23"/>
  <c r="P13" i="23"/>
  <c r="P157" i="16"/>
  <c r="P179" i="16"/>
  <c r="P195" i="16"/>
  <c r="P220" i="16"/>
  <c r="P14" i="17"/>
  <c r="L30" i="17"/>
  <c r="K30" i="17"/>
  <c r="L46" i="17"/>
  <c r="O46" i="17"/>
  <c r="K46" i="17"/>
  <c r="P175" i="16"/>
  <c r="P191" i="16"/>
  <c r="P212" i="16"/>
  <c r="P224" i="16"/>
  <c r="L14" i="17"/>
  <c r="K14" i="17"/>
  <c r="P171" i="16"/>
  <c r="P187" i="16"/>
  <c r="P208" i="16"/>
  <c r="P214" i="16"/>
  <c r="P228" i="16"/>
  <c r="P47" i="17"/>
  <c r="M63" i="17"/>
  <c r="P15" i="17"/>
  <c r="P30" i="17"/>
  <c r="P31" i="17"/>
  <c r="P46" i="17"/>
  <c r="M4" i="17"/>
  <c r="N5" i="17"/>
  <c r="O6" i="17"/>
  <c r="L7" i="17"/>
  <c r="M8" i="17"/>
  <c r="N9" i="17"/>
  <c r="O10" i="17"/>
  <c r="L11" i="17"/>
  <c r="P11" i="17"/>
  <c r="M12" i="17"/>
  <c r="N13" i="17"/>
  <c r="C14" i="17"/>
  <c r="M14" i="17" s="1"/>
  <c r="H15" i="17"/>
  <c r="M20" i="17"/>
  <c r="N21" i="17"/>
  <c r="O22" i="17"/>
  <c r="L23" i="17"/>
  <c r="M24" i="17"/>
  <c r="N25" i="17"/>
  <c r="O26" i="17"/>
  <c r="L27" i="17"/>
  <c r="P27" i="17"/>
  <c r="M28" i="17"/>
  <c r="N29" i="17"/>
  <c r="C30" i="17"/>
  <c r="M30" i="17" s="1"/>
  <c r="H31" i="17"/>
  <c r="M36" i="17"/>
  <c r="N37" i="17"/>
  <c r="O38" i="17"/>
  <c r="L39" i="17"/>
  <c r="M40" i="17"/>
  <c r="N41" i="17"/>
  <c r="O42" i="17"/>
  <c r="L43" i="17"/>
  <c r="P43" i="17"/>
  <c r="M44" i="17"/>
  <c r="N45" i="17"/>
  <c r="C46" i="17"/>
  <c r="M46" i="17" s="1"/>
  <c r="H47" i="17"/>
  <c r="M52" i="17"/>
  <c r="N53" i="17"/>
  <c r="O54" i="17"/>
  <c r="L55" i="17"/>
  <c r="M56" i="17"/>
  <c r="N57" i="17"/>
  <c r="O58" i="17"/>
  <c r="L63" i="17"/>
  <c r="L59" i="17"/>
  <c r="P59" i="17"/>
  <c r="M60" i="17"/>
  <c r="E62" i="17"/>
  <c r="P63" i="17"/>
  <c r="K63" i="17"/>
  <c r="L69" i="17"/>
  <c r="P75" i="17"/>
  <c r="F79" i="17"/>
  <c r="P79" i="17" s="1"/>
  <c r="N75" i="17"/>
  <c r="O94" i="17"/>
  <c r="K94" i="17"/>
  <c r="L127" i="17"/>
  <c r="K127" i="17"/>
  <c r="O142" i="17"/>
  <c r="K142" i="17"/>
  <c r="N143" i="17"/>
  <c r="N4" i="17"/>
  <c r="O5" i="17"/>
  <c r="L6" i="17"/>
  <c r="P6" i="17"/>
  <c r="M7" i="17"/>
  <c r="O9" i="17"/>
  <c r="M11" i="17"/>
  <c r="O13" i="17"/>
  <c r="E15" i="17"/>
  <c r="N15" i="17" s="1"/>
  <c r="N20" i="17"/>
  <c r="O21" i="17"/>
  <c r="L22" i="17"/>
  <c r="P22" i="17"/>
  <c r="M23" i="17"/>
  <c r="O25" i="17"/>
  <c r="M27" i="17"/>
  <c r="O29" i="17"/>
  <c r="E31" i="17"/>
  <c r="N31" i="17" s="1"/>
  <c r="N36" i="17"/>
  <c r="O37" i="17"/>
  <c r="L38" i="17"/>
  <c r="P38" i="17"/>
  <c r="M39" i="17"/>
  <c r="O41" i="17"/>
  <c r="M43" i="17"/>
  <c r="O45" i="17"/>
  <c r="E47" i="17"/>
  <c r="N47" i="17" s="1"/>
  <c r="O53" i="17"/>
  <c r="M55" i="17"/>
  <c r="O57" i="17"/>
  <c r="M59" i="17"/>
  <c r="F62" i="17"/>
  <c r="P62" i="17" s="1"/>
  <c r="C78" i="17"/>
  <c r="M68" i="17"/>
  <c r="P68" i="17"/>
  <c r="N69" i="17"/>
  <c r="E78" i="17"/>
  <c r="N78" i="17" s="1"/>
  <c r="M69" i="17"/>
  <c r="O73" i="17"/>
  <c r="K73" i="17"/>
  <c r="L111" i="17"/>
  <c r="K111" i="17"/>
  <c r="O126" i="17"/>
  <c r="K126" i="17"/>
  <c r="P143" i="17"/>
  <c r="K4" i="17"/>
  <c r="O4" i="17"/>
  <c r="K8" i="17"/>
  <c r="O8" i="17"/>
  <c r="K12" i="17"/>
  <c r="O12" i="17"/>
  <c r="K20" i="17"/>
  <c r="O20" i="17"/>
  <c r="K28" i="17"/>
  <c r="O28" i="17"/>
  <c r="K36" i="17"/>
  <c r="O36" i="17"/>
  <c r="K40" i="17"/>
  <c r="O40" i="17"/>
  <c r="K44" i="17"/>
  <c r="O44" i="17"/>
  <c r="C62" i="17"/>
  <c r="G62" i="17"/>
  <c r="K52" i="17"/>
  <c r="O52" i="17"/>
  <c r="K56" i="17"/>
  <c r="O56" i="17"/>
  <c r="N59" i="17"/>
  <c r="K60" i="17"/>
  <c r="O60" i="17"/>
  <c r="H62" i="17"/>
  <c r="D78" i="17"/>
  <c r="P78" i="17" s="1"/>
  <c r="H78" i="17"/>
  <c r="L68" i="17"/>
  <c r="O69" i="17"/>
  <c r="P71" i="17"/>
  <c r="O72" i="17"/>
  <c r="O79" i="17"/>
  <c r="K79" i="17"/>
  <c r="P127" i="17"/>
  <c r="P142" i="17"/>
  <c r="P4" i="17"/>
  <c r="K7" i="17"/>
  <c r="K11" i="17"/>
  <c r="P20" i="17"/>
  <c r="K23" i="17"/>
  <c r="K27" i="17"/>
  <c r="P36" i="17"/>
  <c r="K39" i="17"/>
  <c r="K43" i="17"/>
  <c r="K55" i="17"/>
  <c r="K59" i="17"/>
  <c r="O59" i="17"/>
  <c r="N61" i="17"/>
  <c r="O63" i="17"/>
  <c r="N68" i="17"/>
  <c r="N71" i="17"/>
  <c r="M74" i="17"/>
  <c r="O95" i="17"/>
  <c r="K95" i="17"/>
  <c r="O110" i="17"/>
  <c r="K110" i="17"/>
  <c r="P111" i="17"/>
  <c r="P126" i="17"/>
  <c r="L143" i="17"/>
  <c r="K143" i="17"/>
  <c r="O158" i="17"/>
  <c r="K158" i="17"/>
  <c r="N159" i="17"/>
  <c r="O76" i="17"/>
  <c r="L77" i="17"/>
  <c r="O84" i="17"/>
  <c r="L85" i="17"/>
  <c r="P85" i="17"/>
  <c r="M86" i="17"/>
  <c r="N87" i="17"/>
  <c r="O88" i="17"/>
  <c r="L89" i="17"/>
  <c r="M90" i="17"/>
  <c r="N91" i="17"/>
  <c r="K92" i="17"/>
  <c r="O92" i="17"/>
  <c r="P93" i="17"/>
  <c r="F95" i="17"/>
  <c r="P95" i="17" s="1"/>
  <c r="K100" i="17"/>
  <c r="O100" i="17"/>
  <c r="P101" i="17"/>
  <c r="N103" i="17"/>
  <c r="K104" i="17"/>
  <c r="O104" i="17"/>
  <c r="P105" i="17"/>
  <c r="M106" i="17"/>
  <c r="N107" i="17"/>
  <c r="K108" i="17"/>
  <c r="O108" i="17"/>
  <c r="P109" i="17"/>
  <c r="E110" i="17"/>
  <c r="K116" i="17"/>
  <c r="O116" i="17"/>
  <c r="P117" i="17"/>
  <c r="M118" i="17"/>
  <c r="K120" i="17"/>
  <c r="O120" i="17"/>
  <c r="P121" i="17"/>
  <c r="M122" i="17"/>
  <c r="N123" i="17"/>
  <c r="K124" i="17"/>
  <c r="O124" i="17"/>
  <c r="P125" i="17"/>
  <c r="E126" i="17"/>
  <c r="N126" i="17" s="1"/>
  <c r="K132" i="17"/>
  <c r="O132" i="17"/>
  <c r="P133" i="17"/>
  <c r="M134" i="17"/>
  <c r="K136" i="17"/>
  <c r="O136" i="17"/>
  <c r="P137" i="17"/>
  <c r="M138" i="17"/>
  <c r="N139" i="17"/>
  <c r="K140" i="17"/>
  <c r="O140" i="17"/>
  <c r="P141" i="17"/>
  <c r="E142" i="17"/>
  <c r="N142" i="17" s="1"/>
  <c r="C158" i="17"/>
  <c r="G158" i="17"/>
  <c r="K148" i="17"/>
  <c r="O148" i="17"/>
  <c r="P149" i="17"/>
  <c r="M150" i="17"/>
  <c r="K152" i="17"/>
  <c r="O152" i="17"/>
  <c r="P153" i="17"/>
  <c r="M154" i="17"/>
  <c r="N155" i="17"/>
  <c r="M156" i="17"/>
  <c r="K156" i="17"/>
  <c r="P156" i="17"/>
  <c r="N157" i="17"/>
  <c r="M157" i="17"/>
  <c r="D158" i="17"/>
  <c r="P158" i="17" s="1"/>
  <c r="O159" i="17"/>
  <c r="K165" i="17"/>
  <c r="L167" i="17"/>
  <c r="M168" i="17"/>
  <c r="K168" i="17"/>
  <c r="N169" i="17"/>
  <c r="P171" i="17"/>
  <c r="M172" i="17"/>
  <c r="M173" i="17"/>
  <c r="K173" i="17"/>
  <c r="M182" i="17"/>
  <c r="M183" i="17"/>
  <c r="O185" i="17"/>
  <c r="K185" i="17"/>
  <c r="C191" i="17"/>
  <c r="G191" i="17"/>
  <c r="L7" i="18"/>
  <c r="M9" i="18"/>
  <c r="P11" i="18"/>
  <c r="O12" i="18"/>
  <c r="E14" i="18"/>
  <c r="F15" i="18"/>
  <c r="L15" i="18" s="1"/>
  <c r="C30" i="18"/>
  <c r="M20" i="18"/>
  <c r="G30" i="18"/>
  <c r="O21" i="18"/>
  <c r="K21" i="18"/>
  <c r="N22" i="18"/>
  <c r="E30" i="18"/>
  <c r="N30" i="18" s="1"/>
  <c r="N23" i="18"/>
  <c r="N24" i="18"/>
  <c r="P27" i="18"/>
  <c r="F31" i="18"/>
  <c r="K71" i="17"/>
  <c r="O71" i="17"/>
  <c r="P72" i="17"/>
  <c r="K75" i="17"/>
  <c r="O75" i="17"/>
  <c r="P76" i="17"/>
  <c r="P84" i="17"/>
  <c r="K87" i="17"/>
  <c r="O87" i="17"/>
  <c r="P88" i="17"/>
  <c r="K91" i="17"/>
  <c r="O91" i="17"/>
  <c r="P92" i="17"/>
  <c r="M93" i="17"/>
  <c r="F94" i="17"/>
  <c r="P94" i="17" s="1"/>
  <c r="L100" i="17"/>
  <c r="P100" i="17"/>
  <c r="M101" i="17"/>
  <c r="K103" i="17"/>
  <c r="O103" i="17"/>
  <c r="N106" i="17"/>
  <c r="K107" i="17"/>
  <c r="O107" i="17"/>
  <c r="F110" i="17"/>
  <c r="P110" i="17" s="1"/>
  <c r="C111" i="17"/>
  <c r="M111" i="17" s="1"/>
  <c r="L116" i="17"/>
  <c r="P116" i="17"/>
  <c r="N118" i="17"/>
  <c r="K119" i="17"/>
  <c r="O119" i="17"/>
  <c r="N122" i="17"/>
  <c r="K123" i="17"/>
  <c r="O123" i="17"/>
  <c r="C127" i="17"/>
  <c r="M127" i="17" s="1"/>
  <c r="L132" i="17"/>
  <c r="P132" i="17"/>
  <c r="N134" i="17"/>
  <c r="K135" i="17"/>
  <c r="O135" i="17"/>
  <c r="N138" i="17"/>
  <c r="K139" i="17"/>
  <c r="O139" i="17"/>
  <c r="C143" i="17"/>
  <c r="M143" i="17" s="1"/>
  <c r="L148" i="17"/>
  <c r="N150" i="17"/>
  <c r="K151" i="17"/>
  <c r="O151" i="17"/>
  <c r="N154" i="17"/>
  <c r="K155" i="17"/>
  <c r="O155" i="17"/>
  <c r="L156" i="17"/>
  <c r="E158" i="17"/>
  <c r="N158" i="17" s="1"/>
  <c r="B174" i="17"/>
  <c r="F174" i="17"/>
  <c r="J174" i="17"/>
  <c r="O169" i="17"/>
  <c r="O170" i="17"/>
  <c r="K170" i="17"/>
  <c r="M170" i="17"/>
  <c r="M175" i="17"/>
  <c r="M171" i="17"/>
  <c r="E174" i="17"/>
  <c r="B190" i="17"/>
  <c r="P190" i="17" s="1"/>
  <c r="M181" i="17"/>
  <c r="P183" i="17"/>
  <c r="O191" i="17"/>
  <c r="K191" i="17"/>
  <c r="M189" i="17"/>
  <c r="M7" i="18"/>
  <c r="O9" i="18"/>
  <c r="K9" i="18"/>
  <c r="C15" i="18"/>
  <c r="G15" i="18"/>
  <c r="O30" i="18"/>
  <c r="K30" i="18"/>
  <c r="J46" i="18"/>
  <c r="M37" i="18"/>
  <c r="O37" i="18"/>
  <c r="K61" i="18"/>
  <c r="O61" i="18"/>
  <c r="L61" i="18"/>
  <c r="O7" i="19"/>
  <c r="M7" i="19"/>
  <c r="K70" i="17"/>
  <c r="O70" i="17"/>
  <c r="K74" i="17"/>
  <c r="O74" i="17"/>
  <c r="L75" i="17"/>
  <c r="M84" i="17"/>
  <c r="K86" i="17"/>
  <c r="O86" i="17"/>
  <c r="K90" i="17"/>
  <c r="O90" i="17"/>
  <c r="L91" i="17"/>
  <c r="K102" i="17"/>
  <c r="O102" i="17"/>
  <c r="M104" i="17"/>
  <c r="L107" i="17"/>
  <c r="P107" i="17"/>
  <c r="M108" i="17"/>
  <c r="C110" i="17"/>
  <c r="M110" i="17" s="1"/>
  <c r="M116" i="17"/>
  <c r="O118" i="17"/>
  <c r="M120" i="17"/>
  <c r="L123" i="17"/>
  <c r="P123" i="17"/>
  <c r="M124" i="17"/>
  <c r="M132" i="17"/>
  <c r="O134" i="17"/>
  <c r="M136" i="17"/>
  <c r="L139" i="17"/>
  <c r="P139" i="17"/>
  <c r="M140" i="17"/>
  <c r="M148" i="17"/>
  <c r="N149" i="17"/>
  <c r="M152" i="17"/>
  <c r="L159" i="17"/>
  <c r="L155" i="17"/>
  <c r="P155" i="17"/>
  <c r="C174" i="17"/>
  <c r="M164" i="17"/>
  <c r="M165" i="17"/>
  <c r="P167" i="17"/>
  <c r="L175" i="17"/>
  <c r="O175" i="17"/>
  <c r="K175" i="17"/>
  <c r="O174" i="17"/>
  <c r="K174" i="17"/>
  <c r="L174" i="17"/>
  <c r="P175" i="17"/>
  <c r="C190" i="17"/>
  <c r="M180" i="17"/>
  <c r="H190" i="17"/>
  <c r="O181" i="17"/>
  <c r="K181" i="17"/>
  <c r="P181" i="17"/>
  <c r="O189" i="17"/>
  <c r="K189" i="17"/>
  <c r="P14" i="18"/>
  <c r="P7" i="18"/>
  <c r="O15" i="18"/>
  <c r="K15" i="18"/>
  <c r="M24" i="18"/>
  <c r="O24" i="18"/>
  <c r="M29" i="18"/>
  <c r="O29" i="18"/>
  <c r="N40" i="18"/>
  <c r="P40" i="18"/>
  <c r="K44" i="18"/>
  <c r="O44" i="18"/>
  <c r="L44" i="18"/>
  <c r="C62" i="18"/>
  <c r="M52" i="18"/>
  <c r="O52" i="18"/>
  <c r="M75" i="17"/>
  <c r="K77" i="17"/>
  <c r="K85" i="17"/>
  <c r="O85" i="17"/>
  <c r="K89" i="17"/>
  <c r="M91" i="17"/>
  <c r="M155" i="17"/>
  <c r="O166" i="17"/>
  <c r="K166" i="17"/>
  <c r="M166" i="17"/>
  <c r="P172" i="17"/>
  <c r="O180" i="17"/>
  <c r="P187" i="17"/>
  <c r="O188" i="17"/>
  <c r="E190" i="17"/>
  <c r="N190" i="17" s="1"/>
  <c r="F191" i="17"/>
  <c r="P191" i="17" s="1"/>
  <c r="C14" i="18"/>
  <c r="M4" i="18"/>
  <c r="H14" i="18"/>
  <c r="O5" i="18"/>
  <c r="K5" i="18"/>
  <c r="P5" i="18"/>
  <c r="N7" i="18"/>
  <c r="O13" i="18"/>
  <c r="K13" i="18"/>
  <c r="P23" i="18"/>
  <c r="N31" i="18"/>
  <c r="P38" i="18"/>
  <c r="O59" i="18"/>
  <c r="M59" i="18"/>
  <c r="C63" i="18"/>
  <c r="N180" i="17"/>
  <c r="L182" i="17"/>
  <c r="N184" i="17"/>
  <c r="L186" i="17"/>
  <c r="M187" i="17"/>
  <c r="N188" i="17"/>
  <c r="N4" i="18"/>
  <c r="L6" i="18"/>
  <c r="N8" i="18"/>
  <c r="L10" i="18"/>
  <c r="M11" i="18"/>
  <c r="N12" i="18"/>
  <c r="N20" i="18"/>
  <c r="L22" i="18"/>
  <c r="L25" i="18"/>
  <c r="N27" i="18"/>
  <c r="L28" i="18"/>
  <c r="B46" i="18"/>
  <c r="P36" i="18"/>
  <c r="N39" i="18"/>
  <c r="F62" i="18"/>
  <c r="P62" i="18" s="1"/>
  <c r="N52" i="18"/>
  <c r="K56" i="18"/>
  <c r="O56" i="18"/>
  <c r="H62" i="18"/>
  <c r="D14" i="19"/>
  <c r="H14" i="19"/>
  <c r="K4" i="19"/>
  <c r="O4" i="19"/>
  <c r="F30" i="19"/>
  <c r="P20" i="19"/>
  <c r="H30" i="19"/>
  <c r="K22" i="19"/>
  <c r="O22" i="19"/>
  <c r="K9" i="19"/>
  <c r="O9" i="19"/>
  <c r="M9" i="19"/>
  <c r="F15" i="19"/>
  <c r="P11" i="19"/>
  <c r="K171" i="17"/>
  <c r="O171" i="17"/>
  <c r="P180" i="17"/>
  <c r="K183" i="17"/>
  <c r="O183" i="17"/>
  <c r="K187" i="17"/>
  <c r="O187" i="17"/>
  <c r="P4" i="18"/>
  <c r="K7" i="18"/>
  <c r="O7" i="18"/>
  <c r="K11" i="18"/>
  <c r="O11" i="18"/>
  <c r="L20" i="18"/>
  <c r="K23" i="18"/>
  <c r="O23" i="18"/>
  <c r="O25" i="18"/>
  <c r="O26" i="18"/>
  <c r="K26" i="18"/>
  <c r="M26" i="18"/>
  <c r="G31" i="18"/>
  <c r="O28" i="18"/>
  <c r="D46" i="18"/>
  <c r="K36" i="18"/>
  <c r="H46" i="18"/>
  <c r="N36" i="18"/>
  <c r="M40" i="18"/>
  <c r="E46" i="18"/>
  <c r="L52" i="18"/>
  <c r="K53" i="18"/>
  <c r="O53" i="18"/>
  <c r="M53" i="18"/>
  <c r="N54" i="18"/>
  <c r="P55" i="18"/>
  <c r="P56" i="18"/>
  <c r="K63" i="18"/>
  <c r="P4" i="19"/>
  <c r="M15" i="19"/>
  <c r="L171" i="17"/>
  <c r="K182" i="17"/>
  <c r="K186" i="17"/>
  <c r="L187" i="17"/>
  <c r="K6" i="18"/>
  <c r="K10" i="18"/>
  <c r="L11" i="18"/>
  <c r="K22" i="18"/>
  <c r="M28" i="18"/>
  <c r="N29" i="18"/>
  <c r="I46" i="18"/>
  <c r="O38" i="18"/>
  <c r="K38" i="18"/>
  <c r="L38" i="18"/>
  <c r="L39" i="18"/>
  <c r="L40" i="18"/>
  <c r="K41" i="18"/>
  <c r="O41" i="18"/>
  <c r="M41" i="18"/>
  <c r="N42" i="18"/>
  <c r="P43" i="18"/>
  <c r="P44" i="18"/>
  <c r="F46" i="18"/>
  <c r="P52" i="18"/>
  <c r="N53" i="18"/>
  <c r="E62" i="18"/>
  <c r="M55" i="18"/>
  <c r="L56" i="18"/>
  <c r="O58" i="18"/>
  <c r="K58" i="18"/>
  <c r="L58" i="18"/>
  <c r="N59" i="18"/>
  <c r="N60" i="18"/>
  <c r="F63" i="18"/>
  <c r="P63" i="18" s="1"/>
  <c r="G14" i="19"/>
  <c r="L4" i="19"/>
  <c r="O6" i="19"/>
  <c r="K6" i="19"/>
  <c r="L6" i="19"/>
  <c r="N7" i="19"/>
  <c r="N8" i="19"/>
  <c r="N11" i="19"/>
  <c r="O12" i="19"/>
  <c r="K12" i="19"/>
  <c r="L12" i="19"/>
  <c r="H15" i="19"/>
  <c r="L22" i="19"/>
  <c r="L24" i="19"/>
  <c r="O42" i="18"/>
  <c r="K42" i="18"/>
  <c r="M42" i="18"/>
  <c r="C47" i="18"/>
  <c r="M47" i="18" s="1"/>
  <c r="O54" i="18"/>
  <c r="K54" i="18"/>
  <c r="M54" i="18"/>
  <c r="J14" i="19"/>
  <c r="O10" i="19"/>
  <c r="K10" i="19"/>
  <c r="M10" i="19"/>
  <c r="P13" i="19"/>
  <c r="F14" i="19"/>
  <c r="P14" i="19" s="1"/>
  <c r="D30" i="19"/>
  <c r="M21" i="19"/>
  <c r="P24" i="19"/>
  <c r="D31" i="18"/>
  <c r="H31" i="18"/>
  <c r="M31" i="18" s="1"/>
  <c r="L27" i="18"/>
  <c r="C46" i="18"/>
  <c r="M36" i="18"/>
  <c r="G46" i="18"/>
  <c r="N37" i="18"/>
  <c r="P39" i="18"/>
  <c r="D47" i="18"/>
  <c r="P47" i="18" s="1"/>
  <c r="H47" i="18"/>
  <c r="M44" i="18"/>
  <c r="N45" i="18"/>
  <c r="L55" i="18"/>
  <c r="M56" i="18"/>
  <c r="N57" i="18"/>
  <c r="P59" i="18"/>
  <c r="C14" i="19"/>
  <c r="M4" i="19"/>
  <c r="N5" i="19"/>
  <c r="P7" i="19"/>
  <c r="D15" i="19"/>
  <c r="L11" i="19"/>
  <c r="M11" i="19"/>
  <c r="M13" i="19"/>
  <c r="P21" i="19"/>
  <c r="M23" i="19"/>
  <c r="C30" i="19"/>
  <c r="M25" i="19"/>
  <c r="P28" i="19"/>
  <c r="P29" i="19"/>
  <c r="L43" i="18"/>
  <c r="L59" i="18"/>
  <c r="E14" i="19"/>
  <c r="N14" i="19" s="1"/>
  <c r="I14" i="19"/>
  <c r="L13" i="19"/>
  <c r="O20" i="19"/>
  <c r="K20" i="19"/>
  <c r="M20" i="19"/>
  <c r="M29" i="19"/>
  <c r="E31" i="19"/>
  <c r="N31" i="19" s="1"/>
  <c r="E30" i="19"/>
  <c r="N30" i="19" s="1"/>
  <c r="I30" i="19"/>
  <c r="N20" i="19"/>
  <c r="L21" i="19"/>
  <c r="M22" i="19"/>
  <c r="N23" i="19"/>
  <c r="P25" i="19"/>
  <c r="N26" i="19"/>
  <c r="O26" i="19"/>
  <c r="O27" i="19"/>
  <c r="K27" i="19"/>
  <c r="M27" i="19"/>
  <c r="L28" i="19"/>
  <c r="M28" i="19"/>
  <c r="L29" i="19"/>
  <c r="N29" i="19"/>
  <c r="H31" i="19"/>
  <c r="O24" i="19"/>
  <c r="K24" i="19"/>
  <c r="M24" i="19"/>
  <c r="L4" i="23"/>
  <c r="M5" i="23"/>
  <c r="N6" i="23"/>
  <c r="O7" i="23"/>
  <c r="L8" i="23"/>
  <c r="M9" i="23"/>
  <c r="N10" i="23"/>
  <c r="K11" i="23"/>
  <c r="O11" i="23"/>
  <c r="L12" i="23"/>
  <c r="M4" i="23"/>
  <c r="K6" i="23"/>
  <c r="O6" i="23"/>
  <c r="M8" i="23"/>
  <c r="K10" i="23"/>
  <c r="O10" i="23"/>
  <c r="M12" i="23"/>
  <c r="K13" i="23"/>
  <c r="O13" i="23"/>
  <c r="K4" i="23"/>
  <c r="K8" i="23"/>
  <c r="K12" i="23"/>
  <c r="M47" i="17" l="1"/>
  <c r="M159" i="17"/>
  <c r="M174" i="17"/>
  <c r="L95" i="17"/>
  <c r="L79" i="17"/>
  <c r="M62" i="17"/>
  <c r="M31" i="17"/>
  <c r="L63" i="18"/>
  <c r="N46" i="18"/>
  <c r="M14" i="18"/>
  <c r="M95" i="17"/>
  <c r="O31" i="19"/>
  <c r="K31" i="19"/>
  <c r="L31" i="19"/>
  <c r="O46" i="18"/>
  <c r="K46" i="18"/>
  <c r="L46" i="18"/>
  <c r="O30" i="19"/>
  <c r="L30" i="19"/>
  <c r="K30" i="19"/>
  <c r="O62" i="18"/>
  <c r="K62" i="18"/>
  <c r="L62" i="18"/>
  <c r="O111" i="17"/>
  <c r="O15" i="17"/>
  <c r="K15" i="17"/>
  <c r="L15" i="17"/>
  <c r="M46" i="18"/>
  <c r="N47" i="18"/>
  <c r="P15" i="19"/>
  <c r="M31" i="19"/>
  <c r="M62" i="18"/>
  <c r="O190" i="17"/>
  <c r="K190" i="17"/>
  <c r="L190" i="17"/>
  <c r="P31" i="18"/>
  <c r="N14" i="18"/>
  <c r="N110" i="17"/>
  <c r="L110" i="17"/>
  <c r="N94" i="17"/>
  <c r="M142" i="17"/>
  <c r="L78" i="17"/>
  <c r="O78" i="17"/>
  <c r="K78" i="17"/>
  <c r="N191" i="17"/>
  <c r="O127" i="17"/>
  <c r="N46" i="17"/>
  <c r="O14" i="17"/>
  <c r="M14" i="19"/>
  <c r="P46" i="18"/>
  <c r="P30" i="19"/>
  <c r="O14" i="19"/>
  <c r="L14" i="19"/>
  <c r="K14" i="19"/>
  <c r="N63" i="18"/>
  <c r="L191" i="17"/>
  <c r="M158" i="17"/>
  <c r="L158" i="17"/>
  <c r="O143" i="17"/>
  <c r="N79" i="17"/>
  <c r="L126" i="17"/>
  <c r="M94" i="17"/>
  <c r="L94" i="17"/>
  <c r="N62" i="17"/>
  <c r="O47" i="17"/>
  <c r="K47" i="17"/>
  <c r="L47" i="17"/>
  <c r="N14" i="17"/>
  <c r="N30" i="17"/>
  <c r="M15" i="17"/>
  <c r="P15" i="18"/>
  <c r="N15" i="18"/>
  <c r="M126" i="17"/>
  <c r="N111" i="17"/>
  <c r="O30" i="17"/>
  <c r="M30" i="19"/>
  <c r="L47" i="18"/>
  <c r="O47" i="18"/>
  <c r="K47" i="18"/>
  <c r="L31" i="18"/>
  <c r="O31" i="18"/>
  <c r="K31" i="18"/>
  <c r="K15" i="19"/>
  <c r="O15" i="19"/>
  <c r="L15" i="19"/>
  <c r="N62" i="18"/>
  <c r="N15" i="19"/>
  <c r="M63" i="18"/>
  <c r="O63" i="18"/>
  <c r="O14" i="18"/>
  <c r="K14" i="18"/>
  <c r="L14" i="18"/>
  <c r="M190" i="17"/>
  <c r="L30" i="18"/>
  <c r="M15" i="18"/>
  <c r="N174" i="17"/>
  <c r="P174" i="17"/>
  <c r="M30" i="18"/>
  <c r="M191" i="17"/>
  <c r="O62" i="17"/>
  <c r="K62" i="17"/>
  <c r="L62" i="17"/>
  <c r="N127" i="17"/>
  <c r="M79" i="17"/>
  <c r="M78" i="17"/>
  <c r="L142" i="17"/>
  <c r="N95" i="17"/>
  <c r="O31" i="17"/>
  <c r="K31" i="17"/>
  <c r="L31" i="17"/>
</calcChain>
</file>

<file path=xl/sharedStrings.xml><?xml version="1.0" encoding="utf-8"?>
<sst xmlns="http://schemas.openxmlformats.org/spreadsheetml/2006/main" count="17555" uniqueCount="2483">
  <si>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</si>
  <si>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</si>
  <si>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</si>
  <si>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</si>
  <si>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</si>
  <si>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</si>
  <si>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</si>
  <si>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</si>
  <si>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</si>
  <si>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</si>
  <si>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</si>
  <si>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</si>
  <si>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</si>
  <si>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</si>
  <si>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</si>
  <si>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</si>
  <si>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</si>
  <si>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</si>
  <si>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</si>
  <si>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</si>
  <si>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</si>
  <si>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</si>
  <si>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</si>
  <si>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</si>
  <si>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</si>
  <si>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</si>
  <si>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</si>
  <si>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</si>
  <si>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</si>
  <si>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</si>
  <si>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</si>
  <si>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</si>
  <si>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</si>
  <si>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</si>
  <si>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</si>
  <si>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</si>
  <si>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</si>
  <si>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</si>
  <si>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</si>
  <si>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</si>
  <si>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</si>
  <si>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</si>
  <si>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</si>
  <si>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</si>
  <si>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</si>
  <si>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</si>
  <si>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</si>
  <si>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ICU</t>
  </si>
  <si>
    <t>Intenive care ward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</si>
  <si>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</si>
  <si>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</si>
  <si>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</si>
  <si>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</si>
  <si>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</si>
  <si>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</si>
  <si>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</si>
  <si>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</si>
  <si>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</si>
  <si>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</si>
  <si>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</si>
  <si>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</si>
  <si>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</si>
  <si>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</si>
  <si>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</si>
  <si>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</si>
  <si>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</si>
  <si>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</si>
  <si>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</si>
  <si>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</si>
  <si>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</si>
  <si>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</si>
  <si>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</si>
  <si>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</si>
  <si>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</si>
  <si>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</si>
  <si>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</si>
  <si>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</si>
  <si>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</si>
  <si>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</si>
  <si>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</si>
  <si>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</si>
  <si>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</si>
  <si>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</si>
  <si>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</si>
  <si>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</si>
  <si>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</si>
  <si>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</si>
  <si>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</si>
  <si>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</si>
  <si>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</si>
  <si>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</si>
  <si>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</si>
  <si>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</si>
  <si>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</si>
  <si>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</si>
  <si>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</si>
  <si>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</si>
  <si>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</si>
  <si>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</si>
  <si>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</si>
  <si>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</si>
  <si>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</si>
  <si>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</si>
  <si>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</si>
  <si>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</si>
  <si>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</si>
  <si>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</si>
  <si>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</si>
  <si>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</si>
  <si>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</si>
  <si>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</si>
  <si>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</si>
  <si>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</si>
  <si>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</si>
  <si>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</si>
  <si>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</si>
  <si>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</si>
  <si>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</si>
  <si>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</si>
  <si>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</si>
  <si>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</si>
  <si>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</si>
  <si>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</si>
  <si>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</si>
  <si>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INTENIVE CARE WARD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</si>
  <si>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</si>
  <si>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</si>
  <si>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</si>
  <si>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</si>
  <si>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</si>
  <si>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</si>
  <si>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</si>
  <si>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</si>
  <si>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</si>
  <si>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</si>
  <si>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</si>
  <si>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</si>
  <si>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</si>
  <si>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</si>
  <si>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</si>
  <si>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</si>
  <si>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</si>
  <si>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</si>
  <si>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</si>
  <si>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</si>
  <si>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</si>
  <si>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</si>
  <si>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</si>
  <si>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</si>
  <si>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</si>
  <si>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</si>
  <si>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</si>
  <si>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</si>
  <si>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</si>
  <si>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</si>
  <si>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</si>
  <si>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</si>
  <si>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</si>
  <si>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</si>
  <si>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</si>
  <si>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</si>
  <si>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</si>
  <si>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</si>
  <si>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</si>
  <si>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</si>
  <si>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</si>
  <si>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</si>
  <si>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</si>
  <si>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</si>
  <si>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</si>
  <si>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</si>
  <si>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</si>
  <si>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</si>
  <si>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</si>
  <si>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</si>
  <si>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</si>
  <si>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</si>
  <si>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</si>
  <si>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</si>
  <si>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</si>
  <si>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</si>
  <si>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</si>
  <si>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</si>
  <si>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</si>
  <si>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</si>
  <si>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</si>
  <si>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</si>
  <si>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</si>
  <si>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</si>
  <si>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</si>
  <si>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</si>
  <si>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</si>
  <si>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</si>
  <si>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</si>
  <si>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</si>
  <si>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</si>
  <si>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</si>
  <si>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</si>
  <si>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</si>
  <si>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</si>
  <si>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</si>
  <si>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</si>
  <si>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</si>
  <si>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</si>
  <si>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</si>
  <si>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</si>
  <si>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</si>
  <si>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</si>
  <si>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</si>
  <si>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</si>
  <si>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</si>
  <si>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</si>
  <si>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</si>
  <si>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D2026-00001</t>
  </si>
  <si>
    <t>AAH1814</t>
  </si>
  <si>
    <t>Years</t>
  </si>
  <si>
    <t>F</t>
  </si>
  <si>
    <t>Insured</t>
  </si>
  <si>
    <t>D2026-00002</t>
  </si>
  <si>
    <t>AAD1836</t>
  </si>
  <si>
    <t>RAZAK ISHATU</t>
  </si>
  <si>
    <t>D2026-00003</t>
  </si>
  <si>
    <t>AAH1836</t>
  </si>
  <si>
    <t>SOPHIA MANTEY-LARBI</t>
  </si>
  <si>
    <t>Non-Insured</t>
  </si>
  <si>
    <t>D2026-00004</t>
  </si>
  <si>
    <t>AAB1944</t>
  </si>
  <si>
    <t>CATHERINE AMETEFE</t>
  </si>
  <si>
    <t>D2026-00005</t>
  </si>
  <si>
    <t>AAA9694</t>
  </si>
  <si>
    <t>MARGARET MILLS</t>
  </si>
  <si>
    <t>D2026-00006</t>
  </si>
  <si>
    <t>AAC1080</t>
  </si>
  <si>
    <t>BERNICE AMU</t>
  </si>
  <si>
    <t>D2026-00007</t>
  </si>
  <si>
    <t>AAE3369</t>
  </si>
  <si>
    <t>AGNES EMEFA DZAKA</t>
  </si>
  <si>
    <t>D2026-00008</t>
  </si>
  <si>
    <t>AAD0123</t>
  </si>
  <si>
    <t>D2026-00009</t>
  </si>
  <si>
    <t>AMANE OLIVIA</t>
  </si>
  <si>
    <t>D2026-00010</t>
  </si>
  <si>
    <t>SESI IRENE</t>
  </si>
  <si>
    <t>D2026-00011</t>
  </si>
  <si>
    <t>AAA5343</t>
  </si>
  <si>
    <t>MARTIN LUTHER AGBO</t>
  </si>
  <si>
    <t>M</t>
  </si>
  <si>
    <t>D2026-00012</t>
  </si>
  <si>
    <t>AAH2475</t>
  </si>
  <si>
    <t>SAMUEL ADUKONU</t>
  </si>
  <si>
    <t>D2026-00013</t>
  </si>
  <si>
    <t>AAH2581</t>
  </si>
  <si>
    <t>RICHARD TENU</t>
  </si>
  <si>
    <t>D2026-00014</t>
  </si>
  <si>
    <t>AAF2587</t>
  </si>
  <si>
    <t>FAUSTINA ADZOGAH</t>
  </si>
  <si>
    <t>D2026-00015</t>
  </si>
  <si>
    <t>AAH2616</t>
  </si>
  <si>
    <t>JONH KORSI ASRAH</t>
  </si>
  <si>
    <t>D2026-00016</t>
  </si>
  <si>
    <t>AAH2751</t>
  </si>
  <si>
    <t>DORNYO DERICK</t>
  </si>
  <si>
    <t>D2026-00017</t>
  </si>
  <si>
    <t>AAH2133</t>
  </si>
  <si>
    <t>AGBEKPORNU CEPHAS</t>
  </si>
  <si>
    <t>D2026-00018</t>
  </si>
  <si>
    <t>ELORM KODJOAKU</t>
  </si>
  <si>
    <t>D2026-00019</t>
  </si>
  <si>
    <t>PAUL KWASI SEKLE</t>
  </si>
  <si>
    <t>D2026-00020</t>
  </si>
  <si>
    <t>Dzolevor Michael</t>
  </si>
  <si>
    <t>D2026-00021</t>
  </si>
  <si>
    <t>AAH1875</t>
  </si>
  <si>
    <t>ARCH PAUL DZANTOR</t>
  </si>
  <si>
    <t>D2026-00022</t>
  </si>
  <si>
    <t>AAH1999</t>
  </si>
  <si>
    <t>FRANK TUMAWU</t>
  </si>
  <si>
    <t>D2026-00023</t>
  </si>
  <si>
    <t>MAWUKO AGODO</t>
  </si>
  <si>
    <t>D2026-00024</t>
  </si>
  <si>
    <t>AAH2120</t>
  </si>
  <si>
    <t>AZEMBO JOHN</t>
  </si>
  <si>
    <t>D2026-00025</t>
  </si>
  <si>
    <t>AAB4632</t>
  </si>
  <si>
    <t>SEBASTIAN AKASINIKU</t>
  </si>
  <si>
    <t>D2026-00026</t>
  </si>
  <si>
    <t>AAH2268</t>
  </si>
  <si>
    <t>FOMEKA FOSTER</t>
  </si>
  <si>
    <t>D2026-00027</t>
  </si>
  <si>
    <t>AAH2041</t>
  </si>
  <si>
    <t>NKANSAH GABRIEL</t>
  </si>
  <si>
    <t>D2026-00028</t>
  </si>
  <si>
    <t>AAH2146</t>
  </si>
  <si>
    <t>ASHIAGBOR PROMISE</t>
  </si>
  <si>
    <t>D2026-00028-IMP</t>
  </si>
  <si>
    <t>AAB9350</t>
  </si>
  <si>
    <t>FAMOUS KODZJOBRA</t>
  </si>
  <si>
    <t>D2026-00029</t>
  </si>
  <si>
    <t>AAH4223</t>
  </si>
  <si>
    <t>GODWIN AHOKLUI</t>
  </si>
  <si>
    <t>D2026-00030</t>
  </si>
  <si>
    <t>AAH2725</t>
  </si>
  <si>
    <t>GEORGE KUMEDZI</t>
  </si>
  <si>
    <t>D2026-00031</t>
  </si>
  <si>
    <t>AAH1710</t>
  </si>
  <si>
    <t>BABY OF AGBO EVA</t>
  </si>
  <si>
    <t>Days</t>
  </si>
  <si>
    <t>D2026-00032</t>
  </si>
  <si>
    <t>AAH1052</t>
  </si>
  <si>
    <t>BABY OF DUGA PATIENTS</t>
  </si>
  <si>
    <t>D2026-00033</t>
  </si>
  <si>
    <t>AAH2328</t>
  </si>
  <si>
    <t>BABY OF KEKELI GENEVIVE</t>
  </si>
  <si>
    <t>D2026-00034</t>
  </si>
  <si>
    <t>AAH2123</t>
  </si>
  <si>
    <t>BABY OF VICTORIA AZILA</t>
  </si>
  <si>
    <t>D2026-00035</t>
  </si>
  <si>
    <t>AAH2202</t>
  </si>
  <si>
    <t>BABY OF HELLEN KPODZA</t>
  </si>
  <si>
    <t>D2026-00036</t>
  </si>
  <si>
    <t>V-003-260-10378</t>
  </si>
  <si>
    <t>BABY OF EDEM DOTSE LINDA</t>
  </si>
  <si>
    <t>D2026-00038</t>
  </si>
  <si>
    <t>V-003-260-10274</t>
  </si>
  <si>
    <t>BABY OF AMENUVEVE LAKINGNANG</t>
  </si>
  <si>
    <t>D2026-00037</t>
  </si>
  <si>
    <t>V-003-260-10275</t>
  </si>
  <si>
    <t>D2026-00039</t>
  </si>
  <si>
    <t>AAH2356</t>
  </si>
  <si>
    <t>EMMANUEL KOFI ASARE</t>
  </si>
  <si>
    <t>D2026-00040</t>
  </si>
  <si>
    <t>EMMANUEL DARRAH</t>
  </si>
  <si>
    <t>D2026-00041</t>
  </si>
  <si>
    <t>AMOUZOUGAH KOJO EDEM</t>
  </si>
  <si>
    <t>D2026-00042</t>
  </si>
  <si>
    <t>V-0003-26023344</t>
  </si>
  <si>
    <t>Madugu William</t>
  </si>
  <si>
    <t>D2026-00043</t>
  </si>
  <si>
    <t>V-0003-26030043</t>
  </si>
  <si>
    <t>Akpandza Augustine</t>
  </si>
  <si>
    <t>D2026-00044</t>
  </si>
  <si>
    <t>V-0003-26024226</t>
  </si>
  <si>
    <t>Aboli John</t>
  </si>
  <si>
    <t>D2026-00045</t>
  </si>
  <si>
    <t>V-0003-26024394</t>
  </si>
  <si>
    <t>Okru Kwetey</t>
  </si>
  <si>
    <t>D2026-00046</t>
  </si>
  <si>
    <t>V-0003-26023954</t>
  </si>
  <si>
    <t>Aveletey Kweku</t>
  </si>
  <si>
    <t>D2026-00047</t>
  </si>
  <si>
    <t>V-0003-26030360</t>
  </si>
  <si>
    <t>Francis Kuttor</t>
  </si>
  <si>
    <t>D2026-00048</t>
  </si>
  <si>
    <t>V-0003-26024381</t>
  </si>
  <si>
    <t>Aduku Damcius</t>
  </si>
  <si>
    <t>D2026-00049</t>
  </si>
  <si>
    <t>V-0003-26030410</t>
  </si>
  <si>
    <t>BOANERGES ELIZABETH</t>
  </si>
  <si>
    <t>D2026-00050</t>
  </si>
  <si>
    <t>V-0003-26020409</t>
  </si>
  <si>
    <t>KOMEGBE ANGELICA TASIAKU</t>
  </si>
  <si>
    <t>D2026-00051</t>
  </si>
  <si>
    <t>V-0003-26030794</t>
  </si>
  <si>
    <t>KARIM BABY OF AMAMATU 2</t>
  </si>
  <si>
    <t>D2026-00052</t>
  </si>
  <si>
    <t>V-0003-26024038</t>
  </si>
  <si>
    <t>ELINARM TOKE BABY OF ROSE</t>
  </si>
  <si>
    <t>D2026-00053</t>
  </si>
  <si>
    <t>V-0003-26031516</t>
  </si>
  <si>
    <t>DOTSE ANNIE DELALI</t>
  </si>
  <si>
    <t>D2026-00054</t>
  </si>
  <si>
    <t>V-0003-26020051</t>
  </si>
  <si>
    <t>TORTO MAWUFEMOR</t>
  </si>
  <si>
    <t>D2026-00055</t>
  </si>
  <si>
    <t>V-0003-26010877</t>
  </si>
  <si>
    <t>DZORDZORNU LUCY</t>
  </si>
  <si>
    <t>D2026-00056</t>
  </si>
  <si>
    <t>V-0003-26010392</t>
  </si>
  <si>
    <t>GADZE IRENE</t>
  </si>
  <si>
    <t>D2026-00057</t>
  </si>
  <si>
    <t>V-0003-26032177</t>
  </si>
  <si>
    <t>HEH PRINCE</t>
  </si>
  <si>
    <t>D2026-00058</t>
  </si>
  <si>
    <t>V-0003-26031656</t>
  </si>
  <si>
    <t>DUEDU FRANCIS</t>
  </si>
  <si>
    <t>D2026-00059</t>
  </si>
  <si>
    <t>V-0003-26032185</t>
  </si>
  <si>
    <t>AIDOO THOMAS</t>
  </si>
  <si>
    <t>D2026-00060</t>
  </si>
  <si>
    <t>V-0003-26032194</t>
  </si>
  <si>
    <t>DZORTSU DESTINY</t>
  </si>
  <si>
    <t>D2026-00061</t>
  </si>
  <si>
    <t>V-0003-26032193</t>
  </si>
  <si>
    <t>KOKAH MOSES</t>
  </si>
  <si>
    <t>D2026-00062</t>
  </si>
  <si>
    <t>V-0003-26032312</t>
  </si>
  <si>
    <t>BABY OF NDUBISI GIFTY</t>
  </si>
  <si>
    <t>D2026-00063</t>
  </si>
  <si>
    <t>V-0003-26032333</t>
  </si>
  <si>
    <t>SOWU MARY</t>
  </si>
  <si>
    <t>D2026-00064</t>
  </si>
  <si>
    <t>V-0003-26032559</t>
  </si>
  <si>
    <t>AHODAH REUBEN MAWUKO</t>
  </si>
  <si>
    <t>D2026-00065</t>
  </si>
  <si>
    <t>V-0003-26032908</t>
  </si>
  <si>
    <t>OYOMI CHARLS</t>
  </si>
  <si>
    <t>D2026-00066</t>
  </si>
  <si>
    <t>V-0003-26032823</t>
  </si>
  <si>
    <t>ASSEM MOSES</t>
  </si>
  <si>
    <t>D2026-00067</t>
  </si>
  <si>
    <t>V-0003-26033062</t>
  </si>
  <si>
    <t>MARGARET ABITI</t>
  </si>
  <si>
    <t>D2026-00068</t>
  </si>
  <si>
    <t>V-0003-26032790</t>
  </si>
  <si>
    <t>ADOM FLORENCE</t>
  </si>
  <si>
    <t>D2026-00069</t>
  </si>
  <si>
    <t>V-0003-26032409</t>
  </si>
  <si>
    <t>AKEI DELALI</t>
  </si>
  <si>
    <t>D2026-00070</t>
  </si>
  <si>
    <t>V-0003-26032789</t>
  </si>
  <si>
    <t>AVADU CHRISTINE</t>
  </si>
  <si>
    <t>D2026-00071</t>
  </si>
  <si>
    <t>V-0003-26033118</t>
  </si>
  <si>
    <t>HOVI KOMLA JULIAN</t>
  </si>
  <si>
    <t>D2026-00072</t>
  </si>
  <si>
    <t>V-0003-26033235</t>
  </si>
  <si>
    <t>AGOR KELVIN</t>
  </si>
  <si>
    <t>Months</t>
  </si>
  <si>
    <t>D2026-00073</t>
  </si>
  <si>
    <t>V-0003-26010878</t>
  </si>
  <si>
    <t>ADAM ASANA FRANCISCA</t>
  </si>
  <si>
    <t>D2026-00074</t>
  </si>
  <si>
    <t>MATHEW</t>
  </si>
  <si>
    <t>D2026-00075</t>
  </si>
  <si>
    <t>MAGARET ABITI</t>
  </si>
  <si>
    <t>D2026-00076</t>
  </si>
  <si>
    <t>V-0003-26033331</t>
  </si>
  <si>
    <t>ESAME ELIZABETH</t>
  </si>
  <si>
    <t>D2026-00077</t>
  </si>
  <si>
    <t>V-0003-26030932</t>
  </si>
  <si>
    <t>YEBOAH-ADZIMAH EMMA</t>
  </si>
  <si>
    <t>D2026-00078</t>
  </si>
  <si>
    <t>V-0003-26032483</t>
  </si>
  <si>
    <t>OYE NESTOR ATTAH</t>
  </si>
  <si>
    <t>D2026-00079</t>
  </si>
  <si>
    <t>V-0003-26032804</t>
  </si>
  <si>
    <t>SAFIU SHAIBU</t>
  </si>
  <si>
    <t>D2026-00080</t>
  </si>
  <si>
    <t>V-0003-26032550</t>
  </si>
  <si>
    <t>TSOGBE DORIS</t>
  </si>
  <si>
    <t>D2026-00081</t>
  </si>
  <si>
    <t>BABY OF BELIEVE AKPLOR</t>
  </si>
  <si>
    <t>A2026-00001</t>
  </si>
  <si>
    <t>-</t>
  </si>
  <si>
    <t>A2026-00002</t>
  </si>
  <si>
    <t>A2026-00003</t>
  </si>
  <si>
    <t>A2026-00004</t>
  </si>
  <si>
    <t>A2026-00005</t>
  </si>
  <si>
    <t>A2026-00006</t>
  </si>
  <si>
    <t>A2026-00007</t>
  </si>
  <si>
    <t>A2026-00008</t>
  </si>
  <si>
    <t>A2026-00009</t>
  </si>
  <si>
    <t>A2026-00010</t>
  </si>
  <si>
    <t>A2026-00011</t>
  </si>
  <si>
    <t>A2026-00012</t>
  </si>
  <si>
    <t>A2026-00013</t>
  </si>
  <si>
    <t>A2026-00014</t>
  </si>
  <si>
    <t>A2026-00015</t>
  </si>
  <si>
    <t>A2026-00016</t>
  </si>
  <si>
    <t>A2026-00017</t>
  </si>
  <si>
    <t>A2026-00018</t>
  </si>
  <si>
    <t>A2026-00019</t>
  </si>
  <si>
    <t>A2026-00020</t>
  </si>
  <si>
    <t>A2026-00021</t>
  </si>
  <si>
    <t>A2026-00022</t>
  </si>
  <si>
    <t>A2026-00023</t>
  </si>
  <si>
    <t>A2026-00024</t>
  </si>
  <si>
    <t>A2026-00025</t>
  </si>
  <si>
    <t>A2026-00026</t>
  </si>
  <si>
    <t>A2026-00027</t>
  </si>
  <si>
    <t>A2026-00028</t>
  </si>
  <si>
    <t>A2026-00029</t>
  </si>
  <si>
    <t>A2026-00030</t>
  </si>
  <si>
    <t>A2026-00031</t>
  </si>
  <si>
    <t>A2026-00032</t>
  </si>
  <si>
    <t>A2026-00033</t>
  </si>
  <si>
    <t>A2026-00034</t>
  </si>
  <si>
    <t>A2026-00035</t>
  </si>
  <si>
    <t>A2026-00036</t>
  </si>
  <si>
    <t>A2026-00037</t>
  </si>
  <si>
    <t>A2026-00038</t>
  </si>
  <si>
    <t>A2026-00039</t>
  </si>
  <si>
    <t>A2026-00040</t>
  </si>
  <si>
    <t>A2026-00041</t>
  </si>
  <si>
    <t>A2026-00042</t>
  </si>
  <si>
    <t>A2026-00043</t>
  </si>
  <si>
    <t>A2026-00044</t>
  </si>
  <si>
    <t>A2026-00045</t>
  </si>
  <si>
    <t>A2026-00046</t>
  </si>
  <si>
    <t>A2026-00047</t>
  </si>
  <si>
    <t>A2026-00048</t>
  </si>
  <si>
    <t>A2026-00049</t>
  </si>
  <si>
    <t>A2026-00050</t>
  </si>
  <si>
    <t>A2026-00051</t>
  </si>
  <si>
    <t>A2026-00052</t>
  </si>
  <si>
    <t>A2026-00053</t>
  </si>
  <si>
    <t>A2026-00054</t>
  </si>
  <si>
    <t>A2026-00055</t>
  </si>
  <si>
    <t>A2026-00056</t>
  </si>
  <si>
    <t>A2026-00057</t>
  </si>
  <si>
    <t>A2026-00058</t>
  </si>
  <si>
    <t>A2026-00059</t>
  </si>
  <si>
    <t>A2026-00060</t>
  </si>
  <si>
    <t>A2026-00061</t>
  </si>
  <si>
    <t>A2026-00062</t>
  </si>
  <si>
    <t>A2026-00063</t>
  </si>
  <si>
    <t>A2026-00064</t>
  </si>
  <si>
    <t>A2026-00065</t>
  </si>
  <si>
    <t>A2026-00066</t>
  </si>
  <si>
    <t>A2026-00067</t>
  </si>
  <si>
    <t>A2026-00068</t>
  </si>
  <si>
    <t>A2026-00069</t>
  </si>
  <si>
    <t>A2026-00070</t>
  </si>
  <si>
    <t>A2026-00071</t>
  </si>
  <si>
    <t>A2026-00072</t>
  </si>
  <si>
    <t>A2026-00073</t>
  </si>
  <si>
    <t>A2026-00074</t>
  </si>
  <si>
    <t>A2026-00075</t>
  </si>
  <si>
    <t>A2026-00076</t>
  </si>
  <si>
    <t>A2026-00077</t>
  </si>
  <si>
    <t>A2026-00078</t>
  </si>
  <si>
    <t>A2026-00079</t>
  </si>
  <si>
    <t>A2026-00080</t>
  </si>
  <si>
    <t>A2026-00081</t>
  </si>
  <si>
    <t>A2026-00082</t>
  </si>
  <si>
    <t>A2026-00083</t>
  </si>
  <si>
    <t>A2026-00084</t>
  </si>
  <si>
    <t>A2026-00085</t>
  </si>
  <si>
    <t>A2026-00086</t>
  </si>
  <si>
    <t>A2026-00087</t>
  </si>
  <si>
    <t>A2026-00088</t>
  </si>
  <si>
    <t>A2026-00089</t>
  </si>
  <si>
    <t>A2026-00090</t>
  </si>
  <si>
    <t>A2026-00091</t>
  </si>
  <si>
    <t>A2026-00092</t>
  </si>
  <si>
    <t>A2026-00093</t>
  </si>
  <si>
    <t>A2026-00094</t>
  </si>
  <si>
    <t>A2026-00096</t>
  </si>
  <si>
    <t>A2026-00097</t>
  </si>
  <si>
    <t>A2026-00098</t>
  </si>
  <si>
    <t>A2026-00099</t>
  </si>
  <si>
    <t>A2026-00100</t>
  </si>
  <si>
    <t>A2026-00101</t>
  </si>
  <si>
    <t>A2026-00102</t>
  </si>
  <si>
    <t>A2026-00103</t>
  </si>
  <si>
    <t>A2026-00104</t>
  </si>
  <si>
    <t>A2026-00105</t>
  </si>
  <si>
    <t>A2026-00106</t>
  </si>
  <si>
    <t>A2026-00107</t>
  </si>
  <si>
    <t>A2026-00108</t>
  </si>
  <si>
    <t>A2026-00109</t>
  </si>
  <si>
    <t>A2026-00110</t>
  </si>
  <si>
    <t>A2026-00111</t>
  </si>
  <si>
    <t>A2026-00112</t>
  </si>
  <si>
    <t>A2026-00113</t>
  </si>
  <si>
    <t>A2026-00114</t>
  </si>
  <si>
    <t>A2026-00115</t>
  </si>
  <si>
    <t>A2026-00116</t>
  </si>
  <si>
    <t>A2026-00117</t>
  </si>
  <si>
    <t>A2026-00118</t>
  </si>
  <si>
    <t>A2026-00119</t>
  </si>
  <si>
    <t>A2026-00120</t>
  </si>
  <si>
    <t>A2026-00121</t>
  </si>
  <si>
    <t>A2026-00122</t>
  </si>
  <si>
    <t>A2026-00123</t>
  </si>
  <si>
    <t>A2026-00124</t>
  </si>
  <si>
    <t>A2026-00125</t>
  </si>
  <si>
    <t>A2026-00126</t>
  </si>
  <si>
    <t>A2026-00127</t>
  </si>
  <si>
    <t>A2026-00128</t>
  </si>
  <si>
    <t>A2026-00129</t>
  </si>
  <si>
    <t>A2026-00130</t>
  </si>
  <si>
    <t>A2026-00131</t>
  </si>
  <si>
    <t>A2026-00132</t>
  </si>
  <si>
    <t>A2026-00133</t>
  </si>
  <si>
    <t>A2026-00134</t>
  </si>
  <si>
    <t>A2026-00135</t>
  </si>
  <si>
    <t>A2026-00136</t>
  </si>
  <si>
    <t>A2026-00137</t>
  </si>
  <si>
    <t>A2026-00138</t>
  </si>
  <si>
    <t>A2026-00139</t>
  </si>
  <si>
    <t>A2026-00140</t>
  </si>
  <si>
    <t>A2026-00141</t>
  </si>
  <si>
    <t>A2026-00142</t>
  </si>
  <si>
    <t>A2026-00143</t>
  </si>
  <si>
    <t>A2026-00144</t>
  </si>
  <si>
    <t>A2026-00145</t>
  </si>
  <si>
    <t>A2026-00146</t>
  </si>
  <si>
    <t>A2026-00147</t>
  </si>
  <si>
    <t>A2026-00148</t>
  </si>
  <si>
    <t>A2026-00149</t>
  </si>
  <si>
    <t>A2026-00150</t>
  </si>
  <si>
    <t>A2026-00151</t>
  </si>
  <si>
    <t>A2026-00152</t>
  </si>
  <si>
    <t>A2026-00153</t>
  </si>
  <si>
    <t>A2026-00154</t>
  </si>
  <si>
    <t>A2026-00155</t>
  </si>
  <si>
    <t>A2026-00156</t>
  </si>
  <si>
    <t>A2026-00157</t>
  </si>
  <si>
    <t>A2026-00158</t>
  </si>
  <si>
    <t>A2026-00159</t>
  </si>
  <si>
    <t>A2026-00160</t>
  </si>
  <si>
    <t>A2026-00161</t>
  </si>
  <si>
    <t>A2026-00162</t>
  </si>
  <si>
    <t>A2026-00163</t>
  </si>
  <si>
    <t>A2026-00164</t>
  </si>
  <si>
    <t>A2026-00165</t>
  </si>
  <si>
    <t>A2026-00166</t>
  </si>
  <si>
    <t>A2026-00167</t>
  </si>
  <si>
    <t>A2026-00168</t>
  </si>
  <si>
    <t>A2026-00169</t>
  </si>
  <si>
    <t>A2026-00170</t>
  </si>
  <si>
    <t>A2026-00171</t>
  </si>
  <si>
    <t>A2026-00172</t>
  </si>
  <si>
    <t>A2026-00173</t>
  </si>
  <si>
    <t>A2026-00174</t>
  </si>
  <si>
    <t>A2026-00175</t>
  </si>
  <si>
    <t>A2026-00176</t>
  </si>
  <si>
    <t>A2026-00177</t>
  </si>
  <si>
    <t>A2026-00178</t>
  </si>
  <si>
    <t>A2026-00179</t>
  </si>
  <si>
    <t>A2026-00180</t>
  </si>
  <si>
    <t>A2026-00181</t>
  </si>
  <si>
    <t>A2026-00182</t>
  </si>
  <si>
    <t>A2026-00183</t>
  </si>
  <si>
    <t>A2026-00184</t>
  </si>
  <si>
    <t>A2026-00185</t>
  </si>
  <si>
    <t>A2026-00186</t>
  </si>
  <si>
    <t>A2026-00187</t>
  </si>
  <si>
    <t>A2026-00188</t>
  </si>
  <si>
    <t>A2026-00189</t>
  </si>
  <si>
    <t>A2026-00190</t>
  </si>
  <si>
    <t>A2026-00191</t>
  </si>
  <si>
    <t>A2026-00192</t>
  </si>
  <si>
    <t>A2026-00193</t>
  </si>
  <si>
    <t>A2026-00194</t>
  </si>
  <si>
    <t>A2026-00195</t>
  </si>
  <si>
    <t>A2026-00196</t>
  </si>
  <si>
    <t>A2026-00197</t>
  </si>
  <si>
    <t>A2026-00198</t>
  </si>
  <si>
    <t>A2026-00199</t>
  </si>
  <si>
    <t>A2026-00200</t>
  </si>
  <si>
    <t>A2026-00201</t>
  </si>
  <si>
    <t>A2026-00202</t>
  </si>
  <si>
    <t>A2026-00203</t>
  </si>
  <si>
    <t>A2026-00204</t>
  </si>
  <si>
    <t>A2026-00205</t>
  </si>
  <si>
    <t>A2026-00206</t>
  </si>
  <si>
    <t>A2026-00207</t>
  </si>
  <si>
    <t>A2026-00208</t>
  </si>
  <si>
    <t>A2026-00209</t>
  </si>
  <si>
    <t>A2026-00210</t>
  </si>
  <si>
    <t>A2026-00211</t>
  </si>
  <si>
    <t>A2026-00212</t>
  </si>
  <si>
    <t>A2026-00213</t>
  </si>
  <si>
    <t>A2026-00214</t>
  </si>
  <si>
    <t>A2026-00215</t>
  </si>
  <si>
    <t>A2026-00216</t>
  </si>
  <si>
    <t>A2026-00217</t>
  </si>
  <si>
    <t>A2026-00218</t>
  </si>
  <si>
    <t>A2026-00219</t>
  </si>
  <si>
    <t>A2026-00220</t>
  </si>
  <si>
    <t>A2026-00221</t>
  </si>
  <si>
    <t>A2026-00222</t>
  </si>
  <si>
    <t>A2026-00223</t>
  </si>
  <si>
    <t>A2026-00224</t>
  </si>
  <si>
    <t>A2026-00225</t>
  </si>
  <si>
    <t>A2026-00226</t>
  </si>
  <si>
    <t>A2026-00227</t>
  </si>
  <si>
    <t>A2026-00228</t>
  </si>
  <si>
    <t>A2026-00229</t>
  </si>
  <si>
    <t>A2026-00236</t>
  </si>
  <si>
    <t>A2026-00230</t>
  </si>
  <si>
    <t>A2026-00231</t>
  </si>
  <si>
    <t>A2026-00232</t>
  </si>
  <si>
    <t>A2026-00233</t>
  </si>
  <si>
    <t>A2026-00234</t>
  </si>
  <si>
    <t>A2026-00237</t>
  </si>
  <si>
    <t>A2026-00238</t>
  </si>
  <si>
    <t>A2026-00239</t>
  </si>
  <si>
    <t>A2026-00240</t>
  </si>
  <si>
    <t>A2026-00241</t>
  </si>
  <si>
    <t>A2026-00242</t>
  </si>
  <si>
    <t>A2026-00243</t>
  </si>
  <si>
    <t>A2026-00244</t>
  </si>
  <si>
    <t>A2026-00245</t>
  </si>
  <si>
    <t>A2026-00246</t>
  </si>
  <si>
    <t>A2026-00247</t>
  </si>
  <si>
    <t>A2026-00248</t>
  </si>
  <si>
    <t>A2026-00249</t>
  </si>
  <si>
    <t>A2026-00250</t>
  </si>
  <si>
    <t>A2026-00251</t>
  </si>
  <si>
    <t>A2026-00252</t>
  </si>
  <si>
    <t>A2026-00253</t>
  </si>
  <si>
    <t>A2026-00254</t>
  </si>
  <si>
    <t>A2026-00255</t>
  </si>
  <si>
    <t>A2026-00256</t>
  </si>
  <si>
    <t>A2026-00257</t>
  </si>
  <si>
    <t>A2026-00258</t>
  </si>
  <si>
    <t>A2026-00259</t>
  </si>
  <si>
    <t>A2026-00260</t>
  </si>
  <si>
    <t>A2026-00261</t>
  </si>
  <si>
    <t>A2026-00262</t>
  </si>
  <si>
    <t>A2026-00263</t>
  </si>
  <si>
    <t>A2026-00264</t>
  </si>
  <si>
    <t>A2026-00265</t>
  </si>
  <si>
    <t>A2026-00266</t>
  </si>
  <si>
    <t>A2026-00267</t>
  </si>
  <si>
    <t>A2026-00268</t>
  </si>
  <si>
    <t>A2026-00269</t>
  </si>
  <si>
    <t>A2026-00270</t>
  </si>
  <si>
    <t>A2026-00271</t>
  </si>
  <si>
    <t>A2026-00272</t>
  </si>
  <si>
    <t>A2026-00273</t>
  </si>
  <si>
    <t>A2026-00274</t>
  </si>
  <si>
    <t>A2026-00275</t>
  </si>
  <si>
    <t>A2026-00276</t>
  </si>
  <si>
    <t>A2026-00277</t>
  </si>
  <si>
    <t>A2026-00278</t>
  </si>
  <si>
    <t>A2026-00279</t>
  </si>
  <si>
    <t>A2026-00280</t>
  </si>
  <si>
    <t>A2026-00281</t>
  </si>
  <si>
    <t>A2026-00282</t>
  </si>
  <si>
    <t>A2026-00283</t>
  </si>
  <si>
    <t>A2026-00284</t>
  </si>
  <si>
    <t>A2026-00285</t>
  </si>
  <si>
    <t>A2026-00286</t>
  </si>
  <si>
    <t>A2026-00313</t>
  </si>
  <si>
    <t>A2026-00287</t>
  </si>
  <si>
    <t>A2026-00288</t>
  </si>
  <si>
    <t>A2026-00289</t>
  </si>
  <si>
    <t>A2026-00290</t>
  </si>
  <si>
    <t>A2026-00291</t>
  </si>
  <si>
    <t>A2026-00292</t>
  </si>
  <si>
    <t>A2026-00293</t>
  </si>
  <si>
    <t>A2026-00294</t>
  </si>
  <si>
    <t>A2026-00295</t>
  </si>
  <si>
    <t>A2026-00296</t>
  </si>
  <si>
    <t>A2026-00297</t>
  </si>
  <si>
    <t>A2026-00298</t>
  </si>
  <si>
    <t>A2026-00299</t>
  </si>
  <si>
    <t>A2026-00300</t>
  </si>
  <si>
    <t>A2026-00301</t>
  </si>
  <si>
    <t>A2026-00302</t>
  </si>
  <si>
    <t>A2026-00303</t>
  </si>
  <si>
    <t>A2026-00304</t>
  </si>
  <si>
    <t>A2026-00305</t>
  </si>
  <si>
    <t>A2026-00306</t>
  </si>
  <si>
    <t>A2026-00307</t>
  </si>
  <si>
    <t>A2026-00308</t>
  </si>
  <si>
    <t>A2026-00309</t>
  </si>
  <si>
    <t>A2026-00310</t>
  </si>
  <si>
    <t>A2026-00311</t>
  </si>
  <si>
    <t>A2026-00312</t>
  </si>
  <si>
    <t>A2026-00313-IMP</t>
  </si>
  <si>
    <t>A2026-00314</t>
  </si>
  <si>
    <t>A2026-00315</t>
  </si>
  <si>
    <t>A2026-00316</t>
  </si>
  <si>
    <t>A2026-00317</t>
  </si>
  <si>
    <t>A2026-00318</t>
  </si>
  <si>
    <t>A2026-00319</t>
  </si>
  <si>
    <t>A2026-00320</t>
  </si>
  <si>
    <t>A2026-00321</t>
  </si>
  <si>
    <t>A2026-00322</t>
  </si>
  <si>
    <t>A2026-00323</t>
  </si>
  <si>
    <t>A2026-00324</t>
  </si>
  <si>
    <t>A2026-00325</t>
  </si>
  <si>
    <t>A2026-00326</t>
  </si>
  <si>
    <t>A2026-00327</t>
  </si>
  <si>
    <t>A2026-00328</t>
  </si>
  <si>
    <t>A2026-00329</t>
  </si>
  <si>
    <t>A2026-00330</t>
  </si>
  <si>
    <t>A2026-00331</t>
  </si>
  <si>
    <t>A2026-00332</t>
  </si>
  <si>
    <t>A2026-00333</t>
  </si>
  <si>
    <t>A2026-00334</t>
  </si>
  <si>
    <t>A2026-00335</t>
  </si>
  <si>
    <t>A2026-00336</t>
  </si>
  <si>
    <t>A2026-00337</t>
  </si>
  <si>
    <t>A2026-00338</t>
  </si>
  <si>
    <t>A2026-00339</t>
  </si>
  <si>
    <t>A2026-00340</t>
  </si>
  <si>
    <t>A2026-00341</t>
  </si>
  <si>
    <t>A2026-00342</t>
  </si>
  <si>
    <t>A2026-00343</t>
  </si>
  <si>
    <t>A2026-00344</t>
  </si>
  <si>
    <t>A2026-00345</t>
  </si>
  <si>
    <t>A2026-00346</t>
  </si>
  <si>
    <t>A2026-00347</t>
  </si>
  <si>
    <t>A2026-00348</t>
  </si>
  <si>
    <t>A2026-00349</t>
  </si>
  <si>
    <t>A2026-00350</t>
  </si>
  <si>
    <t>A2026-00351</t>
  </si>
  <si>
    <t>A2026-00352</t>
  </si>
  <si>
    <t>A2026-00353</t>
  </si>
  <si>
    <t>A2026-00354</t>
  </si>
  <si>
    <t>A2026-00355</t>
  </si>
  <si>
    <t>A2026-00356</t>
  </si>
  <si>
    <t>A2026-00357</t>
  </si>
  <si>
    <t>A2026-00358</t>
  </si>
  <si>
    <t>A2026-00359</t>
  </si>
  <si>
    <t>A2026-00360</t>
  </si>
  <si>
    <t>A2026-00361</t>
  </si>
  <si>
    <t>A2026-00362</t>
  </si>
  <si>
    <t>A2026-00363</t>
  </si>
  <si>
    <t>A2026-00364</t>
  </si>
  <si>
    <t>A2026-00365</t>
  </si>
  <si>
    <t>A2026-00366</t>
  </si>
  <si>
    <t>A2026-00367</t>
  </si>
  <si>
    <t>A2026-00368</t>
  </si>
  <si>
    <t>A2026-00369</t>
  </si>
  <si>
    <t>A2026-00370</t>
  </si>
  <si>
    <t>A2026-00371</t>
  </si>
  <si>
    <t>A2026-00372</t>
  </si>
  <si>
    <t>A2026-00373</t>
  </si>
  <si>
    <t>A2026-00374</t>
  </si>
  <si>
    <t>A2026-00375</t>
  </si>
  <si>
    <t>A2026-00376</t>
  </si>
  <si>
    <t>A2026-00377</t>
  </si>
  <si>
    <t>A2026-00378</t>
  </si>
  <si>
    <t>A2026-00379</t>
  </si>
  <si>
    <t>A2026-00380</t>
  </si>
  <si>
    <t>A2026-00381</t>
  </si>
  <si>
    <t>A2026-00382</t>
  </si>
  <si>
    <t>A2026-00383</t>
  </si>
  <si>
    <t>A2026-00384</t>
  </si>
  <si>
    <t>A2026-00385</t>
  </si>
  <si>
    <t>A2026-00386</t>
  </si>
  <si>
    <t>A2026-00387</t>
  </si>
  <si>
    <t>A2026-00388</t>
  </si>
  <si>
    <t>A2026-00389</t>
  </si>
  <si>
    <t>A2026-00390</t>
  </si>
  <si>
    <t>A2026-00391</t>
  </si>
  <si>
    <t>A2026-00392</t>
  </si>
  <si>
    <t>A2026-00393</t>
  </si>
  <si>
    <t>A2026-00394</t>
  </si>
  <si>
    <t>A2026-00395</t>
  </si>
  <si>
    <t>A2026-00396</t>
  </si>
  <si>
    <t>A2026-00397</t>
  </si>
  <si>
    <t>A2026-00398</t>
  </si>
  <si>
    <t>A2026-00399</t>
  </si>
  <si>
    <t>A2026-00400</t>
  </si>
  <si>
    <t>A2026-00401</t>
  </si>
  <si>
    <t>A2026-00402</t>
  </si>
  <si>
    <t>A2026-00403</t>
  </si>
  <si>
    <t>A2026-00404</t>
  </si>
  <si>
    <t>A2026-00405</t>
  </si>
  <si>
    <t>A2026-00406</t>
  </si>
  <si>
    <t>A2026-00407</t>
  </si>
  <si>
    <t>A2026-00408</t>
  </si>
  <si>
    <t>A2026-00409</t>
  </si>
  <si>
    <t>A2026-00410</t>
  </si>
  <si>
    <t>A2026-00411</t>
  </si>
  <si>
    <t>A2026-00412</t>
  </si>
  <si>
    <t>A2026-00413</t>
  </si>
  <si>
    <t>A2026-00414</t>
  </si>
  <si>
    <t>A2026-00415</t>
  </si>
  <si>
    <t>A2026-00416</t>
  </si>
  <si>
    <t>A2026-00417</t>
  </si>
  <si>
    <t>A2026-00418</t>
  </si>
  <si>
    <t>A2026-00419</t>
  </si>
  <si>
    <t>A2026-00420</t>
  </si>
  <si>
    <t>A2026-00421</t>
  </si>
  <si>
    <t>A2026-00422</t>
  </si>
  <si>
    <t>A2026-00423</t>
  </si>
  <si>
    <t>A2026-00424</t>
  </si>
  <si>
    <t>A2026-00425</t>
  </si>
  <si>
    <t>A2026-00426</t>
  </si>
  <si>
    <t>A2026-00427</t>
  </si>
  <si>
    <t>A2026-00428</t>
  </si>
  <si>
    <t>A2026-00429</t>
  </si>
  <si>
    <t>A2026-00430</t>
  </si>
  <si>
    <t>A2026-00431</t>
  </si>
  <si>
    <t>A2026-00432</t>
  </si>
  <si>
    <t>A2026-00433</t>
  </si>
  <si>
    <t>A2026-00434</t>
  </si>
  <si>
    <t>A2026-00435</t>
  </si>
  <si>
    <t>A2026-00436</t>
  </si>
  <si>
    <t>A2026-00437</t>
  </si>
  <si>
    <t>A2026-00438</t>
  </si>
  <si>
    <t>A2026-00439</t>
  </si>
  <si>
    <t>A2026-00440</t>
  </si>
  <si>
    <t>A2026-00441</t>
  </si>
  <si>
    <t>A2026-00442</t>
  </si>
  <si>
    <t>A2026-00443</t>
  </si>
  <si>
    <t>A2026-00444</t>
  </si>
  <si>
    <t>A2026-00445</t>
  </si>
  <si>
    <t>A2026-00446</t>
  </si>
  <si>
    <t>A2026-00447</t>
  </si>
  <si>
    <t>A2026-00448</t>
  </si>
  <si>
    <t>A2026-00449</t>
  </si>
  <si>
    <t>A2026-00450</t>
  </si>
  <si>
    <t>A2026-00451</t>
  </si>
  <si>
    <t>A2026-00452</t>
  </si>
  <si>
    <t>A2026-00453</t>
  </si>
  <si>
    <t>A2026-00454</t>
  </si>
  <si>
    <t>A2026-00455</t>
  </si>
  <si>
    <t>A2026-00456</t>
  </si>
  <si>
    <t>A2026-00457</t>
  </si>
  <si>
    <t>A2026-00458</t>
  </si>
  <si>
    <t>A2026-00459</t>
  </si>
  <si>
    <t>A2026-00460</t>
  </si>
  <si>
    <t>A2026-00461</t>
  </si>
  <si>
    <t>A2026-00462</t>
  </si>
  <si>
    <t>A2026-00463</t>
  </si>
  <si>
    <t>A2026-00464</t>
  </si>
  <si>
    <t>A2026-00465</t>
  </si>
  <si>
    <t>A2026-00466</t>
  </si>
  <si>
    <t>A2026-00467</t>
  </si>
  <si>
    <t>A2026-00468</t>
  </si>
  <si>
    <t>A2026-00469</t>
  </si>
  <si>
    <t>A2026-00470</t>
  </si>
  <si>
    <t>A2026-00471</t>
  </si>
  <si>
    <t>A2026-00472</t>
  </si>
  <si>
    <t>A2026-00473</t>
  </si>
  <si>
    <t>A2026-00474</t>
  </si>
  <si>
    <t>A2026-00475</t>
  </si>
  <si>
    <t>A2026-00476</t>
  </si>
  <si>
    <t>A2026-00477</t>
  </si>
  <si>
    <t>A2026-00478</t>
  </si>
  <si>
    <t>A2026-00479</t>
  </si>
  <si>
    <t>A2026-00480</t>
  </si>
  <si>
    <t>A2026-00481</t>
  </si>
  <si>
    <t>A2026-00482</t>
  </si>
  <si>
    <t>A2026-00483</t>
  </si>
  <si>
    <t>A2026-00484</t>
  </si>
  <si>
    <t>A2026-00485</t>
  </si>
  <si>
    <t>A2026-00486</t>
  </si>
  <si>
    <t>A2026-00487</t>
  </si>
  <si>
    <t>A2026-00488</t>
  </si>
  <si>
    <t>A2026-00489</t>
  </si>
  <si>
    <t>A2026-00490</t>
  </si>
  <si>
    <t>A2026-00491</t>
  </si>
  <si>
    <t>A2026-00492</t>
  </si>
  <si>
    <t>A2026-00493</t>
  </si>
  <si>
    <t>A2026-00494</t>
  </si>
  <si>
    <t>A2026-00495</t>
  </si>
  <si>
    <t>A2026-00496</t>
  </si>
  <si>
    <t>A2026-00497</t>
  </si>
  <si>
    <t>A2026-00498</t>
  </si>
  <si>
    <t>A2026-00499</t>
  </si>
  <si>
    <t>A2026-00500</t>
  </si>
  <si>
    <t>A2026-00501</t>
  </si>
  <si>
    <t>A2026-00502</t>
  </si>
  <si>
    <t>A2026-00503</t>
  </si>
  <si>
    <t>A2026-00504</t>
  </si>
  <si>
    <t>A2026-00505</t>
  </si>
  <si>
    <t>A2026-00506</t>
  </si>
  <si>
    <t>A2026-00507</t>
  </si>
  <si>
    <t>A2026-00508</t>
  </si>
  <si>
    <t>A2026-00509</t>
  </si>
  <si>
    <t>A2026-00510</t>
  </si>
  <si>
    <t>A2026-00511</t>
  </si>
  <si>
    <t>A2026-00512</t>
  </si>
  <si>
    <t>A2026-00513</t>
  </si>
  <si>
    <t>A2026-00514</t>
  </si>
  <si>
    <t>A2026-00515</t>
  </si>
  <si>
    <t>A2026-00516</t>
  </si>
  <si>
    <t>A2026-00517</t>
  </si>
  <si>
    <t>A2026-00518</t>
  </si>
  <si>
    <t>A2026-00519</t>
  </si>
  <si>
    <t>A2026-00520</t>
  </si>
  <si>
    <t>A2026-00521</t>
  </si>
  <si>
    <t>A2026-00522</t>
  </si>
  <si>
    <t>A2026-00523</t>
  </si>
  <si>
    <t>A2026-00524</t>
  </si>
  <si>
    <t>A2026-00525</t>
  </si>
  <si>
    <t>A2026-00526</t>
  </si>
  <si>
    <t>A2026-00527</t>
  </si>
  <si>
    <t>A2026-00528</t>
  </si>
  <si>
    <t>A2026-00529</t>
  </si>
  <si>
    <t>A2026-00530</t>
  </si>
  <si>
    <t>A2026-00531</t>
  </si>
  <si>
    <t>A2026-00532</t>
  </si>
  <si>
    <t>A2026-00533</t>
  </si>
  <si>
    <t>A2026-00534</t>
  </si>
  <si>
    <t>A2026-00535</t>
  </si>
  <si>
    <t>A2026-00536</t>
  </si>
  <si>
    <t>A2026-00537</t>
  </si>
  <si>
    <t>A2026-00538</t>
  </si>
  <si>
    <t>A2026-00539</t>
  </si>
  <si>
    <t>A2026-00540</t>
  </si>
  <si>
    <t>A2026-00541</t>
  </si>
  <si>
    <t>A2026-00542</t>
  </si>
  <si>
    <t>A2026-00543</t>
  </si>
  <si>
    <t>A2026-00544</t>
  </si>
  <si>
    <t>A2026-00545</t>
  </si>
  <si>
    <t>A2026-00546</t>
  </si>
  <si>
    <t>A2026-00547</t>
  </si>
  <si>
    <t>A2026-00548</t>
  </si>
  <si>
    <t>A2026-00549</t>
  </si>
  <si>
    <t>A2026-00550</t>
  </si>
  <si>
    <t>A2026-00551</t>
  </si>
  <si>
    <t>A2026-00552</t>
  </si>
  <si>
    <t>A2026-00553</t>
  </si>
  <si>
    <t>A2026-00554</t>
  </si>
  <si>
    <t>A2026-00555</t>
  </si>
  <si>
    <t>A2026-00556</t>
  </si>
  <si>
    <t>A2026-00557</t>
  </si>
  <si>
    <t>A2026-00558</t>
  </si>
  <si>
    <t>A2026-00559</t>
  </si>
  <si>
    <t>A2026-00560</t>
  </si>
  <si>
    <t>A2026-00561</t>
  </si>
  <si>
    <t>A2026-00562</t>
  </si>
  <si>
    <t>A2026-00563</t>
  </si>
  <si>
    <t>A2026-00564</t>
  </si>
  <si>
    <t>A2026-00565</t>
  </si>
  <si>
    <t>A2026-00566</t>
  </si>
  <si>
    <t>A2026-00567</t>
  </si>
  <si>
    <t>A2026-00568</t>
  </si>
  <si>
    <t>A2026-00569</t>
  </si>
  <si>
    <t>A2026-00570</t>
  </si>
  <si>
    <t>A2026-00571</t>
  </si>
  <si>
    <t>A2026-00572</t>
  </si>
  <si>
    <t>A2026-00573</t>
  </si>
  <si>
    <t>A2026-00574</t>
  </si>
  <si>
    <t>A2026-00575</t>
  </si>
  <si>
    <t>A2026-00576</t>
  </si>
  <si>
    <t>A2026-00577</t>
  </si>
  <si>
    <t>A2026-00578</t>
  </si>
  <si>
    <t>A2026-00579</t>
  </si>
  <si>
    <t>A2026-00580</t>
  </si>
  <si>
    <t>A2026-00581</t>
  </si>
  <si>
    <t>A2026-00582</t>
  </si>
  <si>
    <t>A2026-00583</t>
  </si>
  <si>
    <t>A2026-00584</t>
  </si>
  <si>
    <t>A2026-00585</t>
  </si>
  <si>
    <t>A2026-00586</t>
  </si>
  <si>
    <t>A2026-00587</t>
  </si>
  <si>
    <t>A2026-00588</t>
  </si>
  <si>
    <t>A2026-00589</t>
  </si>
  <si>
    <t>A2026-00590</t>
  </si>
  <si>
    <t>A2026-00591</t>
  </si>
  <si>
    <t>A2026-00592</t>
  </si>
  <si>
    <t>A2026-00593</t>
  </si>
  <si>
    <t>A2026-00594</t>
  </si>
  <si>
    <t>A2026-00595</t>
  </si>
  <si>
    <t>A2026-00596</t>
  </si>
  <si>
    <t>A2026-00597</t>
  </si>
  <si>
    <t>A2026-00598</t>
  </si>
  <si>
    <t>A2026-00599</t>
  </si>
  <si>
    <t>A2026-00600</t>
  </si>
  <si>
    <t>A2026-00601</t>
  </si>
  <si>
    <t>A2026-00602</t>
  </si>
  <si>
    <t>A2026-00603</t>
  </si>
  <si>
    <t>A2026-00604</t>
  </si>
  <si>
    <t>A2026-00605</t>
  </si>
  <si>
    <t>A2026-00606</t>
  </si>
  <si>
    <t>A2026-00607</t>
  </si>
  <si>
    <t>A2026-00608</t>
  </si>
  <si>
    <t>A2026-00609</t>
  </si>
  <si>
    <t>A2026-00610</t>
  </si>
  <si>
    <t>A2026-00611</t>
  </si>
  <si>
    <t>A2026-00612</t>
  </si>
  <si>
    <t>A2026-00613</t>
  </si>
  <si>
    <t>A2026-00614</t>
  </si>
  <si>
    <t>A2026-00615</t>
  </si>
  <si>
    <t>A2026-00616</t>
  </si>
  <si>
    <t>A2026-00617</t>
  </si>
  <si>
    <t>A2026-00618</t>
  </si>
  <si>
    <t>A2026-00619</t>
  </si>
  <si>
    <t>A2026-00620</t>
  </si>
  <si>
    <t>A2026-00621</t>
  </si>
  <si>
    <t>A2026-00622</t>
  </si>
  <si>
    <t>A2026-00623</t>
  </si>
  <si>
    <t>A2026-00624</t>
  </si>
  <si>
    <t>A2026-00625</t>
  </si>
  <si>
    <t>A2026-00626</t>
  </si>
  <si>
    <t>A2026-00627</t>
  </si>
  <si>
    <t>A2026-00628</t>
  </si>
  <si>
    <t>A2026-00629</t>
  </si>
  <si>
    <t>A2026-00630</t>
  </si>
  <si>
    <t>A2026-00631</t>
  </si>
  <si>
    <t>A2026-00632</t>
  </si>
  <si>
    <t>A2026-00633</t>
  </si>
  <si>
    <t>A2026-00634</t>
  </si>
  <si>
    <t>A2026-00635</t>
  </si>
  <si>
    <t>A2026-00636</t>
  </si>
  <si>
    <t>A2026-00637</t>
  </si>
  <si>
    <t>A2026-00638</t>
  </si>
  <si>
    <t>A2026-00639</t>
  </si>
  <si>
    <t>A2026-00640</t>
  </si>
  <si>
    <t>A2026-00641</t>
  </si>
  <si>
    <t>A2026-00642</t>
  </si>
  <si>
    <t>A2026-00643</t>
  </si>
  <si>
    <t>A2026-00644</t>
  </si>
  <si>
    <t>A2026-00645</t>
  </si>
  <si>
    <t>A2026-00646</t>
  </si>
  <si>
    <t>A2026-00647</t>
  </si>
  <si>
    <t>A2026-00648</t>
  </si>
  <si>
    <t>A2026-00649</t>
  </si>
  <si>
    <t>A2026-00650</t>
  </si>
  <si>
    <t>A2026-00651</t>
  </si>
  <si>
    <t>A2026-00652</t>
  </si>
  <si>
    <t>A2026-00653</t>
  </si>
  <si>
    <t>A2026-00654</t>
  </si>
  <si>
    <t>A2026-00655</t>
  </si>
  <si>
    <t>A2026-00656</t>
  </si>
  <si>
    <t>A2026-00657</t>
  </si>
  <si>
    <t>A2026-00658</t>
  </si>
  <si>
    <t>A2026-00659</t>
  </si>
  <si>
    <t>A2026-00660</t>
  </si>
  <si>
    <t>A2026-00661</t>
  </si>
  <si>
    <t>A2026-00662</t>
  </si>
  <si>
    <t>A2026-00663</t>
  </si>
  <si>
    <t>A2026-00664</t>
  </si>
  <si>
    <t>A2026-00665</t>
  </si>
  <si>
    <t>A2026-00666</t>
  </si>
  <si>
    <t>A2026-00667</t>
  </si>
  <si>
    <t>A2026-00668</t>
  </si>
  <si>
    <t>A2026-00669</t>
  </si>
  <si>
    <t>A2026-00670</t>
  </si>
  <si>
    <t>A2026-00671</t>
  </si>
  <si>
    <t>A2026-00672</t>
  </si>
  <si>
    <t>A2026-00673</t>
  </si>
  <si>
    <t>A2026-00674</t>
  </si>
  <si>
    <t>A2026-00675</t>
  </si>
  <si>
    <t>A2026-00676</t>
  </si>
  <si>
    <t>A2026-00677</t>
  </si>
  <si>
    <t>A2026-00678</t>
  </si>
  <si>
    <t>A2026-00679</t>
  </si>
  <si>
    <t>A2026-00680</t>
  </si>
  <si>
    <t>A2026-00681</t>
  </si>
  <si>
    <t>A2026-00682</t>
  </si>
  <si>
    <t>A2026-00683</t>
  </si>
  <si>
    <t>A2026-00684</t>
  </si>
  <si>
    <t>A2026-00685</t>
  </si>
  <si>
    <t>A2026-00686</t>
  </si>
  <si>
    <t>A2026-00687</t>
  </si>
  <si>
    <t>A2026-00688</t>
  </si>
  <si>
    <t>A2026-00689</t>
  </si>
  <si>
    <t>A2026-00690</t>
  </si>
  <si>
    <t>A2026-00691</t>
  </si>
  <si>
    <t>A2026-00692</t>
  </si>
  <si>
    <t>A2026-00693</t>
  </si>
  <si>
    <t>A2026-00694</t>
  </si>
  <si>
    <t>A2026-00695</t>
  </si>
  <si>
    <t>A2026-00696</t>
  </si>
  <si>
    <t>A2026-00697</t>
  </si>
  <si>
    <t>A2026-00698</t>
  </si>
  <si>
    <t>A2026-00699</t>
  </si>
  <si>
    <t>A2026-00700</t>
  </si>
  <si>
    <t>A2026-00701</t>
  </si>
  <si>
    <t>A2026-00702</t>
  </si>
  <si>
    <t>A2026-00703</t>
  </si>
  <si>
    <t>A2026-00704</t>
  </si>
  <si>
    <t>A2026-00705</t>
  </si>
  <si>
    <t>A2026-00706</t>
  </si>
  <si>
    <t>A2026-00707</t>
  </si>
  <si>
    <t>A2026-00708</t>
  </si>
  <si>
    <t>A2026-00709</t>
  </si>
  <si>
    <t>A2026-00710</t>
  </si>
  <si>
    <t>A2026-00711</t>
  </si>
  <si>
    <t>A2026-00712</t>
  </si>
  <si>
    <t>A2026-00713</t>
  </si>
  <si>
    <t>A2026-00714</t>
  </si>
  <si>
    <t>A2026-00715</t>
  </si>
  <si>
    <t>A2026-00716</t>
  </si>
  <si>
    <t>A2026-00717</t>
  </si>
  <si>
    <t>A2026-00718</t>
  </si>
  <si>
    <t>A2026-00719</t>
  </si>
  <si>
    <t>A2026-00720</t>
  </si>
  <si>
    <t>A2026-00721</t>
  </si>
  <si>
    <t>A2026-00722</t>
  </si>
  <si>
    <t>A2026-00723</t>
  </si>
  <si>
    <t>A2026-00724</t>
  </si>
  <si>
    <t>A2026-00725</t>
  </si>
  <si>
    <t>A2026-00726</t>
  </si>
  <si>
    <t>A2026-00727</t>
  </si>
  <si>
    <t>A2026-00728</t>
  </si>
  <si>
    <t>A2026-00729</t>
  </si>
  <si>
    <t>A2026-00730</t>
  </si>
  <si>
    <t>A2026-00731</t>
  </si>
  <si>
    <t>A2026-00732</t>
  </si>
  <si>
    <t>A2026-00733</t>
  </si>
  <si>
    <t>A2026-00734</t>
  </si>
  <si>
    <t>A2026-00735</t>
  </si>
  <si>
    <t>A2026-00736</t>
  </si>
  <si>
    <t>A2026-00737</t>
  </si>
  <si>
    <t>A2026-00738</t>
  </si>
  <si>
    <t>A2026-00739</t>
  </si>
  <si>
    <t>A2026-00740</t>
  </si>
  <si>
    <t>A2026-00741</t>
  </si>
  <si>
    <t>A2026-00742</t>
  </si>
  <si>
    <t>A2026-00743</t>
  </si>
  <si>
    <t>A2026-00744</t>
  </si>
  <si>
    <t>A2026-00745</t>
  </si>
  <si>
    <t>A2026-00746</t>
  </si>
  <si>
    <t>A2026-00747</t>
  </si>
  <si>
    <t>A2026-00748</t>
  </si>
  <si>
    <t>A2026-00749</t>
  </si>
  <si>
    <t>A2026-00750</t>
  </si>
  <si>
    <t>A2026-00751</t>
  </si>
  <si>
    <t>A2026-00752</t>
  </si>
  <si>
    <t>A2026-00753</t>
  </si>
  <si>
    <t>A2026-00754</t>
  </si>
  <si>
    <t>A2026-00755</t>
  </si>
  <si>
    <t>A2026-00756</t>
  </si>
  <si>
    <t>A2026-00757</t>
  </si>
  <si>
    <t>A2026-00758</t>
  </si>
  <si>
    <t>A2026-00759</t>
  </si>
  <si>
    <t>A2026-00760</t>
  </si>
  <si>
    <t>A2026-00761</t>
  </si>
  <si>
    <t>A2026-00762</t>
  </si>
  <si>
    <t>A2026-00763</t>
  </si>
  <si>
    <t>A2026-00764</t>
  </si>
  <si>
    <t>A2026-00765</t>
  </si>
  <si>
    <t>A2026-00766</t>
  </si>
  <si>
    <t>A2026-00767</t>
  </si>
  <si>
    <t>A2026-00768</t>
  </si>
  <si>
    <t>A2026-00769</t>
  </si>
  <si>
    <t>A2026-00770</t>
  </si>
  <si>
    <t>A2026-00771</t>
  </si>
  <si>
    <t>A2026-00772</t>
  </si>
  <si>
    <t>A2026-00773</t>
  </si>
  <si>
    <t>A2026-00774</t>
  </si>
  <si>
    <t>A2026-00775</t>
  </si>
  <si>
    <t>A2026-00776</t>
  </si>
  <si>
    <t>A2026-00777</t>
  </si>
  <si>
    <t>A2026-00778</t>
  </si>
  <si>
    <t>A2026-00779</t>
  </si>
  <si>
    <t>A2026-00780</t>
  </si>
  <si>
    <t>A2026-00781</t>
  </si>
  <si>
    <t>A2026-00782</t>
  </si>
  <si>
    <t>A2026-00783</t>
  </si>
  <si>
    <t>A2026-00784</t>
  </si>
  <si>
    <t>A2026-00785</t>
  </si>
  <si>
    <t>A2026-00786</t>
  </si>
  <si>
    <t>A2026-00787</t>
  </si>
  <si>
    <t>A2026-00788</t>
  </si>
  <si>
    <t>A2026-00789</t>
  </si>
  <si>
    <t>A2026-00790</t>
  </si>
  <si>
    <t>A2026-00791</t>
  </si>
  <si>
    <t>A2026-00792</t>
  </si>
  <si>
    <t>A2026-00793</t>
  </si>
  <si>
    <t>A2026-00794</t>
  </si>
  <si>
    <t>A2026-00795</t>
  </si>
  <si>
    <t>A2026-00796</t>
  </si>
  <si>
    <t>A2026-00797</t>
  </si>
  <si>
    <t>A2026-00798</t>
  </si>
  <si>
    <t>A2026-00799</t>
  </si>
  <si>
    <t>A2026-00800</t>
  </si>
  <si>
    <t>A2026-00801</t>
  </si>
  <si>
    <t>A2026-00802</t>
  </si>
  <si>
    <t>A2026-00803</t>
  </si>
  <si>
    <t>A2026-00804</t>
  </si>
  <si>
    <t>A2026-00805</t>
  </si>
  <si>
    <t>A2026-00806</t>
  </si>
  <si>
    <t>A2026-00807</t>
  </si>
  <si>
    <t>A2026-00808</t>
  </si>
  <si>
    <t>A2026-00809</t>
  </si>
  <si>
    <t>A2026-00810</t>
  </si>
  <si>
    <t>A2026-00811</t>
  </si>
  <si>
    <t>A2026-00812</t>
  </si>
  <si>
    <t>A2026-00813</t>
  </si>
  <si>
    <t>A2026-00814</t>
  </si>
  <si>
    <t>A2026-00815</t>
  </si>
  <si>
    <t>A2026-00816</t>
  </si>
  <si>
    <t>A2026-00817</t>
  </si>
  <si>
    <t>A2026-00818</t>
  </si>
  <si>
    <t>A2026-00819</t>
  </si>
  <si>
    <t>A2026-00820</t>
  </si>
  <si>
    <t>A2026-00821</t>
  </si>
  <si>
    <t>A2026-00822</t>
  </si>
  <si>
    <t>A2026-00823</t>
  </si>
  <si>
    <t>A2026-00824</t>
  </si>
  <si>
    <t>A2026-00825</t>
  </si>
  <si>
    <t>A2026-00826</t>
  </si>
  <si>
    <t>A2026-00827</t>
  </si>
  <si>
    <t>A2026-00828</t>
  </si>
  <si>
    <t>A2026-00829</t>
  </si>
  <si>
    <t>A2026-00830</t>
  </si>
  <si>
    <t>A2026-00831</t>
  </si>
  <si>
    <t>A2026-00832</t>
  </si>
  <si>
    <t>A2026-00833</t>
  </si>
  <si>
    <t>A2026-00834</t>
  </si>
  <si>
    <t>A2026-00835</t>
  </si>
  <si>
    <t>A2026-00836</t>
  </si>
  <si>
    <t>A2026-00837</t>
  </si>
  <si>
    <t>A2026-00838</t>
  </si>
  <si>
    <t>A2026-00839</t>
  </si>
  <si>
    <t>A2026-00840</t>
  </si>
  <si>
    <t>A2026-00841</t>
  </si>
  <si>
    <t>A2026-00842</t>
  </si>
  <si>
    <t>A2026-00843</t>
  </si>
  <si>
    <t>A2026-00844</t>
  </si>
  <si>
    <t>A2026-00845</t>
  </si>
  <si>
    <t>A2026-00846</t>
  </si>
  <si>
    <t>A2026-00847</t>
  </si>
  <si>
    <t>A2026-00848</t>
  </si>
  <si>
    <t>A2026-00849</t>
  </si>
  <si>
    <t>A2026-00850</t>
  </si>
  <si>
    <t>A2026-00851</t>
  </si>
  <si>
    <t>A2026-00852</t>
  </si>
  <si>
    <t>A2026-00853</t>
  </si>
  <si>
    <t>A2026-00854</t>
  </si>
  <si>
    <t>A2026-00855</t>
  </si>
  <si>
    <t>A2026-00856</t>
  </si>
  <si>
    <t>A2026-00857</t>
  </si>
  <si>
    <t>A2026-00858</t>
  </si>
  <si>
    <t>A2026-00859</t>
  </si>
  <si>
    <t>A2026-00860</t>
  </si>
  <si>
    <t>A2026-00861</t>
  </si>
  <si>
    <t>A2026-00862</t>
  </si>
  <si>
    <t>A2026-00863</t>
  </si>
  <si>
    <t>A2026-00864</t>
  </si>
  <si>
    <t>A2026-00865</t>
  </si>
  <si>
    <t>A2026-00866</t>
  </si>
  <si>
    <t>A2026-00867</t>
  </si>
  <si>
    <t>A2026-00868</t>
  </si>
  <si>
    <t>A2026-00869</t>
  </si>
  <si>
    <t>A2026-00870</t>
  </si>
  <si>
    <t>A2026-00871</t>
  </si>
  <si>
    <t>A2026-00872</t>
  </si>
  <si>
    <t>A2026-00873</t>
  </si>
  <si>
    <t>A2026-00874</t>
  </si>
  <si>
    <t>A2026-00875</t>
  </si>
  <si>
    <t>A2026-00876</t>
  </si>
  <si>
    <t>A2026-00877</t>
  </si>
  <si>
    <t>A2026-00878</t>
  </si>
  <si>
    <t>A2026-00879</t>
  </si>
  <si>
    <t>A2026-00880</t>
  </si>
  <si>
    <t>A2026-00881</t>
  </si>
  <si>
    <t>A2026-00882</t>
  </si>
  <si>
    <t>A2026-00883</t>
  </si>
  <si>
    <t>A2026-00884</t>
  </si>
  <si>
    <t>A2026-00885</t>
  </si>
  <si>
    <t>A2026-00886</t>
  </si>
  <si>
    <t>A2026-00887</t>
  </si>
  <si>
    <t>A2026-00888</t>
  </si>
  <si>
    <t>A2026-00889</t>
  </si>
  <si>
    <t>A2026-00890</t>
  </si>
  <si>
    <t>A2026-00891</t>
  </si>
  <si>
    <t>A2026-00892</t>
  </si>
  <si>
    <t>A2026-00893</t>
  </si>
  <si>
    <t>A2026-00894</t>
  </si>
  <si>
    <t>A2026-00895</t>
  </si>
  <si>
    <t>A2026-00896</t>
  </si>
  <si>
    <t>A2026-00897</t>
  </si>
  <si>
    <t>A2026-00898</t>
  </si>
  <si>
    <t>A2026-00899</t>
  </si>
  <si>
    <t>A2026-00900</t>
  </si>
  <si>
    <t>A2026-00901</t>
  </si>
  <si>
    <t>A2026-00902</t>
  </si>
  <si>
    <t>A2026-00903</t>
  </si>
  <si>
    <t>A2026-00904</t>
  </si>
  <si>
    <t>A2026-00905</t>
  </si>
  <si>
    <t>A2026-00906</t>
  </si>
  <si>
    <t>A2026-00907</t>
  </si>
  <si>
    <t>A2026-00908</t>
  </si>
  <si>
    <t>A2026-00909</t>
  </si>
  <si>
    <t>A2026-00910</t>
  </si>
  <si>
    <t>A2026-00911</t>
  </si>
  <si>
    <t>A2026-00912</t>
  </si>
  <si>
    <t>A2026-00913</t>
  </si>
  <si>
    <t>A2026-00914</t>
  </si>
  <si>
    <t>A2026-00915</t>
  </si>
  <si>
    <t>A2026-00916</t>
  </si>
  <si>
    <t>A2026-00917</t>
  </si>
  <si>
    <t>A2026-00918</t>
  </si>
  <si>
    <t>A2026-00919</t>
  </si>
  <si>
    <t>A2026-00920</t>
  </si>
  <si>
    <t>A2026-00921</t>
  </si>
  <si>
    <t>A2026-00922</t>
  </si>
  <si>
    <t>A2026-00923</t>
  </si>
  <si>
    <t>A2026-00924</t>
  </si>
  <si>
    <t>A2026-00925</t>
  </si>
  <si>
    <t>A2026-00926</t>
  </si>
  <si>
    <t>A2026-00927</t>
  </si>
  <si>
    <t>A2026-00928</t>
  </si>
  <si>
    <t>A2026-00929</t>
  </si>
  <si>
    <t>A2026-00930</t>
  </si>
  <si>
    <t>A2026-00931</t>
  </si>
  <si>
    <t>A2026-00932</t>
  </si>
  <si>
    <t>A2026-00933</t>
  </si>
  <si>
    <t>A2026-00934</t>
  </si>
  <si>
    <t>A2026-00935</t>
  </si>
  <si>
    <t>A2026-00936</t>
  </si>
  <si>
    <t>A2026-00937</t>
  </si>
  <si>
    <t>A2026-00938</t>
  </si>
  <si>
    <t>A2026-00939</t>
  </si>
  <si>
    <t>A2026-00940</t>
  </si>
  <si>
    <t>A2026-00941</t>
  </si>
  <si>
    <t>A2026-00942</t>
  </si>
  <si>
    <t>A2026-00943</t>
  </si>
  <si>
    <t>A2026-00944</t>
  </si>
  <si>
    <t>A2026-00945</t>
  </si>
  <si>
    <t>A2026-00946</t>
  </si>
  <si>
    <t>A2026-00947</t>
  </si>
  <si>
    <t>A2026-00948</t>
  </si>
  <si>
    <t>A2026-00949</t>
  </si>
  <si>
    <t>A2026-00950</t>
  </si>
  <si>
    <t>A2026-00951</t>
  </si>
  <si>
    <t>A2026-00952</t>
  </si>
  <si>
    <t>A2026-00953</t>
  </si>
  <si>
    <t>A2026-00954</t>
  </si>
  <si>
    <t>A2026-00955</t>
  </si>
  <si>
    <t>A2026-00956</t>
  </si>
  <si>
    <t>A2026-00957</t>
  </si>
  <si>
    <t>A2026-00958</t>
  </si>
  <si>
    <t>A2026-00959</t>
  </si>
  <si>
    <t>A2026-00960</t>
  </si>
  <si>
    <t>A2026-00961</t>
  </si>
  <si>
    <t>A2026-00962</t>
  </si>
  <si>
    <t>A2026-00963</t>
  </si>
  <si>
    <t>A2026-00964</t>
  </si>
  <si>
    <t>A2026-00965</t>
  </si>
  <si>
    <t>A2026-00966</t>
  </si>
  <si>
    <t>A2026-00967</t>
  </si>
  <si>
    <t>A2026-00968</t>
  </si>
  <si>
    <t>A2026-00969</t>
  </si>
  <si>
    <t>A2026-00970</t>
  </si>
  <si>
    <t>A2026-00971</t>
  </si>
  <si>
    <t>A2026-00972</t>
  </si>
  <si>
    <t>A2026-00973</t>
  </si>
  <si>
    <t>A2026-00974</t>
  </si>
  <si>
    <t>A2026-00975</t>
  </si>
  <si>
    <t>A2026-00976</t>
  </si>
  <si>
    <t>A2026-00977</t>
  </si>
  <si>
    <t>A2026-00978</t>
  </si>
  <si>
    <t>A2026-00979</t>
  </si>
  <si>
    <t>A2026-00980</t>
  </si>
  <si>
    <t>A2026-00981</t>
  </si>
  <si>
    <t>A2026-00982</t>
  </si>
  <si>
    <t>A2026-00983</t>
  </si>
  <si>
    <t>A2026-00984</t>
  </si>
  <si>
    <t>A2026-00985</t>
  </si>
  <si>
    <t>A2026-00986</t>
  </si>
  <si>
    <t>A2026-00987</t>
  </si>
  <si>
    <t>A2026-00988</t>
  </si>
  <si>
    <t>A2026-00989</t>
  </si>
  <si>
    <t>A2026-00990</t>
  </si>
  <si>
    <t>A2026-00991</t>
  </si>
  <si>
    <t>A2026-00992</t>
  </si>
  <si>
    <t>A2026-00993</t>
  </si>
  <si>
    <t>A2026-00994</t>
  </si>
  <si>
    <t>A2026-00995</t>
  </si>
  <si>
    <t>A2026-00996</t>
  </si>
  <si>
    <t>A2026-00997</t>
  </si>
  <si>
    <t>A2026-00998</t>
  </si>
  <si>
    <t>A2026-00999</t>
  </si>
  <si>
    <t>A2026-01000</t>
  </si>
  <si>
    <t>A2026-01001</t>
  </si>
  <si>
    <t>A2026-01002</t>
  </si>
  <si>
    <t>A2026-01003</t>
  </si>
  <si>
    <t>A2026-01004</t>
  </si>
  <si>
    <t>A2026-01005</t>
  </si>
  <si>
    <t>A2026-01006</t>
  </si>
  <si>
    <t>A2026-01007</t>
  </si>
  <si>
    <t>A2026-01008</t>
  </si>
  <si>
    <t>A2026-01009</t>
  </si>
  <si>
    <t>A2026-01010</t>
  </si>
  <si>
    <t>A2026-01011</t>
  </si>
  <si>
    <t>A2026-01012</t>
  </si>
  <si>
    <t>A2026-01013</t>
  </si>
  <si>
    <t>A2026-01014</t>
  </si>
  <si>
    <t>A2026-01015</t>
  </si>
  <si>
    <t>A2026-01016</t>
  </si>
  <si>
    <t>A2026-01017</t>
  </si>
  <si>
    <t>A2026-01018</t>
  </si>
  <si>
    <t>A2026-01019</t>
  </si>
  <si>
    <t>A2026-01020</t>
  </si>
  <si>
    <t>A2026-01021</t>
  </si>
  <si>
    <t>A2026-01022</t>
  </si>
  <si>
    <t>A2026-01023</t>
  </si>
  <si>
    <t>A2026-01024</t>
  </si>
  <si>
    <t>A2026-01025</t>
  </si>
  <si>
    <t>A2026-01026</t>
  </si>
  <si>
    <t>A2026-01027</t>
  </si>
  <si>
    <t>A2026-01028</t>
  </si>
  <si>
    <t>A2026-01029</t>
  </si>
  <si>
    <t>A2026-01030</t>
  </si>
  <si>
    <t>A2026-01031</t>
  </si>
  <si>
    <t>A2026-01032</t>
  </si>
  <si>
    <t>A2026-01033</t>
  </si>
  <si>
    <t>A2026-01034</t>
  </si>
  <si>
    <t>A2026-01035</t>
  </si>
  <si>
    <t>A2026-01036</t>
  </si>
  <si>
    <t>A2026-01037</t>
  </si>
  <si>
    <t>A2026-01038</t>
  </si>
  <si>
    <t>A2026-01039</t>
  </si>
  <si>
    <t>A2026-01040</t>
  </si>
  <si>
    <t>A2026-01041</t>
  </si>
  <si>
    <t>A2026-01042</t>
  </si>
  <si>
    <t>A2026-01043</t>
  </si>
  <si>
    <t>A2026-01044</t>
  </si>
  <si>
    <t>A2026-01045</t>
  </si>
  <si>
    <t>A2026-01046</t>
  </si>
  <si>
    <t>A2026-01047</t>
  </si>
  <si>
    <t>A2026-01048</t>
  </si>
  <si>
    <t>A2026-01049</t>
  </si>
  <si>
    <t>A2026-01050</t>
  </si>
  <si>
    <t>A2026-01051</t>
  </si>
  <si>
    <t>A2026-01052</t>
  </si>
  <si>
    <t>A2026-01053</t>
  </si>
  <si>
    <t>A2026-01054</t>
  </si>
  <si>
    <t>A2026-01055</t>
  </si>
  <si>
    <t>A2026-01056</t>
  </si>
  <si>
    <t>A2026-01057</t>
  </si>
  <si>
    <t>A2026-01058</t>
  </si>
  <si>
    <t>A2026-01059</t>
  </si>
  <si>
    <t>A2026-01060</t>
  </si>
  <si>
    <t>A2026-01061</t>
  </si>
  <si>
    <t>A2026-01062</t>
  </si>
  <si>
    <t>A2026-01063</t>
  </si>
  <si>
    <t>A2026-01064</t>
  </si>
  <si>
    <t>A2026-01065</t>
  </si>
  <si>
    <t>A2026-01066</t>
  </si>
  <si>
    <t>A2026-01067</t>
  </si>
  <si>
    <t>A2026-01068</t>
  </si>
  <si>
    <t>A2026-01069</t>
  </si>
  <si>
    <t>A2026-01070</t>
  </si>
  <si>
    <t>A2026-01071</t>
  </si>
  <si>
    <t>A2026-01072</t>
  </si>
  <si>
    <t>A2026-01073</t>
  </si>
  <si>
    <t>A2026-01074</t>
  </si>
  <si>
    <t>A2026-01075</t>
  </si>
  <si>
    <t>A2026-01076</t>
  </si>
  <si>
    <t>A2026-01077</t>
  </si>
  <si>
    <t>A2026-01078</t>
  </si>
  <si>
    <t>A2026-01079</t>
  </si>
  <si>
    <t>A2026-01080</t>
  </si>
  <si>
    <t>A2026-01081</t>
  </si>
  <si>
    <t>A2026-01082</t>
  </si>
  <si>
    <t>A2026-01083</t>
  </si>
  <si>
    <t>A2026-01084</t>
  </si>
  <si>
    <t>A2026-01085</t>
  </si>
  <si>
    <t>A2026-01086</t>
  </si>
  <si>
    <t>A2026-01087</t>
  </si>
  <si>
    <t>A2026-01088</t>
  </si>
  <si>
    <t>A2026-01089</t>
  </si>
  <si>
    <t>A2026-01090</t>
  </si>
  <si>
    <t>A2026-01091</t>
  </si>
  <si>
    <t>A2026-01092</t>
  </si>
  <si>
    <t>A2026-01093</t>
  </si>
  <si>
    <t>A2026-01094</t>
  </si>
  <si>
    <t>A2026-01095</t>
  </si>
  <si>
    <t>A2026-01096</t>
  </si>
  <si>
    <t>A2026-01097</t>
  </si>
  <si>
    <t>A2026-01098</t>
  </si>
  <si>
    <t>A2026-01099</t>
  </si>
  <si>
    <t>A2026-01100</t>
  </si>
  <si>
    <t>A2026-01101</t>
  </si>
  <si>
    <t>A2026-01102</t>
  </si>
  <si>
    <t>A2026-01103</t>
  </si>
  <si>
    <t>A2026-01104</t>
  </si>
  <si>
    <t>A2026-01105</t>
  </si>
  <si>
    <t>A2026-01106</t>
  </si>
  <si>
    <t>A2026-01107</t>
  </si>
  <si>
    <t>A2026-01108</t>
  </si>
  <si>
    <t>A2026-01109</t>
  </si>
  <si>
    <t>A2026-01110</t>
  </si>
  <si>
    <t>A2026-01111</t>
  </si>
  <si>
    <t>A2026-01112</t>
  </si>
  <si>
    <t>A2026-01113</t>
  </si>
  <si>
    <t>A2026-01114</t>
  </si>
  <si>
    <t>A2026-01115</t>
  </si>
  <si>
    <t>A2026-01116</t>
  </si>
  <si>
    <t>A2026-01117</t>
  </si>
  <si>
    <t>A2026-01118</t>
  </si>
  <si>
    <t>A2026-01119</t>
  </si>
  <si>
    <t>A2026-01120</t>
  </si>
  <si>
    <t>A2026-01121</t>
  </si>
  <si>
    <t>A2026-01122</t>
  </si>
  <si>
    <t>A2026-01123</t>
  </si>
  <si>
    <t>A2026-01124</t>
  </si>
  <si>
    <t>A2026-01125</t>
  </si>
  <si>
    <t>A2026-01126</t>
  </si>
  <si>
    <t>A2026-01127</t>
  </si>
  <si>
    <t>A2026-01128</t>
  </si>
  <si>
    <t>A2026-01129</t>
  </si>
  <si>
    <t>A2026-01130</t>
  </si>
  <si>
    <t>A2026-01131</t>
  </si>
  <si>
    <t>A2026-01132</t>
  </si>
  <si>
    <t>A2026-01133</t>
  </si>
  <si>
    <t>A2026-01134</t>
  </si>
  <si>
    <t>A2026-01135</t>
  </si>
  <si>
    <t>A2026-01136</t>
  </si>
  <si>
    <t>A2026-01137</t>
  </si>
  <si>
    <t>A2026-01138</t>
  </si>
  <si>
    <t>A2026-01139</t>
  </si>
  <si>
    <t>A2026-01140</t>
  </si>
  <si>
    <t>A2026-01141</t>
  </si>
  <si>
    <t>A2026-01142</t>
  </si>
  <si>
    <t>A2026-01143</t>
  </si>
  <si>
    <t>A2026-01144</t>
  </si>
  <si>
    <t>A2026-01145</t>
  </si>
  <si>
    <t>A2026-01146</t>
  </si>
  <si>
    <t>A2026-01147</t>
  </si>
  <si>
    <t>A2026-01148</t>
  </si>
  <si>
    <t>A2026-01149</t>
  </si>
  <si>
    <t>A2026-01150</t>
  </si>
  <si>
    <t>A2026-01151</t>
  </si>
  <si>
    <t>A2026-01152</t>
  </si>
  <si>
    <t>A2026-01153</t>
  </si>
  <si>
    <t>A2026-01154</t>
  </si>
  <si>
    <t>A2026-01155</t>
  </si>
  <si>
    <t>A2026-01156</t>
  </si>
  <si>
    <t>A2026-01157</t>
  </si>
  <si>
    <t>A2026-01158</t>
  </si>
  <si>
    <t>A2026-01159</t>
  </si>
  <si>
    <t>A2026-01160</t>
  </si>
  <si>
    <t>A2026-01161</t>
  </si>
  <si>
    <t>A2026-01162</t>
  </si>
  <si>
    <t>A2026-01163</t>
  </si>
  <si>
    <t>A2026-01164</t>
  </si>
  <si>
    <t>A2026-01165</t>
  </si>
  <si>
    <t>A2026-01166</t>
  </si>
  <si>
    <t>A2026-01167</t>
  </si>
  <si>
    <t>A2026-01168</t>
  </si>
  <si>
    <t>A2026-01169</t>
  </si>
  <si>
    <t>A2026-01170</t>
  </si>
  <si>
    <t>A2026-01171</t>
  </si>
  <si>
    <t>A2026-01172</t>
  </si>
  <si>
    <t>A2026-01173</t>
  </si>
  <si>
    <t>A2026-01174</t>
  </si>
  <si>
    <t>A2026-01175</t>
  </si>
  <si>
    <t>A2026-01176</t>
  </si>
  <si>
    <t>A2026-01177</t>
  </si>
  <si>
    <t>A2026-01178</t>
  </si>
  <si>
    <t>A2026-01179</t>
  </si>
  <si>
    <t>A2026-01180</t>
  </si>
  <si>
    <t>A2026-01181</t>
  </si>
  <si>
    <t>A2026-01182</t>
  </si>
  <si>
    <t>A2026-01183</t>
  </si>
  <si>
    <t>A2026-01184</t>
  </si>
  <si>
    <t>A2026-01185</t>
  </si>
  <si>
    <t>A2026-01186</t>
  </si>
  <si>
    <t>A2026-01187</t>
  </si>
  <si>
    <t>A2026-01188</t>
  </si>
  <si>
    <t>A2026-01189</t>
  </si>
  <si>
    <t>A2026-01190</t>
  </si>
  <si>
    <t>A2026-01191</t>
  </si>
  <si>
    <t>A2026-01192</t>
  </si>
  <si>
    <t>A2026-01193</t>
  </si>
  <si>
    <t>A2026-01194</t>
  </si>
  <si>
    <t>A2026-01195</t>
  </si>
  <si>
    <t>A2026-01196</t>
  </si>
  <si>
    <t>A2026-01197</t>
  </si>
  <si>
    <t>A2026-01198</t>
  </si>
  <si>
    <t>A2026-01199</t>
  </si>
  <si>
    <t>A2026-01200</t>
  </si>
  <si>
    <t>A2026-01201</t>
  </si>
  <si>
    <t>A2026-01202</t>
  </si>
  <si>
    <t>A2026-01203</t>
  </si>
  <si>
    <t>A2026-01204</t>
  </si>
  <si>
    <t>A2026-01205</t>
  </si>
  <si>
    <t>A2026-01206</t>
  </si>
  <si>
    <t>A2026-01207</t>
  </si>
  <si>
    <t>A2026-01208</t>
  </si>
  <si>
    <t>A2026-01209</t>
  </si>
  <si>
    <t>A2026-01210</t>
  </si>
  <si>
    <t>A2026-01211</t>
  </si>
  <si>
    <t>A2026-01212</t>
  </si>
  <si>
    <t>A2026-01213</t>
  </si>
  <si>
    <t>A2026-01214</t>
  </si>
  <si>
    <t>A2026-01215</t>
  </si>
  <si>
    <t>A2026-01216</t>
  </si>
  <si>
    <t>A2026-01217</t>
  </si>
  <si>
    <t>A2026-01218</t>
  </si>
  <si>
    <t>A2026-01219</t>
  </si>
  <si>
    <t>A2026-01220</t>
  </si>
  <si>
    <t>A2026-01221</t>
  </si>
  <si>
    <t>A2026-01222</t>
  </si>
  <si>
    <t>A2026-01223</t>
  </si>
  <si>
    <t>A2026-01224</t>
  </si>
  <si>
    <t>A2026-01225</t>
  </si>
  <si>
    <t>A2026-01226</t>
  </si>
  <si>
    <t>A2026-01227</t>
  </si>
  <si>
    <t>A2026-01228</t>
  </si>
  <si>
    <t>A2026-01229</t>
  </si>
  <si>
    <t>A2026-01230</t>
  </si>
  <si>
    <t>A2026-01231</t>
  </si>
  <si>
    <t>A2026-01232</t>
  </si>
  <si>
    <t>A2026-01233</t>
  </si>
  <si>
    <t>A2026-01234</t>
  </si>
  <si>
    <t>A2026-01235</t>
  </si>
  <si>
    <t>A2026-01236</t>
  </si>
  <si>
    <t>A2026-01237</t>
  </si>
  <si>
    <t>A2026-01238</t>
  </si>
  <si>
    <t>A2026-01239</t>
  </si>
  <si>
    <t>A2026-01240</t>
  </si>
  <si>
    <t>A2026-01241</t>
  </si>
  <si>
    <t>A2026-01242</t>
  </si>
  <si>
    <t>A2026-01243</t>
  </si>
  <si>
    <t>A2026-01244</t>
  </si>
  <si>
    <t>A2026-01245</t>
  </si>
  <si>
    <t>A2026-01246</t>
  </si>
  <si>
    <t>A2026-01247</t>
  </si>
  <si>
    <t>A2026-01248</t>
  </si>
  <si>
    <t>A2026-01249</t>
  </si>
  <si>
    <t>A2026-01250</t>
  </si>
  <si>
    <t>A2026-01251</t>
  </si>
  <si>
    <t>A2026-01252</t>
  </si>
  <si>
    <t>A2026-01253</t>
  </si>
  <si>
    <t>A2026-01254</t>
  </si>
  <si>
    <t>A2026-01255</t>
  </si>
  <si>
    <t>A2026-01256</t>
  </si>
  <si>
    <t>A2026-01257</t>
  </si>
  <si>
    <t>A2026-01258</t>
  </si>
  <si>
    <t>A2026-01259</t>
  </si>
  <si>
    <t>A2026-01260</t>
  </si>
  <si>
    <t>A2026-01261</t>
  </si>
  <si>
    <t>A2026-01262</t>
  </si>
  <si>
    <t>A2026-01263</t>
  </si>
  <si>
    <t>A2026-01264</t>
  </si>
  <si>
    <t>A2026-01265</t>
  </si>
  <si>
    <t>A2026-01266</t>
  </si>
  <si>
    <t>A2026-01267</t>
  </si>
  <si>
    <t>A2026-01268</t>
  </si>
  <si>
    <t>A2026-01269</t>
  </si>
  <si>
    <t>A2026-01270</t>
  </si>
  <si>
    <t>A2026-01271</t>
  </si>
  <si>
    <t>A2026-01272</t>
  </si>
  <si>
    <t>A2026-01273</t>
  </si>
  <si>
    <t>A2026-01274</t>
  </si>
  <si>
    <t>A2026-01275</t>
  </si>
  <si>
    <t>A2026-01276</t>
  </si>
  <si>
    <t>A2026-01277</t>
  </si>
  <si>
    <t>A2026-01278</t>
  </si>
  <si>
    <t>A2026-01279</t>
  </si>
  <si>
    <t>A2026-01280</t>
  </si>
  <si>
    <t>A2026-01281</t>
  </si>
  <si>
    <t>A2026-01282</t>
  </si>
  <si>
    <t>A2026-01283</t>
  </si>
  <si>
    <t>A2026-01284</t>
  </si>
  <si>
    <t>A2026-01285</t>
  </si>
  <si>
    <t>A2026-01286</t>
  </si>
  <si>
    <t>A2026-01287</t>
  </si>
  <si>
    <t>A2026-01288</t>
  </si>
  <si>
    <t>A2026-01289</t>
  </si>
  <si>
    <t>A2026-01290</t>
  </si>
  <si>
    <t>A2026-01291</t>
  </si>
  <si>
    <t>A2026-01292</t>
  </si>
  <si>
    <t>A2026-01293</t>
  </si>
  <si>
    <t>A2026-01294</t>
  </si>
  <si>
    <t>A2026-01295</t>
  </si>
  <si>
    <t>A2026-01296</t>
  </si>
  <si>
    <t>A2026-01297</t>
  </si>
  <si>
    <t>A2026-01298</t>
  </si>
  <si>
    <t>A2026-01299</t>
  </si>
  <si>
    <t>A2026-01300</t>
  </si>
  <si>
    <t>A2026-01301</t>
  </si>
  <si>
    <t>A2026-01302</t>
  </si>
  <si>
    <t>A2026-01303</t>
  </si>
  <si>
    <t>A2026-01304</t>
  </si>
  <si>
    <t>A2026-01305</t>
  </si>
  <si>
    <t>A2026-01306</t>
  </si>
  <si>
    <t>A2026-01307</t>
  </si>
  <si>
    <t>A2026-01308</t>
  </si>
  <si>
    <t>A2026-01309</t>
  </si>
  <si>
    <t>A2026-01310</t>
  </si>
  <si>
    <t>A2026-01311</t>
  </si>
  <si>
    <t>A2026-01312</t>
  </si>
  <si>
    <t>A2026-01313</t>
  </si>
  <si>
    <t>A2026-01314</t>
  </si>
  <si>
    <t>A2026-01315</t>
  </si>
  <si>
    <t>A2026-01316</t>
  </si>
  <si>
    <t>A2026-01317</t>
  </si>
  <si>
    <t>A2026-01318</t>
  </si>
  <si>
    <t>A2026-01319</t>
  </si>
  <si>
    <t>A2026-01320</t>
  </si>
  <si>
    <t>A2026-01321</t>
  </si>
  <si>
    <t>A2026-01322</t>
  </si>
  <si>
    <t>A2026-01323</t>
  </si>
  <si>
    <t>A2026-01324</t>
  </si>
  <si>
    <t>A2026-01325</t>
  </si>
  <si>
    <t>A2026-01326</t>
  </si>
  <si>
    <t>A2026-01327</t>
  </si>
  <si>
    <t>A2026-01328</t>
  </si>
  <si>
    <t>A2026-01329</t>
  </si>
  <si>
    <t>A2026-01330</t>
  </si>
  <si>
    <t>A2026-01331</t>
  </si>
  <si>
    <t>A2026-01332</t>
  </si>
  <si>
    <t>A2026-01333</t>
  </si>
  <si>
    <t>A2026-01334</t>
  </si>
  <si>
    <t>A2026-01335</t>
  </si>
  <si>
    <t>A2026-01336</t>
  </si>
  <si>
    <t>A2026-01337</t>
  </si>
  <si>
    <t>A2026-01338</t>
  </si>
  <si>
    <t>A2026-01339</t>
  </si>
  <si>
    <t>A2026-01340</t>
  </si>
  <si>
    <t>A2026-01341</t>
  </si>
  <si>
    <t>A2026-01342</t>
  </si>
  <si>
    <t>A2026-01343</t>
  </si>
  <si>
    <t>A2026-01344</t>
  </si>
  <si>
    <t>A2026-01345</t>
  </si>
  <si>
    <t>A2026-01346</t>
  </si>
  <si>
    <t>A2026-01347</t>
  </si>
  <si>
    <t>A2026-01348</t>
  </si>
  <si>
    <t>A2026-01349</t>
  </si>
  <si>
    <t>A2026-01350</t>
  </si>
  <si>
    <t>A2026-01351</t>
  </si>
  <si>
    <t>A2026-01352</t>
  </si>
  <si>
    <t>A2026-01353</t>
  </si>
  <si>
    <t>A2026-01354</t>
  </si>
  <si>
    <t>A2026-01355</t>
  </si>
  <si>
    <t>A2026-01356</t>
  </si>
  <si>
    <t>A2026-01357</t>
  </si>
  <si>
    <t>A2026-01358</t>
  </si>
  <si>
    <t>A2026-01359</t>
  </si>
  <si>
    <t>A2026-01360</t>
  </si>
  <si>
    <t>A2026-01361</t>
  </si>
  <si>
    <t>A2026-01362</t>
  </si>
  <si>
    <t>A2026-01363</t>
  </si>
  <si>
    <t>A2026-01364</t>
  </si>
  <si>
    <t>A2026-01365</t>
  </si>
  <si>
    <t>A2026-01366</t>
  </si>
  <si>
    <t>A2026-01367</t>
  </si>
  <si>
    <t>A2026-01368</t>
  </si>
  <si>
    <t>A2026-01369</t>
  </si>
  <si>
    <t>A2026-01370</t>
  </si>
  <si>
    <t>A2026-01371</t>
  </si>
  <si>
    <t>A2026-01372</t>
  </si>
  <si>
    <t>A2026-01373</t>
  </si>
  <si>
    <t>A2026-01374</t>
  </si>
  <si>
    <t>A2026-01375</t>
  </si>
  <si>
    <t>A2026-01376</t>
  </si>
  <si>
    <t>A2026-01377</t>
  </si>
  <si>
    <t>A2026-01378</t>
  </si>
  <si>
    <t>A2026-01379</t>
  </si>
  <si>
    <t>A2026-01380</t>
  </si>
  <si>
    <t>A2026-01381</t>
  </si>
  <si>
    <t>A2026-01382</t>
  </si>
  <si>
    <t>A2026-01383</t>
  </si>
  <si>
    <t>A2026-01384</t>
  </si>
  <si>
    <t>A2026-01385</t>
  </si>
  <si>
    <t>A2026-01386</t>
  </si>
  <si>
    <t>A2026-01387</t>
  </si>
  <si>
    <t>A2026-01388</t>
  </si>
  <si>
    <t>A2026-01389</t>
  </si>
  <si>
    <t>A2026-01390</t>
  </si>
  <si>
    <t>A2026-01391</t>
  </si>
  <si>
    <t>A2026-01392</t>
  </si>
  <si>
    <t>A2026-01393</t>
  </si>
  <si>
    <t>A2026-01394</t>
  </si>
  <si>
    <t>A2026-01395</t>
  </si>
  <si>
    <t>A2026-01396</t>
  </si>
  <si>
    <t>A2026-01397</t>
  </si>
  <si>
    <t>A2026-01398</t>
  </si>
  <si>
    <t>A2026-01399</t>
  </si>
  <si>
    <t>A2026-01400</t>
  </si>
  <si>
    <t>A2026-01401</t>
  </si>
  <si>
    <t>A2026-01402</t>
  </si>
  <si>
    <t>A2026-01403</t>
  </si>
  <si>
    <t>A2026-01404</t>
  </si>
  <si>
    <t>A2026-01405</t>
  </si>
  <si>
    <t>A2026-01406</t>
  </si>
  <si>
    <t>A2026-01407</t>
  </si>
  <si>
    <t>A2026-01408</t>
  </si>
  <si>
    <t>A2026-01409</t>
  </si>
  <si>
    <t>A2026-01410</t>
  </si>
  <si>
    <t>A2026-01411</t>
  </si>
  <si>
    <t>A2026-01412</t>
  </si>
  <si>
    <t>A2026-01413</t>
  </si>
  <si>
    <t>A2026-01414</t>
  </si>
  <si>
    <t>A2026-01415</t>
  </si>
  <si>
    <t>A2026-01416</t>
  </si>
  <si>
    <t>A2026-01417</t>
  </si>
  <si>
    <t>A2026-01418</t>
  </si>
  <si>
    <t>A2026-01419</t>
  </si>
  <si>
    <t>A2026-01420</t>
  </si>
  <si>
    <t>A2026-01421</t>
  </si>
  <si>
    <t>A2026-01422</t>
  </si>
  <si>
    <t>A2026-01423</t>
  </si>
  <si>
    <t>A2026-01424</t>
  </si>
  <si>
    <t>A2026-01425</t>
  </si>
  <si>
    <t>A2026-01426</t>
  </si>
  <si>
    <t>A2026-01427</t>
  </si>
  <si>
    <t>A2026-01428</t>
  </si>
  <si>
    <t>A2026-01429</t>
  </si>
  <si>
    <t>A2026-01430</t>
  </si>
  <si>
    <t>A2026-01431</t>
  </si>
  <si>
    <t>A2026-01432</t>
  </si>
  <si>
    <t>A2026-01433</t>
  </si>
  <si>
    <t>A2026-01434</t>
  </si>
  <si>
    <t>A2026-01435</t>
  </si>
  <si>
    <t>A2026-01436</t>
  </si>
  <si>
    <t>A2026-01437</t>
  </si>
  <si>
    <t>A2026-01438</t>
  </si>
  <si>
    <t>A2026-01439</t>
  </si>
  <si>
    <t>A2026-01440</t>
  </si>
  <si>
    <t>A2026-01441</t>
  </si>
  <si>
    <t>A2026-01442</t>
  </si>
  <si>
    <t>A2026-01443</t>
  </si>
  <si>
    <t>A2026-01444</t>
  </si>
  <si>
    <t>A2026-01445</t>
  </si>
  <si>
    <t>A2026-01446</t>
  </si>
  <si>
    <t>A2026-01447</t>
  </si>
  <si>
    <t>A2026-01448</t>
  </si>
  <si>
    <t>A2026-01449</t>
  </si>
  <si>
    <t>A2026-01450</t>
  </si>
  <si>
    <t>A2026-01451</t>
  </si>
  <si>
    <t>A2026-01452</t>
  </si>
  <si>
    <t>A2026-01453</t>
  </si>
  <si>
    <t>A2026-01454</t>
  </si>
  <si>
    <t>A2026-01455</t>
  </si>
  <si>
    <t>A2026-01456</t>
  </si>
  <si>
    <t>A2026-01457</t>
  </si>
  <si>
    <t>A2026-01458</t>
  </si>
  <si>
    <t>A2026-01459</t>
  </si>
  <si>
    <t>A2026-01460</t>
  </si>
  <si>
    <t>A2026-01461</t>
  </si>
  <si>
    <t>A2026-01462</t>
  </si>
  <si>
    <t>A2026-01463</t>
  </si>
  <si>
    <t>A2026-01464</t>
  </si>
  <si>
    <t>A2026-01465</t>
  </si>
  <si>
    <t>A2026-01466</t>
  </si>
  <si>
    <t>A2026-01467</t>
  </si>
  <si>
    <t>A2026-01468</t>
  </si>
  <si>
    <t>A2026-01469</t>
  </si>
  <si>
    <t>A2026-01470</t>
  </si>
  <si>
    <t>A2026-01471</t>
  </si>
  <si>
    <t>A2026-01472</t>
  </si>
  <si>
    <t>A2026-01473</t>
  </si>
  <si>
    <t>A2026-01474</t>
  </si>
  <si>
    <t>A2026-01475</t>
  </si>
  <si>
    <t>A2026-01476</t>
  </si>
  <si>
    <t>A2026-01477</t>
  </si>
  <si>
    <t>A2026-01478</t>
  </si>
  <si>
    <t>A2026-01479</t>
  </si>
  <si>
    <t>A2026-01480</t>
  </si>
  <si>
    <t>A2026-01481</t>
  </si>
  <si>
    <t>A2026-01482</t>
  </si>
  <si>
    <t>A2026-01483</t>
  </si>
  <si>
    <t>A2026-01484</t>
  </si>
  <si>
    <t>A2026-01485</t>
  </si>
  <si>
    <t>A2026-01486</t>
  </si>
  <si>
    <t>A2026-01487</t>
  </si>
  <si>
    <t>A2026-01488</t>
  </si>
  <si>
    <t>A2026-01489</t>
  </si>
  <si>
    <t>A2026-01490</t>
  </si>
  <si>
    <t>A2026-01491</t>
  </si>
  <si>
    <t>A2026-01492</t>
  </si>
  <si>
    <t>A2026-01493</t>
  </si>
  <si>
    <t>A2026-01494</t>
  </si>
  <si>
    <t>A2026-01495</t>
  </si>
  <si>
    <t>A2026-01496</t>
  </si>
  <si>
    <t>A2026-01497</t>
  </si>
  <si>
    <t>A2026-01498</t>
  </si>
  <si>
    <t>A2026-01499</t>
  </si>
  <si>
    <t>A2026-01500</t>
  </si>
  <si>
    <t>A2026-01501</t>
  </si>
  <si>
    <t>A2026-01502</t>
  </si>
  <si>
    <t>A2026-01503</t>
  </si>
  <si>
    <t>A2026-01504</t>
  </si>
  <si>
    <t>A2026-01505</t>
  </si>
  <si>
    <t>A2026-01506</t>
  </si>
  <si>
    <t>A2026-01507</t>
  </si>
  <si>
    <t>A2026-01508</t>
  </si>
  <si>
    <t>A2026-01509</t>
  </si>
  <si>
    <t>A2026-01510</t>
  </si>
  <si>
    <t>A2026-01511</t>
  </si>
  <si>
    <t>A2026-01512</t>
  </si>
  <si>
    <t>A2026-01513</t>
  </si>
  <si>
    <t>A2026-01514</t>
  </si>
  <si>
    <t>A2026-01515</t>
  </si>
  <si>
    <t>A2026-01516</t>
  </si>
  <si>
    <t>A2026-01517</t>
  </si>
  <si>
    <t>A2026-01518</t>
  </si>
  <si>
    <t>A2026-01519</t>
  </si>
  <si>
    <t>A2026-01520</t>
  </si>
  <si>
    <t>A2026-01521</t>
  </si>
  <si>
    <t>A2026-01522</t>
  </si>
  <si>
    <t>A2026-01523</t>
  </si>
  <si>
    <t>A2026-01524</t>
  </si>
  <si>
    <t>A2026-01525</t>
  </si>
  <si>
    <t>A2026-01526</t>
  </si>
  <si>
    <t>A2026-01527</t>
  </si>
  <si>
    <t>A2026-01528</t>
  </si>
  <si>
    <t>A2026-01529</t>
  </si>
  <si>
    <t>A2026-01530</t>
  </si>
  <si>
    <t>A2026-01531</t>
  </si>
  <si>
    <t>A2026-01532</t>
  </si>
  <si>
    <t>A2026-01533</t>
  </si>
  <si>
    <t>A2026-01534</t>
  </si>
  <si>
    <t>A2026-01535</t>
  </si>
  <si>
    <t>A2026-01536</t>
  </si>
  <si>
    <t>A2026-01537</t>
  </si>
  <si>
    <t>A2026-01538</t>
  </si>
  <si>
    <t>A2026-01539</t>
  </si>
  <si>
    <t>A2026-01540</t>
  </si>
  <si>
    <t>A2026-01541</t>
  </si>
  <si>
    <t>A2026-01542</t>
  </si>
  <si>
    <t>A2026-01543</t>
  </si>
  <si>
    <t>A2026-01544</t>
  </si>
  <si>
    <t>A2026-01545</t>
  </si>
  <si>
    <t>A2026-01546</t>
  </si>
  <si>
    <t>A2026-01547</t>
  </si>
  <si>
    <t>A2026-01548</t>
  </si>
  <si>
    <t>A2026-01549</t>
  </si>
  <si>
    <t>A2026-01550</t>
  </si>
  <si>
    <t>A2026-01551</t>
  </si>
  <si>
    <t>A2026-01552</t>
  </si>
  <si>
    <t>A2026-01553</t>
  </si>
  <si>
    <t>A2026-01554</t>
  </si>
  <si>
    <t>A2026-01555</t>
  </si>
  <si>
    <t>A2026-01556</t>
  </si>
  <si>
    <t>A2026-01557</t>
  </si>
  <si>
    <t>A2026-01558</t>
  </si>
  <si>
    <t>A2026-01559</t>
  </si>
  <si>
    <t>A2026-01560</t>
  </si>
  <si>
    <t>A2026-01561</t>
  </si>
  <si>
    <t>A2026-01562</t>
  </si>
  <si>
    <t>A2026-01563</t>
  </si>
  <si>
    <t>A2026-01564</t>
  </si>
  <si>
    <t>A2026-01565</t>
  </si>
  <si>
    <t>A2026-01566</t>
  </si>
  <si>
    <t>A2026-01567</t>
  </si>
  <si>
    <t>A2026-01568</t>
  </si>
  <si>
    <t>A2026-01569</t>
  </si>
  <si>
    <t>A2026-01570</t>
  </si>
  <si>
    <t>A2026-01571</t>
  </si>
  <si>
    <t>A2026-01572</t>
  </si>
  <si>
    <t>A2026-01573</t>
  </si>
  <si>
    <t>A2026-01574</t>
  </si>
  <si>
    <t>A2026-01575</t>
  </si>
  <si>
    <t>A2026-01576</t>
  </si>
  <si>
    <t>A2026-01577</t>
  </si>
  <si>
    <t>A2026-01578</t>
  </si>
  <si>
    <t>A2026-01579</t>
  </si>
  <si>
    <t>A2026-01580</t>
  </si>
  <si>
    <t>A2026-01581</t>
  </si>
  <si>
    <t>A2026-01582</t>
  </si>
  <si>
    <t>A2026-01583</t>
  </si>
  <si>
    <t>A2026-01584</t>
  </si>
  <si>
    <t>A2026-01585</t>
  </si>
  <si>
    <t>A2026-01586</t>
  </si>
  <si>
    <t>A2026-01587</t>
  </si>
  <si>
    <t>A2026-01588</t>
  </si>
  <si>
    <t>A2026-01589</t>
  </si>
  <si>
    <t>A2026-01590</t>
  </si>
  <si>
    <t>A2026-01591</t>
  </si>
  <si>
    <t>A2026-01592</t>
  </si>
  <si>
    <t>A2026-01593</t>
  </si>
  <si>
    <t>A2026-01594</t>
  </si>
  <si>
    <t>A2026-01595</t>
  </si>
  <si>
    <t>A2026-01596</t>
  </si>
  <si>
    <t>A2026-01597</t>
  </si>
  <si>
    <t>A2026-01598</t>
  </si>
  <si>
    <t>A2026-01599</t>
  </si>
  <si>
    <t>A2026-01600</t>
  </si>
  <si>
    <t>A2026-01601</t>
  </si>
  <si>
    <t>A2026-01602</t>
  </si>
  <si>
    <t>A2026-01603</t>
  </si>
  <si>
    <t>A2026-01604</t>
  </si>
  <si>
    <t>A2026-01605</t>
  </si>
  <si>
    <t>A2026-01606</t>
  </si>
  <si>
    <t>A2026-01607</t>
  </si>
  <si>
    <t>A2026-01608</t>
  </si>
  <si>
    <t>A2026-01609</t>
  </si>
  <si>
    <t>A2026-01610</t>
  </si>
  <si>
    <t>A2026-01611</t>
  </si>
  <si>
    <t>A2026-01612</t>
  </si>
  <si>
    <t>A2026-01613</t>
  </si>
  <si>
    <t>A2026-01614</t>
  </si>
  <si>
    <t>A2026-01615</t>
  </si>
  <si>
    <t>A2026-01616</t>
  </si>
  <si>
    <t>A2026-01617</t>
  </si>
  <si>
    <t>A2026-01618</t>
  </si>
  <si>
    <t>A2026-01619</t>
  </si>
  <si>
    <t>A2026-01620</t>
  </si>
  <si>
    <t>A2026-01621</t>
  </si>
  <si>
    <t>A2026-01622</t>
  </si>
  <si>
    <t>A2026-01623</t>
  </si>
  <si>
    <t>A2026-01624</t>
  </si>
  <si>
    <t>A2026-01625</t>
  </si>
  <si>
    <t>A2026-01626</t>
  </si>
  <si>
    <t>A2026-01627</t>
  </si>
  <si>
    <t>A2026-01628</t>
  </si>
  <si>
    <t>A2026-01629</t>
  </si>
  <si>
    <t>A2026-01630</t>
  </si>
  <si>
    <t>A2026-01631</t>
  </si>
  <si>
    <t>A2026-01632</t>
  </si>
  <si>
    <t>A2026-01633</t>
  </si>
  <si>
    <t>A2026-01634</t>
  </si>
  <si>
    <t>A2026-01635</t>
  </si>
  <si>
    <t>A2026-01636</t>
  </si>
  <si>
    <t>A2026-01637</t>
  </si>
  <si>
    <t>A2026-01638</t>
  </si>
  <si>
    <t>A2026-01639</t>
  </si>
  <si>
    <t>A2026-01640</t>
  </si>
  <si>
    <t>A2026-01641</t>
  </si>
  <si>
    <t>A2026-01642</t>
  </si>
  <si>
    <t>A2026-01643</t>
  </si>
  <si>
    <t>A2026-01644</t>
  </si>
  <si>
    <t>A2026-01645</t>
  </si>
  <si>
    <t>A2026-01646</t>
  </si>
  <si>
    <t>A2026-01647</t>
  </si>
  <si>
    <t>A2026-01648</t>
  </si>
  <si>
    <t>A2026-01649</t>
  </si>
  <si>
    <t>A2026-01650</t>
  </si>
  <si>
    <t>A2026-01651</t>
  </si>
  <si>
    <t>A2026-01652</t>
  </si>
  <si>
    <t>A2026-01653</t>
  </si>
  <si>
    <t>A2026-01654</t>
  </si>
  <si>
    <t>A2026-01655</t>
  </si>
  <si>
    <t>A2026-01656</t>
  </si>
  <si>
    <t>A2026-01657</t>
  </si>
  <si>
    <t>A2026-01658</t>
  </si>
  <si>
    <t>A2026-01659</t>
  </si>
  <si>
    <t>A2026-01660</t>
  </si>
  <si>
    <t>A2026-01661</t>
  </si>
  <si>
    <t>A2026-01662</t>
  </si>
  <si>
    <t>A2026-01663</t>
  </si>
  <si>
    <t>A2026-01664</t>
  </si>
  <si>
    <t>A2026-01665</t>
  </si>
  <si>
    <t>A2026-01666</t>
  </si>
  <si>
    <t>A2026-01667</t>
  </si>
  <si>
    <t>A2026-01668</t>
  </si>
  <si>
    <t>A2026-01669</t>
  </si>
  <si>
    <t>A2026-01670</t>
  </si>
  <si>
    <t>A2026-01671</t>
  </si>
  <si>
    <t>A2026-01672</t>
  </si>
  <si>
    <t>A2026-01673</t>
  </si>
  <si>
    <t>A2026-01674</t>
  </si>
  <si>
    <t>A2026-01675</t>
  </si>
  <si>
    <t>A2026-01676</t>
  </si>
  <si>
    <t>A2026-01677</t>
  </si>
  <si>
    <t>A2026-01678</t>
  </si>
  <si>
    <t>A2026-01679</t>
  </si>
  <si>
    <t>A2026-01680</t>
  </si>
  <si>
    <t>A2026-01681</t>
  </si>
  <si>
    <t>A2026-01682</t>
  </si>
  <si>
    <t>A2026-01683</t>
  </si>
  <si>
    <t>A2026-01684</t>
  </si>
  <si>
    <t>A2026-01685</t>
  </si>
  <si>
    <t>A2026-01686</t>
  </si>
  <si>
    <t>A2026-01687</t>
  </si>
  <si>
    <t>A2026-01688</t>
  </si>
  <si>
    <t>A2026-01689</t>
  </si>
  <si>
    <t>A2026-01690</t>
  </si>
  <si>
    <t>A2026-01691</t>
  </si>
  <si>
    <t>A2026-01692</t>
  </si>
  <si>
    <t>A2026-01693</t>
  </si>
  <si>
    <t>A2026-01694</t>
  </si>
  <si>
    <t>A2026-01695</t>
  </si>
  <si>
    <t>A2026-01696</t>
  </si>
  <si>
    <t>A2026-01697</t>
  </si>
  <si>
    <t>A2026-01698</t>
  </si>
  <si>
    <t>A2026-01699</t>
  </si>
  <si>
    <t>A2026-01700</t>
  </si>
  <si>
    <t>A2026-01701</t>
  </si>
  <si>
    <t>A2026-01702</t>
  </si>
  <si>
    <t>A2026-01703</t>
  </si>
  <si>
    <t>A2026-01704</t>
  </si>
  <si>
    <t>A2026-01705</t>
  </si>
  <si>
    <t>A2026-01706</t>
  </si>
  <si>
    <t>A2026-01707</t>
  </si>
  <si>
    <t>A2026-01708</t>
  </si>
  <si>
    <t>A2026-01709</t>
  </si>
  <si>
    <t>A2026-01710</t>
  </si>
  <si>
    <t>A2026-01711</t>
  </si>
  <si>
    <t>A2026-01713</t>
  </si>
  <si>
    <t>A2026-01714</t>
  </si>
  <si>
    <t>A2026-01715</t>
  </si>
  <si>
    <t>A2026-01716</t>
  </si>
  <si>
    <t>A2026-01717</t>
  </si>
  <si>
    <t>A2026-01718</t>
  </si>
  <si>
    <t>A2026-01719</t>
  </si>
  <si>
    <t>A2026-01720</t>
  </si>
  <si>
    <t>A2026-01721</t>
  </si>
  <si>
    <t>A2026-01722</t>
  </si>
  <si>
    <t>A2026-01723</t>
  </si>
  <si>
    <t>A2026-01724</t>
  </si>
  <si>
    <t>A2026-01725</t>
  </si>
  <si>
    <t>A2026-01726</t>
  </si>
  <si>
    <t>A2026-01727</t>
  </si>
  <si>
    <t>A2026-01728</t>
  </si>
  <si>
    <t>A2026-01729</t>
  </si>
  <si>
    <t>A2026-01730</t>
  </si>
  <si>
    <t>A2026-01731</t>
  </si>
  <si>
    <t>A2026-01732</t>
  </si>
  <si>
    <t>A2026-01733</t>
  </si>
  <si>
    <t>A2026-01734</t>
  </si>
  <si>
    <t>A2026-01735</t>
  </si>
  <si>
    <t>A2026-01736</t>
  </si>
  <si>
    <t>A2026-01737</t>
  </si>
  <si>
    <t>A2026-01738</t>
  </si>
  <si>
    <t>A2026-01739</t>
  </si>
  <si>
    <t>A2026-01740</t>
  </si>
  <si>
    <t>A2026-01741</t>
  </si>
  <si>
    <t>A2026-01742</t>
  </si>
  <si>
    <t>A2026-01743</t>
  </si>
  <si>
    <t>A2026-01744</t>
  </si>
  <si>
    <t>A2026-01745</t>
  </si>
  <si>
    <t>A2026-01746</t>
  </si>
  <si>
    <t>A2026-01747</t>
  </si>
  <si>
    <t>A2026-01748</t>
  </si>
  <si>
    <t>A2026-01749</t>
  </si>
  <si>
    <t>A2026-01750</t>
  </si>
  <si>
    <t>A2026-01751</t>
  </si>
  <si>
    <t>A2026-01752</t>
  </si>
  <si>
    <t>A2026-01753</t>
  </si>
  <si>
    <t>A2026-01754</t>
  </si>
  <si>
    <t>A2026-01755</t>
  </si>
  <si>
    <t>A2026-01756</t>
  </si>
  <si>
    <t>A2026-01757</t>
  </si>
  <si>
    <t>A2026-01758</t>
  </si>
  <si>
    <t>A2026-01759</t>
  </si>
  <si>
    <t>A2026-01760</t>
  </si>
  <si>
    <t>A2026-01761</t>
  </si>
  <si>
    <t>A2026-01762</t>
  </si>
  <si>
    <t>A2026-01763</t>
  </si>
  <si>
    <t>A2026-01764</t>
  </si>
  <si>
    <t>A2026-01765</t>
  </si>
  <si>
    <t>A2026-01766</t>
  </si>
  <si>
    <t>A2026-01767</t>
  </si>
  <si>
    <t>A2026-01768</t>
  </si>
  <si>
    <t>A2026-01769</t>
  </si>
  <si>
    <t>A2026-01770</t>
  </si>
  <si>
    <t>A2026-01771</t>
  </si>
  <si>
    <t>A2026-01772</t>
  </si>
  <si>
    <t>A2026-01773</t>
  </si>
  <si>
    <t>A2026-01774</t>
  </si>
  <si>
    <t>A2026-01775</t>
  </si>
  <si>
    <t>A2026-01776</t>
  </si>
  <si>
    <t>A2026-01777</t>
  </si>
  <si>
    <t>A2026-01778</t>
  </si>
  <si>
    <t>A2026-01779</t>
  </si>
  <si>
    <t>A2026-01780</t>
  </si>
  <si>
    <t>A2026-01781</t>
  </si>
  <si>
    <t>A2026-01782</t>
  </si>
  <si>
    <t>A2026-01783</t>
  </si>
  <si>
    <t>A2026-01784</t>
  </si>
  <si>
    <t>A2026-01785</t>
  </si>
  <si>
    <t>A2026-01786</t>
  </si>
  <si>
    <t>A2026-01787</t>
  </si>
  <si>
    <t>A2026-01788</t>
  </si>
  <si>
    <t>A2026-01789</t>
  </si>
  <si>
    <t>A2026-01790</t>
  </si>
  <si>
    <t>A2026-01791</t>
  </si>
  <si>
    <t>A2026-01792</t>
  </si>
  <si>
    <t>A2026-01793</t>
  </si>
  <si>
    <t>A2026-01794</t>
  </si>
  <si>
    <t>A2026-01795</t>
  </si>
  <si>
    <t>A2026-01796</t>
  </si>
  <si>
    <t>A2026-01797</t>
  </si>
  <si>
    <t>A2026-01798</t>
  </si>
  <si>
    <t>A2026-01799</t>
  </si>
  <si>
    <t>A2026-01800</t>
  </si>
  <si>
    <t>A2026-01801</t>
  </si>
  <si>
    <t>A2026-01802</t>
  </si>
  <si>
    <t>A2026-01803</t>
  </si>
  <si>
    <t>A2026-01804</t>
  </si>
  <si>
    <t>A2026-01805</t>
  </si>
  <si>
    <t>A2026-01806</t>
  </si>
  <si>
    <t>A2026-01807</t>
  </si>
  <si>
    <t>A2026-01808</t>
  </si>
  <si>
    <t>A2026-01809</t>
  </si>
  <si>
    <t>A2026-01810</t>
  </si>
  <si>
    <t>A2026-01811</t>
  </si>
  <si>
    <t>A2026-01812</t>
  </si>
  <si>
    <t>A2026-01813</t>
  </si>
  <si>
    <t>A2026-01814</t>
  </si>
  <si>
    <t>A2026-01815</t>
  </si>
  <si>
    <t>A2026-01816</t>
  </si>
  <si>
    <t>A2026-01817</t>
  </si>
  <si>
    <t>A2026-01818</t>
  </si>
  <si>
    <t>A2026-01819</t>
  </si>
  <si>
    <t>A2026-01820</t>
  </si>
  <si>
    <t>A2026-01821</t>
  </si>
  <si>
    <t>A2026-01822</t>
  </si>
  <si>
    <t>A2026-01823</t>
  </si>
  <si>
    <t>A2026-01824</t>
  </si>
  <si>
    <t>A2026-01825</t>
  </si>
  <si>
    <t>A2026-01826</t>
  </si>
  <si>
    <t>A2026-01827</t>
  </si>
  <si>
    <t>A2026-01828</t>
  </si>
  <si>
    <t>A2026-01829</t>
  </si>
  <si>
    <t>A2026-01830</t>
  </si>
  <si>
    <t>A2026-01831</t>
  </si>
  <si>
    <t>A2026-01832</t>
  </si>
  <si>
    <t>A2026-01833</t>
  </si>
  <si>
    <t>A2026-01834</t>
  </si>
  <si>
    <t>A2026-01835</t>
  </si>
  <si>
    <t>A2026-01836</t>
  </si>
  <si>
    <t>A2026-01837</t>
  </si>
  <si>
    <t>A2026-01838</t>
  </si>
  <si>
    <t>A2026-01839</t>
  </si>
  <si>
    <t>A2026-01840</t>
  </si>
  <si>
    <t>A2026-01841</t>
  </si>
  <si>
    <t>A2026-01842</t>
  </si>
  <si>
    <t>A2026-01843</t>
  </si>
  <si>
    <t>A2026-01844</t>
  </si>
  <si>
    <t>A2026-01845</t>
  </si>
  <si>
    <t>A2026-01846</t>
  </si>
  <si>
    <t>A2026-01847</t>
  </si>
  <si>
    <t>A2026-01848</t>
  </si>
  <si>
    <t>A2026-01849</t>
  </si>
  <si>
    <t>A2026-01850</t>
  </si>
  <si>
    <t>A2026-01851</t>
  </si>
  <si>
    <t>A2026-01852</t>
  </si>
  <si>
    <t>A2026-01853</t>
  </si>
  <si>
    <t>A2026-01854</t>
  </si>
  <si>
    <t>A2026-01855</t>
  </si>
  <si>
    <t>A2026-01856</t>
  </si>
  <si>
    <t>A2026-01857</t>
  </si>
  <si>
    <t>A2026-01858</t>
  </si>
  <si>
    <t>A2026-01859</t>
  </si>
  <si>
    <t>A2026-01860</t>
  </si>
  <si>
    <t>A2026-01861</t>
  </si>
  <si>
    <t>A2026-01862</t>
  </si>
  <si>
    <t>A2026-01863</t>
  </si>
  <si>
    <t>A2026-01864</t>
  </si>
  <si>
    <t>A2026-01865</t>
  </si>
  <si>
    <t>A2026-01866</t>
  </si>
  <si>
    <t>A2026-01867</t>
  </si>
  <si>
    <t>A2026-01868</t>
  </si>
  <si>
    <t>A2026-01869</t>
  </si>
  <si>
    <t>A2026-01870</t>
  </si>
  <si>
    <t>A2026-01871</t>
  </si>
  <si>
    <t>A2026-01872</t>
  </si>
  <si>
    <t>A2026-01873</t>
  </si>
  <si>
    <t>A2026-01874</t>
  </si>
  <si>
    <t>A2026-01875</t>
  </si>
  <si>
    <t>A2026-01876</t>
  </si>
  <si>
    <t>A2026-01877</t>
  </si>
  <si>
    <t>A2026-01878</t>
  </si>
  <si>
    <t>A2026-01879</t>
  </si>
  <si>
    <t>A2026-01880</t>
  </si>
  <si>
    <t>A2026-01881</t>
  </si>
  <si>
    <t>A2026-01882</t>
  </si>
  <si>
    <t>A2026-01883</t>
  </si>
  <si>
    <t>A2026-01884</t>
  </si>
  <si>
    <t>A2026-01885</t>
  </si>
  <si>
    <t>A2026-01886</t>
  </si>
  <si>
    <t>A2026-01887</t>
  </si>
  <si>
    <t>A2026-01888</t>
  </si>
  <si>
    <t>A2026-01889</t>
  </si>
  <si>
    <t>A2026-01890</t>
  </si>
  <si>
    <t>A2026-01891</t>
  </si>
  <si>
    <t>A2026-01892</t>
  </si>
  <si>
    <t>A2026-01893</t>
  </si>
  <si>
    <t>A2026-01894</t>
  </si>
  <si>
    <t>A2026-01895</t>
  </si>
  <si>
    <t>A2026-01896</t>
  </si>
  <si>
    <t>A2026-01897</t>
  </si>
  <si>
    <t>A2026-01898</t>
  </si>
  <si>
    <t>A2026-01899</t>
  </si>
  <si>
    <t>A2026-01900</t>
  </si>
  <si>
    <t>A2026-01901</t>
  </si>
  <si>
    <t>A2026-01902</t>
  </si>
  <si>
    <t>A2026-01903</t>
  </si>
  <si>
    <t>A2026-01904</t>
  </si>
  <si>
    <t>A2026-01905</t>
  </si>
  <si>
    <t>A2026-01906</t>
  </si>
  <si>
    <t>A2026-01907</t>
  </si>
  <si>
    <t>A2026-01908</t>
  </si>
  <si>
    <t>A2026-01909</t>
  </si>
  <si>
    <t>A2026-01910</t>
  </si>
  <si>
    <t>A2026-01911</t>
  </si>
  <si>
    <t>A2026-01912</t>
  </si>
  <si>
    <t>A2026-01913</t>
  </si>
  <si>
    <t>A2026-01914</t>
  </si>
  <si>
    <t>A2026-01915</t>
  </si>
  <si>
    <t>A2026-01916</t>
  </si>
  <si>
    <t>A2026-01917</t>
  </si>
  <si>
    <t>A2026-01918</t>
  </si>
  <si>
    <t>A2026-01919</t>
  </si>
  <si>
    <t>A2026-01920</t>
  </si>
  <si>
    <t>A2026-01921</t>
  </si>
  <si>
    <t>A2026-01922</t>
  </si>
  <si>
    <t>A2026-01923</t>
  </si>
  <si>
    <t>A2026-01924</t>
  </si>
  <si>
    <t>A2026-01925</t>
  </si>
  <si>
    <t>A2026-01926</t>
  </si>
  <si>
    <t>A2026-01927</t>
  </si>
  <si>
    <t>A2026-01928</t>
  </si>
  <si>
    <t>A2026-01929</t>
  </si>
  <si>
    <t>A2026-01930</t>
  </si>
  <si>
    <t>A2026-01931</t>
  </si>
  <si>
    <t>A2026-01932</t>
  </si>
  <si>
    <t>A2026-01933</t>
  </si>
  <si>
    <t>A2026-01934</t>
  </si>
  <si>
    <t>A2026-01935</t>
  </si>
  <si>
    <t>A2026-01936</t>
  </si>
  <si>
    <t>A2026-01937</t>
  </si>
  <si>
    <t>A2026-01938</t>
  </si>
  <si>
    <t>A2026-01939</t>
  </si>
  <si>
    <t>A2026-01940</t>
  </si>
  <si>
    <t>A2026-01941</t>
  </si>
  <si>
    <t>A2026-01942</t>
  </si>
  <si>
    <t>A2026-01943</t>
  </si>
  <si>
    <t>A2026-01944</t>
  </si>
  <si>
    <t>A2026-01945</t>
  </si>
  <si>
    <t>A2026-01946</t>
  </si>
  <si>
    <t>A2026-01947</t>
  </si>
  <si>
    <t>A2026-01948</t>
  </si>
  <si>
    <t>A2026-01949</t>
  </si>
  <si>
    <t>A2026-01950</t>
  </si>
  <si>
    <t>A2026-01951</t>
  </si>
  <si>
    <t>A2026-01952</t>
  </si>
  <si>
    <t>A2026-01953</t>
  </si>
  <si>
    <t>A2026-01954</t>
  </si>
  <si>
    <t>A2026-01955</t>
  </si>
  <si>
    <t>A2026-01956</t>
  </si>
  <si>
    <t>A2026-01957</t>
  </si>
  <si>
    <t>A2026-01958</t>
  </si>
  <si>
    <t>A2026-01959</t>
  </si>
  <si>
    <t>A2026-01960</t>
  </si>
  <si>
    <t>A2026-01961</t>
  </si>
  <si>
    <t>A2026-01962</t>
  </si>
  <si>
    <t>A2026-01963</t>
  </si>
  <si>
    <t>A2026-01964</t>
  </si>
  <si>
    <t>A2026-01965</t>
  </si>
  <si>
    <t>A2026-01966</t>
  </si>
  <si>
    <t>A2026-01967</t>
  </si>
  <si>
    <t>A2026-01968</t>
  </si>
  <si>
    <t>A2026-01969</t>
  </si>
  <si>
    <t>A2026-01970</t>
  </si>
  <si>
    <t>A2026-01971</t>
  </si>
  <si>
    <t>A2026-01972</t>
  </si>
  <si>
    <t>A2026-01973</t>
  </si>
  <si>
    <t>A2026-01974</t>
  </si>
  <si>
    <t>A2026-01975</t>
  </si>
  <si>
    <t>A2026-01976</t>
  </si>
  <si>
    <t>A2026-01977</t>
  </si>
  <si>
    <t>A2026-01978</t>
  </si>
  <si>
    <t>A2026-01979</t>
  </si>
  <si>
    <t>A2026-01980</t>
  </si>
  <si>
    <t>A2026-01981</t>
  </si>
  <si>
    <t>A2026-01982</t>
  </si>
  <si>
    <t>A2026-01983</t>
  </si>
  <si>
    <t>A2026-01984</t>
  </si>
  <si>
    <t>A2026-01985</t>
  </si>
  <si>
    <t>A2026-01986</t>
  </si>
  <si>
    <t>A2026-01987</t>
  </si>
  <si>
    <t>A2026-01988</t>
  </si>
  <si>
    <t>A2026-01989</t>
  </si>
  <si>
    <t>A2026-01990</t>
  </si>
  <si>
    <t>A2026-01991</t>
  </si>
  <si>
    <t>A2026-01992</t>
  </si>
  <si>
    <t>A2026-01993</t>
  </si>
  <si>
    <t>A2026-01994</t>
  </si>
  <si>
    <t>A2026-01995</t>
  </si>
  <si>
    <t>A2026-01996</t>
  </si>
  <si>
    <t>A2026-01997</t>
  </si>
  <si>
    <t>A2026-01998</t>
  </si>
  <si>
    <t>A2026-01999</t>
  </si>
  <si>
    <t>A2026-02000</t>
  </si>
  <si>
    <t>A2026-02001</t>
  </si>
  <si>
    <t>A2026-02002</t>
  </si>
  <si>
    <t>A2026-02003</t>
  </si>
  <si>
    <t>A2026-02004</t>
  </si>
  <si>
    <t>A2026-02005</t>
  </si>
  <si>
    <t>A2026-02006</t>
  </si>
  <si>
    <t>A2026-02007</t>
  </si>
  <si>
    <t>A2026-02008</t>
  </si>
  <si>
    <t>A2026-02009</t>
  </si>
  <si>
    <t>A2026-02010</t>
  </si>
  <si>
    <t>A2026-02011</t>
  </si>
  <si>
    <t>A2026-02012</t>
  </si>
  <si>
    <t>A2026-02013</t>
  </si>
  <si>
    <t>A2026-02014</t>
  </si>
  <si>
    <t>A2026-02015</t>
  </si>
  <si>
    <t>A2026-02016</t>
  </si>
  <si>
    <t>A2026-02017</t>
  </si>
  <si>
    <t>A2026-02018</t>
  </si>
  <si>
    <t>A2026-02019</t>
  </si>
  <si>
    <t>A2026-02020</t>
  </si>
  <si>
    <t>A2026-02021</t>
  </si>
  <si>
    <t>A2026-02022</t>
  </si>
  <si>
    <t>A2026-02023</t>
  </si>
  <si>
    <t>A2026-02024</t>
  </si>
  <si>
    <t>A2026-02025</t>
  </si>
  <si>
    <t>A2026-02026</t>
  </si>
  <si>
    <t>A2026-02027</t>
  </si>
  <si>
    <t>A2026-02028</t>
  </si>
  <si>
    <t>A2026-02029</t>
  </si>
  <si>
    <t>A2026-02030</t>
  </si>
  <si>
    <t>A2026-02031</t>
  </si>
  <si>
    <t>A2026-02032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</si>
</sst>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/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5" fillId="0" borderId="0" xfId="0" applyFont="1" applyProtection="1"/>
    <xf numFmtId="0" fontId="4" fillId="7" borderId="1" xfId="0" applyFont="1" applyFill="1" applyBorder="1" applyProtection="1"/>
    <xf numFmtId="0" fontId="4" fillId="8" borderId="1" xfId="0" applyFont="1" applyFill="1" applyBorder="1" applyProtection="1"/>
    <xf numFmtId="0" fontId="10" fillId="6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1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0" fontId="10" fillId="1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2" fontId="4" fillId="9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0" fontId="4" fillId="0" borderId="1" xfId="0" applyFont="1" applyBorder="1" applyProtection="1"/>
    <xf numFmtId="0" fontId="5" fillId="0" borderId="1" xfId="0" applyFont="1" applyBorder="1" applyProtection="1"/>
    <xf numFmtId="0" fontId="0" fillId="0" borderId="1" xfId="0" applyBorder="1" applyProtection="1"/>
    <xf numFmtId="2" fontId="0" fillId="0" borderId="1" xfId="0" applyNumberFormat="1" applyBorder="1" applyProtection="1"/>
  </cellXfs>
  <cellStyles count="1">
    <cellStyle name="Normal" xfId="0" builtinId="0"/>
  </cellStyles>
  <dxfs count="56">
    <dxf>
      <numFmt numFmtId="164" formatCode="yyyy\-mm\-dd"/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943D3668-EE8A-408D-EC54-81B0F6F5AA28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3278FD04-C9C6-BF27-EB12-B42A8BC23C0D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E7E1F51A-E095-C9EC-57C5-B0820319B23B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1EE01BC1-D098-9E35-F5F6-AD185355E63D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D98ABBAD-588F-FEE9-86F9-538FA44C27A4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A25292F3-8F1F-9CD9-90C8-9BB2450BBF60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C2699232-6C5B-F750-E247-4D6ADAA6A056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1A2F4BBC-2FAD-CCD3-6BE6-43C536E9E242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89E5FD20-59A2-3369-1E86-C4D9ADFA38AA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7DF9D1CD-F7FB-34CC-3451-F0B028E97119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87FBB79C-BC90-5F1B-5E5C-DEE2E463D313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C6ED2F61-713D-C92F-4C45-A227C94A9867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756C6434-BF5E-AB4C-167B-F4700317EA58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313BB9AC-3C95-33A2-8839-8E4181698C70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8">
  <autoFilter ref="A38:F48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1:C54">
  <autoFilter ref="A51:C54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7:C69">
  <autoFilter ref="A57:C69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861" headerRowDxfId="53" dataDxfId="51" totalsRowDxfId="52">
  <autoFilter ref="A1:L861" xr:uid="{00000000-0009-0000-0100-000004000000}"/>
  <tableColumns count="12">
    <tableColumn id="1" xr3:uid="{00000000-0010-0000-0300-000001000000}" name="EntryDate" dataDxfId="0"/>
    <tableColumn id="2" xr3:uid="{00000000-0010-0000-0300-000002000000}" name="Month" dataDxfId="1"/>
    <tableColumn id="3" xr3:uid="{00000000-0010-0000-0300-000003000000}" name="WardCode" dataDxfId="50"/>
    <tableColumn id="4" xr3:uid="{00000000-0010-0000-0300-000004000000}" name="Admissions" dataDxfId="49"/>
    <tableColumn id="5" xr3:uid="{00000000-0010-0000-0300-000005000000}" name="Discharges" dataDxfId="48"/>
    <tableColumn id="6" xr3:uid="{00000000-0010-0000-0300-000006000000}" name="Deaths" dataDxfId="47"/>
    <tableColumn id="7" xr3:uid="{00000000-0010-0000-0300-000007000000}" name="DeathsUnder24Hrs" dataDxfId="46"/>
    <tableColumn id="8" xr3:uid="{00000000-0010-0000-0300-000008000000}" name="TransfersIn" dataDxfId="45"/>
    <tableColumn id="9" xr3:uid="{00000000-0010-0000-0300-000009000000}" name="TransfersOut" dataDxfId="43"/>
    <tableColumn id="10" xr3:uid="{00000000-0010-0000-0300-00000A000000}" name="PrevRemaining" dataDxfId="44"/>
    <tableColumn id="11" xr3:uid="{00000000-0010-0000-0300-00000B000000}" name="Remaining" dataDxfId="55"/>
    <tableColumn id="12" xr3:uid="{00000000-0010-0000-0300-00000C000000}" name="EntryTimestamp" dataDxfId="5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031" headerRowDxfId="37" dataDxfId="35" totalsRowDxfId="36">
  <autoFilter ref="A1:K2031" xr:uid="{00000000-0009-0000-0100-000005000000}"/>
  <tableColumns count="11">
    <tableColumn id="1" xr3:uid="{00000000-0010-0000-0400-000001000000}" name="AdmissionID" dataDxfId="34"/>
    <tableColumn id="2" xr3:uid="{00000000-0010-0000-0400-000002000000}" name="AdmissionDate" dataDxfId="33"/>
    <tableColumn id="3" xr3:uid="{00000000-0010-0000-0400-000003000000}" name="Month" dataDxfId="31"/>
    <tableColumn id="4" xr3:uid="{00000000-0010-0000-0400-000004000000}" name="WardCode" dataDxfId="32"/>
    <tableColumn id="5" xr3:uid="{00000000-0010-0000-0400-000005000000}" name="PatientID" dataDxfId="42"/>
    <tableColumn id="6" xr3:uid="{00000000-0010-0000-0400-000006000000}" name="PatientName" dataDxfId="41"/>
    <tableColumn id="7" xr3:uid="{00000000-0010-0000-0400-000007000000}" name="Age" dataDxfId="40"/>
    <tableColumn id="8" xr3:uid="{00000000-0010-0000-0400-000008000000}" name="AgeUnit" dataDxfId="39"/>
    <tableColumn id="9" xr3:uid="{00000000-0010-0000-0400-000009000000}" name="Sex" dataDxfId="38"/>
    <tableColumn id="10" xr3:uid="{00000000-0010-0000-0400-00000A000000}" name="NHIS" dataDxfId="30"/>
    <tableColumn id="11" xr3:uid="{00000000-0010-0000-0400-00000B000000}" name="EntryTimestamp" dataDxfId="2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83" headerRowDxfId="21" dataDxfId="19" totalsRowDxfId="20">
  <autoFilter ref="A1:M83" xr:uid="{00000000-0009-0000-0100-000006000000}"/>
  <tableColumns count="13">
    <tableColumn id="1" xr3:uid="{00000000-0010-0000-0500-000001000000}" name="DeathID" dataDxfId="18"/>
    <tableColumn id="2" xr3:uid="{00000000-0010-0000-0500-000002000000}" name="DateOfDeath" dataDxfId="17"/>
    <tableColumn id="3" xr3:uid="{00000000-0010-0000-0500-000003000000}" name="Month" dataDxfId="15"/>
    <tableColumn id="4" xr3:uid="{00000000-0010-0000-0500-000004000000}" name="WardCode" dataDxfId="16"/>
    <tableColumn id="5" xr3:uid="{00000000-0010-0000-0500-000005000000}" name="FolderNumber" dataDxfId="28"/>
    <tableColumn id="6" xr3:uid="{00000000-0010-0000-0500-000006000000}" name="NameOfDeceased" dataDxfId="27"/>
    <tableColumn id="7" xr3:uid="{00000000-0010-0000-0500-000007000000}" name="Age" dataDxfId="26"/>
    <tableColumn id="8" xr3:uid="{00000000-0010-0000-0500-000008000000}" name="AgeUnit" dataDxfId="25"/>
    <tableColumn id="9" xr3:uid="{00000000-0010-0000-0500-000009000000}" name="Sex" dataDxfId="24"/>
    <tableColumn id="10" xr3:uid="{00000000-0010-0000-0500-00000A000000}" name="NHIS" dataDxfId="23"/>
    <tableColumn id="11" xr3:uid="{00000000-0010-0000-0500-00000B000000}" name="CauseOfDeath" dataDxfId="22"/>
    <tableColumn id="12" xr3:uid="{00000000-0010-0000-0500-00000C000000}" name="DeathWithin24Hrs" dataDxfId="14"/>
    <tableColumn id="13" xr3:uid="{00000000-0010-0000-0500-00000D000000}" name="EntryTimestamp" dataDxfId="1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 headerRowDxfId="10" dataDxfId="8" totalsRowDxfId="9">
  <autoFilter ref="A1:H2" xr:uid="{00000000-0009-0000-0100-000007000000}"/>
  <tableColumns count="8">
    <tableColumn id="1" xr3:uid="{00000000-0010-0000-0600-000001000000}" name="TransferID" dataDxfId="7"/>
    <tableColumn id="2" xr3:uid="{00000000-0010-0000-0600-000002000000}" name="TransferDate" dataDxfId="6"/>
    <tableColumn id="3" xr3:uid="{00000000-0010-0000-0600-000003000000}" name="Month" dataDxfId="4"/>
    <tableColumn id="4" xr3:uid="{00000000-0010-0000-0600-000004000000}" name="FromWardCode" dataDxfId="5"/>
    <tableColumn id="5" xr3:uid="{00000000-0010-0000-0600-000005000000}" name="ToWardCode" dataDxfId="12"/>
    <tableColumn id="6" xr3:uid="{00000000-0010-0000-0600-000006000000}" name="PatientID" dataDxfId="11"/>
    <tableColumn id="7" xr3:uid="{00000000-0010-0000-0600-000007000000}" name="PatientName" dataDxfId="3"/>
    <tableColumn id="8" xr3:uid="{00000000-0010-0000-0600-000008000000}" name="EntryTimestamp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9"/>
  <sheetViews>
    <sheetView topLeftCell="A13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6" t="s">
        <v>0</v>
      </c>
      <c r="B1" s="7"/>
      <c r="C1" s="7"/>
      <c r="D1" s="7"/>
      <c r="E1" s="7"/>
      <c r="F1" s="7"/>
      <c r="G1" s="7"/>
      <c r="H1" s="7"/>
    </row>
    <row r="2" spans="1:10" ht="15.75" x14ac:dyDescent="0.25">
      <c r="A2" s="13" t="s">
        <v>1</v>
      </c>
      <c r="B2" s="7"/>
      <c r="C2" s="7"/>
      <c r="D2" s="7"/>
      <c r="E2" s="7"/>
      <c r="F2" s="7"/>
      <c r="G2" s="7"/>
      <c r="H2" s="7"/>
    </row>
    <row r="3" spans="1:10" x14ac:dyDescent="0.25">
      <c r="A3" s="12" t="s">
        <v>2</v>
      </c>
      <c r="B3" s="7"/>
      <c r="C3" s="7"/>
      <c r="D3" s="7"/>
      <c r="E3" s="7"/>
      <c r="F3" s="7"/>
      <c r="G3" s="7"/>
      <c r="H3" s="7"/>
    </row>
    <row r="5" spans="1:10" x14ac:dyDescent="0.25">
      <c r="A5" s="1" t="s">
        <v>3</v>
      </c>
      <c r="B5" s="1">
        <v>2026</v>
      </c>
      <c r="D5" s="1" t="s">
        <v>4</v>
      </c>
      <c r="E5" s="11" t="s">
        <v>2</v>
      </c>
      <c r="F5" s="7"/>
      <c r="G5" s="7"/>
      <c r="H5" s="7"/>
      <c r="J5" t="b">
        <v>0</v>
      </c>
    </row>
    <row r="6" spans="1:10" x14ac:dyDescent="0.25">
      <c r="J6" t="b">
        <v>1</v>
      </c>
    </row>
    <row r="7" spans="1:10" ht="15.75" x14ac:dyDescent="0.25">
      <c r="A7" s="9" t="s">
        <v>5</v>
      </c>
      <c r="B7" s="7"/>
      <c r="C7" s="7"/>
      <c r="D7" s="7"/>
      <c r="E7" s="7"/>
      <c r="F7" s="7"/>
      <c r="G7" s="7"/>
      <c r="H7" s="7"/>
    </row>
    <row r="9" spans="1:10" x14ac:dyDescent="0.25">
      <c r="A9" s="10" t="s">
        <v>201</v>
      </c>
      <c r="B9" s="7"/>
      <c r="C9" s="7"/>
      <c r="D9" s="2" t="s">
        <v>6</v>
      </c>
    </row>
    <row r="11" spans="1:10" x14ac:dyDescent="0.25">
      <c r="A11" s="10" t="s">
        <v>202</v>
      </c>
      <c r="B11" s="7"/>
      <c r="C11" s="7"/>
      <c r="D11" s="2" t="s">
        <v>7</v>
      </c>
    </row>
    <row r="13" spans="1:10" x14ac:dyDescent="0.25">
      <c r="A13" s="10" t="s">
        <v>203</v>
      </c>
      <c r="B13" s="7"/>
      <c r="C13" s="7"/>
      <c r="D13" s="2" t="s">
        <v>8</v>
      </c>
    </row>
    <row r="15" spans="1:10" x14ac:dyDescent="0.25">
      <c r="A15" s="10" t="s">
        <v>204</v>
      </c>
      <c r="B15" s="7"/>
      <c r="C15" s="7"/>
      <c r="D15" s="2" t="s">
        <v>9</v>
      </c>
    </row>
    <row r="17" spans="1:4" x14ac:dyDescent="0.25">
      <c r="A17" s="10" t="s">
        <v>205</v>
      </c>
      <c r="B17" s="7"/>
      <c r="C17" s="7"/>
      <c r="D17" s="2" t="s">
        <v>10</v>
      </c>
    </row>
    <row r="19" spans="1:4" x14ac:dyDescent="0.25">
      <c r="A19" s="10" t="s">
        <v>206</v>
      </c>
      <c r="B19" s="7"/>
      <c r="C19" s="7"/>
      <c r="D19" s="2" t="s">
        <v>11</v>
      </c>
    </row>
    <row r="21" spans="1:4" x14ac:dyDescent="0.25">
      <c r="A21" s="10" t="s">
        <v>207</v>
      </c>
      <c r="B21" s="7"/>
      <c r="C21" s="7"/>
      <c r="D21" s="2" t="s">
        <v>12</v>
      </c>
    </row>
    <row r="23" spans="1:4" x14ac:dyDescent="0.25">
      <c r="A23" s="10" t="s">
        <v>208</v>
      </c>
      <c r="B23" s="7"/>
      <c r="C23" s="7"/>
      <c r="D23" s="2" t="s">
        <v>13</v>
      </c>
    </row>
    <row r="25" spans="1:4" x14ac:dyDescent="0.25">
      <c r="A25" s="10" t="s">
        <v>209</v>
      </c>
      <c r="B25" s="7"/>
      <c r="C25" s="7"/>
      <c r="D25" s="2" t="s">
        <v>14</v>
      </c>
    </row>
    <row r="27" spans="1:4" x14ac:dyDescent="0.25">
      <c r="A27" s="15" t="s">
        <v>15</v>
      </c>
      <c r="B27" s="7"/>
      <c r="C27" s="7"/>
      <c r="D27" s="2" t="s">
        <v>16</v>
      </c>
    </row>
    <row r="29" spans="1:4" x14ac:dyDescent="0.25">
      <c r="A29" s="8" t="s">
        <v>17</v>
      </c>
      <c r="B29" s="7"/>
      <c r="C29" s="7"/>
      <c r="D29" s="2" t="s">
        <v>18</v>
      </c>
    </row>
    <row r="31" spans="1:4" x14ac:dyDescent="0.25">
      <c r="A31" s="8" t="s">
        <v>210</v>
      </c>
      <c r="B31" s="7"/>
      <c r="C31" s="7"/>
      <c r="D31" s="2" t="s">
        <v>19</v>
      </c>
    </row>
    <row r="33" spans="1:6" x14ac:dyDescent="0.25">
      <c r="A33" s="8" t="s">
        <v>211</v>
      </c>
      <c r="B33" s="7"/>
      <c r="C33" s="7"/>
      <c r="D33" s="2" t="s">
        <v>20</v>
      </c>
    </row>
    <row r="35" spans="1:6" x14ac:dyDescent="0.25">
      <c r="A35" s="8" t="s">
        <v>212</v>
      </c>
      <c r="B35" s="7"/>
      <c r="C35" s="7"/>
      <c r="D35" s="2" t="s">
        <v>21</v>
      </c>
    </row>
    <row r="37" spans="1:6" ht="15.75" x14ac:dyDescent="0.25">
      <c r="A37" s="14" t="s">
        <v>22</v>
      </c>
      <c r="B37" s="7"/>
      <c r="C37" s="7"/>
      <c r="D37" s="7"/>
      <c r="E37" s="7"/>
      <c r="F37" s="7"/>
    </row>
    <row r="38" spans="1:6" x14ac:dyDescent="0.25">
      <c r="A38" s="3" t="s">
        <v>23</v>
      </c>
      <c r="B38" s="3" t="s">
        <v>24</v>
      </c>
      <c r="C38" s="3" t="s">
        <v>25</v>
      </c>
      <c r="D38" s="3" t="s">
        <v>26</v>
      </c>
      <c r="E38" s="3" t="s">
        <v>27</v>
      </c>
      <c r="F38" s="3" t="s">
        <v>28</v>
      </c>
    </row>
    <row r="39" spans="1:6" x14ac:dyDescent="0.25">
      <c r="A39" s="4" t="s">
        <v>29</v>
      </c>
      <c r="B39" s="4" t="s">
        <v>30</v>
      </c>
      <c r="C39" s="4">
        <v>32</v>
      </c>
      <c r="D39" s="4">
        <v>25</v>
      </c>
      <c r="E39" s="4" t="b">
        <v>0</v>
      </c>
      <c r="F39" s="4">
        <v>1</v>
      </c>
    </row>
    <row r="40" spans="1:6" x14ac:dyDescent="0.25">
      <c r="A40" s="4" t="s">
        <v>31</v>
      </c>
      <c r="B40" s="4" t="s">
        <v>32</v>
      </c>
      <c r="C40" s="4">
        <v>28</v>
      </c>
      <c r="D40" s="4">
        <v>16</v>
      </c>
      <c r="E40" s="4" t="b">
        <v>0</v>
      </c>
      <c r="F40" s="4">
        <v>2</v>
      </c>
    </row>
    <row r="41" spans="1:6" x14ac:dyDescent="0.25">
      <c r="A41" s="4" t="s">
        <v>33</v>
      </c>
      <c r="B41" s="4" t="s">
        <v>34</v>
      </c>
      <c r="C41" s="4">
        <v>27</v>
      </c>
      <c r="D41" s="4">
        <v>7</v>
      </c>
      <c r="E41" s="4" t="b">
        <v>0</v>
      </c>
      <c r="F41" s="4">
        <v>3</v>
      </c>
    </row>
    <row r="42" spans="1:6" x14ac:dyDescent="0.25">
      <c r="A42" s="4" t="s">
        <v>35</v>
      </c>
      <c r="B42" s="4" t="s">
        <v>36</v>
      </c>
      <c r="C42" s="4">
        <v>20</v>
      </c>
      <c r="D42" s="4">
        <v>9</v>
      </c>
      <c r="E42" s="4" t="b">
        <v>0</v>
      </c>
      <c r="F42" s="4">
        <v>4</v>
      </c>
    </row>
    <row r="43" spans="1:6" x14ac:dyDescent="0.25">
      <c r="A43" s="4" t="s">
        <v>37</v>
      </c>
      <c r="B43" s="4" t="s">
        <v>38</v>
      </c>
      <c r="C43" s="4">
        <v>14</v>
      </c>
      <c r="D43" s="4">
        <v>9</v>
      </c>
      <c r="E43" s="4" t="b">
        <v>0</v>
      </c>
      <c r="F43" s="4">
        <v>5</v>
      </c>
    </row>
    <row r="44" spans="1:6" x14ac:dyDescent="0.25">
      <c r="A44" s="4" t="s">
        <v>39</v>
      </c>
      <c r="B44" s="4" t="s">
        <v>40</v>
      </c>
      <c r="C44" s="4">
        <v>22</v>
      </c>
      <c r="D44" s="4">
        <v>12</v>
      </c>
      <c r="E44" s="4" t="b">
        <v>0</v>
      </c>
      <c r="F44" s="4">
        <v>6</v>
      </c>
    </row>
    <row r="45" spans="1:6" x14ac:dyDescent="0.25">
      <c r="A45" s="4" t="s">
        <v>41</v>
      </c>
      <c r="B45" s="4" t="s">
        <v>42</v>
      </c>
      <c r="C45" s="4">
        <v>15</v>
      </c>
      <c r="D45" s="4">
        <v>14</v>
      </c>
      <c r="E45" s="4" t="b">
        <v>0</v>
      </c>
      <c r="F45" s="4">
        <v>7</v>
      </c>
    </row>
    <row r="46" spans="1:6" x14ac:dyDescent="0.25">
      <c r="A46" s="4" t="s">
        <v>43</v>
      </c>
      <c r="B46" s="4" t="s">
        <v>44</v>
      </c>
      <c r="C46" s="4">
        <v>10</v>
      </c>
      <c r="D46" s="4">
        <v>9</v>
      </c>
      <c r="E46" s="4" t="b">
        <v>1</v>
      </c>
      <c r="F46" s="4">
        <v>8</v>
      </c>
    </row>
    <row r="47" spans="1:6" x14ac:dyDescent="0.25">
      <c r="A47" s="4" t="s">
        <v>45</v>
      </c>
      <c r="B47" s="4" t="s">
        <v>46</v>
      </c>
      <c r="C47" s="4">
        <v>10</v>
      </c>
      <c r="D47" s="4">
        <v>1</v>
      </c>
      <c r="E47" s="4" t="b">
        <v>1</v>
      </c>
      <c r="F47" s="4">
        <v>9</v>
      </c>
    </row>
    <row r="48" spans="1:6" x14ac:dyDescent="0.25">
      <c r="A48" s="4" t="s">
        <v>47</v>
      </c>
      <c r="B48" s="4" t="s">
        <v>48</v>
      </c>
      <c r="C48" s="4">
        <v>4</v>
      </c>
      <c r="D48" s="4">
        <v>0</v>
      </c>
      <c r="E48" s="4" t="b">
        <v>0</v>
      </c>
      <c r="F48" s="4">
        <v>10</v>
      </c>
    </row>
    <row r="50" spans="1:6" ht="15.75" x14ac:dyDescent="0.25">
      <c r="A50" s="14" t="s">
        <v>49</v>
      </c>
      <c r="B50" s="7"/>
      <c r="C50" s="7"/>
      <c r="D50" s="7"/>
      <c r="E50" s="7"/>
      <c r="F50" s="7"/>
    </row>
    <row r="51" spans="1:6" x14ac:dyDescent="0.25">
      <c r="A51" s="3" t="s">
        <v>50</v>
      </c>
      <c r="B51" s="3" t="s">
        <v>51</v>
      </c>
      <c r="C51" s="3" t="s">
        <v>52</v>
      </c>
    </row>
    <row r="52" spans="1:6" x14ac:dyDescent="0.25">
      <c r="A52" s="4" t="s">
        <v>53</v>
      </c>
      <c r="B52" s="4" t="b">
        <v>0</v>
      </c>
      <c r="C52" s="4" t="s">
        <v>54</v>
      </c>
    </row>
    <row r="53" spans="1:6" x14ac:dyDescent="0.25">
      <c r="A53" s="4" t="s">
        <v>55</v>
      </c>
      <c r="B53" s="4" t="b">
        <v>1</v>
      </c>
      <c r="C53" s="4" t="s">
        <v>56</v>
      </c>
    </row>
    <row r="54" spans="1:6" x14ac:dyDescent="0.25">
      <c r="A54" s="4" t="s">
        <v>57</v>
      </c>
      <c r="B54" s="4" t="b">
        <v>0</v>
      </c>
      <c r="C54" s="4" t="s">
        <v>58</v>
      </c>
    </row>
    <row r="56" spans="1:6" ht="15.75" x14ac:dyDescent="0.25">
      <c r="A56" s="5" t="s">
        <v>59</v>
      </c>
    </row>
    <row r="57" spans="1:6" x14ac:dyDescent="0.25">
      <c r="A57" s="3" t="s">
        <v>60</v>
      </c>
      <c r="B57" s="3" t="s">
        <v>61</v>
      </c>
      <c r="C57" s="3" t="s">
        <v>62</v>
      </c>
    </row>
    <row r="58" spans="1:6" x14ac:dyDescent="0.25">
      <c r="A58" s="4">
        <v>1</v>
      </c>
      <c r="B58" s="4" t="s">
        <v>63</v>
      </c>
      <c r="C58" s="4">
        <v>31</v>
      </c>
    </row>
    <row r="59" spans="1:6" x14ac:dyDescent="0.25">
      <c r="A59" s="4">
        <v>2</v>
      </c>
      <c r="B59" s="4" t="s">
        <v>64</v>
      </c>
      <c r="C59" s="4">
        <v>28</v>
      </c>
    </row>
    <row r="60" spans="1:6" x14ac:dyDescent="0.25">
      <c r="A60" s="4">
        <v>3</v>
      </c>
      <c r="B60" s="4" t="s">
        <v>65</v>
      </c>
      <c r="C60" s="4">
        <v>31</v>
      </c>
    </row>
    <row r="61" spans="1:6" x14ac:dyDescent="0.25">
      <c r="A61" s="4">
        <v>4</v>
      </c>
      <c r="B61" s="4" t="s">
        <v>66</v>
      </c>
      <c r="C61" s="4">
        <v>30</v>
      </c>
    </row>
    <row r="62" spans="1:6" x14ac:dyDescent="0.25">
      <c r="A62" s="4">
        <v>5</v>
      </c>
      <c r="B62" s="4" t="s">
        <v>67</v>
      </c>
      <c r="C62" s="4">
        <v>31</v>
      </c>
    </row>
    <row r="63" spans="1:6" x14ac:dyDescent="0.25">
      <c r="A63" s="4">
        <v>6</v>
      </c>
      <c r="B63" s="4" t="s">
        <v>68</v>
      </c>
      <c r="C63" s="4">
        <v>30</v>
      </c>
    </row>
    <row r="64" spans="1:6" x14ac:dyDescent="0.25">
      <c r="A64" s="4">
        <v>7</v>
      </c>
      <c r="B64" s="4" t="s">
        <v>69</v>
      </c>
      <c r="C64" s="4">
        <v>31</v>
      </c>
    </row>
    <row r="65" spans="1:3" x14ac:dyDescent="0.25">
      <c r="A65" s="4">
        <v>8</v>
      </c>
      <c r="B65" s="4" t="s">
        <v>70</v>
      </c>
      <c r="C65" s="4">
        <v>31</v>
      </c>
    </row>
    <row r="66" spans="1:3" x14ac:dyDescent="0.25">
      <c r="A66" s="4">
        <v>9</v>
      </c>
      <c r="B66" s="4" t="s">
        <v>71</v>
      </c>
      <c r="C66" s="4">
        <v>30</v>
      </c>
    </row>
    <row r="67" spans="1:3" x14ac:dyDescent="0.25">
      <c r="A67" s="4">
        <v>10</v>
      </c>
      <c r="B67" s="4" t="s">
        <v>72</v>
      </c>
      <c r="C67" s="4">
        <v>31</v>
      </c>
    </row>
    <row r="68" spans="1:3" x14ac:dyDescent="0.25">
      <c r="A68" s="4">
        <v>11</v>
      </c>
      <c r="B68" s="4" t="s">
        <v>73</v>
      </c>
      <c r="C68" s="4">
        <v>30</v>
      </c>
    </row>
    <row r="69" spans="1:3" x14ac:dyDescent="0.25">
      <c r="A69" s="4">
        <v>12</v>
      </c>
      <c r="B69" s="4" t="s">
        <v>74</v>
      </c>
      <c r="C69" s="4">
        <v>31</v>
      </c>
    </row>
  </sheetData>
  <mergeCells count="21">
    <mergeCell ref="A37:F37"/>
    <mergeCell ref="A27:C27"/>
    <mergeCell ref="A21:C21"/>
    <mergeCell ref="A50:F50"/>
    <mergeCell ref="A35:C35"/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11:C11"/>
    <mergeCell ref="A25:C2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861"/>
  <sheetViews>
    <sheetView workbookViewId="0">
      <selection activeCell="A2" sqref="A2:L861"/>
    </sheetView>
  </sheetViews>
  <sheetFormatPr defaultRowHeight="15" x14ac:dyDescent="0.25"/>
  <cols>
    <col min="1" max="1" width="12" style="16" customWidth="1"/>
    <col min="2" max="2" width="8" style="16" customWidth="1"/>
    <col min="3" max="3" width="12" style="16" customWidth="1"/>
    <col min="4" max="9" width="14" style="19" customWidth="1"/>
    <col min="10" max="10" width="14" style="16" customWidth="1"/>
    <col min="11" max="11" width="12" style="16" customWidth="1"/>
    <col min="12" max="12" width="18" style="16" customWidth="1"/>
    <col min="13" max="16384" width="9.140625" style="16"/>
  </cols>
  <sheetData>
    <row r="1" spans="1:12" x14ac:dyDescent="0.25">
      <c r="A1" s="16" t="s">
        <v>75</v>
      </c>
      <c r="B1" s="16" t="s">
        <v>76</v>
      </c>
      <c r="C1" s="16" t="s">
        <v>23</v>
      </c>
      <c r="D1" s="19" t="s">
        <v>77</v>
      </c>
      <c r="E1" s="19" t="s">
        <v>78</v>
      </c>
      <c r="F1" s="19" t="s">
        <v>79</v>
      </c>
      <c r="G1" s="19" t="s">
        <v>80</v>
      </c>
      <c r="H1" s="19" t="s">
        <v>81</v>
      </c>
      <c r="I1" s="19" t="s">
        <v>82</v>
      </c>
      <c r="J1" s="16" t="s">
        <v>83</v>
      </c>
      <c r="K1" s="16" t="s">
        <v>84</v>
      </c>
      <c r="L1" s="16" t="s">
        <v>85</v>
      </c>
    </row>
    <row r="2" spans="1:12" x14ac:dyDescent="0.25">
      <c r="A2" s="17">
        <v>46023</v>
      </c>
      <c r="B2" s="16">
        <v>1</v>
      </c>
      <c r="C2" s="16" t="s">
        <v>35</v>
      </c>
      <c r="D2" s="19">
        <v>2</v>
      </c>
      <c r="E2" s="19">
        <v>2</v>
      </c>
      <c r="F2" s="19">
        <v>0</v>
      </c>
      <c r="G2" s="19">
        <v>0</v>
      </c>
      <c r="H2" s="19">
        <v>0</v>
      </c>
      <c r="I2" s="19">
        <v>0</v>
      </c>
      <c r="J2" s="16">
        <v>9</v>
      </c>
      <c r="K2" s="16">
        <v>9</v>
      </c>
      <c r="L2" s="18">
        <v>46128.348078703704</v>
      </c>
    </row>
    <row r="3" spans="1:12" x14ac:dyDescent="0.25">
      <c r="A3" s="17">
        <v>46024</v>
      </c>
      <c r="B3" s="16">
        <v>1</v>
      </c>
      <c r="C3" s="16" t="s">
        <v>35</v>
      </c>
      <c r="D3" s="19">
        <v>4</v>
      </c>
      <c r="E3" s="19">
        <v>3</v>
      </c>
      <c r="F3" s="19">
        <v>0</v>
      </c>
      <c r="G3" s="19">
        <v>0</v>
      </c>
      <c r="H3" s="19">
        <v>0</v>
      </c>
      <c r="I3" s="19">
        <v>0</v>
      </c>
      <c r="J3" s="16">
        <v>9</v>
      </c>
      <c r="K3" s="16">
        <v>10</v>
      </c>
      <c r="L3" s="18">
        <v>46128.348078703704</v>
      </c>
    </row>
    <row r="4" spans="1:12" x14ac:dyDescent="0.25">
      <c r="A4" s="17">
        <v>46025</v>
      </c>
      <c r="B4" s="16">
        <v>1</v>
      </c>
      <c r="C4" s="16" t="s">
        <v>35</v>
      </c>
      <c r="D4" s="19">
        <v>2</v>
      </c>
      <c r="E4" s="19">
        <v>1</v>
      </c>
      <c r="F4" s="19">
        <v>0</v>
      </c>
      <c r="G4" s="19">
        <v>0</v>
      </c>
      <c r="H4" s="19">
        <v>0</v>
      </c>
      <c r="I4" s="19">
        <v>0</v>
      </c>
      <c r="J4" s="16">
        <v>10</v>
      </c>
      <c r="K4" s="16">
        <v>11</v>
      </c>
      <c r="L4" s="18">
        <v>46128.348078703704</v>
      </c>
    </row>
    <row r="5" spans="1:12" x14ac:dyDescent="0.25">
      <c r="A5" s="17">
        <v>46026</v>
      </c>
      <c r="B5" s="16">
        <v>1</v>
      </c>
      <c r="C5" s="16" t="s">
        <v>35</v>
      </c>
      <c r="D5" s="19">
        <v>3</v>
      </c>
      <c r="E5" s="19">
        <v>1</v>
      </c>
      <c r="F5" s="19">
        <v>0</v>
      </c>
      <c r="G5" s="19">
        <v>0</v>
      </c>
      <c r="H5" s="19">
        <v>0</v>
      </c>
      <c r="I5" s="19">
        <v>0</v>
      </c>
      <c r="J5" s="16">
        <v>11</v>
      </c>
      <c r="K5" s="16">
        <v>13</v>
      </c>
      <c r="L5" s="18">
        <v>46128.348078703704</v>
      </c>
    </row>
    <row r="6" spans="1:12" x14ac:dyDescent="0.25">
      <c r="A6" s="17">
        <v>46027</v>
      </c>
      <c r="B6" s="16">
        <v>1</v>
      </c>
      <c r="C6" s="16" t="s">
        <v>35</v>
      </c>
      <c r="D6" s="19">
        <v>2</v>
      </c>
      <c r="E6" s="19">
        <v>8</v>
      </c>
      <c r="F6" s="19">
        <v>0</v>
      </c>
      <c r="G6" s="19">
        <v>0</v>
      </c>
      <c r="H6" s="19">
        <v>1</v>
      </c>
      <c r="I6" s="19">
        <v>0</v>
      </c>
      <c r="J6" s="16">
        <v>13</v>
      </c>
      <c r="K6" s="16">
        <v>8</v>
      </c>
      <c r="L6" s="18">
        <v>46128.348078703704</v>
      </c>
    </row>
    <row r="7" spans="1:12" x14ac:dyDescent="0.25">
      <c r="A7" s="17">
        <v>46028</v>
      </c>
      <c r="B7" s="16">
        <v>1</v>
      </c>
      <c r="C7" s="16" t="s">
        <v>35</v>
      </c>
      <c r="D7" s="19">
        <v>3</v>
      </c>
      <c r="E7" s="19">
        <v>5</v>
      </c>
      <c r="F7" s="19">
        <v>0</v>
      </c>
      <c r="G7" s="19">
        <v>0</v>
      </c>
      <c r="H7" s="19">
        <v>0</v>
      </c>
      <c r="I7" s="19">
        <v>0</v>
      </c>
      <c r="J7" s="16">
        <v>8</v>
      </c>
      <c r="K7" s="16">
        <v>6</v>
      </c>
      <c r="L7" s="18">
        <v>46128.348078703704</v>
      </c>
    </row>
    <row r="8" spans="1:12" x14ac:dyDescent="0.25">
      <c r="A8" s="17">
        <v>46029</v>
      </c>
      <c r="B8" s="16">
        <v>1</v>
      </c>
      <c r="C8" s="16" t="s">
        <v>35</v>
      </c>
      <c r="D8" s="19">
        <v>2</v>
      </c>
      <c r="E8" s="19">
        <v>3</v>
      </c>
      <c r="F8" s="19">
        <v>0</v>
      </c>
      <c r="G8" s="19">
        <v>0</v>
      </c>
      <c r="H8" s="19">
        <v>0</v>
      </c>
      <c r="I8" s="19">
        <v>0</v>
      </c>
      <c r="J8" s="16">
        <v>6</v>
      </c>
      <c r="K8" s="16">
        <v>5</v>
      </c>
      <c r="L8" s="18">
        <v>46128.348078703704</v>
      </c>
    </row>
    <row r="9" spans="1:12" x14ac:dyDescent="0.25">
      <c r="A9" s="17">
        <v>46030</v>
      </c>
      <c r="B9" s="16">
        <v>1</v>
      </c>
      <c r="C9" s="16" t="s">
        <v>35</v>
      </c>
      <c r="D9" s="19">
        <v>1</v>
      </c>
      <c r="E9" s="19">
        <v>0</v>
      </c>
      <c r="F9" s="19">
        <v>0</v>
      </c>
      <c r="G9" s="19">
        <v>0</v>
      </c>
      <c r="H9" s="19">
        <v>0</v>
      </c>
      <c r="I9" s="19">
        <v>0</v>
      </c>
      <c r="J9" s="16">
        <v>5</v>
      </c>
      <c r="K9" s="16">
        <v>6</v>
      </c>
      <c r="L9" s="18">
        <v>46128.348078703704</v>
      </c>
    </row>
    <row r="10" spans="1:12" x14ac:dyDescent="0.25">
      <c r="A10" s="17">
        <v>46031</v>
      </c>
      <c r="B10" s="16">
        <v>1</v>
      </c>
      <c r="C10" s="16" t="s">
        <v>35</v>
      </c>
      <c r="D10" s="19">
        <v>2</v>
      </c>
      <c r="E10" s="19">
        <v>3</v>
      </c>
      <c r="F10" s="19">
        <v>0</v>
      </c>
      <c r="G10" s="19">
        <v>0</v>
      </c>
      <c r="H10" s="19">
        <v>0</v>
      </c>
      <c r="I10" s="19">
        <v>1</v>
      </c>
      <c r="J10" s="16">
        <v>6</v>
      </c>
      <c r="K10" s="16">
        <v>4</v>
      </c>
      <c r="L10" s="18">
        <v>46128.348078703704</v>
      </c>
    </row>
    <row r="11" spans="1:12" x14ac:dyDescent="0.25">
      <c r="A11" s="17">
        <v>46032</v>
      </c>
      <c r="B11" s="16">
        <v>1</v>
      </c>
      <c r="C11" s="16" t="s">
        <v>35</v>
      </c>
      <c r="D11" s="19">
        <v>2</v>
      </c>
      <c r="E11" s="19">
        <v>0</v>
      </c>
      <c r="F11" s="19">
        <v>0</v>
      </c>
      <c r="G11" s="19">
        <v>0</v>
      </c>
      <c r="H11" s="19">
        <v>0</v>
      </c>
      <c r="I11" s="19">
        <v>0</v>
      </c>
      <c r="J11" s="16">
        <v>4</v>
      </c>
      <c r="K11" s="16">
        <v>6</v>
      </c>
      <c r="L11" s="18">
        <v>46128.348078703704</v>
      </c>
    </row>
    <row r="12" spans="1:12" x14ac:dyDescent="0.25">
      <c r="A12" s="17">
        <v>46033</v>
      </c>
      <c r="B12" s="16">
        <v>1</v>
      </c>
      <c r="C12" s="16" t="s">
        <v>35</v>
      </c>
      <c r="D12" s="19">
        <v>0</v>
      </c>
      <c r="E12" s="19">
        <v>2</v>
      </c>
      <c r="F12" s="19">
        <v>0</v>
      </c>
      <c r="G12" s="19">
        <v>0</v>
      </c>
      <c r="H12" s="19">
        <v>0</v>
      </c>
      <c r="I12" s="19">
        <v>0</v>
      </c>
      <c r="J12" s="16">
        <v>6</v>
      </c>
      <c r="K12" s="16">
        <v>4</v>
      </c>
      <c r="L12" s="18">
        <v>46128.348078703704</v>
      </c>
    </row>
    <row r="13" spans="1:12" x14ac:dyDescent="0.25">
      <c r="A13" s="17">
        <v>46034</v>
      </c>
      <c r="B13" s="16">
        <v>1</v>
      </c>
      <c r="C13" s="16" t="s">
        <v>35</v>
      </c>
      <c r="D13" s="19">
        <v>4</v>
      </c>
      <c r="E13" s="19">
        <v>2</v>
      </c>
      <c r="F13" s="19">
        <v>0</v>
      </c>
      <c r="G13" s="19">
        <v>0</v>
      </c>
      <c r="H13" s="19">
        <v>0</v>
      </c>
      <c r="I13" s="19">
        <v>0</v>
      </c>
      <c r="J13" s="16">
        <v>4</v>
      </c>
      <c r="K13" s="16">
        <v>6</v>
      </c>
      <c r="L13" s="18">
        <v>46128.348078703704</v>
      </c>
    </row>
    <row r="14" spans="1:12" x14ac:dyDescent="0.25">
      <c r="A14" s="17">
        <v>46035</v>
      </c>
      <c r="B14" s="16">
        <v>1</v>
      </c>
      <c r="C14" s="16" t="s">
        <v>35</v>
      </c>
      <c r="D14" s="19">
        <v>3</v>
      </c>
      <c r="E14" s="19">
        <v>0</v>
      </c>
      <c r="F14" s="19">
        <v>0</v>
      </c>
      <c r="G14" s="19">
        <v>0</v>
      </c>
      <c r="H14" s="19">
        <v>0</v>
      </c>
      <c r="I14" s="19">
        <v>0</v>
      </c>
      <c r="J14" s="16">
        <v>6</v>
      </c>
      <c r="K14" s="16">
        <v>9</v>
      </c>
      <c r="L14" s="18">
        <v>46128.348078703704</v>
      </c>
    </row>
    <row r="15" spans="1:12" x14ac:dyDescent="0.25">
      <c r="A15" s="17">
        <v>46036</v>
      </c>
      <c r="B15" s="16">
        <v>1</v>
      </c>
      <c r="C15" s="16" t="s">
        <v>35</v>
      </c>
      <c r="D15" s="19">
        <v>1</v>
      </c>
      <c r="E15" s="19">
        <v>3</v>
      </c>
      <c r="F15" s="19">
        <v>0</v>
      </c>
      <c r="G15" s="19">
        <v>0</v>
      </c>
      <c r="H15" s="19">
        <v>0</v>
      </c>
      <c r="I15" s="19">
        <v>0</v>
      </c>
      <c r="J15" s="16">
        <v>9</v>
      </c>
      <c r="K15" s="16">
        <v>7</v>
      </c>
      <c r="L15" s="18">
        <v>46128.348078703704</v>
      </c>
    </row>
    <row r="16" spans="1:12" x14ac:dyDescent="0.25">
      <c r="A16" s="17">
        <v>46037</v>
      </c>
      <c r="B16" s="16">
        <v>1</v>
      </c>
      <c r="C16" s="16" t="s">
        <v>35</v>
      </c>
      <c r="D16" s="19">
        <v>2</v>
      </c>
      <c r="E16" s="19">
        <v>2</v>
      </c>
      <c r="F16" s="19">
        <v>0</v>
      </c>
      <c r="G16" s="19">
        <v>0</v>
      </c>
      <c r="H16" s="19">
        <v>0</v>
      </c>
      <c r="I16" s="19">
        <v>0</v>
      </c>
      <c r="J16" s="16">
        <v>7</v>
      </c>
      <c r="K16" s="16">
        <v>7</v>
      </c>
      <c r="L16" s="18">
        <v>46128.348078703704</v>
      </c>
    </row>
    <row r="17" spans="1:12" x14ac:dyDescent="0.25">
      <c r="A17" s="17">
        <v>46038</v>
      </c>
      <c r="B17" s="16">
        <v>1</v>
      </c>
      <c r="C17" s="16" t="s">
        <v>35</v>
      </c>
      <c r="D17" s="19">
        <v>0</v>
      </c>
      <c r="E17" s="19">
        <v>3</v>
      </c>
      <c r="F17" s="19">
        <v>0</v>
      </c>
      <c r="G17" s="19">
        <v>0</v>
      </c>
      <c r="H17" s="19">
        <v>0</v>
      </c>
      <c r="I17" s="19">
        <v>0</v>
      </c>
      <c r="J17" s="16">
        <v>7</v>
      </c>
      <c r="K17" s="16">
        <v>4</v>
      </c>
      <c r="L17" s="18">
        <v>46128.348078703704</v>
      </c>
    </row>
    <row r="18" spans="1:12" x14ac:dyDescent="0.25">
      <c r="A18" s="17">
        <v>46039</v>
      </c>
      <c r="B18" s="16">
        <v>1</v>
      </c>
      <c r="C18" s="16" t="s">
        <v>35</v>
      </c>
      <c r="D18" s="19">
        <v>3</v>
      </c>
      <c r="E18" s="19">
        <v>1</v>
      </c>
      <c r="F18" s="19">
        <v>0</v>
      </c>
      <c r="G18" s="19">
        <v>0</v>
      </c>
      <c r="H18" s="19">
        <v>0</v>
      </c>
      <c r="I18" s="19">
        <v>0</v>
      </c>
      <c r="J18" s="16">
        <v>4</v>
      </c>
      <c r="K18" s="16">
        <v>6</v>
      </c>
      <c r="L18" s="18">
        <v>46128.348078703704</v>
      </c>
    </row>
    <row r="19" spans="1:12" x14ac:dyDescent="0.25">
      <c r="A19" s="17">
        <v>46040</v>
      </c>
      <c r="B19" s="16">
        <v>1</v>
      </c>
      <c r="C19" s="16" t="s">
        <v>35</v>
      </c>
      <c r="D19" s="19">
        <v>3</v>
      </c>
      <c r="E19" s="19">
        <v>2</v>
      </c>
      <c r="F19" s="19">
        <v>0</v>
      </c>
      <c r="G19" s="19">
        <v>0</v>
      </c>
      <c r="H19" s="19">
        <v>0</v>
      </c>
      <c r="I19" s="19">
        <v>0</v>
      </c>
      <c r="J19" s="16">
        <v>6</v>
      </c>
      <c r="K19" s="16">
        <v>7</v>
      </c>
      <c r="L19" s="18">
        <v>46128.348078703704</v>
      </c>
    </row>
    <row r="20" spans="1:12" x14ac:dyDescent="0.25">
      <c r="A20" s="17">
        <v>46041</v>
      </c>
      <c r="B20" s="16">
        <v>1</v>
      </c>
      <c r="C20" s="16" t="s">
        <v>35</v>
      </c>
      <c r="D20" s="19">
        <v>0</v>
      </c>
      <c r="E20" s="19">
        <v>2</v>
      </c>
      <c r="F20" s="19">
        <v>0</v>
      </c>
      <c r="G20" s="19">
        <v>0</v>
      </c>
      <c r="H20" s="19">
        <v>0</v>
      </c>
      <c r="I20" s="19">
        <v>0</v>
      </c>
      <c r="J20" s="16">
        <v>7</v>
      </c>
      <c r="K20" s="16">
        <v>5</v>
      </c>
      <c r="L20" s="18">
        <v>46128.348078703704</v>
      </c>
    </row>
    <row r="21" spans="1:12" x14ac:dyDescent="0.25">
      <c r="A21" s="17">
        <v>46042</v>
      </c>
      <c r="B21" s="16">
        <v>1</v>
      </c>
      <c r="C21" s="16" t="s">
        <v>35</v>
      </c>
      <c r="D21" s="19">
        <v>0</v>
      </c>
      <c r="E21" s="19">
        <v>2</v>
      </c>
      <c r="F21" s="19">
        <v>0</v>
      </c>
      <c r="G21" s="19">
        <v>0</v>
      </c>
      <c r="H21" s="19">
        <v>0</v>
      </c>
      <c r="I21" s="19">
        <v>0</v>
      </c>
      <c r="J21" s="16">
        <v>5</v>
      </c>
      <c r="K21" s="16">
        <v>3</v>
      </c>
      <c r="L21" s="18">
        <v>46128.348078703704</v>
      </c>
    </row>
    <row r="22" spans="1:12" x14ac:dyDescent="0.25">
      <c r="A22" s="17">
        <v>46043</v>
      </c>
      <c r="B22" s="16">
        <v>1</v>
      </c>
      <c r="C22" s="16" t="s">
        <v>35</v>
      </c>
      <c r="D22" s="19">
        <v>5</v>
      </c>
      <c r="E22" s="19">
        <v>1</v>
      </c>
      <c r="F22" s="19">
        <v>0</v>
      </c>
      <c r="G22" s="19">
        <v>0</v>
      </c>
      <c r="H22" s="19">
        <v>0</v>
      </c>
      <c r="I22" s="19">
        <v>0</v>
      </c>
      <c r="J22" s="16">
        <v>3</v>
      </c>
      <c r="K22" s="16">
        <v>7</v>
      </c>
      <c r="L22" s="18">
        <v>46128.348078703704</v>
      </c>
    </row>
    <row r="23" spans="1:12" x14ac:dyDescent="0.25">
      <c r="A23" s="17">
        <v>46044</v>
      </c>
      <c r="B23" s="16">
        <v>1</v>
      </c>
      <c r="C23" s="16" t="s">
        <v>35</v>
      </c>
      <c r="D23" s="19">
        <v>0</v>
      </c>
      <c r="E23" s="19">
        <v>3</v>
      </c>
      <c r="F23" s="19">
        <v>0</v>
      </c>
      <c r="G23" s="19">
        <v>0</v>
      </c>
      <c r="H23" s="19">
        <v>0</v>
      </c>
      <c r="I23" s="19">
        <v>0</v>
      </c>
      <c r="J23" s="16">
        <v>7</v>
      </c>
      <c r="K23" s="16">
        <v>4</v>
      </c>
      <c r="L23" s="18">
        <v>46128.348078703704</v>
      </c>
    </row>
    <row r="24" spans="1:12" x14ac:dyDescent="0.25">
      <c r="A24" s="17">
        <v>46045</v>
      </c>
      <c r="B24" s="16">
        <v>1</v>
      </c>
      <c r="C24" s="16" t="s">
        <v>35</v>
      </c>
      <c r="D24" s="19">
        <v>1</v>
      </c>
      <c r="E24" s="19">
        <v>3</v>
      </c>
      <c r="F24" s="19">
        <v>0</v>
      </c>
      <c r="G24" s="19">
        <v>0</v>
      </c>
      <c r="H24" s="19">
        <v>0</v>
      </c>
      <c r="I24" s="19">
        <v>0</v>
      </c>
      <c r="J24" s="16">
        <v>4</v>
      </c>
      <c r="K24" s="16">
        <v>2</v>
      </c>
      <c r="L24" s="18">
        <v>46128.348078703704</v>
      </c>
    </row>
    <row r="25" spans="1:12" x14ac:dyDescent="0.25">
      <c r="A25" s="17">
        <v>46046</v>
      </c>
      <c r="B25" s="16">
        <v>1</v>
      </c>
      <c r="C25" s="16" t="s">
        <v>35</v>
      </c>
      <c r="D25" s="19">
        <v>4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6">
        <v>2</v>
      </c>
      <c r="K25" s="16">
        <v>6</v>
      </c>
      <c r="L25" s="18">
        <v>46128.348078703704</v>
      </c>
    </row>
    <row r="26" spans="1:12" x14ac:dyDescent="0.25">
      <c r="A26" s="17">
        <v>46047</v>
      </c>
      <c r="B26" s="16">
        <v>1</v>
      </c>
      <c r="C26" s="16" t="s">
        <v>35</v>
      </c>
      <c r="D26" s="19">
        <v>1</v>
      </c>
      <c r="E26" s="19">
        <v>1</v>
      </c>
      <c r="F26" s="19">
        <v>0</v>
      </c>
      <c r="G26" s="19">
        <v>0</v>
      </c>
      <c r="H26" s="19">
        <v>0</v>
      </c>
      <c r="I26" s="19">
        <v>0</v>
      </c>
      <c r="J26" s="16">
        <v>6</v>
      </c>
      <c r="K26" s="16">
        <v>6</v>
      </c>
      <c r="L26" s="18">
        <v>46128.348078703704</v>
      </c>
    </row>
    <row r="27" spans="1:12" x14ac:dyDescent="0.25">
      <c r="A27" s="17">
        <v>46048</v>
      </c>
      <c r="B27" s="16">
        <v>1</v>
      </c>
      <c r="C27" s="16" t="s">
        <v>35</v>
      </c>
      <c r="D27" s="19">
        <v>3</v>
      </c>
      <c r="E27" s="19">
        <v>1</v>
      </c>
      <c r="F27" s="19">
        <v>0</v>
      </c>
      <c r="G27" s="19">
        <v>0</v>
      </c>
      <c r="H27" s="19">
        <v>0</v>
      </c>
      <c r="I27" s="19">
        <v>0</v>
      </c>
      <c r="J27" s="16">
        <v>6</v>
      </c>
      <c r="K27" s="16">
        <v>8</v>
      </c>
      <c r="L27" s="18">
        <v>46128.348078703704</v>
      </c>
    </row>
    <row r="28" spans="1:12" x14ac:dyDescent="0.25">
      <c r="A28" s="17">
        <v>46049</v>
      </c>
      <c r="B28" s="16">
        <v>1</v>
      </c>
      <c r="C28" s="16" t="s">
        <v>35</v>
      </c>
      <c r="D28" s="19">
        <v>1</v>
      </c>
      <c r="E28" s="19">
        <v>1</v>
      </c>
      <c r="F28" s="19">
        <v>0</v>
      </c>
      <c r="G28" s="19">
        <v>0</v>
      </c>
      <c r="H28" s="19">
        <v>0</v>
      </c>
      <c r="I28" s="19">
        <v>0</v>
      </c>
      <c r="J28" s="16">
        <v>8</v>
      </c>
      <c r="K28" s="16">
        <v>8</v>
      </c>
      <c r="L28" s="18">
        <v>46128.348078703704</v>
      </c>
    </row>
    <row r="29" spans="1:12" x14ac:dyDescent="0.25">
      <c r="A29" s="17">
        <v>46050</v>
      </c>
      <c r="B29" s="16">
        <v>1</v>
      </c>
      <c r="C29" s="16" t="s">
        <v>35</v>
      </c>
      <c r="D29" s="19">
        <v>2</v>
      </c>
      <c r="E29" s="19">
        <v>2</v>
      </c>
      <c r="F29" s="19">
        <v>0</v>
      </c>
      <c r="G29" s="19">
        <v>0</v>
      </c>
      <c r="H29" s="19">
        <v>0</v>
      </c>
      <c r="I29" s="19">
        <v>0</v>
      </c>
      <c r="J29" s="16">
        <v>8</v>
      </c>
      <c r="K29" s="16">
        <v>8</v>
      </c>
      <c r="L29" s="18">
        <v>46128.348078703704</v>
      </c>
    </row>
    <row r="30" spans="1:12" x14ac:dyDescent="0.25">
      <c r="A30" s="17">
        <v>46051</v>
      </c>
      <c r="B30" s="16">
        <v>1</v>
      </c>
      <c r="C30" s="16" t="s">
        <v>35</v>
      </c>
      <c r="D30" s="19">
        <v>1</v>
      </c>
      <c r="E30" s="19">
        <v>4</v>
      </c>
      <c r="F30" s="19">
        <v>0</v>
      </c>
      <c r="G30" s="19">
        <v>0</v>
      </c>
      <c r="H30" s="19">
        <v>0</v>
      </c>
      <c r="I30" s="19">
        <v>0</v>
      </c>
      <c r="J30" s="16">
        <v>8</v>
      </c>
      <c r="K30" s="16">
        <v>5</v>
      </c>
      <c r="L30" s="18">
        <v>46128.348078703704</v>
      </c>
    </row>
    <row r="31" spans="1:12" x14ac:dyDescent="0.25">
      <c r="A31" s="17">
        <v>46052</v>
      </c>
      <c r="B31" s="16">
        <v>1</v>
      </c>
      <c r="C31" s="16" t="s">
        <v>35</v>
      </c>
      <c r="D31" s="19">
        <v>3</v>
      </c>
      <c r="E31" s="19">
        <v>3</v>
      </c>
      <c r="F31" s="19">
        <v>0</v>
      </c>
      <c r="G31" s="19">
        <v>0</v>
      </c>
      <c r="H31" s="19">
        <v>0</v>
      </c>
      <c r="I31" s="19">
        <v>0</v>
      </c>
      <c r="J31" s="16">
        <v>5</v>
      </c>
      <c r="K31" s="16">
        <v>5</v>
      </c>
      <c r="L31" s="18">
        <v>46128.348078703704</v>
      </c>
    </row>
    <row r="32" spans="1:12" x14ac:dyDescent="0.25">
      <c r="A32" s="17">
        <v>46053</v>
      </c>
      <c r="B32" s="16">
        <v>1</v>
      </c>
      <c r="C32" s="16" t="s">
        <v>35</v>
      </c>
      <c r="D32" s="19">
        <v>2</v>
      </c>
      <c r="E32" s="19">
        <v>1</v>
      </c>
      <c r="F32" s="19">
        <v>0</v>
      </c>
      <c r="G32" s="19">
        <v>0</v>
      </c>
      <c r="H32" s="19">
        <v>0</v>
      </c>
      <c r="I32" s="19">
        <v>0</v>
      </c>
      <c r="J32" s="16">
        <v>5</v>
      </c>
      <c r="K32" s="16">
        <v>6</v>
      </c>
      <c r="L32" s="18">
        <v>46128.348078703704</v>
      </c>
    </row>
    <row r="33" spans="1:12" x14ac:dyDescent="0.25">
      <c r="A33" s="17">
        <v>46054</v>
      </c>
      <c r="B33" s="16">
        <v>2</v>
      </c>
      <c r="C33" s="16" t="s">
        <v>35</v>
      </c>
      <c r="D33" s="19">
        <v>5</v>
      </c>
      <c r="E33" s="19">
        <v>3</v>
      </c>
      <c r="F33" s="19">
        <v>0</v>
      </c>
      <c r="G33" s="19">
        <v>0</v>
      </c>
      <c r="H33" s="19">
        <v>0</v>
      </c>
      <c r="I33" s="19">
        <v>0</v>
      </c>
      <c r="J33" s="16">
        <v>6</v>
      </c>
      <c r="K33" s="16">
        <v>8</v>
      </c>
      <c r="L33" s="18">
        <v>46128.348078703704</v>
      </c>
    </row>
    <row r="34" spans="1:12" x14ac:dyDescent="0.25">
      <c r="A34" s="17">
        <v>46055</v>
      </c>
      <c r="B34" s="16">
        <v>2</v>
      </c>
      <c r="C34" s="16" t="s">
        <v>35</v>
      </c>
      <c r="D34" s="19">
        <v>1</v>
      </c>
      <c r="E34" s="19">
        <v>3</v>
      </c>
      <c r="F34" s="19">
        <v>0</v>
      </c>
      <c r="G34" s="19">
        <v>0</v>
      </c>
      <c r="H34" s="19">
        <v>0</v>
      </c>
      <c r="I34" s="19">
        <v>0</v>
      </c>
      <c r="J34" s="16">
        <v>8</v>
      </c>
      <c r="K34" s="16">
        <v>6</v>
      </c>
      <c r="L34" s="18">
        <v>46128.348078703704</v>
      </c>
    </row>
    <row r="35" spans="1:12" x14ac:dyDescent="0.25">
      <c r="A35" s="17">
        <v>46056</v>
      </c>
      <c r="B35" s="16">
        <v>2</v>
      </c>
      <c r="C35" s="16" t="s">
        <v>35</v>
      </c>
      <c r="D35" s="19">
        <v>7</v>
      </c>
      <c r="E35" s="19">
        <v>2</v>
      </c>
      <c r="F35" s="19">
        <v>0</v>
      </c>
      <c r="G35" s="19">
        <v>0</v>
      </c>
      <c r="H35" s="19">
        <v>0</v>
      </c>
      <c r="I35" s="19">
        <v>0</v>
      </c>
      <c r="J35" s="16">
        <v>6</v>
      </c>
      <c r="K35" s="16">
        <v>11</v>
      </c>
      <c r="L35" s="18">
        <v>46128.348078703704</v>
      </c>
    </row>
    <row r="36" spans="1:12" x14ac:dyDescent="0.25">
      <c r="A36" s="17">
        <v>46057</v>
      </c>
      <c r="B36" s="16">
        <v>2</v>
      </c>
      <c r="C36" s="16" t="s">
        <v>35</v>
      </c>
      <c r="D36" s="19">
        <v>4</v>
      </c>
      <c r="E36" s="19">
        <v>2</v>
      </c>
      <c r="F36" s="19">
        <v>0</v>
      </c>
      <c r="G36" s="19">
        <v>0</v>
      </c>
      <c r="H36" s="19">
        <v>0</v>
      </c>
      <c r="I36" s="19">
        <v>1</v>
      </c>
      <c r="J36" s="16">
        <v>11</v>
      </c>
      <c r="K36" s="16">
        <v>12</v>
      </c>
      <c r="L36" s="18">
        <v>46128.348078703704</v>
      </c>
    </row>
    <row r="37" spans="1:12" x14ac:dyDescent="0.25">
      <c r="A37" s="17">
        <v>46058</v>
      </c>
      <c r="B37" s="16">
        <v>2</v>
      </c>
      <c r="C37" s="16" t="s">
        <v>35</v>
      </c>
      <c r="D37" s="19">
        <v>3</v>
      </c>
      <c r="E37" s="19">
        <v>4</v>
      </c>
      <c r="F37" s="19">
        <v>0</v>
      </c>
      <c r="G37" s="19">
        <v>0</v>
      </c>
      <c r="H37" s="19">
        <v>0</v>
      </c>
      <c r="I37" s="19">
        <v>0</v>
      </c>
      <c r="J37" s="16">
        <v>12</v>
      </c>
      <c r="K37" s="16">
        <v>11</v>
      </c>
      <c r="L37" s="18">
        <v>46128.348078703704</v>
      </c>
    </row>
    <row r="38" spans="1:12" x14ac:dyDescent="0.25">
      <c r="A38" s="17">
        <v>46059</v>
      </c>
      <c r="B38" s="16">
        <v>2</v>
      </c>
      <c r="C38" s="16" t="s">
        <v>35</v>
      </c>
      <c r="D38" s="19">
        <v>4</v>
      </c>
      <c r="E38" s="19">
        <v>3</v>
      </c>
      <c r="F38" s="19">
        <v>0</v>
      </c>
      <c r="G38" s="19">
        <v>0</v>
      </c>
      <c r="H38" s="19">
        <v>0</v>
      </c>
      <c r="I38" s="19">
        <v>0</v>
      </c>
      <c r="J38" s="16">
        <v>11</v>
      </c>
      <c r="K38" s="16">
        <v>12</v>
      </c>
      <c r="L38" s="18">
        <v>46128.348078703704</v>
      </c>
    </row>
    <row r="39" spans="1:12" x14ac:dyDescent="0.25">
      <c r="A39" s="17">
        <v>46060</v>
      </c>
      <c r="B39" s="16">
        <v>2</v>
      </c>
      <c r="C39" s="16" t="s">
        <v>35</v>
      </c>
      <c r="D39" s="19">
        <v>2</v>
      </c>
      <c r="E39" s="19">
        <v>0</v>
      </c>
      <c r="F39" s="19">
        <v>0</v>
      </c>
      <c r="G39" s="19">
        <v>0</v>
      </c>
      <c r="H39" s="19">
        <v>0</v>
      </c>
      <c r="I39" s="19">
        <v>0</v>
      </c>
      <c r="J39" s="16">
        <v>12</v>
      </c>
      <c r="K39" s="16">
        <v>14</v>
      </c>
      <c r="L39" s="18">
        <v>46128.348078703704</v>
      </c>
    </row>
    <row r="40" spans="1:12" x14ac:dyDescent="0.25">
      <c r="A40" s="17">
        <v>46061</v>
      </c>
      <c r="B40" s="16">
        <v>2</v>
      </c>
      <c r="C40" s="16" t="s">
        <v>35</v>
      </c>
      <c r="D40" s="19">
        <v>0</v>
      </c>
      <c r="E40" s="19">
        <v>4</v>
      </c>
      <c r="F40" s="19">
        <v>0</v>
      </c>
      <c r="G40" s="19">
        <v>0</v>
      </c>
      <c r="H40" s="19">
        <v>0</v>
      </c>
      <c r="I40" s="19">
        <v>1</v>
      </c>
      <c r="J40" s="16">
        <v>14</v>
      </c>
      <c r="K40" s="16">
        <v>9</v>
      </c>
      <c r="L40" s="18">
        <v>46128.348078703704</v>
      </c>
    </row>
    <row r="41" spans="1:12" x14ac:dyDescent="0.25">
      <c r="A41" s="17">
        <v>46062</v>
      </c>
      <c r="B41" s="16">
        <v>2</v>
      </c>
      <c r="C41" s="16" t="s">
        <v>35</v>
      </c>
      <c r="D41" s="19">
        <v>2</v>
      </c>
      <c r="E41" s="19">
        <v>3</v>
      </c>
      <c r="F41" s="19">
        <v>0</v>
      </c>
      <c r="G41" s="19">
        <v>0</v>
      </c>
      <c r="H41" s="19">
        <v>0</v>
      </c>
      <c r="I41" s="19">
        <v>0</v>
      </c>
      <c r="J41" s="16">
        <v>9</v>
      </c>
      <c r="K41" s="16">
        <v>8</v>
      </c>
      <c r="L41" s="18">
        <v>46128.348078703704</v>
      </c>
    </row>
    <row r="42" spans="1:12" x14ac:dyDescent="0.25">
      <c r="A42" s="17">
        <v>46063</v>
      </c>
      <c r="B42" s="16">
        <v>2</v>
      </c>
      <c r="C42" s="16" t="s">
        <v>35</v>
      </c>
      <c r="D42" s="19">
        <v>2</v>
      </c>
      <c r="E42" s="19">
        <v>0</v>
      </c>
      <c r="F42" s="19">
        <v>0</v>
      </c>
      <c r="G42" s="19">
        <v>0</v>
      </c>
      <c r="H42" s="19">
        <v>2</v>
      </c>
      <c r="I42" s="19">
        <v>0</v>
      </c>
      <c r="J42" s="16">
        <v>8</v>
      </c>
      <c r="K42" s="16">
        <v>12</v>
      </c>
      <c r="L42" s="18">
        <v>46128.348078703704</v>
      </c>
    </row>
    <row r="43" spans="1:12" x14ac:dyDescent="0.25">
      <c r="A43" s="17">
        <v>46064</v>
      </c>
      <c r="B43" s="16">
        <v>2</v>
      </c>
      <c r="C43" s="16" t="s">
        <v>35</v>
      </c>
      <c r="D43" s="19">
        <v>4</v>
      </c>
      <c r="E43" s="19">
        <v>3</v>
      </c>
      <c r="F43" s="19">
        <v>0</v>
      </c>
      <c r="G43" s="19">
        <v>0</v>
      </c>
      <c r="H43" s="19">
        <v>0</v>
      </c>
      <c r="I43" s="19">
        <v>1</v>
      </c>
      <c r="J43" s="16">
        <v>12</v>
      </c>
      <c r="K43" s="16">
        <v>12</v>
      </c>
      <c r="L43" s="18">
        <v>46128.348078703704</v>
      </c>
    </row>
    <row r="44" spans="1:12" x14ac:dyDescent="0.25">
      <c r="A44" s="17">
        <v>46065</v>
      </c>
      <c r="B44" s="16">
        <v>2</v>
      </c>
      <c r="C44" s="16" t="s">
        <v>35</v>
      </c>
      <c r="D44" s="19">
        <v>1</v>
      </c>
      <c r="E44" s="19">
        <v>1</v>
      </c>
      <c r="F44" s="19">
        <v>0</v>
      </c>
      <c r="G44" s="19">
        <v>0</v>
      </c>
      <c r="H44" s="19">
        <v>1</v>
      </c>
      <c r="I44" s="19">
        <v>0</v>
      </c>
      <c r="J44" s="16">
        <v>12</v>
      </c>
      <c r="K44" s="16">
        <v>13</v>
      </c>
      <c r="L44" s="18">
        <v>46128.348078703704</v>
      </c>
    </row>
    <row r="45" spans="1:12" x14ac:dyDescent="0.25">
      <c r="A45" s="17">
        <v>46066</v>
      </c>
      <c r="B45" s="16">
        <v>2</v>
      </c>
      <c r="C45" s="16" t="s">
        <v>35</v>
      </c>
      <c r="D45" s="19">
        <v>2</v>
      </c>
      <c r="E45" s="19">
        <v>2</v>
      </c>
      <c r="F45" s="19">
        <v>0</v>
      </c>
      <c r="G45" s="19">
        <v>0</v>
      </c>
      <c r="H45" s="19">
        <v>0</v>
      </c>
      <c r="I45" s="19">
        <v>1</v>
      </c>
      <c r="J45" s="16">
        <v>13</v>
      </c>
      <c r="K45" s="16">
        <v>12</v>
      </c>
      <c r="L45" s="18">
        <v>46128.348078703704</v>
      </c>
    </row>
    <row r="46" spans="1:12" x14ac:dyDescent="0.25">
      <c r="A46" s="17">
        <v>46067</v>
      </c>
      <c r="B46" s="16">
        <v>2</v>
      </c>
      <c r="C46" s="16" t="s">
        <v>35</v>
      </c>
      <c r="D46" s="19">
        <v>1</v>
      </c>
      <c r="E46" s="19">
        <v>2</v>
      </c>
      <c r="F46" s="19">
        <v>0</v>
      </c>
      <c r="G46" s="19">
        <v>0</v>
      </c>
      <c r="H46" s="19">
        <v>0</v>
      </c>
      <c r="I46" s="19">
        <v>0</v>
      </c>
      <c r="J46" s="16">
        <v>12</v>
      </c>
      <c r="K46" s="16">
        <v>11</v>
      </c>
      <c r="L46" s="18">
        <v>46128.348078703704</v>
      </c>
    </row>
    <row r="47" spans="1:12" x14ac:dyDescent="0.25">
      <c r="A47" s="17">
        <v>46068</v>
      </c>
      <c r="B47" s="16">
        <v>2</v>
      </c>
      <c r="C47" s="16" t="s">
        <v>35</v>
      </c>
      <c r="D47" s="19">
        <v>0</v>
      </c>
      <c r="E47" s="19">
        <v>0</v>
      </c>
      <c r="F47" s="19">
        <v>0</v>
      </c>
      <c r="G47" s="19">
        <v>0</v>
      </c>
      <c r="H47" s="19">
        <v>0</v>
      </c>
      <c r="I47" s="19">
        <v>0</v>
      </c>
      <c r="J47" s="16">
        <v>11</v>
      </c>
      <c r="K47" s="16">
        <v>11</v>
      </c>
      <c r="L47" s="18">
        <v>46128.348078703704</v>
      </c>
    </row>
    <row r="48" spans="1:12" x14ac:dyDescent="0.25">
      <c r="A48" s="17">
        <v>46069</v>
      </c>
      <c r="B48" s="16">
        <v>2</v>
      </c>
      <c r="C48" s="16" t="s">
        <v>35</v>
      </c>
      <c r="D48" s="19">
        <v>5</v>
      </c>
      <c r="E48" s="19">
        <v>1</v>
      </c>
      <c r="F48" s="19">
        <v>0</v>
      </c>
      <c r="G48" s="19">
        <v>0</v>
      </c>
      <c r="H48" s="19">
        <v>0</v>
      </c>
      <c r="I48" s="19">
        <v>0</v>
      </c>
      <c r="J48" s="16">
        <v>11</v>
      </c>
      <c r="K48" s="16">
        <v>15</v>
      </c>
      <c r="L48" s="18">
        <v>46128.348078703704</v>
      </c>
    </row>
    <row r="49" spans="1:12" x14ac:dyDescent="0.25">
      <c r="A49" s="17">
        <v>46070</v>
      </c>
      <c r="B49" s="16">
        <v>2</v>
      </c>
      <c r="C49" s="16" t="s">
        <v>35</v>
      </c>
      <c r="D49" s="19">
        <v>2</v>
      </c>
      <c r="E49" s="19">
        <v>3</v>
      </c>
      <c r="F49" s="19">
        <v>0</v>
      </c>
      <c r="G49" s="19">
        <v>0</v>
      </c>
      <c r="H49" s="19">
        <v>0</v>
      </c>
      <c r="I49" s="19">
        <v>0</v>
      </c>
      <c r="J49" s="16">
        <v>15</v>
      </c>
      <c r="K49" s="16">
        <v>14</v>
      </c>
      <c r="L49" s="18">
        <v>46128.348078703704</v>
      </c>
    </row>
    <row r="50" spans="1:12" x14ac:dyDescent="0.25">
      <c r="A50" s="17">
        <v>46071</v>
      </c>
      <c r="B50" s="16">
        <v>2</v>
      </c>
      <c r="C50" s="16" t="s">
        <v>35</v>
      </c>
      <c r="D50" s="19">
        <v>1</v>
      </c>
      <c r="E50" s="19">
        <v>6</v>
      </c>
      <c r="F50" s="19">
        <v>0</v>
      </c>
      <c r="G50" s="19">
        <v>0</v>
      </c>
      <c r="H50" s="19">
        <v>0</v>
      </c>
      <c r="I50" s="19">
        <v>0</v>
      </c>
      <c r="J50" s="16">
        <v>14</v>
      </c>
      <c r="K50" s="16">
        <v>9</v>
      </c>
      <c r="L50" s="18">
        <v>46128.348078703704</v>
      </c>
    </row>
    <row r="51" spans="1:12" x14ac:dyDescent="0.25">
      <c r="A51" s="17">
        <v>46072</v>
      </c>
      <c r="B51" s="16">
        <v>2</v>
      </c>
      <c r="C51" s="16" t="s">
        <v>35</v>
      </c>
      <c r="D51" s="19">
        <v>3</v>
      </c>
      <c r="E51" s="19">
        <v>1</v>
      </c>
      <c r="F51" s="19">
        <v>0</v>
      </c>
      <c r="G51" s="19">
        <v>0</v>
      </c>
      <c r="H51" s="19">
        <v>0</v>
      </c>
      <c r="I51" s="19">
        <v>0</v>
      </c>
      <c r="J51" s="16">
        <v>9</v>
      </c>
      <c r="K51" s="16">
        <v>11</v>
      </c>
      <c r="L51" s="18">
        <v>46128.348078703704</v>
      </c>
    </row>
    <row r="52" spans="1:12" x14ac:dyDescent="0.25">
      <c r="A52" s="17">
        <v>46073</v>
      </c>
      <c r="B52" s="16">
        <v>2</v>
      </c>
      <c r="C52" s="16" t="s">
        <v>35</v>
      </c>
      <c r="D52" s="19">
        <v>3</v>
      </c>
      <c r="E52" s="19">
        <v>0</v>
      </c>
      <c r="F52" s="19">
        <v>0</v>
      </c>
      <c r="G52" s="19">
        <v>0</v>
      </c>
      <c r="H52" s="19">
        <v>0</v>
      </c>
      <c r="I52" s="19">
        <v>0</v>
      </c>
      <c r="J52" s="16">
        <v>11</v>
      </c>
      <c r="K52" s="16">
        <v>14</v>
      </c>
      <c r="L52" s="18">
        <v>46128.348078703704</v>
      </c>
    </row>
    <row r="53" spans="1:12" x14ac:dyDescent="0.25">
      <c r="A53" s="17">
        <v>46074</v>
      </c>
      <c r="B53" s="16">
        <v>2</v>
      </c>
      <c r="C53" s="16" t="s">
        <v>35</v>
      </c>
      <c r="D53" s="19">
        <v>2</v>
      </c>
      <c r="E53" s="19">
        <v>5</v>
      </c>
      <c r="F53" s="19">
        <v>0</v>
      </c>
      <c r="G53" s="19">
        <v>0</v>
      </c>
      <c r="H53" s="19">
        <v>0</v>
      </c>
      <c r="I53" s="19">
        <v>0</v>
      </c>
      <c r="J53" s="16">
        <v>14</v>
      </c>
      <c r="K53" s="16">
        <v>11</v>
      </c>
      <c r="L53" s="18">
        <v>46128.348078703704</v>
      </c>
    </row>
    <row r="54" spans="1:12" x14ac:dyDescent="0.25">
      <c r="A54" s="17">
        <v>46075</v>
      </c>
      <c r="B54" s="16">
        <v>2</v>
      </c>
      <c r="C54" s="16" t="s">
        <v>35</v>
      </c>
      <c r="D54" s="19">
        <v>0</v>
      </c>
      <c r="E54" s="19">
        <v>2</v>
      </c>
      <c r="F54" s="19">
        <v>0</v>
      </c>
      <c r="G54" s="19">
        <v>0</v>
      </c>
      <c r="H54" s="19">
        <v>0</v>
      </c>
      <c r="I54" s="19">
        <v>0</v>
      </c>
      <c r="J54" s="16">
        <v>11</v>
      </c>
      <c r="K54" s="16">
        <v>9</v>
      </c>
      <c r="L54" s="18">
        <v>46128.348078703704</v>
      </c>
    </row>
    <row r="55" spans="1:12" x14ac:dyDescent="0.25">
      <c r="A55" s="17">
        <v>46076</v>
      </c>
      <c r="B55" s="16">
        <v>2</v>
      </c>
      <c r="C55" s="16" t="s">
        <v>35</v>
      </c>
      <c r="D55" s="19">
        <v>0</v>
      </c>
      <c r="E55" s="19">
        <v>5</v>
      </c>
      <c r="F55" s="19">
        <v>0</v>
      </c>
      <c r="G55" s="19">
        <v>0</v>
      </c>
      <c r="H55" s="19">
        <v>0</v>
      </c>
      <c r="I55" s="19">
        <v>0</v>
      </c>
      <c r="J55" s="16">
        <v>9</v>
      </c>
      <c r="K55" s="16">
        <v>4</v>
      </c>
      <c r="L55" s="18">
        <v>46128.348078703704</v>
      </c>
    </row>
    <row r="56" spans="1:12" x14ac:dyDescent="0.25">
      <c r="A56" s="17">
        <v>46077</v>
      </c>
      <c r="B56" s="16">
        <v>2</v>
      </c>
      <c r="C56" s="16" t="s">
        <v>35</v>
      </c>
      <c r="D56" s="19">
        <v>0</v>
      </c>
      <c r="E56" s="19">
        <v>0</v>
      </c>
      <c r="F56" s="19">
        <v>0</v>
      </c>
      <c r="G56" s="19">
        <v>0</v>
      </c>
      <c r="H56" s="19">
        <v>0</v>
      </c>
      <c r="I56" s="19">
        <v>0</v>
      </c>
      <c r="J56" s="16">
        <v>4</v>
      </c>
      <c r="K56" s="16">
        <v>4</v>
      </c>
      <c r="L56" s="18">
        <v>46128.348078703704</v>
      </c>
    </row>
    <row r="57" spans="1:12" x14ac:dyDescent="0.25">
      <c r="A57" s="17">
        <v>46078</v>
      </c>
      <c r="B57" s="16">
        <v>2</v>
      </c>
      <c r="C57" s="16" t="s">
        <v>35</v>
      </c>
      <c r="D57" s="19">
        <v>1</v>
      </c>
      <c r="E57" s="19">
        <v>1</v>
      </c>
      <c r="F57" s="19">
        <v>0</v>
      </c>
      <c r="G57" s="19">
        <v>0</v>
      </c>
      <c r="H57" s="19">
        <v>0</v>
      </c>
      <c r="I57" s="19">
        <v>0</v>
      </c>
      <c r="J57" s="16">
        <v>4</v>
      </c>
      <c r="K57" s="16">
        <v>4</v>
      </c>
      <c r="L57" s="18">
        <v>46128.348078703704</v>
      </c>
    </row>
    <row r="58" spans="1:12" x14ac:dyDescent="0.25">
      <c r="A58" s="17">
        <v>46079</v>
      </c>
      <c r="B58" s="16">
        <v>2</v>
      </c>
      <c r="C58" s="16" t="s">
        <v>35</v>
      </c>
      <c r="D58" s="19">
        <v>0</v>
      </c>
      <c r="E58" s="19">
        <v>0</v>
      </c>
      <c r="F58" s="19">
        <v>0</v>
      </c>
      <c r="G58" s="19">
        <v>0</v>
      </c>
      <c r="H58" s="19">
        <v>0</v>
      </c>
      <c r="I58" s="19">
        <v>0</v>
      </c>
      <c r="J58" s="16">
        <v>4</v>
      </c>
      <c r="K58" s="16">
        <v>4</v>
      </c>
      <c r="L58" s="18">
        <v>46128.348078703704</v>
      </c>
    </row>
    <row r="59" spans="1:12" x14ac:dyDescent="0.25">
      <c r="A59" s="17">
        <v>46080</v>
      </c>
      <c r="B59" s="16">
        <v>2</v>
      </c>
      <c r="C59" s="16" t="s">
        <v>35</v>
      </c>
      <c r="D59" s="19">
        <v>3</v>
      </c>
      <c r="E59" s="19">
        <v>0</v>
      </c>
      <c r="F59" s="19">
        <v>0</v>
      </c>
      <c r="G59" s="19">
        <v>0</v>
      </c>
      <c r="H59" s="19">
        <v>0</v>
      </c>
      <c r="I59" s="19">
        <v>0</v>
      </c>
      <c r="J59" s="16">
        <v>4</v>
      </c>
      <c r="K59" s="16">
        <v>7</v>
      </c>
      <c r="L59" s="18">
        <v>46128.348078703704</v>
      </c>
    </row>
    <row r="60" spans="1:12" x14ac:dyDescent="0.25">
      <c r="A60" s="17">
        <v>46081</v>
      </c>
      <c r="B60" s="16">
        <v>2</v>
      </c>
      <c r="C60" s="16" t="s">
        <v>35</v>
      </c>
      <c r="D60" s="19">
        <v>3</v>
      </c>
      <c r="E60" s="19">
        <v>1</v>
      </c>
      <c r="F60" s="19">
        <v>0</v>
      </c>
      <c r="G60" s="19">
        <v>0</v>
      </c>
      <c r="H60" s="19">
        <v>0</v>
      </c>
      <c r="I60" s="19">
        <v>0</v>
      </c>
      <c r="J60" s="16">
        <v>7</v>
      </c>
      <c r="K60" s="16">
        <v>9</v>
      </c>
      <c r="L60" s="18">
        <v>46128.348078703704</v>
      </c>
    </row>
    <row r="61" spans="1:12" x14ac:dyDescent="0.25">
      <c r="A61" s="17">
        <v>46082</v>
      </c>
      <c r="B61" s="16">
        <v>3</v>
      </c>
      <c r="C61" s="16" t="s">
        <v>35</v>
      </c>
      <c r="D61" s="19">
        <v>4</v>
      </c>
      <c r="E61" s="19">
        <v>1</v>
      </c>
      <c r="F61" s="19">
        <v>0</v>
      </c>
      <c r="G61" s="19">
        <v>0</v>
      </c>
      <c r="H61" s="19">
        <v>0</v>
      </c>
      <c r="I61" s="19">
        <v>0</v>
      </c>
      <c r="J61" s="16">
        <v>9</v>
      </c>
      <c r="K61" s="16">
        <v>12</v>
      </c>
      <c r="L61" s="18">
        <v>46128.348078703704</v>
      </c>
    </row>
    <row r="62" spans="1:12" x14ac:dyDescent="0.25">
      <c r="A62" s="17">
        <v>46083</v>
      </c>
      <c r="B62" s="16">
        <v>3</v>
      </c>
      <c r="C62" s="16" t="s">
        <v>35</v>
      </c>
      <c r="D62" s="19">
        <v>3</v>
      </c>
      <c r="E62" s="19">
        <v>5</v>
      </c>
      <c r="F62" s="19">
        <v>0</v>
      </c>
      <c r="G62" s="19">
        <v>0</v>
      </c>
      <c r="H62" s="19">
        <v>0</v>
      </c>
      <c r="I62" s="19">
        <v>0</v>
      </c>
      <c r="J62" s="16">
        <v>12</v>
      </c>
      <c r="K62" s="16">
        <v>10</v>
      </c>
      <c r="L62" s="18">
        <v>46128.348078703704</v>
      </c>
    </row>
    <row r="63" spans="1:12" x14ac:dyDescent="0.25">
      <c r="A63" s="17">
        <v>46084</v>
      </c>
      <c r="B63" s="16">
        <v>3</v>
      </c>
      <c r="C63" s="16" t="s">
        <v>35</v>
      </c>
      <c r="D63" s="19">
        <v>6</v>
      </c>
      <c r="E63" s="19">
        <v>2</v>
      </c>
      <c r="F63" s="19">
        <v>0</v>
      </c>
      <c r="G63" s="19">
        <v>0</v>
      </c>
      <c r="H63" s="19">
        <v>0</v>
      </c>
      <c r="I63" s="19">
        <v>0</v>
      </c>
      <c r="J63" s="16">
        <v>10</v>
      </c>
      <c r="K63" s="16">
        <v>14</v>
      </c>
      <c r="L63" s="18">
        <v>46128.348078703704</v>
      </c>
    </row>
    <row r="64" spans="1:12" x14ac:dyDescent="0.25">
      <c r="A64" s="17">
        <v>46085</v>
      </c>
      <c r="B64" s="16">
        <v>3</v>
      </c>
      <c r="C64" s="16" t="s">
        <v>35</v>
      </c>
      <c r="D64" s="19">
        <v>1</v>
      </c>
      <c r="E64" s="19">
        <v>2</v>
      </c>
      <c r="F64" s="19">
        <v>0</v>
      </c>
      <c r="G64" s="19">
        <v>0</v>
      </c>
      <c r="H64" s="19">
        <v>0</v>
      </c>
      <c r="I64" s="19">
        <v>0</v>
      </c>
      <c r="J64" s="16">
        <v>14</v>
      </c>
      <c r="K64" s="16">
        <v>13</v>
      </c>
      <c r="L64" s="18">
        <v>46128.348078703704</v>
      </c>
    </row>
    <row r="65" spans="1:12" x14ac:dyDescent="0.25">
      <c r="A65" s="17">
        <v>46086</v>
      </c>
      <c r="B65" s="16">
        <v>3</v>
      </c>
      <c r="C65" s="16" t="s">
        <v>35</v>
      </c>
      <c r="D65" s="19">
        <v>2</v>
      </c>
      <c r="E65" s="19">
        <v>5</v>
      </c>
      <c r="F65" s="19">
        <v>0</v>
      </c>
      <c r="G65" s="19">
        <v>0</v>
      </c>
      <c r="H65" s="19">
        <v>0</v>
      </c>
      <c r="I65" s="19">
        <v>0</v>
      </c>
      <c r="J65" s="16">
        <v>13</v>
      </c>
      <c r="K65" s="16">
        <v>10</v>
      </c>
      <c r="L65" s="18">
        <v>46128.348078703704</v>
      </c>
    </row>
    <row r="66" spans="1:12" x14ac:dyDescent="0.25">
      <c r="A66" s="17">
        <v>46087</v>
      </c>
      <c r="B66" s="16">
        <v>3</v>
      </c>
      <c r="C66" s="16" t="s">
        <v>35</v>
      </c>
      <c r="D66" s="19">
        <v>1</v>
      </c>
      <c r="E66" s="19">
        <v>3</v>
      </c>
      <c r="F66" s="19">
        <v>0</v>
      </c>
      <c r="G66" s="19">
        <v>0</v>
      </c>
      <c r="H66" s="19">
        <v>0</v>
      </c>
      <c r="I66" s="19">
        <v>0</v>
      </c>
      <c r="J66" s="16">
        <v>10</v>
      </c>
      <c r="K66" s="16">
        <v>8</v>
      </c>
      <c r="L66" s="18">
        <v>46128.348078703704</v>
      </c>
    </row>
    <row r="67" spans="1:12" x14ac:dyDescent="0.25">
      <c r="A67" s="17">
        <v>46088</v>
      </c>
      <c r="B67" s="16">
        <v>3</v>
      </c>
      <c r="C67" s="16" t="s">
        <v>35</v>
      </c>
      <c r="D67" s="19">
        <v>3</v>
      </c>
      <c r="E67" s="19">
        <v>2</v>
      </c>
      <c r="F67" s="19">
        <v>0</v>
      </c>
      <c r="G67" s="19">
        <v>0</v>
      </c>
      <c r="H67" s="19">
        <v>0</v>
      </c>
      <c r="I67" s="19">
        <v>0</v>
      </c>
      <c r="J67" s="16">
        <v>8</v>
      </c>
      <c r="K67" s="16">
        <v>9</v>
      </c>
      <c r="L67" s="18">
        <v>46128.348078703704</v>
      </c>
    </row>
    <row r="68" spans="1:12" x14ac:dyDescent="0.25">
      <c r="A68" s="17">
        <v>46089</v>
      </c>
      <c r="B68" s="16">
        <v>3</v>
      </c>
      <c r="C68" s="16" t="s">
        <v>35</v>
      </c>
      <c r="D68" s="19">
        <v>2</v>
      </c>
      <c r="E68" s="19">
        <v>2</v>
      </c>
      <c r="F68" s="19">
        <v>0</v>
      </c>
      <c r="G68" s="19">
        <v>0</v>
      </c>
      <c r="H68" s="19">
        <v>0</v>
      </c>
      <c r="I68" s="19">
        <v>0</v>
      </c>
      <c r="J68" s="16">
        <v>9</v>
      </c>
      <c r="K68" s="16">
        <v>9</v>
      </c>
      <c r="L68" s="18">
        <v>46128.348078703704</v>
      </c>
    </row>
    <row r="69" spans="1:12" x14ac:dyDescent="0.25">
      <c r="A69" s="17">
        <v>46090</v>
      </c>
      <c r="B69" s="16">
        <v>3</v>
      </c>
      <c r="C69" s="16" t="s">
        <v>35</v>
      </c>
      <c r="D69" s="19">
        <v>2</v>
      </c>
      <c r="E69" s="19">
        <v>4</v>
      </c>
      <c r="F69" s="19">
        <v>0</v>
      </c>
      <c r="G69" s="19">
        <v>0</v>
      </c>
      <c r="H69" s="19">
        <v>0</v>
      </c>
      <c r="I69" s="19">
        <v>1</v>
      </c>
      <c r="J69" s="16">
        <v>9</v>
      </c>
      <c r="K69" s="16">
        <v>6</v>
      </c>
      <c r="L69" s="18">
        <v>46128.348078703704</v>
      </c>
    </row>
    <row r="70" spans="1:12" x14ac:dyDescent="0.25">
      <c r="A70" s="17">
        <v>46091</v>
      </c>
      <c r="B70" s="16">
        <v>3</v>
      </c>
      <c r="C70" s="16" t="s">
        <v>35</v>
      </c>
      <c r="D70" s="19">
        <v>3</v>
      </c>
      <c r="E70" s="19">
        <v>1</v>
      </c>
      <c r="F70" s="19">
        <v>0</v>
      </c>
      <c r="G70" s="19">
        <v>0</v>
      </c>
      <c r="H70" s="19">
        <v>0</v>
      </c>
      <c r="I70" s="19">
        <v>0</v>
      </c>
      <c r="J70" s="16">
        <v>6</v>
      </c>
      <c r="K70" s="16">
        <v>8</v>
      </c>
      <c r="L70" s="18">
        <v>46128.348078703704</v>
      </c>
    </row>
    <row r="71" spans="1:12" x14ac:dyDescent="0.25">
      <c r="A71" s="17">
        <v>46092</v>
      </c>
      <c r="B71" s="16">
        <v>3</v>
      </c>
      <c r="C71" s="16" t="s">
        <v>35</v>
      </c>
      <c r="D71" s="19">
        <v>3</v>
      </c>
      <c r="E71" s="19">
        <v>1</v>
      </c>
      <c r="F71" s="19">
        <v>0</v>
      </c>
      <c r="G71" s="19">
        <v>0</v>
      </c>
      <c r="H71" s="19">
        <v>0</v>
      </c>
      <c r="I71" s="19">
        <v>0</v>
      </c>
      <c r="J71" s="16">
        <v>8</v>
      </c>
      <c r="K71" s="16">
        <v>10</v>
      </c>
      <c r="L71" s="18">
        <v>46128.348078703704</v>
      </c>
    </row>
    <row r="72" spans="1:12" x14ac:dyDescent="0.25">
      <c r="A72" s="17">
        <v>46093</v>
      </c>
      <c r="B72" s="16">
        <v>3</v>
      </c>
      <c r="C72" s="16" t="s">
        <v>35</v>
      </c>
      <c r="D72" s="19">
        <v>2</v>
      </c>
      <c r="E72" s="19">
        <v>1</v>
      </c>
      <c r="F72" s="19">
        <v>0</v>
      </c>
      <c r="G72" s="19">
        <v>0</v>
      </c>
      <c r="H72" s="19">
        <v>0</v>
      </c>
      <c r="I72" s="19">
        <v>0</v>
      </c>
      <c r="J72" s="16">
        <v>10</v>
      </c>
      <c r="K72" s="16">
        <v>11</v>
      </c>
      <c r="L72" s="18">
        <v>46128.348078703704</v>
      </c>
    </row>
    <row r="73" spans="1:12" x14ac:dyDescent="0.25">
      <c r="A73" s="17">
        <v>46094</v>
      </c>
      <c r="B73" s="16">
        <v>3</v>
      </c>
      <c r="C73" s="16" t="s">
        <v>35</v>
      </c>
      <c r="D73" s="19">
        <v>3</v>
      </c>
      <c r="E73" s="19">
        <v>2</v>
      </c>
      <c r="F73" s="19">
        <v>0</v>
      </c>
      <c r="G73" s="19">
        <v>0</v>
      </c>
      <c r="H73" s="19">
        <v>1</v>
      </c>
      <c r="I73" s="19">
        <v>0</v>
      </c>
      <c r="J73" s="16">
        <v>11</v>
      </c>
      <c r="K73" s="16">
        <v>13</v>
      </c>
      <c r="L73" s="18">
        <v>46128.348078703704</v>
      </c>
    </row>
    <row r="74" spans="1:12" x14ac:dyDescent="0.25">
      <c r="A74" s="17">
        <v>46095</v>
      </c>
      <c r="B74" s="16">
        <v>3</v>
      </c>
      <c r="C74" s="16" t="s">
        <v>35</v>
      </c>
      <c r="D74" s="19">
        <v>0</v>
      </c>
      <c r="E74" s="19">
        <v>2</v>
      </c>
      <c r="F74" s="19">
        <v>0</v>
      </c>
      <c r="G74" s="19">
        <v>0</v>
      </c>
      <c r="H74" s="19">
        <v>0</v>
      </c>
      <c r="I74" s="19">
        <v>0</v>
      </c>
      <c r="J74" s="16">
        <v>13</v>
      </c>
      <c r="K74" s="16">
        <v>11</v>
      </c>
      <c r="L74" s="18">
        <v>46128.348078703704</v>
      </c>
    </row>
    <row r="75" spans="1:12" x14ac:dyDescent="0.25">
      <c r="A75" s="17">
        <v>46096</v>
      </c>
      <c r="B75" s="16">
        <v>3</v>
      </c>
      <c r="C75" s="16" t="s">
        <v>35</v>
      </c>
      <c r="D75" s="19">
        <v>4</v>
      </c>
      <c r="E75" s="19">
        <v>2</v>
      </c>
      <c r="F75" s="19">
        <v>0</v>
      </c>
      <c r="G75" s="19">
        <v>0</v>
      </c>
      <c r="H75" s="19">
        <v>0</v>
      </c>
      <c r="I75" s="19">
        <v>1</v>
      </c>
      <c r="J75" s="16">
        <v>11</v>
      </c>
      <c r="K75" s="16">
        <v>12</v>
      </c>
      <c r="L75" s="18">
        <v>46128.348078703704</v>
      </c>
    </row>
    <row r="76" spans="1:12" x14ac:dyDescent="0.25">
      <c r="A76" s="17">
        <v>46097</v>
      </c>
      <c r="B76" s="16">
        <v>3</v>
      </c>
      <c r="C76" s="16" t="s">
        <v>35</v>
      </c>
      <c r="D76" s="19">
        <v>2</v>
      </c>
      <c r="E76" s="19">
        <v>2</v>
      </c>
      <c r="F76" s="19">
        <v>0</v>
      </c>
      <c r="G76" s="19">
        <v>0</v>
      </c>
      <c r="H76" s="19">
        <v>0</v>
      </c>
      <c r="I76" s="19">
        <v>0</v>
      </c>
      <c r="J76" s="16">
        <v>12</v>
      </c>
      <c r="K76" s="16">
        <v>12</v>
      </c>
      <c r="L76" s="18">
        <v>46128.348078703704</v>
      </c>
    </row>
    <row r="77" spans="1:12" x14ac:dyDescent="0.25">
      <c r="A77" s="17">
        <v>46098</v>
      </c>
      <c r="B77" s="16">
        <v>3</v>
      </c>
      <c r="C77" s="16" t="s">
        <v>35</v>
      </c>
      <c r="D77" s="19">
        <v>1</v>
      </c>
      <c r="E77" s="19">
        <v>2</v>
      </c>
      <c r="F77" s="19">
        <v>0</v>
      </c>
      <c r="G77" s="19">
        <v>0</v>
      </c>
      <c r="H77" s="19">
        <v>0</v>
      </c>
      <c r="I77" s="19">
        <v>0</v>
      </c>
      <c r="J77" s="16">
        <v>12</v>
      </c>
      <c r="K77" s="16">
        <v>11</v>
      </c>
      <c r="L77" s="18">
        <v>46128.348078703704</v>
      </c>
    </row>
    <row r="78" spans="1:12" x14ac:dyDescent="0.25">
      <c r="A78" s="17">
        <v>46099</v>
      </c>
      <c r="B78" s="16">
        <v>3</v>
      </c>
      <c r="C78" s="16" t="s">
        <v>35</v>
      </c>
      <c r="D78" s="19">
        <v>3</v>
      </c>
      <c r="E78" s="19">
        <v>0</v>
      </c>
      <c r="F78" s="19">
        <v>0</v>
      </c>
      <c r="G78" s="19">
        <v>0</v>
      </c>
      <c r="H78" s="19">
        <v>0</v>
      </c>
      <c r="I78" s="19">
        <v>0</v>
      </c>
      <c r="J78" s="16">
        <v>11</v>
      </c>
      <c r="K78" s="16">
        <v>14</v>
      </c>
      <c r="L78" s="18">
        <v>46128.348078703704</v>
      </c>
    </row>
    <row r="79" spans="1:12" x14ac:dyDescent="0.25">
      <c r="A79" s="17">
        <v>46100</v>
      </c>
      <c r="B79" s="16">
        <v>3</v>
      </c>
      <c r="C79" s="16" t="s">
        <v>35</v>
      </c>
      <c r="D79" s="19">
        <v>3</v>
      </c>
      <c r="E79" s="19">
        <v>4</v>
      </c>
      <c r="F79" s="19">
        <v>0</v>
      </c>
      <c r="G79" s="19">
        <v>0</v>
      </c>
      <c r="H79" s="19">
        <v>0</v>
      </c>
      <c r="I79" s="19">
        <v>1</v>
      </c>
      <c r="J79" s="16">
        <v>14</v>
      </c>
      <c r="K79" s="16">
        <v>12</v>
      </c>
      <c r="L79" s="18">
        <v>46128.348078703704</v>
      </c>
    </row>
    <row r="80" spans="1:12" x14ac:dyDescent="0.25">
      <c r="A80" s="17">
        <v>46101</v>
      </c>
      <c r="B80" s="16">
        <v>3</v>
      </c>
      <c r="C80" s="16" t="s">
        <v>35</v>
      </c>
      <c r="D80" s="19">
        <v>2</v>
      </c>
      <c r="E80" s="19">
        <v>4</v>
      </c>
      <c r="F80" s="19">
        <v>0</v>
      </c>
      <c r="G80" s="19">
        <v>0</v>
      </c>
      <c r="H80" s="19">
        <v>0</v>
      </c>
      <c r="I80" s="19">
        <v>0</v>
      </c>
      <c r="J80" s="16">
        <v>12</v>
      </c>
      <c r="K80" s="16">
        <v>10</v>
      </c>
      <c r="L80" s="18">
        <v>46128.348078703704</v>
      </c>
    </row>
    <row r="81" spans="1:12" x14ac:dyDescent="0.25">
      <c r="A81" s="17">
        <v>46102</v>
      </c>
      <c r="B81" s="16">
        <v>3</v>
      </c>
      <c r="C81" s="16" t="s">
        <v>35</v>
      </c>
      <c r="D81" s="19">
        <v>2</v>
      </c>
      <c r="E81" s="19">
        <v>2</v>
      </c>
      <c r="F81" s="19">
        <v>0</v>
      </c>
      <c r="G81" s="19">
        <v>0</v>
      </c>
      <c r="H81" s="19">
        <v>0</v>
      </c>
      <c r="I81" s="19">
        <v>0</v>
      </c>
      <c r="J81" s="16">
        <v>10</v>
      </c>
      <c r="K81" s="16">
        <v>10</v>
      </c>
      <c r="L81" s="18">
        <v>46128.348078703704</v>
      </c>
    </row>
    <row r="82" spans="1:12" x14ac:dyDescent="0.25">
      <c r="A82" s="17">
        <v>46103</v>
      </c>
      <c r="B82" s="16">
        <v>3</v>
      </c>
      <c r="C82" s="16" t="s">
        <v>35</v>
      </c>
      <c r="D82" s="19">
        <v>0</v>
      </c>
      <c r="E82" s="19">
        <v>3</v>
      </c>
      <c r="F82" s="19">
        <v>1</v>
      </c>
      <c r="G82" s="19">
        <v>0</v>
      </c>
      <c r="H82" s="19">
        <v>0</v>
      </c>
      <c r="I82" s="19">
        <v>0</v>
      </c>
      <c r="J82" s="16">
        <v>10</v>
      </c>
      <c r="K82" s="16">
        <v>6</v>
      </c>
      <c r="L82" s="18">
        <v>46128.348078703704</v>
      </c>
    </row>
    <row r="83" spans="1:12" x14ac:dyDescent="0.25">
      <c r="A83" s="17">
        <v>46104</v>
      </c>
      <c r="B83" s="16">
        <v>3</v>
      </c>
      <c r="C83" s="16" t="s">
        <v>35</v>
      </c>
      <c r="D83" s="19">
        <v>3</v>
      </c>
      <c r="E83" s="19">
        <v>2</v>
      </c>
      <c r="F83" s="19">
        <v>0</v>
      </c>
      <c r="G83" s="19">
        <v>0</v>
      </c>
      <c r="H83" s="19">
        <v>0</v>
      </c>
      <c r="I83" s="19">
        <v>0</v>
      </c>
      <c r="J83" s="16">
        <v>6</v>
      </c>
      <c r="K83" s="16">
        <v>7</v>
      </c>
      <c r="L83" s="18">
        <v>46128.348078703704</v>
      </c>
    </row>
    <row r="84" spans="1:12" x14ac:dyDescent="0.25">
      <c r="A84" s="17">
        <v>46105</v>
      </c>
      <c r="B84" s="16">
        <v>3</v>
      </c>
      <c r="C84" s="16" t="s">
        <v>35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9">
        <v>0</v>
      </c>
      <c r="J84" s="16">
        <v>7</v>
      </c>
      <c r="K84" s="16">
        <v>7</v>
      </c>
      <c r="L84" s="18">
        <v>46128.348078703704</v>
      </c>
    </row>
    <row r="85" spans="1:12" x14ac:dyDescent="0.25">
      <c r="A85" s="17">
        <v>46106</v>
      </c>
      <c r="B85" s="16">
        <v>3</v>
      </c>
      <c r="C85" s="16" t="s">
        <v>35</v>
      </c>
      <c r="D85" s="19">
        <v>0</v>
      </c>
      <c r="E85" s="19">
        <v>2</v>
      </c>
      <c r="F85" s="19">
        <v>0</v>
      </c>
      <c r="G85" s="19">
        <v>0</v>
      </c>
      <c r="H85" s="19">
        <v>0</v>
      </c>
      <c r="I85" s="19">
        <v>0</v>
      </c>
      <c r="J85" s="16">
        <v>7</v>
      </c>
      <c r="K85" s="16">
        <v>5</v>
      </c>
      <c r="L85" s="18">
        <v>46128.348078703704</v>
      </c>
    </row>
    <row r="86" spans="1:12" x14ac:dyDescent="0.25">
      <c r="A86" s="17">
        <v>46107</v>
      </c>
      <c r="B86" s="16">
        <v>3</v>
      </c>
      <c r="C86" s="16" t="s">
        <v>35</v>
      </c>
      <c r="D86" s="19">
        <v>3</v>
      </c>
      <c r="E86" s="19">
        <v>1</v>
      </c>
      <c r="F86" s="19">
        <v>0</v>
      </c>
      <c r="G86" s="19">
        <v>0</v>
      </c>
      <c r="H86" s="19">
        <v>0</v>
      </c>
      <c r="I86" s="19">
        <v>0</v>
      </c>
      <c r="J86" s="16">
        <v>5</v>
      </c>
      <c r="K86" s="16">
        <v>7</v>
      </c>
      <c r="L86" s="18">
        <v>46128.348078703704</v>
      </c>
    </row>
    <row r="87" spans="1:12" x14ac:dyDescent="0.25">
      <c r="A87" s="17">
        <v>46108</v>
      </c>
      <c r="B87" s="16">
        <v>3</v>
      </c>
      <c r="C87" s="16" t="s">
        <v>35</v>
      </c>
      <c r="D87" s="19">
        <v>1</v>
      </c>
      <c r="E87" s="19">
        <v>1</v>
      </c>
      <c r="F87" s="19">
        <v>0</v>
      </c>
      <c r="G87" s="19">
        <v>0</v>
      </c>
      <c r="H87" s="19">
        <v>0</v>
      </c>
      <c r="I87" s="19">
        <v>0</v>
      </c>
      <c r="J87" s="16">
        <v>7</v>
      </c>
      <c r="K87" s="16">
        <v>7</v>
      </c>
      <c r="L87" s="18">
        <v>46128.348078703704</v>
      </c>
    </row>
    <row r="88" spans="1:12" x14ac:dyDescent="0.25">
      <c r="A88" s="17">
        <v>46109</v>
      </c>
      <c r="B88" s="16">
        <v>3</v>
      </c>
      <c r="C88" s="16" t="s">
        <v>35</v>
      </c>
      <c r="D88" s="19">
        <v>0</v>
      </c>
      <c r="E88" s="19">
        <v>1</v>
      </c>
      <c r="F88" s="19">
        <v>0</v>
      </c>
      <c r="G88" s="19">
        <v>0</v>
      </c>
      <c r="H88" s="19">
        <v>0</v>
      </c>
      <c r="I88" s="19">
        <v>0</v>
      </c>
      <c r="J88" s="16">
        <v>7</v>
      </c>
      <c r="K88" s="16">
        <v>6</v>
      </c>
      <c r="L88" s="18">
        <v>46128.348078703704</v>
      </c>
    </row>
    <row r="89" spans="1:12" x14ac:dyDescent="0.25">
      <c r="A89" s="17">
        <v>46110</v>
      </c>
      <c r="B89" s="16">
        <v>3</v>
      </c>
      <c r="C89" s="16" t="s">
        <v>35</v>
      </c>
      <c r="D89" s="19">
        <v>0</v>
      </c>
      <c r="E89" s="19">
        <v>0</v>
      </c>
      <c r="F89" s="19">
        <v>0</v>
      </c>
      <c r="G89" s="19">
        <v>0</v>
      </c>
      <c r="H89" s="19">
        <v>0</v>
      </c>
      <c r="I89" s="19">
        <v>0</v>
      </c>
      <c r="J89" s="16">
        <v>6</v>
      </c>
      <c r="K89" s="16">
        <v>6</v>
      </c>
      <c r="L89" s="18">
        <v>46128.348078703704</v>
      </c>
    </row>
    <row r="90" spans="1:12" x14ac:dyDescent="0.25">
      <c r="A90" s="17">
        <v>46111</v>
      </c>
      <c r="B90" s="16">
        <v>3</v>
      </c>
      <c r="C90" s="16" t="s">
        <v>35</v>
      </c>
      <c r="D90" s="19">
        <v>3</v>
      </c>
      <c r="E90" s="19">
        <v>1</v>
      </c>
      <c r="F90" s="19">
        <v>0</v>
      </c>
      <c r="G90" s="19">
        <v>0</v>
      </c>
      <c r="H90" s="19">
        <v>0</v>
      </c>
      <c r="I90" s="19">
        <v>0</v>
      </c>
      <c r="J90" s="16">
        <v>6</v>
      </c>
      <c r="K90" s="16">
        <v>8</v>
      </c>
      <c r="L90" s="18">
        <v>46128.348078703704</v>
      </c>
    </row>
    <row r="91" spans="1:12" x14ac:dyDescent="0.25">
      <c r="A91" s="17">
        <v>46112</v>
      </c>
      <c r="B91" s="16">
        <v>3</v>
      </c>
      <c r="C91" s="16" t="s">
        <v>35</v>
      </c>
      <c r="D91" s="19">
        <v>3</v>
      </c>
      <c r="E91" s="19">
        <v>2</v>
      </c>
      <c r="F91" s="19">
        <v>0</v>
      </c>
      <c r="G91" s="19">
        <v>0</v>
      </c>
      <c r="H91" s="19">
        <v>0</v>
      </c>
      <c r="I91" s="19">
        <v>0</v>
      </c>
      <c r="J91" s="16">
        <v>8</v>
      </c>
      <c r="K91" s="16">
        <v>9</v>
      </c>
      <c r="L91" s="18">
        <v>46128.348078703704</v>
      </c>
    </row>
    <row r="92" spans="1:12" x14ac:dyDescent="0.25">
      <c r="A92" s="17">
        <v>46113</v>
      </c>
      <c r="B92" s="16">
        <v>4</v>
      </c>
      <c r="C92" s="16" t="s">
        <v>35</v>
      </c>
      <c r="D92" s="19">
        <v>2</v>
      </c>
      <c r="E92" s="19">
        <v>2</v>
      </c>
      <c r="F92" s="19">
        <v>0</v>
      </c>
      <c r="G92" s="19">
        <v>0</v>
      </c>
      <c r="H92" s="19">
        <v>0</v>
      </c>
      <c r="I92" s="19">
        <v>0</v>
      </c>
      <c r="J92" s="16">
        <v>9</v>
      </c>
      <c r="K92" s="16">
        <v>9</v>
      </c>
      <c r="L92" s="18">
        <v>46128.348078703704</v>
      </c>
    </row>
    <row r="93" spans="1:12" x14ac:dyDescent="0.25">
      <c r="A93" s="17">
        <v>46114</v>
      </c>
      <c r="B93" s="16">
        <v>4</v>
      </c>
      <c r="C93" s="16" t="s">
        <v>35</v>
      </c>
      <c r="D93" s="19">
        <v>2</v>
      </c>
      <c r="E93" s="19">
        <v>2</v>
      </c>
      <c r="F93" s="19">
        <v>0</v>
      </c>
      <c r="G93" s="19">
        <v>0</v>
      </c>
      <c r="H93" s="19">
        <v>0</v>
      </c>
      <c r="I93" s="19">
        <v>0</v>
      </c>
      <c r="J93" s="16">
        <v>9</v>
      </c>
      <c r="K93" s="16">
        <v>9</v>
      </c>
      <c r="L93" s="18">
        <v>46128.348078703704</v>
      </c>
    </row>
    <row r="94" spans="1:12" x14ac:dyDescent="0.25">
      <c r="A94" s="17">
        <v>46115</v>
      </c>
      <c r="B94" s="16">
        <v>4</v>
      </c>
      <c r="C94" s="16" t="s">
        <v>35</v>
      </c>
      <c r="D94" s="19">
        <v>1</v>
      </c>
      <c r="E94" s="19">
        <v>4</v>
      </c>
      <c r="F94" s="19">
        <v>0</v>
      </c>
      <c r="G94" s="19">
        <v>0</v>
      </c>
      <c r="H94" s="19">
        <v>1</v>
      </c>
      <c r="I94" s="19">
        <v>0</v>
      </c>
      <c r="J94" s="16">
        <v>9</v>
      </c>
      <c r="K94" s="16">
        <v>7</v>
      </c>
      <c r="L94" s="18">
        <v>46128.348078703704</v>
      </c>
    </row>
    <row r="95" spans="1:12" x14ac:dyDescent="0.25">
      <c r="A95" s="17">
        <v>46116</v>
      </c>
      <c r="B95" s="16">
        <v>4</v>
      </c>
      <c r="C95" s="16" t="s">
        <v>35</v>
      </c>
      <c r="D95" s="19">
        <v>1</v>
      </c>
      <c r="E95" s="19">
        <v>3</v>
      </c>
      <c r="F95" s="19">
        <v>0</v>
      </c>
      <c r="G95" s="19">
        <v>0</v>
      </c>
      <c r="H95" s="19">
        <v>0</v>
      </c>
      <c r="I95" s="19">
        <v>0</v>
      </c>
      <c r="J95" s="16">
        <v>7</v>
      </c>
      <c r="K95" s="16">
        <v>5</v>
      </c>
      <c r="L95" s="18">
        <v>46128.348078703704</v>
      </c>
    </row>
    <row r="96" spans="1:12" x14ac:dyDescent="0.25">
      <c r="A96" s="17">
        <v>46117</v>
      </c>
      <c r="B96" s="16">
        <v>4</v>
      </c>
      <c r="C96" s="16" t="s">
        <v>35</v>
      </c>
      <c r="D96" s="19">
        <v>3</v>
      </c>
      <c r="E96" s="19">
        <v>1</v>
      </c>
      <c r="F96" s="19">
        <v>0</v>
      </c>
      <c r="G96" s="19">
        <v>0</v>
      </c>
      <c r="H96" s="19">
        <v>0</v>
      </c>
      <c r="I96" s="19">
        <v>0</v>
      </c>
      <c r="J96" s="16">
        <v>5</v>
      </c>
      <c r="K96" s="16">
        <v>7</v>
      </c>
      <c r="L96" s="18">
        <v>46128.348078703704</v>
      </c>
    </row>
    <row r="97" spans="1:12" x14ac:dyDescent="0.25">
      <c r="A97" s="17">
        <v>46118</v>
      </c>
      <c r="B97" s="16">
        <v>4</v>
      </c>
      <c r="C97" s="16" t="s">
        <v>35</v>
      </c>
      <c r="D97" s="19">
        <v>0</v>
      </c>
      <c r="E97" s="19">
        <v>2</v>
      </c>
      <c r="F97" s="19">
        <v>0</v>
      </c>
      <c r="G97" s="19">
        <v>0</v>
      </c>
      <c r="H97" s="19">
        <v>0</v>
      </c>
      <c r="I97" s="19">
        <v>0</v>
      </c>
      <c r="J97" s="16">
        <v>7</v>
      </c>
      <c r="K97" s="16">
        <v>5</v>
      </c>
      <c r="L97" s="18">
        <v>46128.348078703704</v>
      </c>
    </row>
    <row r="98" spans="1:12" x14ac:dyDescent="0.25">
      <c r="A98" s="17">
        <v>46023</v>
      </c>
      <c r="B98" s="16">
        <v>1</v>
      </c>
      <c r="C98" s="16" t="s">
        <v>37</v>
      </c>
      <c r="D98" s="19">
        <v>4</v>
      </c>
      <c r="E98" s="19">
        <v>6</v>
      </c>
      <c r="F98" s="19">
        <v>0</v>
      </c>
      <c r="G98" s="19">
        <v>0</v>
      </c>
      <c r="H98" s="19">
        <v>0</v>
      </c>
      <c r="I98" s="19">
        <v>1</v>
      </c>
      <c r="J98" s="16">
        <v>9</v>
      </c>
      <c r="K98" s="16">
        <v>6</v>
      </c>
      <c r="L98" s="18">
        <v>46128.348078703704</v>
      </c>
    </row>
    <row r="99" spans="1:12" x14ac:dyDescent="0.25">
      <c r="A99" s="17">
        <v>46024</v>
      </c>
      <c r="B99" s="16">
        <v>1</v>
      </c>
      <c r="C99" s="16" t="s">
        <v>37</v>
      </c>
      <c r="D99" s="19">
        <v>4</v>
      </c>
      <c r="E99" s="19">
        <v>3</v>
      </c>
      <c r="F99" s="19">
        <v>0</v>
      </c>
      <c r="G99" s="19">
        <v>0</v>
      </c>
      <c r="H99" s="19">
        <v>2</v>
      </c>
      <c r="I99" s="19">
        <v>0</v>
      </c>
      <c r="J99" s="16">
        <v>6</v>
      </c>
      <c r="K99" s="16">
        <v>9</v>
      </c>
      <c r="L99" s="18">
        <v>46128.348078703704</v>
      </c>
    </row>
    <row r="100" spans="1:12" x14ac:dyDescent="0.25">
      <c r="A100" s="17">
        <v>46025</v>
      </c>
      <c r="B100" s="16">
        <v>1</v>
      </c>
      <c r="C100" s="16" t="s">
        <v>37</v>
      </c>
      <c r="D100" s="19">
        <v>3</v>
      </c>
      <c r="E100" s="19">
        <v>4</v>
      </c>
      <c r="F100" s="19">
        <v>0</v>
      </c>
      <c r="G100" s="19">
        <v>0</v>
      </c>
      <c r="H100" s="19">
        <v>2</v>
      </c>
      <c r="I100" s="19">
        <v>1</v>
      </c>
      <c r="J100" s="16">
        <v>9</v>
      </c>
      <c r="K100" s="16">
        <v>9</v>
      </c>
      <c r="L100" s="18">
        <v>46128.348078703704</v>
      </c>
    </row>
    <row r="101" spans="1:12" x14ac:dyDescent="0.25">
      <c r="A101" s="17">
        <v>46026</v>
      </c>
      <c r="B101" s="16">
        <v>1</v>
      </c>
      <c r="C101" s="16" t="s">
        <v>37</v>
      </c>
      <c r="D101" s="19">
        <v>7</v>
      </c>
      <c r="E101" s="19">
        <v>2</v>
      </c>
      <c r="F101" s="19">
        <v>0</v>
      </c>
      <c r="G101" s="19">
        <v>0</v>
      </c>
      <c r="H101" s="19">
        <v>1</v>
      </c>
      <c r="I101" s="19">
        <v>0</v>
      </c>
      <c r="J101" s="16">
        <v>9</v>
      </c>
      <c r="K101" s="16">
        <v>15</v>
      </c>
      <c r="L101" s="18">
        <v>46128.348078703704</v>
      </c>
    </row>
    <row r="102" spans="1:12" x14ac:dyDescent="0.25">
      <c r="A102" s="17">
        <v>46027</v>
      </c>
      <c r="B102" s="16">
        <v>1</v>
      </c>
      <c r="C102" s="16" t="s">
        <v>37</v>
      </c>
      <c r="D102" s="19">
        <v>5</v>
      </c>
      <c r="E102" s="19">
        <v>7</v>
      </c>
      <c r="F102" s="19">
        <v>0</v>
      </c>
      <c r="G102" s="19">
        <v>0</v>
      </c>
      <c r="H102" s="19">
        <v>2</v>
      </c>
      <c r="I102" s="19">
        <v>1</v>
      </c>
      <c r="J102" s="16">
        <v>15</v>
      </c>
      <c r="K102" s="16">
        <v>14</v>
      </c>
      <c r="L102" s="18">
        <v>46128.348078703704</v>
      </c>
    </row>
    <row r="103" spans="1:12" x14ac:dyDescent="0.25">
      <c r="A103" s="17">
        <v>46028</v>
      </c>
      <c r="B103" s="16">
        <v>1</v>
      </c>
      <c r="C103" s="16" t="s">
        <v>37</v>
      </c>
      <c r="D103" s="19">
        <v>6</v>
      </c>
      <c r="E103" s="19">
        <v>6</v>
      </c>
      <c r="F103" s="19">
        <v>0</v>
      </c>
      <c r="G103" s="19">
        <v>0</v>
      </c>
      <c r="H103" s="19">
        <v>0</v>
      </c>
      <c r="I103" s="19">
        <v>2</v>
      </c>
      <c r="J103" s="16">
        <v>14</v>
      </c>
      <c r="K103" s="16">
        <v>12</v>
      </c>
      <c r="L103" s="18">
        <v>46128.348078703704</v>
      </c>
    </row>
    <row r="104" spans="1:12" x14ac:dyDescent="0.25">
      <c r="A104" s="17">
        <v>46029</v>
      </c>
      <c r="B104" s="16">
        <v>1</v>
      </c>
      <c r="C104" s="16" t="s">
        <v>37</v>
      </c>
      <c r="D104" s="19">
        <v>3</v>
      </c>
      <c r="E104" s="19">
        <v>7</v>
      </c>
      <c r="F104" s="19">
        <v>0</v>
      </c>
      <c r="G104" s="19">
        <v>0</v>
      </c>
      <c r="H104" s="19">
        <v>1</v>
      </c>
      <c r="I104" s="19">
        <v>1</v>
      </c>
      <c r="J104" s="16">
        <v>12</v>
      </c>
      <c r="K104" s="16">
        <v>8</v>
      </c>
      <c r="L104" s="18">
        <v>46128.348078703704</v>
      </c>
    </row>
    <row r="105" spans="1:12" x14ac:dyDescent="0.25">
      <c r="A105" s="17">
        <v>46030</v>
      </c>
      <c r="B105" s="16">
        <v>1</v>
      </c>
      <c r="C105" s="16" t="s">
        <v>37</v>
      </c>
      <c r="D105" s="19">
        <v>7</v>
      </c>
      <c r="E105" s="19">
        <v>2</v>
      </c>
      <c r="F105" s="19">
        <v>0</v>
      </c>
      <c r="G105" s="19">
        <v>0</v>
      </c>
      <c r="H105" s="19">
        <v>0</v>
      </c>
      <c r="I105" s="19">
        <v>1</v>
      </c>
      <c r="J105" s="16">
        <v>8</v>
      </c>
      <c r="K105" s="16">
        <v>12</v>
      </c>
      <c r="L105" s="18">
        <v>46128.348078703704</v>
      </c>
    </row>
    <row r="106" spans="1:12" x14ac:dyDescent="0.25">
      <c r="A106" s="17">
        <v>46031</v>
      </c>
      <c r="B106" s="16">
        <v>1</v>
      </c>
      <c r="C106" s="16" t="s">
        <v>37</v>
      </c>
      <c r="D106" s="19">
        <v>3</v>
      </c>
      <c r="E106" s="19">
        <v>6</v>
      </c>
      <c r="F106" s="19">
        <v>0</v>
      </c>
      <c r="G106" s="19">
        <v>0</v>
      </c>
      <c r="H106" s="19">
        <v>1</v>
      </c>
      <c r="I106" s="19">
        <v>1</v>
      </c>
      <c r="J106" s="16">
        <v>12</v>
      </c>
      <c r="K106" s="16">
        <v>9</v>
      </c>
      <c r="L106" s="18">
        <v>46128.348078703704</v>
      </c>
    </row>
    <row r="107" spans="1:12" x14ac:dyDescent="0.25">
      <c r="A107" s="17">
        <v>46032</v>
      </c>
      <c r="B107" s="16">
        <v>1</v>
      </c>
      <c r="C107" s="16" t="s">
        <v>37</v>
      </c>
      <c r="D107" s="19">
        <v>4</v>
      </c>
      <c r="E107" s="19">
        <v>2</v>
      </c>
      <c r="F107" s="19">
        <v>0</v>
      </c>
      <c r="G107" s="19">
        <v>0</v>
      </c>
      <c r="H107" s="19">
        <v>0</v>
      </c>
      <c r="I107" s="19">
        <v>1</v>
      </c>
      <c r="J107" s="16">
        <v>9</v>
      </c>
      <c r="K107" s="16">
        <v>10</v>
      </c>
      <c r="L107" s="18">
        <v>46128.348078703704</v>
      </c>
    </row>
    <row r="108" spans="1:12" x14ac:dyDescent="0.25">
      <c r="A108" s="17">
        <v>46033</v>
      </c>
      <c r="B108" s="16">
        <v>1</v>
      </c>
      <c r="C108" s="16" t="s">
        <v>37</v>
      </c>
      <c r="D108" s="19">
        <v>6</v>
      </c>
      <c r="E108" s="19">
        <v>7</v>
      </c>
      <c r="F108" s="19">
        <v>0</v>
      </c>
      <c r="G108" s="19">
        <v>0</v>
      </c>
      <c r="H108" s="19">
        <v>4</v>
      </c>
      <c r="I108" s="19">
        <v>1</v>
      </c>
      <c r="J108" s="16">
        <v>10</v>
      </c>
      <c r="K108" s="16">
        <v>12</v>
      </c>
      <c r="L108" s="18">
        <v>46128.348078703704</v>
      </c>
    </row>
    <row r="109" spans="1:12" x14ac:dyDescent="0.25">
      <c r="A109" s="17">
        <v>46034</v>
      </c>
      <c r="B109" s="16">
        <v>1</v>
      </c>
      <c r="C109" s="16" t="s">
        <v>37</v>
      </c>
      <c r="D109" s="19">
        <v>8</v>
      </c>
      <c r="E109" s="19">
        <v>4</v>
      </c>
      <c r="F109" s="19">
        <v>0</v>
      </c>
      <c r="G109" s="19">
        <v>0</v>
      </c>
      <c r="H109" s="19">
        <v>2</v>
      </c>
      <c r="I109" s="19">
        <v>3</v>
      </c>
      <c r="J109" s="16">
        <v>12</v>
      </c>
      <c r="K109" s="16">
        <v>15</v>
      </c>
      <c r="L109" s="18">
        <v>46128.348078703704</v>
      </c>
    </row>
    <row r="110" spans="1:12" x14ac:dyDescent="0.25">
      <c r="A110" s="17">
        <v>46035</v>
      </c>
      <c r="B110" s="16">
        <v>1</v>
      </c>
      <c r="C110" s="16" t="s">
        <v>37</v>
      </c>
      <c r="D110" s="19">
        <v>5</v>
      </c>
      <c r="E110" s="19">
        <v>6</v>
      </c>
      <c r="F110" s="19">
        <v>0</v>
      </c>
      <c r="G110" s="19">
        <v>0</v>
      </c>
      <c r="H110" s="19">
        <v>2</v>
      </c>
      <c r="I110" s="19">
        <v>0</v>
      </c>
      <c r="J110" s="16">
        <v>15</v>
      </c>
      <c r="K110" s="16">
        <v>16</v>
      </c>
      <c r="L110" s="18">
        <v>46128.348078703704</v>
      </c>
    </row>
    <row r="111" spans="1:12" x14ac:dyDescent="0.25">
      <c r="A111" s="17">
        <v>46036</v>
      </c>
      <c r="B111" s="16">
        <v>1</v>
      </c>
      <c r="C111" s="16" t="s">
        <v>37</v>
      </c>
      <c r="D111" s="19">
        <v>5</v>
      </c>
      <c r="E111" s="19">
        <v>3</v>
      </c>
      <c r="F111" s="19">
        <v>0</v>
      </c>
      <c r="G111" s="19">
        <v>0</v>
      </c>
      <c r="H111" s="19">
        <v>1</v>
      </c>
      <c r="I111" s="19">
        <v>2</v>
      </c>
      <c r="J111" s="16">
        <v>16</v>
      </c>
      <c r="K111" s="16">
        <v>17</v>
      </c>
      <c r="L111" s="18">
        <v>46128.348078703704</v>
      </c>
    </row>
    <row r="112" spans="1:12" x14ac:dyDescent="0.25">
      <c r="A112" s="17">
        <v>46037</v>
      </c>
      <c r="B112" s="16">
        <v>1</v>
      </c>
      <c r="C112" s="16" t="s">
        <v>37</v>
      </c>
      <c r="D112" s="19">
        <v>4</v>
      </c>
      <c r="E112" s="19">
        <v>11</v>
      </c>
      <c r="F112" s="19">
        <v>0</v>
      </c>
      <c r="G112" s="19">
        <v>0</v>
      </c>
      <c r="H112" s="19">
        <v>0</v>
      </c>
      <c r="I112" s="19">
        <v>1</v>
      </c>
      <c r="J112" s="16">
        <v>17</v>
      </c>
      <c r="K112" s="16">
        <v>9</v>
      </c>
      <c r="L112" s="18">
        <v>46128.348078703704</v>
      </c>
    </row>
    <row r="113" spans="1:12" x14ac:dyDescent="0.25">
      <c r="A113" s="17">
        <v>46038</v>
      </c>
      <c r="B113" s="16">
        <v>1</v>
      </c>
      <c r="C113" s="16" t="s">
        <v>37</v>
      </c>
      <c r="D113" s="19">
        <v>2</v>
      </c>
      <c r="E113" s="19">
        <v>1</v>
      </c>
      <c r="F113" s="19">
        <v>0</v>
      </c>
      <c r="G113" s="19">
        <v>0</v>
      </c>
      <c r="H113" s="19">
        <v>0</v>
      </c>
      <c r="I113" s="19">
        <v>0</v>
      </c>
      <c r="J113" s="16">
        <v>9</v>
      </c>
      <c r="K113" s="16">
        <v>10</v>
      </c>
      <c r="L113" s="18">
        <v>46128.348078703704</v>
      </c>
    </row>
    <row r="114" spans="1:12" x14ac:dyDescent="0.25">
      <c r="A114" s="17">
        <v>46039</v>
      </c>
      <c r="B114" s="16">
        <v>1</v>
      </c>
      <c r="C114" s="16" t="s">
        <v>37</v>
      </c>
      <c r="D114" s="19">
        <v>4</v>
      </c>
      <c r="E114" s="19">
        <v>2</v>
      </c>
      <c r="F114" s="19">
        <v>0</v>
      </c>
      <c r="G114" s="19">
        <v>0</v>
      </c>
      <c r="H114" s="19">
        <v>0</v>
      </c>
      <c r="I114" s="19">
        <v>1</v>
      </c>
      <c r="J114" s="16">
        <v>10</v>
      </c>
      <c r="K114" s="16">
        <v>11</v>
      </c>
      <c r="L114" s="18">
        <v>46128.348078703704</v>
      </c>
    </row>
    <row r="115" spans="1:12" x14ac:dyDescent="0.25">
      <c r="A115" s="17">
        <v>46040</v>
      </c>
      <c r="B115" s="16">
        <v>1</v>
      </c>
      <c r="C115" s="16" t="s">
        <v>37</v>
      </c>
      <c r="D115" s="19">
        <v>1</v>
      </c>
      <c r="E115" s="19">
        <v>3</v>
      </c>
      <c r="F115" s="19">
        <v>0</v>
      </c>
      <c r="G115" s="19">
        <v>0</v>
      </c>
      <c r="H115" s="19">
        <v>1</v>
      </c>
      <c r="I115" s="19">
        <v>0</v>
      </c>
      <c r="J115" s="16">
        <v>11</v>
      </c>
      <c r="K115" s="16">
        <v>10</v>
      </c>
      <c r="L115" s="18">
        <v>46128.348078703704</v>
      </c>
    </row>
    <row r="116" spans="1:12" x14ac:dyDescent="0.25">
      <c r="A116" s="17">
        <v>46041</v>
      </c>
      <c r="B116" s="16">
        <v>1</v>
      </c>
      <c r="C116" s="16" t="s">
        <v>37</v>
      </c>
      <c r="D116" s="19">
        <v>4</v>
      </c>
      <c r="E116" s="19">
        <v>1</v>
      </c>
      <c r="F116" s="19">
        <v>0</v>
      </c>
      <c r="G116" s="19">
        <v>0</v>
      </c>
      <c r="H116" s="19">
        <v>0</v>
      </c>
      <c r="I116" s="19">
        <v>0</v>
      </c>
      <c r="J116" s="16">
        <v>10</v>
      </c>
      <c r="K116" s="16">
        <v>13</v>
      </c>
      <c r="L116" s="18">
        <v>46128.348078703704</v>
      </c>
    </row>
    <row r="117" spans="1:12" x14ac:dyDescent="0.25">
      <c r="A117" s="17">
        <v>46042</v>
      </c>
      <c r="B117" s="16">
        <v>1</v>
      </c>
      <c r="C117" s="16" t="s">
        <v>37</v>
      </c>
      <c r="D117" s="19">
        <v>4</v>
      </c>
      <c r="E117" s="19">
        <v>2</v>
      </c>
      <c r="F117" s="19">
        <v>0</v>
      </c>
      <c r="G117" s="19">
        <v>0</v>
      </c>
      <c r="H117" s="19">
        <v>1</v>
      </c>
      <c r="I117" s="19">
        <v>0</v>
      </c>
      <c r="J117" s="16">
        <v>13</v>
      </c>
      <c r="K117" s="16">
        <v>16</v>
      </c>
      <c r="L117" s="18">
        <v>46128.348078703704</v>
      </c>
    </row>
    <row r="118" spans="1:12" x14ac:dyDescent="0.25">
      <c r="A118" s="17">
        <v>46043</v>
      </c>
      <c r="B118" s="16">
        <v>1</v>
      </c>
      <c r="C118" s="16" t="s">
        <v>37</v>
      </c>
      <c r="D118" s="19">
        <v>2</v>
      </c>
      <c r="E118" s="19">
        <v>6</v>
      </c>
      <c r="F118" s="19">
        <v>0</v>
      </c>
      <c r="G118" s="19">
        <v>0</v>
      </c>
      <c r="H118" s="19">
        <v>1</v>
      </c>
      <c r="I118" s="19">
        <v>0</v>
      </c>
      <c r="J118" s="16">
        <v>16</v>
      </c>
      <c r="K118" s="16">
        <v>13</v>
      </c>
      <c r="L118" s="18">
        <v>46128.348078703704</v>
      </c>
    </row>
    <row r="119" spans="1:12" x14ac:dyDescent="0.25">
      <c r="A119" s="17">
        <v>46044</v>
      </c>
      <c r="B119" s="16">
        <v>1</v>
      </c>
      <c r="C119" s="16" t="s">
        <v>37</v>
      </c>
      <c r="D119" s="19">
        <v>6</v>
      </c>
      <c r="E119" s="19">
        <v>3</v>
      </c>
      <c r="F119" s="19">
        <v>0</v>
      </c>
      <c r="G119" s="19">
        <v>0</v>
      </c>
      <c r="H119" s="19">
        <v>0</v>
      </c>
      <c r="I119" s="19">
        <v>3</v>
      </c>
      <c r="J119" s="16">
        <v>13</v>
      </c>
      <c r="K119" s="16">
        <v>13</v>
      </c>
      <c r="L119" s="18">
        <v>46128.348078703704</v>
      </c>
    </row>
    <row r="120" spans="1:12" x14ac:dyDescent="0.25">
      <c r="A120" s="17">
        <v>46045</v>
      </c>
      <c r="B120" s="16">
        <v>1</v>
      </c>
      <c r="C120" s="16" t="s">
        <v>37</v>
      </c>
      <c r="D120" s="19">
        <v>4</v>
      </c>
      <c r="E120" s="19">
        <v>7</v>
      </c>
      <c r="F120" s="19">
        <v>0</v>
      </c>
      <c r="G120" s="19">
        <v>0</v>
      </c>
      <c r="H120" s="19">
        <v>0</v>
      </c>
      <c r="I120" s="19">
        <v>1</v>
      </c>
      <c r="J120" s="16">
        <v>13</v>
      </c>
      <c r="K120" s="16">
        <v>9</v>
      </c>
      <c r="L120" s="18">
        <v>46128.348078703704</v>
      </c>
    </row>
    <row r="121" spans="1:12" x14ac:dyDescent="0.25">
      <c r="A121" s="17">
        <v>46046</v>
      </c>
      <c r="B121" s="16">
        <v>1</v>
      </c>
      <c r="C121" s="16" t="s">
        <v>37</v>
      </c>
      <c r="D121" s="19">
        <v>0</v>
      </c>
      <c r="E121" s="19">
        <v>1</v>
      </c>
      <c r="F121" s="19">
        <v>0</v>
      </c>
      <c r="G121" s="19">
        <v>0</v>
      </c>
      <c r="H121" s="19">
        <v>0</v>
      </c>
      <c r="I121" s="19">
        <v>1</v>
      </c>
      <c r="J121" s="16">
        <v>9</v>
      </c>
      <c r="K121" s="16">
        <v>7</v>
      </c>
      <c r="L121" s="18">
        <v>46128.348078703704</v>
      </c>
    </row>
    <row r="122" spans="1:12" x14ac:dyDescent="0.25">
      <c r="A122" s="17">
        <v>46047</v>
      </c>
      <c r="B122" s="16">
        <v>1</v>
      </c>
      <c r="C122" s="16" t="s">
        <v>37</v>
      </c>
      <c r="D122" s="19">
        <v>2</v>
      </c>
      <c r="E122" s="19">
        <v>1</v>
      </c>
      <c r="F122" s="19">
        <v>0</v>
      </c>
      <c r="G122" s="19">
        <v>0</v>
      </c>
      <c r="H122" s="19">
        <v>2</v>
      </c>
      <c r="I122" s="19">
        <v>0</v>
      </c>
      <c r="J122" s="16">
        <v>7</v>
      </c>
      <c r="K122" s="16">
        <v>10</v>
      </c>
      <c r="L122" s="18">
        <v>46128.348078703704</v>
      </c>
    </row>
    <row r="123" spans="1:12" x14ac:dyDescent="0.25">
      <c r="A123" s="17">
        <v>46048</v>
      </c>
      <c r="B123" s="16">
        <v>1</v>
      </c>
      <c r="C123" s="16" t="s">
        <v>37</v>
      </c>
      <c r="D123" s="19">
        <v>1</v>
      </c>
      <c r="E123" s="19">
        <v>3</v>
      </c>
      <c r="F123" s="19">
        <v>0</v>
      </c>
      <c r="G123" s="19">
        <v>0</v>
      </c>
      <c r="H123" s="19">
        <v>0</v>
      </c>
      <c r="I123" s="19">
        <v>0</v>
      </c>
      <c r="J123" s="16">
        <v>10</v>
      </c>
      <c r="K123" s="16">
        <v>8</v>
      </c>
      <c r="L123" s="18">
        <v>46128.348078703704</v>
      </c>
    </row>
    <row r="124" spans="1:12" x14ac:dyDescent="0.25">
      <c r="A124" s="17">
        <v>46049</v>
      </c>
      <c r="B124" s="16">
        <v>1</v>
      </c>
      <c r="C124" s="16" t="s">
        <v>37</v>
      </c>
      <c r="D124" s="19">
        <v>5</v>
      </c>
      <c r="E124" s="19">
        <v>5</v>
      </c>
      <c r="F124" s="19">
        <v>0</v>
      </c>
      <c r="G124" s="19">
        <v>0</v>
      </c>
      <c r="H124" s="19">
        <v>1</v>
      </c>
      <c r="I124" s="19">
        <v>1</v>
      </c>
      <c r="J124" s="16">
        <v>8</v>
      </c>
      <c r="K124" s="16">
        <v>8</v>
      </c>
      <c r="L124" s="18">
        <v>46128.348078703704</v>
      </c>
    </row>
    <row r="125" spans="1:12" x14ac:dyDescent="0.25">
      <c r="A125" s="17">
        <v>46050</v>
      </c>
      <c r="B125" s="16">
        <v>1</v>
      </c>
      <c r="C125" s="16" t="s">
        <v>37</v>
      </c>
      <c r="D125" s="19">
        <v>5</v>
      </c>
      <c r="E125" s="19">
        <v>2</v>
      </c>
      <c r="F125" s="19">
        <v>0</v>
      </c>
      <c r="G125" s="19">
        <v>0</v>
      </c>
      <c r="H125" s="19">
        <v>0</v>
      </c>
      <c r="I125" s="19">
        <v>2</v>
      </c>
      <c r="J125" s="16">
        <v>8</v>
      </c>
      <c r="K125" s="16">
        <v>9</v>
      </c>
      <c r="L125" s="18">
        <v>46128.348078703704</v>
      </c>
    </row>
    <row r="126" spans="1:12" x14ac:dyDescent="0.25">
      <c r="A126" s="17">
        <v>46051</v>
      </c>
      <c r="B126" s="16">
        <v>1</v>
      </c>
      <c r="C126" s="16" t="s">
        <v>37</v>
      </c>
      <c r="D126" s="19">
        <v>4</v>
      </c>
      <c r="E126" s="19">
        <v>1</v>
      </c>
      <c r="F126" s="19">
        <v>0</v>
      </c>
      <c r="G126" s="19">
        <v>0</v>
      </c>
      <c r="H126" s="19">
        <v>1</v>
      </c>
      <c r="I126" s="19">
        <v>2</v>
      </c>
      <c r="J126" s="16">
        <v>9</v>
      </c>
      <c r="K126" s="16">
        <v>11</v>
      </c>
      <c r="L126" s="18">
        <v>46128.348078703704</v>
      </c>
    </row>
    <row r="127" spans="1:12" x14ac:dyDescent="0.25">
      <c r="A127" s="17">
        <v>46052</v>
      </c>
      <c r="B127" s="16">
        <v>1</v>
      </c>
      <c r="C127" s="16" t="s">
        <v>37</v>
      </c>
      <c r="D127" s="19">
        <v>2</v>
      </c>
      <c r="E127" s="19">
        <v>5</v>
      </c>
      <c r="F127" s="19">
        <v>0</v>
      </c>
      <c r="G127" s="19">
        <v>0</v>
      </c>
      <c r="H127" s="19">
        <v>1</v>
      </c>
      <c r="I127" s="19">
        <v>0</v>
      </c>
      <c r="J127" s="16">
        <v>11</v>
      </c>
      <c r="K127" s="16">
        <v>9</v>
      </c>
      <c r="L127" s="18">
        <v>46128.348078703704</v>
      </c>
    </row>
    <row r="128" spans="1:12" x14ac:dyDescent="0.25">
      <c r="A128" s="17">
        <v>46053</v>
      </c>
      <c r="B128" s="16">
        <v>1</v>
      </c>
      <c r="C128" s="16" t="s">
        <v>37</v>
      </c>
      <c r="D128" s="19">
        <v>5</v>
      </c>
      <c r="E128" s="19">
        <v>3</v>
      </c>
      <c r="F128" s="19">
        <v>0</v>
      </c>
      <c r="G128" s="19">
        <v>0</v>
      </c>
      <c r="H128" s="19">
        <v>1</v>
      </c>
      <c r="I128" s="19">
        <v>0</v>
      </c>
      <c r="J128" s="16">
        <v>9</v>
      </c>
      <c r="K128" s="16">
        <v>12</v>
      </c>
      <c r="L128" s="18">
        <v>46128.348078703704</v>
      </c>
    </row>
    <row r="129" spans="1:12" x14ac:dyDescent="0.25">
      <c r="A129" s="17">
        <v>46054</v>
      </c>
      <c r="B129" s="16">
        <v>2</v>
      </c>
      <c r="C129" s="16" t="s">
        <v>37</v>
      </c>
      <c r="D129" s="19">
        <v>5</v>
      </c>
      <c r="E129" s="19">
        <v>4</v>
      </c>
      <c r="F129" s="19">
        <v>0</v>
      </c>
      <c r="G129" s="19">
        <v>0</v>
      </c>
      <c r="H129" s="19">
        <v>0</v>
      </c>
      <c r="I129" s="19">
        <v>1</v>
      </c>
      <c r="J129" s="16">
        <v>12</v>
      </c>
      <c r="K129" s="16">
        <v>12</v>
      </c>
      <c r="L129" s="18">
        <v>46128.348078703704</v>
      </c>
    </row>
    <row r="130" spans="1:12" x14ac:dyDescent="0.25">
      <c r="A130" s="17">
        <v>46055</v>
      </c>
      <c r="B130" s="16">
        <v>2</v>
      </c>
      <c r="C130" s="16" t="s">
        <v>37</v>
      </c>
      <c r="D130" s="19">
        <v>5</v>
      </c>
      <c r="E130" s="19">
        <v>5</v>
      </c>
      <c r="F130" s="19">
        <v>0</v>
      </c>
      <c r="G130" s="19">
        <v>0</v>
      </c>
      <c r="H130" s="19">
        <v>0</v>
      </c>
      <c r="I130" s="19">
        <v>1</v>
      </c>
      <c r="J130" s="16">
        <v>12</v>
      </c>
      <c r="K130" s="16">
        <v>11</v>
      </c>
      <c r="L130" s="18">
        <v>46128.348078703704</v>
      </c>
    </row>
    <row r="131" spans="1:12" x14ac:dyDescent="0.25">
      <c r="A131" s="17">
        <v>46056</v>
      </c>
      <c r="B131" s="16">
        <v>2</v>
      </c>
      <c r="C131" s="16" t="s">
        <v>37</v>
      </c>
      <c r="D131" s="19">
        <v>8</v>
      </c>
      <c r="E131" s="19">
        <v>3</v>
      </c>
      <c r="F131" s="19">
        <v>0</v>
      </c>
      <c r="G131" s="19">
        <v>0</v>
      </c>
      <c r="H131" s="19">
        <v>2</v>
      </c>
      <c r="I131" s="19">
        <v>0</v>
      </c>
      <c r="J131" s="16">
        <v>11</v>
      </c>
      <c r="K131" s="16">
        <v>18</v>
      </c>
      <c r="L131" s="18">
        <v>46128.348078703704</v>
      </c>
    </row>
    <row r="132" spans="1:12" x14ac:dyDescent="0.25">
      <c r="A132" s="17">
        <v>46057</v>
      </c>
      <c r="B132" s="16">
        <v>2</v>
      </c>
      <c r="C132" s="16" t="s">
        <v>37</v>
      </c>
      <c r="D132" s="19">
        <v>4</v>
      </c>
      <c r="E132" s="19">
        <v>2</v>
      </c>
      <c r="F132" s="19">
        <v>0</v>
      </c>
      <c r="G132" s="19">
        <v>0</v>
      </c>
      <c r="H132" s="19">
        <v>2</v>
      </c>
      <c r="I132" s="19">
        <v>2</v>
      </c>
      <c r="J132" s="16">
        <v>18</v>
      </c>
      <c r="K132" s="16">
        <v>20</v>
      </c>
      <c r="L132" s="18">
        <v>46128.348078703704</v>
      </c>
    </row>
    <row r="133" spans="1:12" x14ac:dyDescent="0.25">
      <c r="A133" s="17">
        <v>46058</v>
      </c>
      <c r="B133" s="16">
        <v>2</v>
      </c>
      <c r="C133" s="16" t="s">
        <v>37</v>
      </c>
      <c r="D133" s="19">
        <v>3</v>
      </c>
      <c r="E133" s="19">
        <v>6</v>
      </c>
      <c r="F133" s="19">
        <v>0</v>
      </c>
      <c r="G133" s="19">
        <v>0</v>
      </c>
      <c r="H133" s="19">
        <v>3</v>
      </c>
      <c r="I133" s="19">
        <v>6</v>
      </c>
      <c r="J133" s="16">
        <v>20</v>
      </c>
      <c r="K133" s="16">
        <v>14</v>
      </c>
      <c r="L133" s="18">
        <v>46128.348078703704</v>
      </c>
    </row>
    <row r="134" spans="1:12" x14ac:dyDescent="0.25">
      <c r="A134" s="17">
        <v>46059</v>
      </c>
      <c r="B134" s="16">
        <v>2</v>
      </c>
      <c r="C134" s="16" t="s">
        <v>37</v>
      </c>
      <c r="D134" s="19">
        <v>4</v>
      </c>
      <c r="E134" s="19">
        <v>7</v>
      </c>
      <c r="F134" s="19">
        <v>0</v>
      </c>
      <c r="G134" s="19">
        <v>0</v>
      </c>
      <c r="H134" s="19">
        <v>0</v>
      </c>
      <c r="I134" s="19">
        <v>1</v>
      </c>
      <c r="J134" s="16">
        <v>14</v>
      </c>
      <c r="K134" s="16">
        <v>10</v>
      </c>
      <c r="L134" s="18">
        <v>46128.348078703704</v>
      </c>
    </row>
    <row r="135" spans="1:12" x14ac:dyDescent="0.25">
      <c r="A135" s="17">
        <v>46060</v>
      </c>
      <c r="B135" s="16">
        <v>2</v>
      </c>
      <c r="C135" s="16" t="s">
        <v>37</v>
      </c>
      <c r="D135" s="19">
        <v>3</v>
      </c>
      <c r="E135" s="19">
        <v>2</v>
      </c>
      <c r="F135" s="19">
        <v>0</v>
      </c>
      <c r="G135" s="19">
        <v>0</v>
      </c>
      <c r="H135" s="19">
        <v>0</v>
      </c>
      <c r="I135" s="19">
        <v>4</v>
      </c>
      <c r="J135" s="16">
        <v>10</v>
      </c>
      <c r="K135" s="16">
        <v>7</v>
      </c>
      <c r="L135" s="18">
        <v>46128.348078703704</v>
      </c>
    </row>
    <row r="136" spans="1:12" x14ac:dyDescent="0.25">
      <c r="A136" s="17">
        <v>46061</v>
      </c>
      <c r="B136" s="16">
        <v>2</v>
      </c>
      <c r="C136" s="16" t="s">
        <v>37</v>
      </c>
      <c r="D136" s="19">
        <v>3</v>
      </c>
      <c r="E136" s="19">
        <v>2</v>
      </c>
      <c r="F136" s="19">
        <v>0</v>
      </c>
      <c r="G136" s="19">
        <v>0</v>
      </c>
      <c r="H136" s="19">
        <v>3</v>
      </c>
      <c r="I136" s="19">
        <v>2</v>
      </c>
      <c r="J136" s="16">
        <v>7</v>
      </c>
      <c r="K136" s="16">
        <v>9</v>
      </c>
      <c r="L136" s="18">
        <v>46128.348078703704</v>
      </c>
    </row>
    <row r="137" spans="1:12" x14ac:dyDescent="0.25">
      <c r="A137" s="17">
        <v>46062</v>
      </c>
      <c r="B137" s="16">
        <v>2</v>
      </c>
      <c r="C137" s="16" t="s">
        <v>37</v>
      </c>
      <c r="D137" s="19">
        <v>7</v>
      </c>
      <c r="E137" s="19">
        <v>4</v>
      </c>
      <c r="F137" s="19">
        <v>0</v>
      </c>
      <c r="G137" s="19">
        <v>0</v>
      </c>
      <c r="H137" s="19">
        <v>3</v>
      </c>
      <c r="I137" s="19">
        <v>0</v>
      </c>
      <c r="J137" s="16">
        <v>9</v>
      </c>
      <c r="K137" s="16">
        <v>15</v>
      </c>
      <c r="L137" s="18">
        <v>46128.348078703704</v>
      </c>
    </row>
    <row r="138" spans="1:12" x14ac:dyDescent="0.25">
      <c r="A138" s="17">
        <v>46063</v>
      </c>
      <c r="B138" s="16">
        <v>2</v>
      </c>
      <c r="C138" s="16" t="s">
        <v>37</v>
      </c>
      <c r="D138" s="19">
        <v>6</v>
      </c>
      <c r="E138" s="19">
        <v>6</v>
      </c>
      <c r="F138" s="19">
        <v>0</v>
      </c>
      <c r="G138" s="19">
        <v>0</v>
      </c>
      <c r="H138" s="19">
        <v>2</v>
      </c>
      <c r="I138" s="19">
        <v>4</v>
      </c>
      <c r="J138" s="16">
        <v>15</v>
      </c>
      <c r="K138" s="16">
        <v>13</v>
      </c>
      <c r="L138" s="18">
        <v>46128.348078703704</v>
      </c>
    </row>
    <row r="139" spans="1:12" x14ac:dyDescent="0.25">
      <c r="A139" s="17">
        <v>46064</v>
      </c>
      <c r="B139" s="16">
        <v>2</v>
      </c>
      <c r="C139" s="16" t="s">
        <v>37</v>
      </c>
      <c r="D139" s="19">
        <v>4</v>
      </c>
      <c r="E139" s="19">
        <v>5</v>
      </c>
      <c r="F139" s="19">
        <v>0</v>
      </c>
      <c r="G139" s="19">
        <v>0</v>
      </c>
      <c r="H139" s="19">
        <v>1</v>
      </c>
      <c r="I139" s="19">
        <v>1</v>
      </c>
      <c r="J139" s="16">
        <v>13</v>
      </c>
      <c r="K139" s="16">
        <v>12</v>
      </c>
      <c r="L139" s="18">
        <v>46128.348078703704</v>
      </c>
    </row>
    <row r="140" spans="1:12" x14ac:dyDescent="0.25">
      <c r="A140" s="17">
        <v>46065</v>
      </c>
      <c r="B140" s="16">
        <v>2</v>
      </c>
      <c r="C140" s="16" t="s">
        <v>37</v>
      </c>
      <c r="D140" s="19">
        <v>6</v>
      </c>
      <c r="E140" s="19">
        <v>1</v>
      </c>
      <c r="F140" s="19">
        <v>0</v>
      </c>
      <c r="G140" s="19">
        <v>0</v>
      </c>
      <c r="H140" s="19">
        <v>2</v>
      </c>
      <c r="I140" s="19">
        <v>4</v>
      </c>
      <c r="J140" s="16">
        <v>12</v>
      </c>
      <c r="K140" s="16">
        <v>15</v>
      </c>
      <c r="L140" s="18">
        <v>46128.348078703704</v>
      </c>
    </row>
    <row r="141" spans="1:12" x14ac:dyDescent="0.25">
      <c r="A141" s="17">
        <v>46066</v>
      </c>
      <c r="B141" s="16">
        <v>2</v>
      </c>
      <c r="C141" s="16" t="s">
        <v>37</v>
      </c>
      <c r="D141" s="19">
        <v>5</v>
      </c>
      <c r="E141" s="19">
        <v>4</v>
      </c>
      <c r="F141" s="19">
        <v>0</v>
      </c>
      <c r="G141" s="19">
        <v>0</v>
      </c>
      <c r="H141" s="19">
        <v>0</v>
      </c>
      <c r="I141" s="19">
        <v>0</v>
      </c>
      <c r="J141" s="16">
        <v>15</v>
      </c>
      <c r="K141" s="16">
        <v>16</v>
      </c>
      <c r="L141" s="18">
        <v>46128.348078703704</v>
      </c>
    </row>
    <row r="142" spans="1:12" x14ac:dyDescent="0.25">
      <c r="A142" s="17">
        <v>46067</v>
      </c>
      <c r="B142" s="16">
        <v>2</v>
      </c>
      <c r="C142" s="16" t="s">
        <v>37</v>
      </c>
      <c r="D142" s="19">
        <v>4</v>
      </c>
      <c r="E142" s="19">
        <v>1</v>
      </c>
      <c r="F142" s="19">
        <v>0</v>
      </c>
      <c r="G142" s="19">
        <v>0</v>
      </c>
      <c r="H142" s="19">
        <v>1</v>
      </c>
      <c r="I142" s="19">
        <v>0</v>
      </c>
      <c r="J142" s="16">
        <v>16</v>
      </c>
      <c r="K142" s="16">
        <v>20</v>
      </c>
      <c r="L142" s="18">
        <v>46128.348078703704</v>
      </c>
    </row>
    <row r="143" spans="1:12" x14ac:dyDescent="0.25">
      <c r="A143" s="17">
        <v>46068</v>
      </c>
      <c r="B143" s="16">
        <v>2</v>
      </c>
      <c r="C143" s="16" t="s">
        <v>37</v>
      </c>
      <c r="D143" s="19">
        <v>6</v>
      </c>
      <c r="E143" s="19">
        <v>7</v>
      </c>
      <c r="F143" s="19">
        <v>0</v>
      </c>
      <c r="G143" s="19">
        <v>0</v>
      </c>
      <c r="H143" s="19">
        <v>1</v>
      </c>
      <c r="I143" s="19">
        <v>3</v>
      </c>
      <c r="J143" s="16">
        <v>20</v>
      </c>
      <c r="K143" s="16">
        <v>17</v>
      </c>
      <c r="L143" s="18">
        <v>46128.348078703704</v>
      </c>
    </row>
    <row r="144" spans="1:12" x14ac:dyDescent="0.25">
      <c r="A144" s="17">
        <v>46069</v>
      </c>
      <c r="B144" s="16">
        <v>2</v>
      </c>
      <c r="C144" s="16" t="s">
        <v>37</v>
      </c>
      <c r="D144" s="19">
        <v>1</v>
      </c>
      <c r="E144" s="19">
        <v>5</v>
      </c>
      <c r="F144" s="19">
        <v>0</v>
      </c>
      <c r="G144" s="19">
        <v>0</v>
      </c>
      <c r="H144" s="19">
        <v>2</v>
      </c>
      <c r="I144" s="19">
        <v>1</v>
      </c>
      <c r="J144" s="16">
        <v>17</v>
      </c>
      <c r="K144" s="16">
        <v>14</v>
      </c>
      <c r="L144" s="18">
        <v>46128.348078703704</v>
      </c>
    </row>
    <row r="145" spans="1:12" x14ac:dyDescent="0.25">
      <c r="A145" s="17">
        <v>46070</v>
      </c>
      <c r="B145" s="16">
        <v>2</v>
      </c>
      <c r="C145" s="16" t="s">
        <v>37</v>
      </c>
      <c r="D145" s="19">
        <v>4</v>
      </c>
      <c r="E145" s="19">
        <v>3</v>
      </c>
      <c r="F145" s="19">
        <v>0</v>
      </c>
      <c r="G145" s="19">
        <v>0</v>
      </c>
      <c r="H145" s="19">
        <v>0</v>
      </c>
      <c r="I145" s="19">
        <v>6</v>
      </c>
      <c r="J145" s="16">
        <v>14</v>
      </c>
      <c r="K145" s="16">
        <v>9</v>
      </c>
      <c r="L145" s="18">
        <v>46128.348078703704</v>
      </c>
    </row>
    <row r="146" spans="1:12" x14ac:dyDescent="0.25">
      <c r="A146" s="17">
        <v>46071</v>
      </c>
      <c r="B146" s="16">
        <v>2</v>
      </c>
      <c r="C146" s="16" t="s">
        <v>37</v>
      </c>
      <c r="D146" s="19">
        <v>9</v>
      </c>
      <c r="E146" s="19">
        <v>0</v>
      </c>
      <c r="F146" s="19">
        <v>0</v>
      </c>
      <c r="G146" s="19">
        <v>0</v>
      </c>
      <c r="H146" s="19">
        <v>0</v>
      </c>
      <c r="I146" s="19">
        <v>0</v>
      </c>
      <c r="J146" s="16">
        <v>9</v>
      </c>
      <c r="K146" s="16">
        <v>18</v>
      </c>
      <c r="L146" s="18">
        <v>46128.348078703704</v>
      </c>
    </row>
    <row r="147" spans="1:12" x14ac:dyDescent="0.25">
      <c r="A147" s="17">
        <v>46072</v>
      </c>
      <c r="B147" s="16">
        <v>2</v>
      </c>
      <c r="C147" s="16" t="s">
        <v>37</v>
      </c>
      <c r="D147" s="19">
        <v>4</v>
      </c>
      <c r="E147" s="19">
        <v>5</v>
      </c>
      <c r="F147" s="19">
        <v>0</v>
      </c>
      <c r="G147" s="19">
        <v>0</v>
      </c>
      <c r="H147" s="19">
        <v>0</v>
      </c>
      <c r="I147" s="19">
        <v>1</v>
      </c>
      <c r="J147" s="16">
        <v>18</v>
      </c>
      <c r="K147" s="16">
        <v>16</v>
      </c>
      <c r="L147" s="18">
        <v>46128.348078703704</v>
      </c>
    </row>
    <row r="148" spans="1:12" x14ac:dyDescent="0.25">
      <c r="A148" s="17">
        <v>46073</v>
      </c>
      <c r="B148" s="16">
        <v>2</v>
      </c>
      <c r="C148" s="16" t="s">
        <v>37</v>
      </c>
      <c r="D148" s="19">
        <v>3</v>
      </c>
      <c r="E148" s="19">
        <v>8</v>
      </c>
      <c r="F148" s="19">
        <v>0</v>
      </c>
      <c r="G148" s="19">
        <v>0</v>
      </c>
      <c r="H148" s="19">
        <v>0</v>
      </c>
      <c r="I148" s="19">
        <v>2</v>
      </c>
      <c r="J148" s="16">
        <v>16</v>
      </c>
      <c r="K148" s="16">
        <v>9</v>
      </c>
      <c r="L148" s="18">
        <v>46128.348078703704</v>
      </c>
    </row>
    <row r="149" spans="1:12" x14ac:dyDescent="0.25">
      <c r="A149" s="17">
        <v>46074</v>
      </c>
      <c r="B149" s="16">
        <v>2</v>
      </c>
      <c r="C149" s="16" t="s">
        <v>37</v>
      </c>
      <c r="D149" s="19">
        <v>3</v>
      </c>
      <c r="E149" s="19">
        <v>3</v>
      </c>
      <c r="F149" s="19">
        <v>0</v>
      </c>
      <c r="G149" s="19">
        <v>0</v>
      </c>
      <c r="H149" s="19">
        <v>0</v>
      </c>
      <c r="I149" s="19">
        <v>0</v>
      </c>
      <c r="J149" s="16">
        <v>9</v>
      </c>
      <c r="K149" s="16">
        <v>9</v>
      </c>
      <c r="L149" s="18">
        <v>46128.348078703704</v>
      </c>
    </row>
    <row r="150" spans="1:12" x14ac:dyDescent="0.25">
      <c r="A150" s="17">
        <v>46075</v>
      </c>
      <c r="B150" s="16">
        <v>2</v>
      </c>
      <c r="C150" s="16" t="s">
        <v>37</v>
      </c>
      <c r="D150" s="19">
        <v>1</v>
      </c>
      <c r="E150" s="19">
        <v>2</v>
      </c>
      <c r="F150" s="19">
        <v>0</v>
      </c>
      <c r="G150" s="19">
        <v>0</v>
      </c>
      <c r="H150" s="19">
        <v>1</v>
      </c>
      <c r="I150" s="19">
        <v>0</v>
      </c>
      <c r="J150" s="16">
        <v>9</v>
      </c>
      <c r="K150" s="16">
        <v>9</v>
      </c>
      <c r="L150" s="18">
        <v>46128.348078703704</v>
      </c>
    </row>
    <row r="151" spans="1:12" x14ac:dyDescent="0.25">
      <c r="A151" s="17">
        <v>46076</v>
      </c>
      <c r="B151" s="16">
        <v>2</v>
      </c>
      <c r="C151" s="16" t="s">
        <v>37</v>
      </c>
      <c r="D151" s="19">
        <v>3</v>
      </c>
      <c r="E151" s="19">
        <v>4</v>
      </c>
      <c r="F151" s="19">
        <v>0</v>
      </c>
      <c r="G151" s="19">
        <v>0</v>
      </c>
      <c r="H151" s="19">
        <v>2</v>
      </c>
      <c r="I151" s="19">
        <v>1</v>
      </c>
      <c r="J151" s="16">
        <v>9</v>
      </c>
      <c r="K151" s="16">
        <v>9</v>
      </c>
      <c r="L151" s="18">
        <v>46128.348078703704</v>
      </c>
    </row>
    <row r="152" spans="1:12" x14ac:dyDescent="0.25">
      <c r="A152" s="17">
        <v>46077</v>
      </c>
      <c r="B152" s="16">
        <v>2</v>
      </c>
      <c r="C152" s="16" t="s">
        <v>37</v>
      </c>
      <c r="D152" s="19">
        <v>4</v>
      </c>
      <c r="E152" s="19">
        <v>4</v>
      </c>
      <c r="F152" s="19">
        <v>0</v>
      </c>
      <c r="G152" s="19">
        <v>0</v>
      </c>
      <c r="H152" s="19">
        <v>1</v>
      </c>
      <c r="I152" s="19">
        <v>1</v>
      </c>
      <c r="J152" s="16">
        <v>9</v>
      </c>
      <c r="K152" s="16">
        <v>9</v>
      </c>
      <c r="L152" s="18">
        <v>46128.348078703704</v>
      </c>
    </row>
    <row r="153" spans="1:12" x14ac:dyDescent="0.25">
      <c r="A153" s="17">
        <v>46078</v>
      </c>
      <c r="B153" s="16">
        <v>2</v>
      </c>
      <c r="C153" s="16" t="s">
        <v>37</v>
      </c>
      <c r="D153" s="19">
        <v>8</v>
      </c>
      <c r="E153" s="19">
        <v>1</v>
      </c>
      <c r="F153" s="19">
        <v>0</v>
      </c>
      <c r="G153" s="19">
        <v>0</v>
      </c>
      <c r="H153" s="19">
        <v>1</v>
      </c>
      <c r="I153" s="19">
        <v>1</v>
      </c>
      <c r="J153" s="16">
        <v>9</v>
      </c>
      <c r="K153" s="16">
        <v>16</v>
      </c>
      <c r="L153" s="18">
        <v>46128.348078703704</v>
      </c>
    </row>
    <row r="154" spans="1:12" x14ac:dyDescent="0.25">
      <c r="A154" s="17">
        <v>46079</v>
      </c>
      <c r="B154" s="16">
        <v>2</v>
      </c>
      <c r="C154" s="16" t="s">
        <v>37</v>
      </c>
      <c r="D154" s="19">
        <v>2</v>
      </c>
      <c r="E154" s="19">
        <v>10</v>
      </c>
      <c r="F154" s="19">
        <v>0</v>
      </c>
      <c r="G154" s="19">
        <v>0</v>
      </c>
      <c r="H154" s="19">
        <v>3</v>
      </c>
      <c r="I154" s="19">
        <v>0</v>
      </c>
      <c r="J154" s="16">
        <v>16</v>
      </c>
      <c r="K154" s="16">
        <v>11</v>
      </c>
      <c r="L154" s="18">
        <v>46128.348078703704</v>
      </c>
    </row>
    <row r="155" spans="1:12" x14ac:dyDescent="0.25">
      <c r="A155" s="17">
        <v>46080</v>
      </c>
      <c r="B155" s="16">
        <v>2</v>
      </c>
      <c r="C155" s="16" t="s">
        <v>37</v>
      </c>
      <c r="D155" s="19">
        <v>4</v>
      </c>
      <c r="E155" s="19">
        <v>3</v>
      </c>
      <c r="F155" s="19">
        <v>0</v>
      </c>
      <c r="G155" s="19">
        <v>0</v>
      </c>
      <c r="H155" s="19">
        <v>0</v>
      </c>
      <c r="I155" s="19">
        <v>0</v>
      </c>
      <c r="J155" s="16">
        <v>11</v>
      </c>
      <c r="K155" s="16">
        <v>12</v>
      </c>
      <c r="L155" s="18">
        <v>46128.348078703704</v>
      </c>
    </row>
    <row r="156" spans="1:12" x14ac:dyDescent="0.25">
      <c r="A156" s="17">
        <v>46081</v>
      </c>
      <c r="B156" s="16">
        <v>2</v>
      </c>
      <c r="C156" s="16" t="s">
        <v>37</v>
      </c>
      <c r="D156" s="19">
        <v>2</v>
      </c>
      <c r="E156" s="19">
        <v>6</v>
      </c>
      <c r="F156" s="19">
        <v>0</v>
      </c>
      <c r="G156" s="19">
        <v>0</v>
      </c>
      <c r="H156" s="19">
        <v>2</v>
      </c>
      <c r="I156" s="19">
        <v>2</v>
      </c>
      <c r="J156" s="16">
        <v>12</v>
      </c>
      <c r="K156" s="16">
        <v>8</v>
      </c>
      <c r="L156" s="18">
        <v>46128.348078703704</v>
      </c>
    </row>
    <row r="157" spans="1:12" x14ac:dyDescent="0.25">
      <c r="A157" s="17">
        <v>46082</v>
      </c>
      <c r="B157" s="16">
        <v>3</v>
      </c>
      <c r="C157" s="16" t="s">
        <v>37</v>
      </c>
      <c r="D157" s="19">
        <v>6</v>
      </c>
      <c r="E157" s="19">
        <v>0</v>
      </c>
      <c r="F157" s="19">
        <v>0</v>
      </c>
      <c r="G157" s="19">
        <v>0</v>
      </c>
      <c r="H157" s="19">
        <v>0</v>
      </c>
      <c r="I157" s="19">
        <v>3</v>
      </c>
      <c r="J157" s="16">
        <v>8</v>
      </c>
      <c r="K157" s="16">
        <v>11</v>
      </c>
      <c r="L157" s="18">
        <v>46128.348078703704</v>
      </c>
    </row>
    <row r="158" spans="1:12" x14ac:dyDescent="0.25">
      <c r="A158" s="17">
        <v>46083</v>
      </c>
      <c r="B158" s="16">
        <v>3</v>
      </c>
      <c r="C158" s="16" t="s">
        <v>37</v>
      </c>
      <c r="D158" s="19">
        <v>1</v>
      </c>
      <c r="E158" s="19">
        <v>6</v>
      </c>
      <c r="F158" s="19">
        <v>0</v>
      </c>
      <c r="G158" s="19">
        <v>0</v>
      </c>
      <c r="H158" s="19">
        <v>3</v>
      </c>
      <c r="I158" s="19">
        <v>1</v>
      </c>
      <c r="J158" s="16">
        <v>11</v>
      </c>
      <c r="K158" s="16">
        <v>8</v>
      </c>
      <c r="L158" s="18">
        <v>46128.348078703704</v>
      </c>
    </row>
    <row r="159" spans="1:12" x14ac:dyDescent="0.25">
      <c r="A159" s="17">
        <v>46084</v>
      </c>
      <c r="B159" s="16">
        <v>3</v>
      </c>
      <c r="C159" s="16" t="s">
        <v>37</v>
      </c>
      <c r="D159" s="19">
        <v>6</v>
      </c>
      <c r="E159" s="19">
        <v>1</v>
      </c>
      <c r="F159" s="19">
        <v>0</v>
      </c>
      <c r="G159" s="19">
        <v>0</v>
      </c>
      <c r="H159" s="19">
        <v>1</v>
      </c>
      <c r="I159" s="19">
        <v>0</v>
      </c>
      <c r="J159" s="16">
        <v>8</v>
      </c>
      <c r="K159" s="16">
        <v>14</v>
      </c>
      <c r="L159" s="18">
        <v>46128.348078703704</v>
      </c>
    </row>
    <row r="160" spans="1:12" x14ac:dyDescent="0.25">
      <c r="A160" s="17">
        <v>46085</v>
      </c>
      <c r="B160" s="16">
        <v>3</v>
      </c>
      <c r="C160" s="16" t="s">
        <v>37</v>
      </c>
      <c r="D160" s="19">
        <v>8</v>
      </c>
      <c r="E160" s="19">
        <v>8</v>
      </c>
      <c r="F160" s="19">
        <v>0</v>
      </c>
      <c r="G160" s="19">
        <v>0</v>
      </c>
      <c r="H160" s="19">
        <v>3</v>
      </c>
      <c r="I160" s="19">
        <v>1</v>
      </c>
      <c r="J160" s="16">
        <v>14</v>
      </c>
      <c r="K160" s="16">
        <v>16</v>
      </c>
      <c r="L160" s="18">
        <v>46128.348078703704</v>
      </c>
    </row>
    <row r="161" spans="1:12" x14ac:dyDescent="0.25">
      <c r="A161" s="17">
        <v>46086</v>
      </c>
      <c r="B161" s="16">
        <v>3</v>
      </c>
      <c r="C161" s="16" t="s">
        <v>37</v>
      </c>
      <c r="D161" s="19">
        <v>2</v>
      </c>
      <c r="E161" s="19">
        <v>9</v>
      </c>
      <c r="F161" s="19">
        <v>0</v>
      </c>
      <c r="G161" s="19">
        <v>0</v>
      </c>
      <c r="H161" s="19">
        <v>1</v>
      </c>
      <c r="I161" s="19">
        <v>2</v>
      </c>
      <c r="J161" s="16">
        <v>16</v>
      </c>
      <c r="K161" s="16">
        <v>8</v>
      </c>
      <c r="L161" s="18">
        <v>46128.348078703704</v>
      </c>
    </row>
    <row r="162" spans="1:12" x14ac:dyDescent="0.25">
      <c r="A162" s="17">
        <v>46087</v>
      </c>
      <c r="B162" s="16">
        <v>3</v>
      </c>
      <c r="C162" s="16" t="s">
        <v>37</v>
      </c>
      <c r="D162" s="19">
        <v>6</v>
      </c>
      <c r="E162" s="19">
        <v>1</v>
      </c>
      <c r="F162" s="19">
        <v>0</v>
      </c>
      <c r="G162" s="19">
        <v>0</v>
      </c>
      <c r="H162" s="19">
        <v>2</v>
      </c>
      <c r="I162" s="19">
        <v>3</v>
      </c>
      <c r="J162" s="16">
        <v>8</v>
      </c>
      <c r="K162" s="16">
        <v>12</v>
      </c>
      <c r="L162" s="18">
        <v>46128.348078703704</v>
      </c>
    </row>
    <row r="163" spans="1:12" x14ac:dyDescent="0.25">
      <c r="A163" s="17">
        <v>46088</v>
      </c>
      <c r="B163" s="16">
        <v>3</v>
      </c>
      <c r="C163" s="16" t="s">
        <v>37</v>
      </c>
      <c r="D163" s="19">
        <v>6</v>
      </c>
      <c r="E163" s="19">
        <v>2</v>
      </c>
      <c r="F163" s="19">
        <v>0</v>
      </c>
      <c r="G163" s="19">
        <v>0</v>
      </c>
      <c r="H163" s="19">
        <v>2</v>
      </c>
      <c r="I163" s="19">
        <v>2</v>
      </c>
      <c r="J163" s="16">
        <v>12</v>
      </c>
      <c r="K163" s="16">
        <v>16</v>
      </c>
      <c r="L163" s="18">
        <v>46128.348078703704</v>
      </c>
    </row>
    <row r="164" spans="1:12" x14ac:dyDescent="0.25">
      <c r="A164" s="17">
        <v>46089</v>
      </c>
      <c r="B164" s="16">
        <v>3</v>
      </c>
      <c r="C164" s="16" t="s">
        <v>37</v>
      </c>
      <c r="D164" s="19">
        <v>1</v>
      </c>
      <c r="E164" s="19">
        <v>6</v>
      </c>
      <c r="F164" s="19">
        <v>0</v>
      </c>
      <c r="G164" s="19">
        <v>0</v>
      </c>
      <c r="H164" s="19">
        <v>2</v>
      </c>
      <c r="I164" s="19">
        <v>3</v>
      </c>
      <c r="J164" s="16">
        <v>16</v>
      </c>
      <c r="K164" s="16">
        <v>10</v>
      </c>
      <c r="L164" s="18">
        <v>46128.348078703704</v>
      </c>
    </row>
    <row r="165" spans="1:12" x14ac:dyDescent="0.25">
      <c r="A165" s="17">
        <v>46090</v>
      </c>
      <c r="B165" s="16">
        <v>3</v>
      </c>
      <c r="C165" s="16" t="s">
        <v>37</v>
      </c>
      <c r="D165" s="19">
        <v>4</v>
      </c>
      <c r="E165" s="19">
        <v>4</v>
      </c>
      <c r="F165" s="19">
        <v>0</v>
      </c>
      <c r="G165" s="19">
        <v>0</v>
      </c>
      <c r="H165" s="19">
        <v>0</v>
      </c>
      <c r="I165" s="19">
        <v>0</v>
      </c>
      <c r="J165" s="16">
        <v>10</v>
      </c>
      <c r="K165" s="16">
        <v>10</v>
      </c>
      <c r="L165" s="18">
        <v>46128.348078703704</v>
      </c>
    </row>
    <row r="166" spans="1:12" x14ac:dyDescent="0.25">
      <c r="A166" s="17">
        <v>46091</v>
      </c>
      <c r="B166" s="16">
        <v>3</v>
      </c>
      <c r="C166" s="16" t="s">
        <v>37</v>
      </c>
      <c r="D166" s="19">
        <v>4</v>
      </c>
      <c r="E166" s="19">
        <v>3</v>
      </c>
      <c r="F166" s="19">
        <v>0</v>
      </c>
      <c r="G166" s="19">
        <v>0</v>
      </c>
      <c r="H166" s="19">
        <v>1</v>
      </c>
      <c r="I166" s="19">
        <v>1</v>
      </c>
      <c r="J166" s="16">
        <v>10</v>
      </c>
      <c r="K166" s="16">
        <v>11</v>
      </c>
      <c r="L166" s="18">
        <v>46128.348078703704</v>
      </c>
    </row>
    <row r="167" spans="1:12" x14ac:dyDescent="0.25">
      <c r="A167" s="17">
        <v>46092</v>
      </c>
      <c r="B167" s="16">
        <v>3</v>
      </c>
      <c r="C167" s="16" t="s">
        <v>37</v>
      </c>
      <c r="D167" s="19">
        <v>5</v>
      </c>
      <c r="E167" s="19">
        <v>4</v>
      </c>
      <c r="F167" s="19">
        <v>0</v>
      </c>
      <c r="G167" s="19">
        <v>0</v>
      </c>
      <c r="H167" s="19">
        <v>2</v>
      </c>
      <c r="I167" s="19">
        <v>1</v>
      </c>
      <c r="J167" s="16">
        <v>11</v>
      </c>
      <c r="K167" s="16">
        <v>13</v>
      </c>
      <c r="L167" s="18">
        <v>46128.348078703704</v>
      </c>
    </row>
    <row r="168" spans="1:12" x14ac:dyDescent="0.25">
      <c r="A168" s="17">
        <v>46093</v>
      </c>
      <c r="B168" s="16">
        <v>3</v>
      </c>
      <c r="C168" s="16" t="s">
        <v>37</v>
      </c>
      <c r="D168" s="19">
        <v>4</v>
      </c>
      <c r="E168" s="19">
        <v>8</v>
      </c>
      <c r="F168" s="19">
        <v>0</v>
      </c>
      <c r="G168" s="19">
        <v>0</v>
      </c>
      <c r="H168" s="19">
        <v>2</v>
      </c>
      <c r="I168" s="19">
        <v>1</v>
      </c>
      <c r="J168" s="16">
        <v>13</v>
      </c>
      <c r="K168" s="16">
        <v>10</v>
      </c>
      <c r="L168" s="18">
        <v>46128.348078703704</v>
      </c>
    </row>
    <row r="169" spans="1:12" x14ac:dyDescent="0.25">
      <c r="A169" s="17">
        <v>46094</v>
      </c>
      <c r="B169" s="16">
        <v>3</v>
      </c>
      <c r="C169" s="16" t="s">
        <v>37</v>
      </c>
      <c r="D169" s="19">
        <v>6</v>
      </c>
      <c r="E169" s="19">
        <v>4</v>
      </c>
      <c r="F169" s="19">
        <v>0</v>
      </c>
      <c r="G169" s="19">
        <v>0</v>
      </c>
      <c r="H169" s="19">
        <v>4</v>
      </c>
      <c r="I169" s="19">
        <v>3</v>
      </c>
      <c r="J169" s="16">
        <v>10</v>
      </c>
      <c r="K169" s="16">
        <v>13</v>
      </c>
      <c r="L169" s="18">
        <v>46128.348078703704</v>
      </c>
    </row>
    <row r="170" spans="1:12" x14ac:dyDescent="0.25">
      <c r="A170" s="17">
        <v>46095</v>
      </c>
      <c r="B170" s="16">
        <v>3</v>
      </c>
      <c r="C170" s="16" t="s">
        <v>37</v>
      </c>
      <c r="D170" s="19">
        <v>4</v>
      </c>
      <c r="E170" s="19">
        <v>5</v>
      </c>
      <c r="F170" s="19">
        <v>0</v>
      </c>
      <c r="G170" s="19">
        <v>0</v>
      </c>
      <c r="H170" s="19">
        <v>2</v>
      </c>
      <c r="I170" s="19">
        <v>1</v>
      </c>
      <c r="J170" s="16">
        <v>13</v>
      </c>
      <c r="K170" s="16">
        <v>13</v>
      </c>
      <c r="L170" s="18">
        <v>46128.348078703704</v>
      </c>
    </row>
    <row r="171" spans="1:12" x14ac:dyDescent="0.25">
      <c r="A171" s="17">
        <v>46096</v>
      </c>
      <c r="B171" s="16">
        <v>3</v>
      </c>
      <c r="C171" s="16" t="s">
        <v>37</v>
      </c>
      <c r="D171" s="19">
        <v>0</v>
      </c>
      <c r="E171" s="19">
        <v>1</v>
      </c>
      <c r="F171" s="19">
        <v>0</v>
      </c>
      <c r="G171" s="19">
        <v>0</v>
      </c>
      <c r="H171" s="19">
        <v>1</v>
      </c>
      <c r="I171" s="19">
        <v>1</v>
      </c>
      <c r="J171" s="16">
        <v>13</v>
      </c>
      <c r="K171" s="16">
        <v>12</v>
      </c>
      <c r="L171" s="18">
        <v>46128.348078703704</v>
      </c>
    </row>
    <row r="172" spans="1:12" x14ac:dyDescent="0.25">
      <c r="A172" s="17">
        <v>46097</v>
      </c>
      <c r="B172" s="16">
        <v>3</v>
      </c>
      <c r="C172" s="16" t="s">
        <v>37</v>
      </c>
      <c r="D172" s="19">
        <v>3</v>
      </c>
      <c r="E172" s="19">
        <v>3</v>
      </c>
      <c r="F172" s="19">
        <v>0</v>
      </c>
      <c r="G172" s="19">
        <v>0</v>
      </c>
      <c r="H172" s="19">
        <v>1</v>
      </c>
      <c r="I172" s="19">
        <v>1</v>
      </c>
      <c r="J172" s="16">
        <v>12</v>
      </c>
      <c r="K172" s="16">
        <v>12</v>
      </c>
      <c r="L172" s="18">
        <v>46128.348078703704</v>
      </c>
    </row>
    <row r="173" spans="1:12" x14ac:dyDescent="0.25">
      <c r="A173" s="17">
        <v>46098</v>
      </c>
      <c r="B173" s="16">
        <v>3</v>
      </c>
      <c r="C173" s="16" t="s">
        <v>37</v>
      </c>
      <c r="D173" s="19">
        <v>2</v>
      </c>
      <c r="E173" s="19">
        <v>4</v>
      </c>
      <c r="F173" s="19">
        <v>0</v>
      </c>
      <c r="G173" s="19">
        <v>0</v>
      </c>
      <c r="H173" s="19">
        <v>0</v>
      </c>
      <c r="I173" s="19">
        <v>0</v>
      </c>
      <c r="J173" s="16">
        <v>12</v>
      </c>
      <c r="K173" s="16">
        <v>10</v>
      </c>
      <c r="L173" s="18">
        <v>46128.348078703704</v>
      </c>
    </row>
    <row r="174" spans="1:12" x14ac:dyDescent="0.25">
      <c r="A174" s="17">
        <v>46099</v>
      </c>
      <c r="B174" s="16">
        <v>3</v>
      </c>
      <c r="C174" s="16" t="s">
        <v>37</v>
      </c>
      <c r="D174" s="19">
        <v>9</v>
      </c>
      <c r="E174" s="19">
        <v>1</v>
      </c>
      <c r="F174" s="19">
        <v>0</v>
      </c>
      <c r="G174" s="19">
        <v>0</v>
      </c>
      <c r="H174" s="19">
        <v>0</v>
      </c>
      <c r="I174" s="19">
        <v>1</v>
      </c>
      <c r="J174" s="16">
        <v>10</v>
      </c>
      <c r="K174" s="16">
        <v>17</v>
      </c>
      <c r="L174" s="18">
        <v>46128.348078703704</v>
      </c>
    </row>
    <row r="175" spans="1:12" x14ac:dyDescent="0.25">
      <c r="A175" s="17">
        <v>46100</v>
      </c>
      <c r="B175" s="16">
        <v>3</v>
      </c>
      <c r="C175" s="16" t="s">
        <v>37</v>
      </c>
      <c r="D175" s="19">
        <v>4</v>
      </c>
      <c r="E175" s="19">
        <v>12</v>
      </c>
      <c r="F175" s="19">
        <v>0</v>
      </c>
      <c r="G175" s="19">
        <v>0</v>
      </c>
      <c r="H175" s="19">
        <v>2</v>
      </c>
      <c r="I175" s="19">
        <v>0</v>
      </c>
      <c r="J175" s="16">
        <v>17</v>
      </c>
      <c r="K175" s="16">
        <v>11</v>
      </c>
      <c r="L175" s="18">
        <v>46128.348078703704</v>
      </c>
    </row>
    <row r="176" spans="1:12" x14ac:dyDescent="0.25">
      <c r="A176" s="17">
        <v>46101</v>
      </c>
      <c r="B176" s="16">
        <v>3</v>
      </c>
      <c r="C176" s="16" t="s">
        <v>37</v>
      </c>
      <c r="D176" s="19">
        <v>2</v>
      </c>
      <c r="E176" s="19">
        <v>4</v>
      </c>
      <c r="F176" s="19">
        <v>0</v>
      </c>
      <c r="G176" s="19">
        <v>0</v>
      </c>
      <c r="H176" s="19">
        <v>1</v>
      </c>
      <c r="I176" s="19">
        <v>0</v>
      </c>
      <c r="J176" s="16">
        <v>11</v>
      </c>
      <c r="K176" s="16">
        <v>10</v>
      </c>
      <c r="L176" s="18">
        <v>46128.348078703704</v>
      </c>
    </row>
    <row r="177" spans="1:12" x14ac:dyDescent="0.25">
      <c r="A177" s="17">
        <v>46102</v>
      </c>
      <c r="B177" s="16">
        <v>3</v>
      </c>
      <c r="C177" s="16" t="s">
        <v>37</v>
      </c>
      <c r="D177" s="19">
        <v>6</v>
      </c>
      <c r="E177" s="19">
        <v>3</v>
      </c>
      <c r="F177" s="19">
        <v>0</v>
      </c>
      <c r="G177" s="19">
        <v>0</v>
      </c>
      <c r="H177" s="19">
        <v>1</v>
      </c>
      <c r="I177" s="19">
        <v>1</v>
      </c>
      <c r="J177" s="16">
        <v>10</v>
      </c>
      <c r="K177" s="16">
        <v>13</v>
      </c>
      <c r="L177" s="18">
        <v>46128.348078703704</v>
      </c>
    </row>
    <row r="178" spans="1:12" x14ac:dyDescent="0.25">
      <c r="A178" s="17">
        <v>46103</v>
      </c>
      <c r="B178" s="16">
        <v>3</v>
      </c>
      <c r="C178" s="16" t="s">
        <v>37</v>
      </c>
      <c r="D178" s="19">
        <v>3</v>
      </c>
      <c r="E178" s="19">
        <v>10</v>
      </c>
      <c r="F178" s="19">
        <v>0</v>
      </c>
      <c r="G178" s="19">
        <v>0</v>
      </c>
      <c r="H178" s="19">
        <v>2</v>
      </c>
      <c r="I178" s="19">
        <v>0</v>
      </c>
      <c r="J178" s="16">
        <v>13</v>
      </c>
      <c r="K178" s="16">
        <v>8</v>
      </c>
      <c r="L178" s="18">
        <v>46128.348078703704</v>
      </c>
    </row>
    <row r="179" spans="1:12" x14ac:dyDescent="0.25">
      <c r="A179" s="17">
        <v>46104</v>
      </c>
      <c r="B179" s="16">
        <v>3</v>
      </c>
      <c r="C179" s="16" t="s">
        <v>37</v>
      </c>
      <c r="D179" s="19">
        <v>7</v>
      </c>
      <c r="E179" s="19">
        <v>4</v>
      </c>
      <c r="F179" s="19">
        <v>0</v>
      </c>
      <c r="G179" s="19">
        <v>0</v>
      </c>
      <c r="H179" s="19">
        <v>4</v>
      </c>
      <c r="I179" s="19">
        <v>1</v>
      </c>
      <c r="J179" s="16">
        <v>8</v>
      </c>
      <c r="K179" s="16">
        <v>14</v>
      </c>
      <c r="L179" s="18">
        <v>46128.348078703704</v>
      </c>
    </row>
    <row r="180" spans="1:12" x14ac:dyDescent="0.25">
      <c r="A180" s="17">
        <v>46105</v>
      </c>
      <c r="B180" s="16">
        <v>3</v>
      </c>
      <c r="C180" s="16" t="s">
        <v>37</v>
      </c>
      <c r="D180" s="19">
        <v>7</v>
      </c>
      <c r="E180" s="19">
        <v>5</v>
      </c>
      <c r="F180" s="19">
        <v>0</v>
      </c>
      <c r="G180" s="19">
        <v>0</v>
      </c>
      <c r="H180" s="19">
        <v>3</v>
      </c>
      <c r="I180" s="19">
        <v>1</v>
      </c>
      <c r="J180" s="16">
        <v>14</v>
      </c>
      <c r="K180" s="16">
        <v>18</v>
      </c>
      <c r="L180" s="18">
        <v>46128.348078703704</v>
      </c>
    </row>
    <row r="181" spans="1:12" x14ac:dyDescent="0.25">
      <c r="A181" s="17">
        <v>46106</v>
      </c>
      <c r="B181" s="16">
        <v>3</v>
      </c>
      <c r="C181" s="16" t="s">
        <v>37</v>
      </c>
      <c r="D181" s="19">
        <v>9</v>
      </c>
      <c r="E181" s="19">
        <v>7</v>
      </c>
      <c r="F181" s="19">
        <v>0</v>
      </c>
      <c r="G181" s="19">
        <v>0</v>
      </c>
      <c r="H181" s="19">
        <v>2</v>
      </c>
      <c r="I181" s="19">
        <v>2</v>
      </c>
      <c r="J181" s="16">
        <v>18</v>
      </c>
      <c r="K181" s="16">
        <v>20</v>
      </c>
      <c r="L181" s="18">
        <v>46128.348078703704</v>
      </c>
    </row>
    <row r="182" spans="1:12" x14ac:dyDescent="0.25">
      <c r="A182" s="17">
        <v>46107</v>
      </c>
      <c r="B182" s="16">
        <v>3</v>
      </c>
      <c r="C182" s="16" t="s">
        <v>37</v>
      </c>
      <c r="D182" s="19">
        <v>10</v>
      </c>
      <c r="E182" s="19">
        <v>6</v>
      </c>
      <c r="F182" s="19">
        <v>0</v>
      </c>
      <c r="G182" s="19">
        <v>0</v>
      </c>
      <c r="H182" s="19">
        <v>1</v>
      </c>
      <c r="I182" s="19">
        <v>4</v>
      </c>
      <c r="J182" s="16">
        <v>20</v>
      </c>
      <c r="K182" s="16">
        <v>21</v>
      </c>
      <c r="L182" s="18">
        <v>46128.348078703704</v>
      </c>
    </row>
    <row r="183" spans="1:12" x14ac:dyDescent="0.25">
      <c r="A183" s="17">
        <v>46108</v>
      </c>
      <c r="B183" s="16">
        <v>3</v>
      </c>
      <c r="C183" s="16" t="s">
        <v>37</v>
      </c>
      <c r="D183" s="19">
        <v>3</v>
      </c>
      <c r="E183" s="19">
        <v>7</v>
      </c>
      <c r="F183" s="19">
        <v>0</v>
      </c>
      <c r="G183" s="19">
        <v>0</v>
      </c>
      <c r="H183" s="19">
        <v>1</v>
      </c>
      <c r="I183" s="19">
        <v>0</v>
      </c>
      <c r="J183" s="16">
        <v>21</v>
      </c>
      <c r="K183" s="16">
        <v>18</v>
      </c>
      <c r="L183" s="18">
        <v>46128.348078703704</v>
      </c>
    </row>
    <row r="184" spans="1:12" x14ac:dyDescent="0.25">
      <c r="A184" s="17">
        <v>46109</v>
      </c>
      <c r="B184" s="16">
        <v>3</v>
      </c>
      <c r="C184" s="16" t="s">
        <v>37</v>
      </c>
      <c r="D184" s="19">
        <v>5</v>
      </c>
      <c r="E184" s="19">
        <v>1</v>
      </c>
      <c r="F184" s="19">
        <v>0</v>
      </c>
      <c r="G184" s="19">
        <v>0</v>
      </c>
      <c r="H184" s="19">
        <v>2</v>
      </c>
      <c r="I184" s="19">
        <v>1</v>
      </c>
      <c r="J184" s="16">
        <v>18</v>
      </c>
      <c r="K184" s="16">
        <v>23</v>
      </c>
      <c r="L184" s="18">
        <v>46128.348078703704</v>
      </c>
    </row>
    <row r="185" spans="1:12" x14ac:dyDescent="0.25">
      <c r="A185" s="17">
        <v>46110</v>
      </c>
      <c r="B185" s="16">
        <v>3</v>
      </c>
      <c r="C185" s="16" t="s">
        <v>37</v>
      </c>
      <c r="D185" s="19">
        <v>3</v>
      </c>
      <c r="E185" s="19">
        <v>10</v>
      </c>
      <c r="F185" s="19">
        <v>0</v>
      </c>
      <c r="G185" s="19">
        <v>0</v>
      </c>
      <c r="H185" s="19">
        <v>3</v>
      </c>
      <c r="I185" s="19">
        <v>2</v>
      </c>
      <c r="J185" s="16">
        <v>23</v>
      </c>
      <c r="K185" s="16">
        <v>17</v>
      </c>
      <c r="L185" s="18">
        <v>46128.348078703704</v>
      </c>
    </row>
    <row r="186" spans="1:12" x14ac:dyDescent="0.25">
      <c r="A186" s="17">
        <v>46111</v>
      </c>
      <c r="B186" s="16">
        <v>3</v>
      </c>
      <c r="C186" s="16" t="s">
        <v>37</v>
      </c>
      <c r="D186" s="19">
        <v>7</v>
      </c>
      <c r="E186" s="19">
        <v>6</v>
      </c>
      <c r="F186" s="19">
        <v>0</v>
      </c>
      <c r="G186" s="19">
        <v>0</v>
      </c>
      <c r="H186" s="19">
        <v>0</v>
      </c>
      <c r="I186" s="19">
        <v>1</v>
      </c>
      <c r="J186" s="16">
        <v>17</v>
      </c>
      <c r="K186" s="16">
        <v>17</v>
      </c>
      <c r="L186" s="18">
        <v>46128.348078703704</v>
      </c>
    </row>
    <row r="187" spans="1:12" x14ac:dyDescent="0.25">
      <c r="A187" s="17">
        <v>46112</v>
      </c>
      <c r="B187" s="16">
        <v>3</v>
      </c>
      <c r="C187" s="16" t="s">
        <v>37</v>
      </c>
      <c r="D187" s="19">
        <v>3</v>
      </c>
      <c r="E187" s="19">
        <v>3</v>
      </c>
      <c r="F187" s="19">
        <v>0</v>
      </c>
      <c r="G187" s="19">
        <v>0</v>
      </c>
      <c r="H187" s="19">
        <v>2</v>
      </c>
      <c r="I187" s="19">
        <v>1</v>
      </c>
      <c r="J187" s="16">
        <v>17</v>
      </c>
      <c r="K187" s="16">
        <v>18</v>
      </c>
      <c r="L187" s="18">
        <v>46128.348078703704</v>
      </c>
    </row>
    <row r="188" spans="1:12" x14ac:dyDescent="0.25">
      <c r="A188" s="17">
        <v>46113</v>
      </c>
      <c r="B188" s="16">
        <v>4</v>
      </c>
      <c r="C188" s="16" t="s">
        <v>37</v>
      </c>
      <c r="D188" s="19">
        <v>1</v>
      </c>
      <c r="E188" s="19">
        <v>2</v>
      </c>
      <c r="F188" s="19">
        <v>0</v>
      </c>
      <c r="G188" s="19">
        <v>0</v>
      </c>
      <c r="H188" s="19">
        <v>1</v>
      </c>
      <c r="I188" s="19">
        <v>1</v>
      </c>
      <c r="J188" s="16">
        <v>18</v>
      </c>
      <c r="K188" s="16">
        <v>17</v>
      </c>
      <c r="L188" s="18">
        <v>46128.348078703704</v>
      </c>
    </row>
    <row r="189" spans="1:12" x14ac:dyDescent="0.25">
      <c r="A189" s="17">
        <v>46114</v>
      </c>
      <c r="B189" s="16">
        <v>4</v>
      </c>
      <c r="C189" s="16" t="s">
        <v>37</v>
      </c>
      <c r="D189" s="19">
        <v>8</v>
      </c>
      <c r="E189" s="19">
        <v>5</v>
      </c>
      <c r="F189" s="19">
        <v>0</v>
      </c>
      <c r="G189" s="19">
        <v>0</v>
      </c>
      <c r="H189" s="19">
        <v>0</v>
      </c>
      <c r="I189" s="19">
        <v>0</v>
      </c>
      <c r="J189" s="16">
        <v>17</v>
      </c>
      <c r="K189" s="16">
        <v>20</v>
      </c>
      <c r="L189" s="18">
        <v>46128.348078703704</v>
      </c>
    </row>
    <row r="190" spans="1:12" x14ac:dyDescent="0.25">
      <c r="A190" s="17">
        <v>46115</v>
      </c>
      <c r="B190" s="16">
        <v>4</v>
      </c>
      <c r="C190" s="16" t="s">
        <v>37</v>
      </c>
      <c r="D190" s="19">
        <v>4</v>
      </c>
      <c r="E190" s="19">
        <v>6</v>
      </c>
      <c r="F190" s="19">
        <v>0</v>
      </c>
      <c r="G190" s="19">
        <v>0</v>
      </c>
      <c r="H190" s="19">
        <v>1</v>
      </c>
      <c r="I190" s="19">
        <v>3</v>
      </c>
      <c r="J190" s="16">
        <v>20</v>
      </c>
      <c r="K190" s="16">
        <v>16</v>
      </c>
      <c r="L190" s="18">
        <v>46128.348078703704</v>
      </c>
    </row>
    <row r="191" spans="1:12" x14ac:dyDescent="0.25">
      <c r="A191" s="17">
        <v>46116</v>
      </c>
      <c r="B191" s="16">
        <v>4</v>
      </c>
      <c r="C191" s="16" t="s">
        <v>37</v>
      </c>
      <c r="D191" s="19">
        <v>2</v>
      </c>
      <c r="E191" s="19">
        <v>10</v>
      </c>
      <c r="F191" s="19">
        <v>0</v>
      </c>
      <c r="G191" s="19">
        <v>0</v>
      </c>
      <c r="H191" s="19">
        <v>2</v>
      </c>
      <c r="I191" s="19">
        <v>0</v>
      </c>
      <c r="J191" s="16">
        <v>16</v>
      </c>
      <c r="K191" s="16">
        <v>10</v>
      </c>
      <c r="L191" s="18">
        <v>46128.348078703704</v>
      </c>
    </row>
    <row r="192" spans="1:12" x14ac:dyDescent="0.25">
      <c r="A192" s="17">
        <v>46117</v>
      </c>
      <c r="B192" s="16">
        <v>4</v>
      </c>
      <c r="C192" s="16" t="s">
        <v>37</v>
      </c>
      <c r="D192" s="19">
        <v>2</v>
      </c>
      <c r="E192" s="19">
        <v>4</v>
      </c>
      <c r="F192" s="19">
        <v>0</v>
      </c>
      <c r="G192" s="19">
        <v>0</v>
      </c>
      <c r="H192" s="19">
        <v>0</v>
      </c>
      <c r="I192" s="19">
        <v>0</v>
      </c>
      <c r="J192" s="16">
        <v>10</v>
      </c>
      <c r="K192" s="16">
        <v>8</v>
      </c>
      <c r="L192" s="18">
        <v>46128.348078703704</v>
      </c>
    </row>
    <row r="193" spans="1:12" x14ac:dyDescent="0.25">
      <c r="A193" s="17">
        <v>46118</v>
      </c>
      <c r="B193" s="16">
        <v>4</v>
      </c>
      <c r="C193" s="16" t="s">
        <v>37</v>
      </c>
      <c r="D193" s="19">
        <v>7</v>
      </c>
      <c r="E193" s="19">
        <v>2</v>
      </c>
      <c r="F193" s="19">
        <v>0</v>
      </c>
      <c r="G193" s="19">
        <v>0</v>
      </c>
      <c r="H193" s="19">
        <v>4</v>
      </c>
      <c r="I193" s="19">
        <v>0</v>
      </c>
      <c r="J193" s="16">
        <v>8</v>
      </c>
      <c r="K193" s="16">
        <v>17</v>
      </c>
      <c r="L193" s="18">
        <v>46128.348078703704</v>
      </c>
    </row>
    <row r="194" spans="1:12" x14ac:dyDescent="0.25">
      <c r="A194" s="17">
        <v>46023</v>
      </c>
      <c r="B194" s="16">
        <v>1</v>
      </c>
      <c r="C194" s="16" t="s">
        <v>39</v>
      </c>
      <c r="D194" s="19">
        <v>3</v>
      </c>
      <c r="E194" s="19">
        <v>2</v>
      </c>
      <c r="F194" s="19">
        <v>0</v>
      </c>
      <c r="G194" s="19">
        <v>0</v>
      </c>
      <c r="H194" s="19">
        <v>1</v>
      </c>
      <c r="I194" s="19">
        <v>0</v>
      </c>
      <c r="J194" s="16">
        <v>12</v>
      </c>
      <c r="K194" s="16">
        <v>14</v>
      </c>
      <c r="L194" s="18">
        <v>46128.348078703704</v>
      </c>
    </row>
    <row r="195" spans="1:12" x14ac:dyDescent="0.25">
      <c r="A195" s="17">
        <v>46024</v>
      </c>
      <c r="B195" s="16">
        <v>1</v>
      </c>
      <c r="C195" s="16" t="s">
        <v>39</v>
      </c>
      <c r="D195" s="19">
        <v>5</v>
      </c>
      <c r="E195" s="19">
        <v>4</v>
      </c>
      <c r="F195" s="19">
        <v>0</v>
      </c>
      <c r="G195" s="19">
        <v>0</v>
      </c>
      <c r="H195" s="19">
        <v>0</v>
      </c>
      <c r="I195" s="19">
        <v>2</v>
      </c>
      <c r="J195" s="16">
        <v>14</v>
      </c>
      <c r="K195" s="16">
        <v>13</v>
      </c>
      <c r="L195" s="18">
        <v>46128.348078703704</v>
      </c>
    </row>
    <row r="196" spans="1:12" x14ac:dyDescent="0.25">
      <c r="A196" s="17">
        <v>46025</v>
      </c>
      <c r="B196" s="16">
        <v>1</v>
      </c>
      <c r="C196" s="16" t="s">
        <v>39</v>
      </c>
      <c r="D196" s="19">
        <v>3</v>
      </c>
      <c r="E196" s="19">
        <v>1</v>
      </c>
      <c r="F196" s="19">
        <v>0</v>
      </c>
      <c r="G196" s="19">
        <v>0</v>
      </c>
      <c r="H196" s="19">
        <v>1</v>
      </c>
      <c r="I196" s="19">
        <v>2</v>
      </c>
      <c r="J196" s="16">
        <v>13</v>
      </c>
      <c r="K196" s="16">
        <v>14</v>
      </c>
      <c r="L196" s="18">
        <v>46128.348078703704</v>
      </c>
    </row>
    <row r="197" spans="1:12" x14ac:dyDescent="0.25">
      <c r="A197" s="17">
        <v>46026</v>
      </c>
      <c r="B197" s="16">
        <v>1</v>
      </c>
      <c r="C197" s="16" t="s">
        <v>39</v>
      </c>
      <c r="D197" s="19">
        <v>1</v>
      </c>
      <c r="E197" s="19">
        <v>4</v>
      </c>
      <c r="F197" s="19">
        <v>0</v>
      </c>
      <c r="G197" s="19">
        <v>0</v>
      </c>
      <c r="H197" s="19">
        <v>0</v>
      </c>
      <c r="I197" s="19">
        <v>1</v>
      </c>
      <c r="J197" s="16">
        <v>14</v>
      </c>
      <c r="K197" s="16">
        <v>10</v>
      </c>
      <c r="L197" s="18">
        <v>46128.348078703704</v>
      </c>
    </row>
    <row r="198" spans="1:12" x14ac:dyDescent="0.25">
      <c r="A198" s="17">
        <v>46027</v>
      </c>
      <c r="B198" s="16">
        <v>1</v>
      </c>
      <c r="C198" s="16" t="s">
        <v>39</v>
      </c>
      <c r="D198" s="19">
        <v>5</v>
      </c>
      <c r="E198" s="19">
        <v>1</v>
      </c>
      <c r="F198" s="19">
        <v>0</v>
      </c>
      <c r="G198" s="19">
        <v>0</v>
      </c>
      <c r="H198" s="19">
        <v>1</v>
      </c>
      <c r="I198" s="19">
        <v>1</v>
      </c>
      <c r="J198" s="16">
        <v>10</v>
      </c>
      <c r="K198" s="16">
        <v>14</v>
      </c>
      <c r="L198" s="18">
        <v>46128.348078703704</v>
      </c>
    </row>
    <row r="199" spans="1:12" x14ac:dyDescent="0.25">
      <c r="A199" s="17">
        <v>46028</v>
      </c>
      <c r="B199" s="16">
        <v>1</v>
      </c>
      <c r="C199" s="16" t="s">
        <v>39</v>
      </c>
      <c r="D199" s="19">
        <v>2</v>
      </c>
      <c r="E199" s="19">
        <v>0</v>
      </c>
      <c r="F199" s="19">
        <v>0</v>
      </c>
      <c r="G199" s="19">
        <v>0</v>
      </c>
      <c r="H199" s="19">
        <v>2</v>
      </c>
      <c r="I199" s="19">
        <v>0</v>
      </c>
      <c r="J199" s="16">
        <v>14</v>
      </c>
      <c r="K199" s="16">
        <v>18</v>
      </c>
      <c r="L199" s="18">
        <v>46128.348078703704</v>
      </c>
    </row>
    <row r="200" spans="1:12" x14ac:dyDescent="0.25">
      <c r="A200" s="17">
        <v>46029</v>
      </c>
      <c r="B200" s="16">
        <v>1</v>
      </c>
      <c r="C200" s="16" t="s">
        <v>39</v>
      </c>
      <c r="D200" s="19">
        <v>3</v>
      </c>
      <c r="E200" s="19">
        <v>1</v>
      </c>
      <c r="F200" s="19">
        <v>0</v>
      </c>
      <c r="G200" s="19">
        <v>0</v>
      </c>
      <c r="H200" s="19">
        <v>1</v>
      </c>
      <c r="I200" s="19">
        <v>1</v>
      </c>
      <c r="J200" s="16">
        <v>18</v>
      </c>
      <c r="K200" s="16">
        <v>20</v>
      </c>
      <c r="L200" s="18">
        <v>46128.348078703704</v>
      </c>
    </row>
    <row r="201" spans="1:12" x14ac:dyDescent="0.25">
      <c r="A201" s="17">
        <v>46030</v>
      </c>
      <c r="B201" s="16">
        <v>1</v>
      </c>
      <c r="C201" s="16" t="s">
        <v>39</v>
      </c>
      <c r="D201" s="19">
        <v>2</v>
      </c>
      <c r="E201" s="19">
        <v>4</v>
      </c>
      <c r="F201" s="19">
        <v>0</v>
      </c>
      <c r="G201" s="19">
        <v>0</v>
      </c>
      <c r="H201" s="19">
        <v>1</v>
      </c>
      <c r="I201" s="19">
        <v>0</v>
      </c>
      <c r="J201" s="16">
        <v>20</v>
      </c>
      <c r="K201" s="16">
        <v>19</v>
      </c>
      <c r="L201" s="18">
        <v>46128.348078703704</v>
      </c>
    </row>
    <row r="202" spans="1:12" x14ac:dyDescent="0.25">
      <c r="A202" s="17">
        <v>46031</v>
      </c>
      <c r="B202" s="16">
        <v>1</v>
      </c>
      <c r="C202" s="16" t="s">
        <v>39</v>
      </c>
      <c r="D202" s="19">
        <v>1</v>
      </c>
      <c r="E202" s="19">
        <v>3</v>
      </c>
      <c r="F202" s="19">
        <v>0</v>
      </c>
      <c r="G202" s="19">
        <v>0</v>
      </c>
      <c r="H202" s="19">
        <v>2</v>
      </c>
      <c r="I202" s="19">
        <v>1</v>
      </c>
      <c r="J202" s="16">
        <v>19</v>
      </c>
      <c r="K202" s="16">
        <v>18</v>
      </c>
      <c r="L202" s="18">
        <v>46128.348078703704</v>
      </c>
    </row>
    <row r="203" spans="1:12" x14ac:dyDescent="0.25">
      <c r="A203" s="17">
        <v>46032</v>
      </c>
      <c r="B203" s="16">
        <v>1</v>
      </c>
      <c r="C203" s="16" t="s">
        <v>39</v>
      </c>
      <c r="D203" s="19">
        <v>4</v>
      </c>
      <c r="E203" s="19">
        <v>3</v>
      </c>
      <c r="F203" s="19">
        <v>0</v>
      </c>
      <c r="G203" s="19">
        <v>0</v>
      </c>
      <c r="H203" s="19">
        <v>1</v>
      </c>
      <c r="I203" s="19">
        <v>0</v>
      </c>
      <c r="J203" s="16">
        <v>18</v>
      </c>
      <c r="K203" s="16">
        <v>20</v>
      </c>
      <c r="L203" s="18">
        <v>46128.348078703704</v>
      </c>
    </row>
    <row r="204" spans="1:12" x14ac:dyDescent="0.25">
      <c r="A204" s="17">
        <v>46033</v>
      </c>
      <c r="B204" s="16">
        <v>1</v>
      </c>
      <c r="C204" s="16" t="s">
        <v>39</v>
      </c>
      <c r="D204" s="19">
        <v>3</v>
      </c>
      <c r="E204" s="19">
        <v>2</v>
      </c>
      <c r="F204" s="19">
        <v>0</v>
      </c>
      <c r="G204" s="19">
        <v>0</v>
      </c>
      <c r="H204" s="19">
        <v>1</v>
      </c>
      <c r="I204" s="19">
        <v>4</v>
      </c>
      <c r="J204" s="16">
        <v>20</v>
      </c>
      <c r="K204" s="16">
        <v>18</v>
      </c>
      <c r="L204" s="18">
        <v>46128.348078703704</v>
      </c>
    </row>
    <row r="205" spans="1:12" x14ac:dyDescent="0.25">
      <c r="A205" s="17">
        <v>46034</v>
      </c>
      <c r="B205" s="16">
        <v>1</v>
      </c>
      <c r="C205" s="16" t="s">
        <v>39</v>
      </c>
      <c r="D205" s="19">
        <v>3</v>
      </c>
      <c r="E205" s="19">
        <v>3</v>
      </c>
      <c r="F205" s="19">
        <v>0</v>
      </c>
      <c r="G205" s="19">
        <v>0</v>
      </c>
      <c r="H205" s="19">
        <v>3</v>
      </c>
      <c r="I205" s="19">
        <v>2</v>
      </c>
      <c r="J205" s="16">
        <v>18</v>
      </c>
      <c r="K205" s="16">
        <v>19</v>
      </c>
      <c r="L205" s="18">
        <v>46128.348078703704</v>
      </c>
    </row>
    <row r="206" spans="1:12" x14ac:dyDescent="0.25">
      <c r="A206" s="17">
        <v>46035</v>
      </c>
      <c r="B206" s="16">
        <v>1</v>
      </c>
      <c r="C206" s="16" t="s">
        <v>39</v>
      </c>
      <c r="D206" s="19">
        <v>4</v>
      </c>
      <c r="E206" s="19">
        <v>4</v>
      </c>
      <c r="F206" s="19">
        <v>0</v>
      </c>
      <c r="G206" s="19">
        <v>0</v>
      </c>
      <c r="H206" s="19">
        <v>0</v>
      </c>
      <c r="I206" s="19">
        <v>2</v>
      </c>
      <c r="J206" s="16">
        <v>19</v>
      </c>
      <c r="K206" s="16">
        <v>17</v>
      </c>
      <c r="L206" s="18">
        <v>46128.348078703704</v>
      </c>
    </row>
    <row r="207" spans="1:12" x14ac:dyDescent="0.25">
      <c r="A207" s="17">
        <v>46036</v>
      </c>
      <c r="B207" s="16">
        <v>1</v>
      </c>
      <c r="C207" s="16" t="s">
        <v>39</v>
      </c>
      <c r="D207" s="19">
        <v>1</v>
      </c>
      <c r="E207" s="19">
        <v>8</v>
      </c>
      <c r="F207" s="19">
        <v>0</v>
      </c>
      <c r="G207" s="19">
        <v>0</v>
      </c>
      <c r="H207" s="19">
        <v>2</v>
      </c>
      <c r="I207" s="19">
        <v>1</v>
      </c>
      <c r="J207" s="16">
        <v>17</v>
      </c>
      <c r="K207" s="16">
        <v>11</v>
      </c>
      <c r="L207" s="18">
        <v>46128.348078703704</v>
      </c>
    </row>
    <row r="208" spans="1:12" x14ac:dyDescent="0.25">
      <c r="A208" s="17">
        <v>46037</v>
      </c>
      <c r="B208" s="16">
        <v>1</v>
      </c>
      <c r="C208" s="16" t="s">
        <v>39</v>
      </c>
      <c r="D208" s="19">
        <v>2</v>
      </c>
      <c r="E208" s="19">
        <v>3</v>
      </c>
      <c r="F208" s="19">
        <v>0</v>
      </c>
      <c r="G208" s="19">
        <v>0</v>
      </c>
      <c r="H208" s="19">
        <v>1</v>
      </c>
      <c r="I208" s="19">
        <v>0</v>
      </c>
      <c r="J208" s="16">
        <v>11</v>
      </c>
      <c r="K208" s="16">
        <v>11</v>
      </c>
      <c r="L208" s="18">
        <v>46128.348078703704</v>
      </c>
    </row>
    <row r="209" spans="1:12" x14ac:dyDescent="0.25">
      <c r="A209" s="17">
        <v>46038</v>
      </c>
      <c r="B209" s="16">
        <v>1</v>
      </c>
      <c r="C209" s="16" t="s">
        <v>39</v>
      </c>
      <c r="D209" s="19">
        <v>1</v>
      </c>
      <c r="E209" s="19">
        <v>1</v>
      </c>
      <c r="F209" s="19">
        <v>0</v>
      </c>
      <c r="G209" s="19">
        <v>0</v>
      </c>
      <c r="H209" s="19">
        <v>0</v>
      </c>
      <c r="I209" s="19">
        <v>0</v>
      </c>
      <c r="J209" s="16">
        <v>11</v>
      </c>
      <c r="K209" s="16">
        <v>11</v>
      </c>
      <c r="L209" s="18">
        <v>46128.348078703704</v>
      </c>
    </row>
    <row r="210" spans="1:12" x14ac:dyDescent="0.25">
      <c r="A210" s="17">
        <v>46039</v>
      </c>
      <c r="B210" s="16">
        <v>1</v>
      </c>
      <c r="C210" s="16" t="s">
        <v>39</v>
      </c>
      <c r="D210" s="19">
        <v>2</v>
      </c>
      <c r="E210" s="19">
        <v>6</v>
      </c>
      <c r="F210" s="19">
        <v>0</v>
      </c>
      <c r="G210" s="19">
        <v>0</v>
      </c>
      <c r="H210" s="19">
        <v>1</v>
      </c>
      <c r="I210" s="19">
        <v>0</v>
      </c>
      <c r="J210" s="16">
        <v>11</v>
      </c>
      <c r="K210" s="16">
        <v>8</v>
      </c>
      <c r="L210" s="18">
        <v>46128.348078703704</v>
      </c>
    </row>
    <row r="211" spans="1:12" x14ac:dyDescent="0.25">
      <c r="A211" s="17">
        <v>46040</v>
      </c>
      <c r="B211" s="16">
        <v>1</v>
      </c>
      <c r="C211" s="16" t="s">
        <v>39</v>
      </c>
      <c r="D211" s="19">
        <v>2</v>
      </c>
      <c r="E211" s="19">
        <v>1</v>
      </c>
      <c r="F211" s="19">
        <v>0</v>
      </c>
      <c r="G211" s="19">
        <v>0</v>
      </c>
      <c r="H211" s="19">
        <v>0</v>
      </c>
      <c r="I211" s="19">
        <v>1</v>
      </c>
      <c r="J211" s="16">
        <v>8</v>
      </c>
      <c r="K211" s="16">
        <v>8</v>
      </c>
      <c r="L211" s="18">
        <v>46128.348078703704</v>
      </c>
    </row>
    <row r="212" spans="1:12" x14ac:dyDescent="0.25">
      <c r="A212" s="17">
        <v>46041</v>
      </c>
      <c r="B212" s="16">
        <v>1</v>
      </c>
      <c r="C212" s="16" t="s">
        <v>39</v>
      </c>
      <c r="D212" s="19">
        <v>3</v>
      </c>
      <c r="E212" s="19">
        <v>3</v>
      </c>
      <c r="F212" s="19">
        <v>0</v>
      </c>
      <c r="G212" s="19">
        <v>0</v>
      </c>
      <c r="H212" s="19">
        <v>0</v>
      </c>
      <c r="I212" s="19">
        <v>0</v>
      </c>
      <c r="J212" s="16">
        <v>8</v>
      </c>
      <c r="K212" s="16">
        <v>8</v>
      </c>
      <c r="L212" s="18">
        <v>46128.348078703704</v>
      </c>
    </row>
    <row r="213" spans="1:12" x14ac:dyDescent="0.25">
      <c r="A213" s="17">
        <v>46042</v>
      </c>
      <c r="B213" s="16">
        <v>1</v>
      </c>
      <c r="C213" s="16" t="s">
        <v>39</v>
      </c>
      <c r="D213" s="19">
        <v>2</v>
      </c>
      <c r="E213" s="19">
        <v>2</v>
      </c>
      <c r="F213" s="19">
        <v>0</v>
      </c>
      <c r="G213" s="19">
        <v>0</v>
      </c>
      <c r="H213" s="19">
        <v>0</v>
      </c>
      <c r="I213" s="19">
        <v>1</v>
      </c>
      <c r="J213" s="16">
        <v>8</v>
      </c>
      <c r="K213" s="16">
        <v>7</v>
      </c>
      <c r="L213" s="18">
        <v>46128.348078703704</v>
      </c>
    </row>
    <row r="214" spans="1:12" x14ac:dyDescent="0.25">
      <c r="A214" s="17">
        <v>46043</v>
      </c>
      <c r="B214" s="16">
        <v>1</v>
      </c>
      <c r="C214" s="16" t="s">
        <v>39</v>
      </c>
      <c r="D214" s="19">
        <v>1</v>
      </c>
      <c r="E214" s="19">
        <v>2</v>
      </c>
      <c r="F214" s="19">
        <v>0</v>
      </c>
      <c r="G214" s="19">
        <v>0</v>
      </c>
      <c r="H214" s="19">
        <v>0</v>
      </c>
      <c r="I214" s="19">
        <v>1</v>
      </c>
      <c r="J214" s="16">
        <v>7</v>
      </c>
      <c r="K214" s="16">
        <v>5</v>
      </c>
      <c r="L214" s="18">
        <v>46128.348078703704</v>
      </c>
    </row>
    <row r="215" spans="1:12" x14ac:dyDescent="0.25">
      <c r="A215" s="17">
        <v>46044</v>
      </c>
      <c r="B215" s="16">
        <v>1</v>
      </c>
      <c r="C215" s="16" t="s">
        <v>39</v>
      </c>
      <c r="D215" s="19">
        <v>2</v>
      </c>
      <c r="E215" s="19">
        <v>4</v>
      </c>
      <c r="F215" s="19">
        <v>0</v>
      </c>
      <c r="G215" s="19">
        <v>0</v>
      </c>
      <c r="H215" s="19">
        <v>3</v>
      </c>
      <c r="I215" s="19">
        <v>0</v>
      </c>
      <c r="J215" s="16">
        <v>5</v>
      </c>
      <c r="K215" s="16">
        <v>6</v>
      </c>
      <c r="L215" s="18">
        <v>46128.348078703704</v>
      </c>
    </row>
    <row r="216" spans="1:12" x14ac:dyDescent="0.25">
      <c r="A216" s="17">
        <v>46045</v>
      </c>
      <c r="B216" s="16">
        <v>1</v>
      </c>
      <c r="C216" s="16" t="s">
        <v>39</v>
      </c>
      <c r="D216" s="19">
        <v>2</v>
      </c>
      <c r="E216" s="19">
        <v>3</v>
      </c>
      <c r="F216" s="19">
        <v>0</v>
      </c>
      <c r="G216" s="19">
        <v>0</v>
      </c>
      <c r="H216" s="19">
        <v>1</v>
      </c>
      <c r="I216" s="19">
        <v>0</v>
      </c>
      <c r="J216" s="16">
        <v>6</v>
      </c>
      <c r="K216" s="16">
        <v>6</v>
      </c>
      <c r="L216" s="18">
        <v>46128.348078703704</v>
      </c>
    </row>
    <row r="217" spans="1:12" x14ac:dyDescent="0.25">
      <c r="A217" s="17">
        <v>46046</v>
      </c>
      <c r="B217" s="16">
        <v>1</v>
      </c>
      <c r="C217" s="16" t="s">
        <v>39</v>
      </c>
      <c r="D217" s="19">
        <v>1</v>
      </c>
      <c r="E217" s="19">
        <v>2</v>
      </c>
      <c r="F217" s="19">
        <v>0</v>
      </c>
      <c r="G217" s="19">
        <v>0</v>
      </c>
      <c r="H217" s="19">
        <v>1</v>
      </c>
      <c r="I217" s="19">
        <v>0</v>
      </c>
      <c r="J217" s="16">
        <v>6</v>
      </c>
      <c r="K217" s="16">
        <v>6</v>
      </c>
      <c r="L217" s="18">
        <v>46128.348078703704</v>
      </c>
    </row>
    <row r="218" spans="1:12" x14ac:dyDescent="0.25">
      <c r="A218" s="17">
        <v>46047</v>
      </c>
      <c r="B218" s="16">
        <v>1</v>
      </c>
      <c r="C218" s="16" t="s">
        <v>39</v>
      </c>
      <c r="D218" s="19">
        <v>1</v>
      </c>
      <c r="E218" s="19">
        <v>2</v>
      </c>
      <c r="F218" s="19">
        <v>0</v>
      </c>
      <c r="G218" s="19">
        <v>0</v>
      </c>
      <c r="H218" s="19">
        <v>0</v>
      </c>
      <c r="I218" s="19">
        <v>2</v>
      </c>
      <c r="J218" s="16">
        <v>6</v>
      </c>
      <c r="K218" s="16">
        <v>3</v>
      </c>
      <c r="L218" s="18">
        <v>46128.348078703704</v>
      </c>
    </row>
    <row r="219" spans="1:12" x14ac:dyDescent="0.25">
      <c r="A219" s="17">
        <v>46048</v>
      </c>
      <c r="B219" s="16">
        <v>1</v>
      </c>
      <c r="C219" s="16" t="s">
        <v>39</v>
      </c>
      <c r="D219" s="19">
        <v>3</v>
      </c>
      <c r="E219" s="19">
        <v>0</v>
      </c>
      <c r="F219" s="19">
        <v>0</v>
      </c>
      <c r="G219" s="19">
        <v>0</v>
      </c>
      <c r="H219" s="19">
        <v>0</v>
      </c>
      <c r="I219" s="19">
        <v>0</v>
      </c>
      <c r="J219" s="16">
        <v>3</v>
      </c>
      <c r="K219" s="16">
        <v>6</v>
      </c>
      <c r="L219" s="18">
        <v>46128.348078703704</v>
      </c>
    </row>
    <row r="220" spans="1:12" x14ac:dyDescent="0.25">
      <c r="A220" s="17">
        <v>46049</v>
      </c>
      <c r="B220" s="16">
        <v>1</v>
      </c>
      <c r="C220" s="16" t="s">
        <v>39</v>
      </c>
      <c r="D220" s="19">
        <v>5</v>
      </c>
      <c r="E220" s="19">
        <v>1</v>
      </c>
      <c r="F220" s="19">
        <v>0</v>
      </c>
      <c r="G220" s="19">
        <v>0</v>
      </c>
      <c r="H220" s="19">
        <v>1</v>
      </c>
      <c r="I220" s="19">
        <v>1</v>
      </c>
      <c r="J220" s="16">
        <v>6</v>
      </c>
      <c r="K220" s="16">
        <v>10</v>
      </c>
      <c r="L220" s="18">
        <v>46128.348078703704</v>
      </c>
    </row>
    <row r="221" spans="1:12" x14ac:dyDescent="0.25">
      <c r="A221" s="17">
        <v>46050</v>
      </c>
      <c r="B221" s="16">
        <v>1</v>
      </c>
      <c r="C221" s="16" t="s">
        <v>39</v>
      </c>
      <c r="D221" s="19">
        <v>3</v>
      </c>
      <c r="E221" s="19">
        <v>1</v>
      </c>
      <c r="F221" s="19">
        <v>0</v>
      </c>
      <c r="G221" s="19">
        <v>0</v>
      </c>
      <c r="H221" s="19">
        <v>2</v>
      </c>
      <c r="I221" s="19">
        <v>0</v>
      </c>
      <c r="J221" s="16">
        <v>10</v>
      </c>
      <c r="K221" s="16">
        <v>14</v>
      </c>
      <c r="L221" s="18">
        <v>46128.348078703704</v>
      </c>
    </row>
    <row r="222" spans="1:12" x14ac:dyDescent="0.25">
      <c r="A222" s="17">
        <v>46051</v>
      </c>
      <c r="B222" s="16">
        <v>1</v>
      </c>
      <c r="C222" s="16" t="s">
        <v>39</v>
      </c>
      <c r="D222" s="19">
        <v>1</v>
      </c>
      <c r="E222" s="19">
        <v>3</v>
      </c>
      <c r="F222" s="19">
        <v>0</v>
      </c>
      <c r="G222" s="19">
        <v>0</v>
      </c>
      <c r="H222" s="19">
        <v>2</v>
      </c>
      <c r="I222" s="19">
        <v>1</v>
      </c>
      <c r="J222" s="16">
        <v>14</v>
      </c>
      <c r="K222" s="16">
        <v>13</v>
      </c>
      <c r="L222" s="18">
        <v>46128.348078703704</v>
      </c>
    </row>
    <row r="223" spans="1:12" x14ac:dyDescent="0.25">
      <c r="A223" s="17">
        <v>46052</v>
      </c>
      <c r="B223" s="16">
        <v>1</v>
      </c>
      <c r="C223" s="16" t="s">
        <v>39</v>
      </c>
      <c r="D223" s="19">
        <v>3</v>
      </c>
      <c r="E223" s="19">
        <v>0</v>
      </c>
      <c r="F223" s="19">
        <v>0</v>
      </c>
      <c r="G223" s="19">
        <v>0</v>
      </c>
      <c r="H223" s="19">
        <v>0</v>
      </c>
      <c r="I223" s="19">
        <v>1</v>
      </c>
      <c r="J223" s="16">
        <v>13</v>
      </c>
      <c r="K223" s="16">
        <v>15</v>
      </c>
      <c r="L223" s="18">
        <v>46128.348078703704</v>
      </c>
    </row>
    <row r="224" spans="1:12" x14ac:dyDescent="0.25">
      <c r="A224" s="17">
        <v>46053</v>
      </c>
      <c r="B224" s="16">
        <v>1</v>
      </c>
      <c r="C224" s="16" t="s">
        <v>39</v>
      </c>
      <c r="D224" s="19">
        <v>0</v>
      </c>
      <c r="E224" s="19">
        <v>7</v>
      </c>
      <c r="F224" s="19">
        <v>0</v>
      </c>
      <c r="G224" s="19">
        <v>0</v>
      </c>
      <c r="H224" s="19">
        <v>0</v>
      </c>
      <c r="I224" s="19">
        <v>1</v>
      </c>
      <c r="J224" s="16">
        <v>15</v>
      </c>
      <c r="K224" s="16">
        <v>7</v>
      </c>
      <c r="L224" s="18">
        <v>46128.348078703704</v>
      </c>
    </row>
    <row r="225" spans="1:12" x14ac:dyDescent="0.25">
      <c r="A225" s="17">
        <v>46054</v>
      </c>
      <c r="B225" s="16">
        <v>2</v>
      </c>
      <c r="C225" s="16" t="s">
        <v>39</v>
      </c>
      <c r="D225" s="19">
        <v>0</v>
      </c>
      <c r="E225" s="19">
        <v>0</v>
      </c>
      <c r="F225" s="19">
        <v>0</v>
      </c>
      <c r="G225" s="19">
        <v>0</v>
      </c>
      <c r="H225" s="19">
        <v>1</v>
      </c>
      <c r="I225" s="19">
        <v>0</v>
      </c>
      <c r="J225" s="16">
        <v>7</v>
      </c>
      <c r="K225" s="16">
        <v>8</v>
      </c>
      <c r="L225" s="18">
        <v>46128.348078703704</v>
      </c>
    </row>
    <row r="226" spans="1:12" x14ac:dyDescent="0.25">
      <c r="A226" s="17">
        <v>46055</v>
      </c>
      <c r="B226" s="16">
        <v>2</v>
      </c>
      <c r="C226" s="16" t="s">
        <v>39</v>
      </c>
      <c r="D226" s="19">
        <v>3</v>
      </c>
      <c r="E226" s="19">
        <v>2</v>
      </c>
      <c r="F226" s="19">
        <v>0</v>
      </c>
      <c r="G226" s="19">
        <v>0</v>
      </c>
      <c r="H226" s="19">
        <v>1</v>
      </c>
      <c r="I226" s="19">
        <v>0</v>
      </c>
      <c r="J226" s="16">
        <v>8</v>
      </c>
      <c r="K226" s="16">
        <v>10</v>
      </c>
      <c r="L226" s="18">
        <v>46128.348078703704</v>
      </c>
    </row>
    <row r="227" spans="1:12" x14ac:dyDescent="0.25">
      <c r="A227" s="17">
        <v>46056</v>
      </c>
      <c r="B227" s="16">
        <v>2</v>
      </c>
      <c r="C227" s="16" t="s">
        <v>39</v>
      </c>
      <c r="D227" s="19">
        <v>5</v>
      </c>
      <c r="E227" s="19">
        <v>2</v>
      </c>
      <c r="F227" s="19">
        <v>0</v>
      </c>
      <c r="G227" s="19">
        <v>0</v>
      </c>
      <c r="H227" s="19">
        <v>0</v>
      </c>
      <c r="I227" s="19">
        <v>2</v>
      </c>
      <c r="J227" s="16">
        <v>10</v>
      </c>
      <c r="K227" s="16">
        <v>11</v>
      </c>
      <c r="L227" s="18">
        <v>46128.348078703704</v>
      </c>
    </row>
    <row r="228" spans="1:12" x14ac:dyDescent="0.25">
      <c r="A228" s="17">
        <v>46057</v>
      </c>
      <c r="B228" s="16">
        <v>2</v>
      </c>
      <c r="C228" s="16" t="s">
        <v>39</v>
      </c>
      <c r="D228" s="19">
        <v>7</v>
      </c>
      <c r="E228" s="19">
        <v>3</v>
      </c>
      <c r="F228" s="19">
        <v>0</v>
      </c>
      <c r="G228" s="19">
        <v>0</v>
      </c>
      <c r="H228" s="19">
        <v>3</v>
      </c>
      <c r="I228" s="19">
        <v>2</v>
      </c>
      <c r="J228" s="16">
        <v>11</v>
      </c>
      <c r="K228" s="16">
        <v>16</v>
      </c>
      <c r="L228" s="18">
        <v>46128.348078703704</v>
      </c>
    </row>
    <row r="229" spans="1:12" x14ac:dyDescent="0.25">
      <c r="A229" s="17">
        <v>46058</v>
      </c>
      <c r="B229" s="16">
        <v>2</v>
      </c>
      <c r="C229" s="16" t="s">
        <v>39</v>
      </c>
      <c r="D229" s="19">
        <v>1</v>
      </c>
      <c r="E229" s="19">
        <v>3</v>
      </c>
      <c r="F229" s="19">
        <v>0</v>
      </c>
      <c r="G229" s="19">
        <v>0</v>
      </c>
      <c r="H229" s="19">
        <v>6</v>
      </c>
      <c r="I229" s="19">
        <v>3</v>
      </c>
      <c r="J229" s="16">
        <v>16</v>
      </c>
      <c r="K229" s="16">
        <v>17</v>
      </c>
      <c r="L229" s="18">
        <v>46128.348078703704</v>
      </c>
    </row>
    <row r="230" spans="1:12" x14ac:dyDescent="0.25">
      <c r="A230" s="17">
        <v>46059</v>
      </c>
      <c r="B230" s="16">
        <v>2</v>
      </c>
      <c r="C230" s="16" t="s">
        <v>39</v>
      </c>
      <c r="D230" s="19">
        <v>3</v>
      </c>
      <c r="E230" s="19">
        <v>2</v>
      </c>
      <c r="F230" s="19">
        <v>0</v>
      </c>
      <c r="G230" s="19">
        <v>0</v>
      </c>
      <c r="H230" s="19">
        <v>1</v>
      </c>
      <c r="I230" s="19">
        <v>0</v>
      </c>
      <c r="J230" s="16">
        <v>17</v>
      </c>
      <c r="K230" s="16">
        <v>19</v>
      </c>
      <c r="L230" s="18">
        <v>46128.348078703704</v>
      </c>
    </row>
    <row r="231" spans="1:12" x14ac:dyDescent="0.25">
      <c r="A231" s="17">
        <v>46060</v>
      </c>
      <c r="B231" s="16">
        <v>2</v>
      </c>
      <c r="C231" s="16" t="s">
        <v>39</v>
      </c>
      <c r="D231" s="19">
        <v>2</v>
      </c>
      <c r="E231" s="19">
        <v>10</v>
      </c>
      <c r="F231" s="19">
        <v>0</v>
      </c>
      <c r="G231" s="19">
        <v>0</v>
      </c>
      <c r="H231" s="19">
        <v>4</v>
      </c>
      <c r="I231" s="19">
        <v>0</v>
      </c>
      <c r="J231" s="16">
        <v>19</v>
      </c>
      <c r="K231" s="16">
        <v>15</v>
      </c>
      <c r="L231" s="18">
        <v>46128.348078703704</v>
      </c>
    </row>
    <row r="232" spans="1:12" x14ac:dyDescent="0.25">
      <c r="A232" s="17">
        <v>46061</v>
      </c>
      <c r="B232" s="16">
        <v>2</v>
      </c>
      <c r="C232" s="16" t="s">
        <v>39</v>
      </c>
      <c r="D232" s="19">
        <v>1</v>
      </c>
      <c r="E232" s="19">
        <v>0</v>
      </c>
      <c r="F232" s="19">
        <v>0</v>
      </c>
      <c r="G232" s="19">
        <v>0</v>
      </c>
      <c r="H232" s="19">
        <v>3</v>
      </c>
      <c r="I232" s="19">
        <v>3</v>
      </c>
      <c r="J232" s="16">
        <v>15</v>
      </c>
      <c r="K232" s="16">
        <v>16</v>
      </c>
      <c r="L232" s="18">
        <v>46128.348078703704</v>
      </c>
    </row>
    <row r="233" spans="1:12" x14ac:dyDescent="0.25">
      <c r="A233" s="17">
        <v>46062</v>
      </c>
      <c r="B233" s="16">
        <v>2</v>
      </c>
      <c r="C233" s="16" t="s">
        <v>39</v>
      </c>
      <c r="D233" s="19">
        <v>9</v>
      </c>
      <c r="E233" s="19">
        <v>3</v>
      </c>
      <c r="F233" s="19">
        <v>0</v>
      </c>
      <c r="G233" s="19">
        <v>0</v>
      </c>
      <c r="H233" s="19">
        <v>0</v>
      </c>
      <c r="I233" s="19">
        <v>3</v>
      </c>
      <c r="J233" s="16">
        <v>16</v>
      </c>
      <c r="K233" s="16">
        <v>19</v>
      </c>
      <c r="L233" s="18">
        <v>46128.348078703704</v>
      </c>
    </row>
    <row r="234" spans="1:12" x14ac:dyDescent="0.25">
      <c r="A234" s="17">
        <v>46063</v>
      </c>
      <c r="B234" s="16">
        <v>2</v>
      </c>
      <c r="C234" s="16" t="s">
        <v>39</v>
      </c>
      <c r="D234" s="19">
        <v>3</v>
      </c>
      <c r="E234" s="19">
        <v>3</v>
      </c>
      <c r="F234" s="19">
        <v>0</v>
      </c>
      <c r="G234" s="19">
        <v>0</v>
      </c>
      <c r="H234" s="19">
        <v>3</v>
      </c>
      <c r="I234" s="19">
        <v>2</v>
      </c>
      <c r="J234" s="16">
        <v>19</v>
      </c>
      <c r="K234" s="16">
        <v>20</v>
      </c>
      <c r="L234" s="18">
        <v>46128.348078703704</v>
      </c>
    </row>
    <row r="235" spans="1:12" x14ac:dyDescent="0.25">
      <c r="A235" s="17">
        <v>46064</v>
      </c>
      <c r="B235" s="16">
        <v>2</v>
      </c>
      <c r="C235" s="16" t="s">
        <v>39</v>
      </c>
      <c r="D235" s="19">
        <v>1</v>
      </c>
      <c r="E235" s="19">
        <v>2</v>
      </c>
      <c r="F235" s="19">
        <v>0</v>
      </c>
      <c r="G235" s="19">
        <v>0</v>
      </c>
      <c r="H235" s="19">
        <v>1</v>
      </c>
      <c r="I235" s="19">
        <v>0</v>
      </c>
      <c r="J235" s="16">
        <v>20</v>
      </c>
      <c r="K235" s="16">
        <v>20</v>
      </c>
      <c r="L235" s="18">
        <v>46128.348078703704</v>
      </c>
    </row>
    <row r="236" spans="1:12" x14ac:dyDescent="0.25">
      <c r="A236" s="17">
        <v>46065</v>
      </c>
      <c r="B236" s="16">
        <v>2</v>
      </c>
      <c r="C236" s="16" t="s">
        <v>39</v>
      </c>
      <c r="D236" s="19">
        <v>2</v>
      </c>
      <c r="E236" s="19">
        <v>6</v>
      </c>
      <c r="F236" s="19">
        <v>0</v>
      </c>
      <c r="G236" s="19">
        <v>0</v>
      </c>
      <c r="H236" s="19">
        <v>4</v>
      </c>
      <c r="I236" s="19">
        <v>2</v>
      </c>
      <c r="J236" s="16">
        <v>20</v>
      </c>
      <c r="K236" s="16">
        <v>18</v>
      </c>
      <c r="L236" s="18">
        <v>46128.348078703704</v>
      </c>
    </row>
    <row r="237" spans="1:12" x14ac:dyDescent="0.25">
      <c r="A237" s="17">
        <v>46066</v>
      </c>
      <c r="B237" s="16">
        <v>2</v>
      </c>
      <c r="C237" s="16" t="s">
        <v>39</v>
      </c>
      <c r="D237" s="19">
        <v>2</v>
      </c>
      <c r="E237" s="19">
        <v>3</v>
      </c>
      <c r="F237" s="19">
        <v>0</v>
      </c>
      <c r="G237" s="19">
        <v>0</v>
      </c>
      <c r="H237" s="19">
        <v>0</v>
      </c>
      <c r="I237" s="19">
        <v>0</v>
      </c>
      <c r="J237" s="16">
        <v>18</v>
      </c>
      <c r="K237" s="16">
        <v>17</v>
      </c>
      <c r="L237" s="18">
        <v>46128.348078703704</v>
      </c>
    </row>
    <row r="238" spans="1:12" x14ac:dyDescent="0.25">
      <c r="A238" s="17">
        <v>46067</v>
      </c>
      <c r="B238" s="16">
        <v>2</v>
      </c>
      <c r="C238" s="16" t="s">
        <v>39</v>
      </c>
      <c r="D238" s="19">
        <v>1</v>
      </c>
      <c r="E238" s="19">
        <v>3</v>
      </c>
      <c r="F238" s="19">
        <v>0</v>
      </c>
      <c r="G238" s="19">
        <v>0</v>
      </c>
      <c r="H238" s="19">
        <v>0</v>
      </c>
      <c r="I238" s="19">
        <v>1</v>
      </c>
      <c r="J238" s="16">
        <v>17</v>
      </c>
      <c r="K238" s="16">
        <v>14</v>
      </c>
      <c r="L238" s="18">
        <v>46128.348078703704</v>
      </c>
    </row>
    <row r="239" spans="1:12" x14ac:dyDescent="0.25">
      <c r="A239" s="17">
        <v>46068</v>
      </c>
      <c r="B239" s="16">
        <v>2</v>
      </c>
      <c r="C239" s="16" t="s">
        <v>39</v>
      </c>
      <c r="D239" s="19">
        <v>2</v>
      </c>
      <c r="E239" s="19">
        <v>7</v>
      </c>
      <c r="F239" s="19">
        <v>0</v>
      </c>
      <c r="G239" s="19">
        <v>0</v>
      </c>
      <c r="H239" s="19">
        <v>3</v>
      </c>
      <c r="I239" s="19">
        <v>1</v>
      </c>
      <c r="J239" s="16">
        <v>14</v>
      </c>
      <c r="K239" s="16">
        <v>11</v>
      </c>
      <c r="L239" s="18">
        <v>46128.348078703704</v>
      </c>
    </row>
    <row r="240" spans="1:12" x14ac:dyDescent="0.25">
      <c r="A240" s="17">
        <v>46069</v>
      </c>
      <c r="B240" s="16">
        <v>2</v>
      </c>
      <c r="C240" s="16" t="s">
        <v>39</v>
      </c>
      <c r="D240" s="19">
        <v>4</v>
      </c>
      <c r="E240" s="19">
        <v>0</v>
      </c>
      <c r="F240" s="19">
        <v>0</v>
      </c>
      <c r="G240" s="19">
        <v>0</v>
      </c>
      <c r="H240" s="19">
        <v>1</v>
      </c>
      <c r="I240" s="19">
        <v>2</v>
      </c>
      <c r="J240" s="16">
        <v>11</v>
      </c>
      <c r="K240" s="16">
        <v>14</v>
      </c>
      <c r="L240" s="18">
        <v>46128.348078703704</v>
      </c>
    </row>
    <row r="241" spans="1:12" x14ac:dyDescent="0.25">
      <c r="A241" s="17">
        <v>46070</v>
      </c>
      <c r="B241" s="16">
        <v>2</v>
      </c>
      <c r="C241" s="16" t="s">
        <v>39</v>
      </c>
      <c r="D241" s="19">
        <v>2</v>
      </c>
      <c r="E241" s="19">
        <v>2</v>
      </c>
      <c r="F241" s="19">
        <v>0</v>
      </c>
      <c r="G241" s="19">
        <v>0</v>
      </c>
      <c r="H241" s="19">
        <v>6</v>
      </c>
      <c r="I241" s="19">
        <v>0</v>
      </c>
      <c r="J241" s="16">
        <v>14</v>
      </c>
      <c r="K241" s="16">
        <v>20</v>
      </c>
      <c r="L241" s="18">
        <v>46128.348078703704</v>
      </c>
    </row>
    <row r="242" spans="1:12" x14ac:dyDescent="0.25">
      <c r="A242" s="17">
        <v>46071</v>
      </c>
      <c r="B242" s="16">
        <v>2</v>
      </c>
      <c r="C242" s="16" t="s">
        <v>39</v>
      </c>
      <c r="D242" s="19">
        <v>4</v>
      </c>
      <c r="E242" s="19">
        <v>2</v>
      </c>
      <c r="F242" s="19">
        <v>0</v>
      </c>
      <c r="G242" s="19">
        <v>0</v>
      </c>
      <c r="H242" s="19">
        <v>0</v>
      </c>
      <c r="I242" s="19">
        <v>0</v>
      </c>
      <c r="J242" s="16">
        <v>20</v>
      </c>
      <c r="K242" s="16">
        <v>22</v>
      </c>
      <c r="L242" s="18">
        <v>46128.348078703704</v>
      </c>
    </row>
    <row r="243" spans="1:12" x14ac:dyDescent="0.25">
      <c r="A243" s="17">
        <v>46072</v>
      </c>
      <c r="B243" s="16">
        <v>2</v>
      </c>
      <c r="C243" s="16" t="s">
        <v>39</v>
      </c>
      <c r="D243" s="19">
        <v>1</v>
      </c>
      <c r="E243" s="19">
        <v>6</v>
      </c>
      <c r="F243" s="19">
        <v>0</v>
      </c>
      <c r="G243" s="19">
        <v>0</v>
      </c>
      <c r="H243" s="19">
        <v>1</v>
      </c>
      <c r="I243" s="19">
        <v>0</v>
      </c>
      <c r="J243" s="16">
        <v>22</v>
      </c>
      <c r="K243" s="16">
        <v>18</v>
      </c>
      <c r="L243" s="18">
        <v>46128.348078703704</v>
      </c>
    </row>
    <row r="244" spans="1:12" x14ac:dyDescent="0.25">
      <c r="A244" s="17">
        <v>46073</v>
      </c>
      <c r="B244" s="16">
        <v>2</v>
      </c>
      <c r="C244" s="16" t="s">
        <v>39</v>
      </c>
      <c r="D244" s="19">
        <v>1</v>
      </c>
      <c r="E244" s="19">
        <v>6</v>
      </c>
      <c r="F244" s="19">
        <v>0</v>
      </c>
      <c r="G244" s="19">
        <v>0</v>
      </c>
      <c r="H244" s="19">
        <v>2</v>
      </c>
      <c r="I244" s="19">
        <v>0</v>
      </c>
      <c r="J244" s="16">
        <v>18</v>
      </c>
      <c r="K244" s="16">
        <v>15</v>
      </c>
      <c r="L244" s="18">
        <v>46128.348078703704</v>
      </c>
    </row>
    <row r="245" spans="1:12" x14ac:dyDescent="0.25">
      <c r="A245" s="17">
        <v>46074</v>
      </c>
      <c r="B245" s="16">
        <v>2</v>
      </c>
      <c r="C245" s="16" t="s">
        <v>39</v>
      </c>
      <c r="D245" s="19">
        <v>1</v>
      </c>
      <c r="E245" s="19">
        <v>2</v>
      </c>
      <c r="F245" s="19">
        <v>0</v>
      </c>
      <c r="G245" s="19">
        <v>0</v>
      </c>
      <c r="H245" s="19">
        <v>0</v>
      </c>
      <c r="I245" s="19">
        <v>0</v>
      </c>
      <c r="J245" s="16">
        <v>15</v>
      </c>
      <c r="K245" s="16">
        <v>14</v>
      </c>
      <c r="L245" s="18">
        <v>46128.348078703704</v>
      </c>
    </row>
    <row r="246" spans="1:12" x14ac:dyDescent="0.25">
      <c r="A246" s="17">
        <v>46075</v>
      </c>
      <c r="B246" s="16">
        <v>2</v>
      </c>
      <c r="C246" s="16" t="s">
        <v>39</v>
      </c>
      <c r="D246" s="19">
        <v>1</v>
      </c>
      <c r="E246" s="19">
        <v>2</v>
      </c>
      <c r="F246" s="19">
        <v>0</v>
      </c>
      <c r="G246" s="19">
        <v>0</v>
      </c>
      <c r="H246" s="19">
        <v>0</v>
      </c>
      <c r="I246" s="19">
        <v>1</v>
      </c>
      <c r="J246" s="16">
        <v>14</v>
      </c>
      <c r="K246" s="16">
        <v>12</v>
      </c>
      <c r="L246" s="18">
        <v>46128.348078703704</v>
      </c>
    </row>
    <row r="247" spans="1:12" x14ac:dyDescent="0.25">
      <c r="A247" s="17">
        <v>46076</v>
      </c>
      <c r="B247" s="16">
        <v>2</v>
      </c>
      <c r="C247" s="16" t="s">
        <v>39</v>
      </c>
      <c r="D247" s="19">
        <v>7</v>
      </c>
      <c r="E247" s="19">
        <v>1</v>
      </c>
      <c r="F247" s="19">
        <v>0</v>
      </c>
      <c r="G247" s="19">
        <v>0</v>
      </c>
      <c r="H247" s="19">
        <v>1</v>
      </c>
      <c r="I247" s="19">
        <v>2</v>
      </c>
      <c r="J247" s="16">
        <v>12</v>
      </c>
      <c r="K247" s="16">
        <v>17</v>
      </c>
      <c r="L247" s="18">
        <v>46128.348078703704</v>
      </c>
    </row>
    <row r="248" spans="1:12" x14ac:dyDescent="0.25">
      <c r="A248" s="17">
        <v>46077</v>
      </c>
      <c r="B248" s="16">
        <v>2</v>
      </c>
      <c r="C248" s="16" t="s">
        <v>39</v>
      </c>
      <c r="D248" s="19">
        <v>4</v>
      </c>
      <c r="E248" s="19">
        <v>3</v>
      </c>
      <c r="F248" s="19">
        <v>0</v>
      </c>
      <c r="G248" s="19">
        <v>0</v>
      </c>
      <c r="H248" s="19">
        <v>1</v>
      </c>
      <c r="I248" s="19">
        <v>1</v>
      </c>
      <c r="J248" s="16">
        <v>17</v>
      </c>
      <c r="K248" s="16">
        <v>18</v>
      </c>
      <c r="L248" s="18">
        <v>46128.348078703704</v>
      </c>
    </row>
    <row r="249" spans="1:12" x14ac:dyDescent="0.25">
      <c r="A249" s="17">
        <v>46078</v>
      </c>
      <c r="B249" s="16">
        <v>2</v>
      </c>
      <c r="C249" s="16" t="s">
        <v>39</v>
      </c>
      <c r="D249" s="19">
        <v>10</v>
      </c>
      <c r="E249" s="19">
        <v>3</v>
      </c>
      <c r="F249" s="19">
        <v>0</v>
      </c>
      <c r="G249" s="19">
        <v>0</v>
      </c>
      <c r="H249" s="19">
        <v>1</v>
      </c>
      <c r="I249" s="19">
        <v>1</v>
      </c>
      <c r="J249" s="16">
        <v>18</v>
      </c>
      <c r="K249" s="16">
        <v>25</v>
      </c>
      <c r="L249" s="18">
        <v>46128.348078703704</v>
      </c>
    </row>
    <row r="250" spans="1:12" x14ac:dyDescent="0.25">
      <c r="A250" s="17">
        <v>46079</v>
      </c>
      <c r="B250" s="16">
        <v>2</v>
      </c>
      <c r="C250" s="16" t="s">
        <v>39</v>
      </c>
      <c r="D250" s="19">
        <v>3</v>
      </c>
      <c r="E250" s="19">
        <v>3</v>
      </c>
      <c r="F250" s="19">
        <v>0</v>
      </c>
      <c r="G250" s="19">
        <v>0</v>
      </c>
      <c r="H250" s="19">
        <v>0</v>
      </c>
      <c r="I250" s="19">
        <v>3</v>
      </c>
      <c r="J250" s="16">
        <v>25</v>
      </c>
      <c r="K250" s="16">
        <v>22</v>
      </c>
      <c r="L250" s="18">
        <v>46128.348078703704</v>
      </c>
    </row>
    <row r="251" spans="1:12" x14ac:dyDescent="0.25">
      <c r="A251" s="17">
        <v>46080</v>
      </c>
      <c r="B251" s="16">
        <v>2</v>
      </c>
      <c r="C251" s="16" t="s">
        <v>39</v>
      </c>
      <c r="D251" s="19">
        <v>1</v>
      </c>
      <c r="E251" s="19">
        <v>2</v>
      </c>
      <c r="F251" s="19">
        <v>0</v>
      </c>
      <c r="G251" s="19">
        <v>0</v>
      </c>
      <c r="H251" s="19">
        <v>0</v>
      </c>
      <c r="I251" s="19">
        <v>0</v>
      </c>
      <c r="J251" s="16">
        <v>22</v>
      </c>
      <c r="K251" s="16">
        <v>21</v>
      </c>
      <c r="L251" s="18">
        <v>46128.348078703704</v>
      </c>
    </row>
    <row r="252" spans="1:12" x14ac:dyDescent="0.25">
      <c r="A252" s="17">
        <v>46081</v>
      </c>
      <c r="B252" s="16">
        <v>2</v>
      </c>
      <c r="C252" s="16" t="s">
        <v>39</v>
      </c>
      <c r="D252" s="19">
        <v>1</v>
      </c>
      <c r="E252" s="19">
        <v>6</v>
      </c>
      <c r="F252" s="19">
        <v>0</v>
      </c>
      <c r="G252" s="19">
        <v>0</v>
      </c>
      <c r="H252" s="19">
        <v>2</v>
      </c>
      <c r="I252" s="19">
        <v>2</v>
      </c>
      <c r="J252" s="16">
        <v>21</v>
      </c>
      <c r="K252" s="16">
        <v>16</v>
      </c>
      <c r="L252" s="18">
        <v>46128.348078703704</v>
      </c>
    </row>
    <row r="253" spans="1:12" x14ac:dyDescent="0.25">
      <c r="A253" s="17">
        <v>46082</v>
      </c>
      <c r="B253" s="16">
        <v>3</v>
      </c>
      <c r="C253" s="16" t="s">
        <v>39</v>
      </c>
      <c r="D253" s="19">
        <v>2</v>
      </c>
      <c r="E253" s="19">
        <v>0</v>
      </c>
      <c r="F253" s="19">
        <v>0</v>
      </c>
      <c r="G253" s="19">
        <v>0</v>
      </c>
      <c r="H253" s="19">
        <v>3</v>
      </c>
      <c r="I253" s="19">
        <v>0</v>
      </c>
      <c r="J253" s="16">
        <v>16</v>
      </c>
      <c r="K253" s="16">
        <v>21</v>
      </c>
      <c r="L253" s="18">
        <v>46128.348078703704</v>
      </c>
    </row>
    <row r="254" spans="1:12" x14ac:dyDescent="0.25">
      <c r="A254" s="17">
        <v>46083</v>
      </c>
      <c r="B254" s="16">
        <v>3</v>
      </c>
      <c r="C254" s="16" t="s">
        <v>39</v>
      </c>
      <c r="D254" s="19">
        <v>4</v>
      </c>
      <c r="E254" s="19">
        <v>2</v>
      </c>
      <c r="F254" s="19">
        <v>0</v>
      </c>
      <c r="G254" s="19">
        <v>0</v>
      </c>
      <c r="H254" s="19">
        <v>1</v>
      </c>
      <c r="I254" s="19">
        <v>3</v>
      </c>
      <c r="J254" s="16">
        <v>21</v>
      </c>
      <c r="K254" s="16">
        <v>21</v>
      </c>
      <c r="L254" s="18">
        <v>46128.348078703704</v>
      </c>
    </row>
    <row r="255" spans="1:12" x14ac:dyDescent="0.25">
      <c r="A255" s="17">
        <v>46084</v>
      </c>
      <c r="B255" s="16">
        <v>3</v>
      </c>
      <c r="C255" s="16" t="s">
        <v>39</v>
      </c>
      <c r="D255" s="19">
        <v>3</v>
      </c>
      <c r="E255" s="19">
        <v>1</v>
      </c>
      <c r="F255" s="19">
        <v>0</v>
      </c>
      <c r="G255" s="19">
        <v>0</v>
      </c>
      <c r="H255" s="19">
        <v>0</v>
      </c>
      <c r="I255" s="19">
        <v>1</v>
      </c>
      <c r="J255" s="16">
        <v>21</v>
      </c>
      <c r="K255" s="16">
        <v>22</v>
      </c>
      <c r="L255" s="18">
        <v>46128.348078703704</v>
      </c>
    </row>
    <row r="256" spans="1:12" x14ac:dyDescent="0.25">
      <c r="A256" s="17">
        <v>46085</v>
      </c>
      <c r="B256" s="16">
        <v>3</v>
      </c>
      <c r="C256" s="16" t="s">
        <v>39</v>
      </c>
      <c r="D256" s="19">
        <v>7</v>
      </c>
      <c r="E256" s="19">
        <v>6</v>
      </c>
      <c r="F256" s="19">
        <v>0</v>
      </c>
      <c r="G256" s="19">
        <v>0</v>
      </c>
      <c r="H256" s="19">
        <v>1</v>
      </c>
      <c r="I256" s="19">
        <v>3</v>
      </c>
      <c r="J256" s="16">
        <v>22</v>
      </c>
      <c r="K256" s="16">
        <v>21</v>
      </c>
      <c r="L256" s="18">
        <v>46128.348078703704</v>
      </c>
    </row>
    <row r="257" spans="1:12" x14ac:dyDescent="0.25">
      <c r="A257" s="17">
        <v>46086</v>
      </c>
      <c r="B257" s="16">
        <v>3</v>
      </c>
      <c r="C257" s="16" t="s">
        <v>39</v>
      </c>
      <c r="D257" s="19">
        <v>3</v>
      </c>
      <c r="E257" s="19">
        <v>7</v>
      </c>
      <c r="F257" s="19">
        <v>0</v>
      </c>
      <c r="G257" s="19">
        <v>0</v>
      </c>
      <c r="H257" s="19">
        <v>2</v>
      </c>
      <c r="I257" s="19">
        <v>1</v>
      </c>
      <c r="J257" s="16">
        <v>21</v>
      </c>
      <c r="K257" s="16">
        <v>18</v>
      </c>
      <c r="L257" s="18">
        <v>46128.348078703704</v>
      </c>
    </row>
    <row r="258" spans="1:12" x14ac:dyDescent="0.25">
      <c r="A258" s="17">
        <v>46087</v>
      </c>
      <c r="B258" s="16">
        <v>3</v>
      </c>
      <c r="C258" s="16" t="s">
        <v>39</v>
      </c>
      <c r="D258" s="19">
        <v>1</v>
      </c>
      <c r="E258" s="19">
        <v>2</v>
      </c>
      <c r="F258" s="19">
        <v>0</v>
      </c>
      <c r="G258" s="19">
        <v>0</v>
      </c>
      <c r="H258" s="19">
        <v>3</v>
      </c>
      <c r="I258" s="19">
        <v>2</v>
      </c>
      <c r="J258" s="16">
        <v>18</v>
      </c>
      <c r="K258" s="16">
        <v>18</v>
      </c>
      <c r="L258" s="18">
        <v>46128.348078703704</v>
      </c>
    </row>
    <row r="259" spans="1:12" x14ac:dyDescent="0.25">
      <c r="A259" s="17">
        <v>46088</v>
      </c>
      <c r="B259" s="16">
        <v>3</v>
      </c>
      <c r="C259" s="16" t="s">
        <v>39</v>
      </c>
      <c r="D259" s="19">
        <v>4</v>
      </c>
      <c r="E259" s="19">
        <v>0</v>
      </c>
      <c r="F259" s="19">
        <v>0</v>
      </c>
      <c r="G259" s="19">
        <v>0</v>
      </c>
      <c r="H259" s="19">
        <v>2</v>
      </c>
      <c r="I259" s="19">
        <v>2</v>
      </c>
      <c r="J259" s="16">
        <v>18</v>
      </c>
      <c r="K259" s="16">
        <v>22</v>
      </c>
      <c r="L259" s="18">
        <v>46128.348078703704</v>
      </c>
    </row>
    <row r="260" spans="1:12" x14ac:dyDescent="0.25">
      <c r="A260" s="17">
        <v>46089</v>
      </c>
      <c r="B260" s="16">
        <v>3</v>
      </c>
      <c r="C260" s="16" t="s">
        <v>39</v>
      </c>
      <c r="D260" s="19">
        <v>1</v>
      </c>
      <c r="E260" s="19">
        <v>4</v>
      </c>
      <c r="F260" s="19">
        <v>0</v>
      </c>
      <c r="G260" s="19">
        <v>0</v>
      </c>
      <c r="H260" s="19">
        <v>3</v>
      </c>
      <c r="I260" s="19">
        <v>2</v>
      </c>
      <c r="J260" s="16">
        <v>22</v>
      </c>
      <c r="K260" s="16">
        <v>20</v>
      </c>
      <c r="L260" s="18">
        <v>46128.348078703704</v>
      </c>
    </row>
    <row r="261" spans="1:12" x14ac:dyDescent="0.25">
      <c r="A261" s="17">
        <v>46090</v>
      </c>
      <c r="B261" s="16">
        <v>3</v>
      </c>
      <c r="C261" s="16" t="s">
        <v>39</v>
      </c>
      <c r="D261" s="19">
        <v>1</v>
      </c>
      <c r="E261" s="19">
        <v>4</v>
      </c>
      <c r="F261" s="19">
        <v>0</v>
      </c>
      <c r="G261" s="19">
        <v>0</v>
      </c>
      <c r="H261" s="19">
        <v>1</v>
      </c>
      <c r="I261" s="19">
        <v>0</v>
      </c>
      <c r="J261" s="16">
        <v>20</v>
      </c>
      <c r="K261" s="16">
        <v>18</v>
      </c>
      <c r="L261" s="18">
        <v>46128.348078703704</v>
      </c>
    </row>
    <row r="262" spans="1:12" x14ac:dyDescent="0.25">
      <c r="A262" s="17">
        <v>46091</v>
      </c>
      <c r="B262" s="16">
        <v>3</v>
      </c>
      <c r="C262" s="16" t="s">
        <v>39</v>
      </c>
      <c r="D262" s="19">
        <v>2</v>
      </c>
      <c r="E262" s="19">
        <v>2</v>
      </c>
      <c r="F262" s="19">
        <v>0</v>
      </c>
      <c r="G262" s="19">
        <v>0</v>
      </c>
      <c r="H262" s="19">
        <v>1</v>
      </c>
      <c r="I262" s="19">
        <v>1</v>
      </c>
      <c r="J262" s="16">
        <v>18</v>
      </c>
      <c r="K262" s="16">
        <v>18</v>
      </c>
      <c r="L262" s="18">
        <v>46128.348078703704</v>
      </c>
    </row>
    <row r="263" spans="1:12" x14ac:dyDescent="0.25">
      <c r="A263" s="17">
        <v>46092</v>
      </c>
      <c r="B263" s="16">
        <v>3</v>
      </c>
      <c r="C263" s="16" t="s">
        <v>39</v>
      </c>
      <c r="D263" s="19">
        <v>9</v>
      </c>
      <c r="E263" s="19">
        <v>5</v>
      </c>
      <c r="F263" s="19">
        <v>0</v>
      </c>
      <c r="G263" s="19">
        <v>0</v>
      </c>
      <c r="H263" s="19">
        <v>1</v>
      </c>
      <c r="I263" s="19">
        <v>2</v>
      </c>
      <c r="J263" s="16">
        <v>18</v>
      </c>
      <c r="K263" s="16">
        <v>21</v>
      </c>
      <c r="L263" s="18">
        <v>46128.348078703704</v>
      </c>
    </row>
    <row r="264" spans="1:12" x14ac:dyDescent="0.25">
      <c r="A264" s="17">
        <v>46093</v>
      </c>
      <c r="B264" s="16">
        <v>3</v>
      </c>
      <c r="C264" s="16" t="s">
        <v>39</v>
      </c>
      <c r="D264" s="19">
        <v>1</v>
      </c>
      <c r="E264" s="19">
        <v>1</v>
      </c>
      <c r="F264" s="19">
        <v>0</v>
      </c>
      <c r="G264" s="19">
        <v>0</v>
      </c>
      <c r="H264" s="19">
        <v>1</v>
      </c>
      <c r="I264" s="19">
        <v>2</v>
      </c>
      <c r="J264" s="16">
        <v>21</v>
      </c>
      <c r="K264" s="16">
        <v>20</v>
      </c>
      <c r="L264" s="18">
        <v>46128.348078703704</v>
      </c>
    </row>
    <row r="265" spans="1:12" x14ac:dyDescent="0.25">
      <c r="A265" s="17">
        <v>46094</v>
      </c>
      <c r="B265" s="16">
        <v>3</v>
      </c>
      <c r="C265" s="16" t="s">
        <v>39</v>
      </c>
      <c r="D265" s="19">
        <v>4</v>
      </c>
      <c r="E265" s="19">
        <v>4</v>
      </c>
      <c r="F265" s="19">
        <v>0</v>
      </c>
      <c r="G265" s="19">
        <v>0</v>
      </c>
      <c r="H265" s="19">
        <v>3</v>
      </c>
      <c r="I265" s="19">
        <v>5</v>
      </c>
      <c r="J265" s="16">
        <v>20</v>
      </c>
      <c r="K265" s="16">
        <v>18</v>
      </c>
      <c r="L265" s="18">
        <v>46128.348078703704</v>
      </c>
    </row>
    <row r="266" spans="1:12" x14ac:dyDescent="0.25">
      <c r="A266" s="17">
        <v>46095</v>
      </c>
      <c r="B266" s="16">
        <v>3</v>
      </c>
      <c r="C266" s="16" t="s">
        <v>39</v>
      </c>
      <c r="D266" s="19">
        <v>1</v>
      </c>
      <c r="E266" s="19">
        <v>3</v>
      </c>
      <c r="F266" s="19">
        <v>0</v>
      </c>
      <c r="G266" s="19">
        <v>0</v>
      </c>
      <c r="H266" s="19">
        <v>1</v>
      </c>
      <c r="I266" s="19">
        <v>2</v>
      </c>
      <c r="J266" s="16">
        <v>18</v>
      </c>
      <c r="K266" s="16">
        <v>15</v>
      </c>
      <c r="L266" s="18">
        <v>46128.348078703704</v>
      </c>
    </row>
    <row r="267" spans="1:12" x14ac:dyDescent="0.25">
      <c r="A267" s="17">
        <v>46096</v>
      </c>
      <c r="B267" s="16">
        <v>3</v>
      </c>
      <c r="C267" s="16" t="s">
        <v>39</v>
      </c>
      <c r="D267" s="19">
        <v>2</v>
      </c>
      <c r="E267" s="19">
        <v>1</v>
      </c>
      <c r="F267" s="19">
        <v>0</v>
      </c>
      <c r="G267" s="19">
        <v>0</v>
      </c>
      <c r="H267" s="19">
        <v>2</v>
      </c>
      <c r="I267" s="19">
        <v>1</v>
      </c>
      <c r="J267" s="16">
        <v>15</v>
      </c>
      <c r="K267" s="16">
        <v>17</v>
      </c>
      <c r="L267" s="18">
        <v>46128.348078703704</v>
      </c>
    </row>
    <row r="268" spans="1:12" x14ac:dyDescent="0.25">
      <c r="A268" s="17">
        <v>46097</v>
      </c>
      <c r="B268" s="16">
        <v>3</v>
      </c>
      <c r="C268" s="16" t="s">
        <v>39</v>
      </c>
      <c r="D268" s="19">
        <v>6</v>
      </c>
      <c r="E268" s="19">
        <v>4</v>
      </c>
      <c r="F268" s="19">
        <v>0</v>
      </c>
      <c r="G268" s="19">
        <v>0</v>
      </c>
      <c r="H268" s="19">
        <v>1</v>
      </c>
      <c r="I268" s="19">
        <v>1</v>
      </c>
      <c r="J268" s="16">
        <v>17</v>
      </c>
      <c r="K268" s="16">
        <v>19</v>
      </c>
      <c r="L268" s="18">
        <v>46128.348078703704</v>
      </c>
    </row>
    <row r="269" spans="1:12" x14ac:dyDescent="0.25">
      <c r="A269" s="17">
        <v>46098</v>
      </c>
      <c r="B269" s="16">
        <v>3</v>
      </c>
      <c r="C269" s="16" t="s">
        <v>39</v>
      </c>
      <c r="D269" s="19">
        <v>5</v>
      </c>
      <c r="E269" s="19">
        <v>2</v>
      </c>
      <c r="F269" s="19">
        <v>0</v>
      </c>
      <c r="G269" s="19">
        <v>0</v>
      </c>
      <c r="H269" s="19">
        <v>0</v>
      </c>
      <c r="I269" s="19">
        <v>0</v>
      </c>
      <c r="J269" s="16">
        <v>19</v>
      </c>
      <c r="K269" s="16">
        <v>22</v>
      </c>
      <c r="L269" s="18">
        <v>46128.348078703704</v>
      </c>
    </row>
    <row r="270" spans="1:12" x14ac:dyDescent="0.25">
      <c r="A270" s="17">
        <v>46099</v>
      </c>
      <c r="B270" s="16">
        <v>3</v>
      </c>
      <c r="C270" s="16" t="s">
        <v>39</v>
      </c>
      <c r="D270" s="19">
        <v>1</v>
      </c>
      <c r="E270" s="19">
        <v>2</v>
      </c>
      <c r="F270" s="19">
        <v>0</v>
      </c>
      <c r="G270" s="19">
        <v>0</v>
      </c>
      <c r="H270" s="19">
        <v>1</v>
      </c>
      <c r="I270" s="19">
        <v>0</v>
      </c>
      <c r="J270" s="16">
        <v>22</v>
      </c>
      <c r="K270" s="16">
        <v>22</v>
      </c>
      <c r="L270" s="18">
        <v>46128.348078703704</v>
      </c>
    </row>
    <row r="271" spans="1:12" x14ac:dyDescent="0.25">
      <c r="A271" s="17">
        <v>46100</v>
      </c>
      <c r="B271" s="16">
        <v>3</v>
      </c>
      <c r="C271" s="16" t="s">
        <v>39</v>
      </c>
      <c r="D271" s="19">
        <v>4</v>
      </c>
      <c r="E271" s="19">
        <v>7</v>
      </c>
      <c r="F271" s="19">
        <v>0</v>
      </c>
      <c r="G271" s="19">
        <v>0</v>
      </c>
      <c r="H271" s="19">
        <v>0</v>
      </c>
      <c r="I271" s="19">
        <v>2</v>
      </c>
      <c r="J271" s="16">
        <v>22</v>
      </c>
      <c r="K271" s="16">
        <v>17</v>
      </c>
      <c r="L271" s="18">
        <v>46128.348078703704</v>
      </c>
    </row>
    <row r="272" spans="1:12" x14ac:dyDescent="0.25">
      <c r="A272" s="17">
        <v>46101</v>
      </c>
      <c r="B272" s="16">
        <v>3</v>
      </c>
      <c r="C272" s="16" t="s">
        <v>39</v>
      </c>
      <c r="D272" s="19">
        <v>4</v>
      </c>
      <c r="E272" s="19">
        <v>0</v>
      </c>
      <c r="F272" s="19">
        <v>0</v>
      </c>
      <c r="G272" s="19">
        <v>0</v>
      </c>
      <c r="H272" s="19">
        <v>0</v>
      </c>
      <c r="I272" s="19">
        <v>1</v>
      </c>
      <c r="J272" s="16">
        <v>17</v>
      </c>
      <c r="K272" s="16">
        <v>20</v>
      </c>
      <c r="L272" s="18">
        <v>46128.348078703704</v>
      </c>
    </row>
    <row r="273" spans="1:12" x14ac:dyDescent="0.25">
      <c r="A273" s="17">
        <v>46102</v>
      </c>
      <c r="B273" s="16">
        <v>3</v>
      </c>
      <c r="C273" s="16" t="s">
        <v>39</v>
      </c>
      <c r="D273" s="19">
        <v>2</v>
      </c>
      <c r="E273" s="19">
        <v>2</v>
      </c>
      <c r="F273" s="19">
        <v>0</v>
      </c>
      <c r="G273" s="19">
        <v>0</v>
      </c>
      <c r="H273" s="19">
        <v>1</v>
      </c>
      <c r="I273" s="19">
        <v>1</v>
      </c>
      <c r="J273" s="16">
        <v>20</v>
      </c>
      <c r="K273" s="16">
        <v>20</v>
      </c>
      <c r="L273" s="18">
        <v>46128.348078703704</v>
      </c>
    </row>
    <row r="274" spans="1:12" x14ac:dyDescent="0.25">
      <c r="A274" s="17">
        <v>46103</v>
      </c>
      <c r="B274" s="16">
        <v>3</v>
      </c>
      <c r="C274" s="16" t="s">
        <v>39</v>
      </c>
      <c r="D274" s="19">
        <v>1</v>
      </c>
      <c r="E274" s="19">
        <v>0</v>
      </c>
      <c r="F274" s="19">
        <v>0</v>
      </c>
      <c r="G274" s="19">
        <v>0</v>
      </c>
      <c r="H274" s="19">
        <v>0</v>
      </c>
      <c r="I274" s="19">
        <v>2</v>
      </c>
      <c r="J274" s="16">
        <v>20</v>
      </c>
      <c r="K274" s="16">
        <v>19</v>
      </c>
      <c r="L274" s="18">
        <v>46128.348078703704</v>
      </c>
    </row>
    <row r="275" spans="1:12" x14ac:dyDescent="0.25">
      <c r="A275" s="17">
        <v>46104</v>
      </c>
      <c r="B275" s="16">
        <v>3</v>
      </c>
      <c r="C275" s="16" t="s">
        <v>39</v>
      </c>
      <c r="D275" s="19">
        <v>5</v>
      </c>
      <c r="E275" s="19">
        <v>5</v>
      </c>
      <c r="F275" s="19">
        <v>0</v>
      </c>
      <c r="G275" s="19">
        <v>0</v>
      </c>
      <c r="H275" s="19">
        <v>1</v>
      </c>
      <c r="I275" s="19">
        <v>4</v>
      </c>
      <c r="J275" s="16">
        <v>19</v>
      </c>
      <c r="K275" s="16">
        <v>16</v>
      </c>
      <c r="L275" s="18">
        <v>46128.348078703704</v>
      </c>
    </row>
    <row r="276" spans="1:12" x14ac:dyDescent="0.25">
      <c r="A276" s="17">
        <v>46105</v>
      </c>
      <c r="B276" s="16">
        <v>3</v>
      </c>
      <c r="C276" s="16" t="s">
        <v>39</v>
      </c>
      <c r="D276" s="19">
        <v>9</v>
      </c>
      <c r="E276" s="19">
        <v>2</v>
      </c>
      <c r="F276" s="19">
        <v>0</v>
      </c>
      <c r="G276" s="19">
        <v>0</v>
      </c>
      <c r="H276" s="19">
        <v>1</v>
      </c>
      <c r="I276" s="19">
        <v>3</v>
      </c>
      <c r="J276" s="16">
        <v>16</v>
      </c>
      <c r="K276" s="16">
        <v>21</v>
      </c>
      <c r="L276" s="18">
        <v>46128.348078703704</v>
      </c>
    </row>
    <row r="277" spans="1:12" x14ac:dyDescent="0.25">
      <c r="A277" s="17">
        <v>46106</v>
      </c>
      <c r="B277" s="16">
        <v>3</v>
      </c>
      <c r="C277" s="16" t="s">
        <v>39</v>
      </c>
      <c r="D277" s="19">
        <v>4</v>
      </c>
      <c r="E277" s="19">
        <v>0</v>
      </c>
      <c r="F277" s="19">
        <v>0</v>
      </c>
      <c r="G277" s="19">
        <v>0</v>
      </c>
      <c r="H277" s="19">
        <v>2</v>
      </c>
      <c r="I277" s="19">
        <v>2</v>
      </c>
      <c r="J277" s="16">
        <v>21</v>
      </c>
      <c r="K277" s="16">
        <v>25</v>
      </c>
      <c r="L277" s="18">
        <v>46128.348078703704</v>
      </c>
    </row>
    <row r="278" spans="1:12" x14ac:dyDescent="0.25">
      <c r="A278" s="17">
        <v>46107</v>
      </c>
      <c r="B278" s="16">
        <v>3</v>
      </c>
      <c r="C278" s="16" t="s">
        <v>39</v>
      </c>
      <c r="D278" s="19">
        <v>1</v>
      </c>
      <c r="E278" s="19">
        <v>5</v>
      </c>
      <c r="F278" s="19">
        <v>0</v>
      </c>
      <c r="G278" s="19">
        <v>0</v>
      </c>
      <c r="H278" s="19">
        <v>4</v>
      </c>
      <c r="I278" s="19">
        <v>1</v>
      </c>
      <c r="J278" s="16">
        <v>25</v>
      </c>
      <c r="K278" s="16">
        <v>24</v>
      </c>
      <c r="L278" s="18">
        <v>46128.348078703704</v>
      </c>
    </row>
    <row r="279" spans="1:12" x14ac:dyDescent="0.25">
      <c r="A279" s="17">
        <v>46108</v>
      </c>
      <c r="B279" s="16">
        <v>3</v>
      </c>
      <c r="C279" s="16" t="s">
        <v>39</v>
      </c>
      <c r="D279" s="19">
        <v>4</v>
      </c>
      <c r="E279" s="19">
        <v>3</v>
      </c>
      <c r="F279" s="19">
        <v>0</v>
      </c>
      <c r="G279" s="19">
        <v>0</v>
      </c>
      <c r="H279" s="19">
        <v>0</v>
      </c>
      <c r="I279" s="19">
        <v>1</v>
      </c>
      <c r="J279" s="16">
        <v>24</v>
      </c>
      <c r="K279" s="16">
        <v>24</v>
      </c>
      <c r="L279" s="18">
        <v>46128.348078703704</v>
      </c>
    </row>
    <row r="280" spans="1:12" x14ac:dyDescent="0.25">
      <c r="A280" s="17">
        <v>46109</v>
      </c>
      <c r="B280" s="16">
        <v>3</v>
      </c>
      <c r="C280" s="16" t="s">
        <v>39</v>
      </c>
      <c r="D280" s="19">
        <v>4</v>
      </c>
      <c r="E280" s="19">
        <v>5</v>
      </c>
      <c r="F280" s="19">
        <v>0</v>
      </c>
      <c r="G280" s="19">
        <v>0</v>
      </c>
      <c r="H280" s="19">
        <v>1</v>
      </c>
      <c r="I280" s="19">
        <v>2</v>
      </c>
      <c r="J280" s="16">
        <v>24</v>
      </c>
      <c r="K280" s="16">
        <v>22</v>
      </c>
      <c r="L280" s="18">
        <v>46128.348078703704</v>
      </c>
    </row>
    <row r="281" spans="1:12" x14ac:dyDescent="0.25">
      <c r="A281" s="17">
        <v>46110</v>
      </c>
      <c r="B281" s="16">
        <v>3</v>
      </c>
      <c r="C281" s="16" t="s">
        <v>39</v>
      </c>
      <c r="D281" s="19">
        <v>2</v>
      </c>
      <c r="E281" s="19">
        <v>2</v>
      </c>
      <c r="F281" s="19">
        <v>0</v>
      </c>
      <c r="G281" s="19">
        <v>0</v>
      </c>
      <c r="H281" s="19">
        <v>2</v>
      </c>
      <c r="I281" s="19">
        <v>3</v>
      </c>
      <c r="J281" s="16">
        <v>22</v>
      </c>
      <c r="K281" s="16">
        <v>21</v>
      </c>
      <c r="L281" s="18">
        <v>46128.348078703704</v>
      </c>
    </row>
    <row r="282" spans="1:12" x14ac:dyDescent="0.25">
      <c r="A282" s="17">
        <v>46111</v>
      </c>
      <c r="B282" s="16">
        <v>3</v>
      </c>
      <c r="C282" s="16" t="s">
        <v>39</v>
      </c>
      <c r="D282" s="19">
        <v>4</v>
      </c>
      <c r="E282" s="19">
        <v>1</v>
      </c>
      <c r="F282" s="19">
        <v>0</v>
      </c>
      <c r="G282" s="19">
        <v>0</v>
      </c>
      <c r="H282" s="19">
        <v>1</v>
      </c>
      <c r="I282" s="19">
        <v>0</v>
      </c>
      <c r="J282" s="16">
        <v>21</v>
      </c>
      <c r="K282" s="16">
        <v>25</v>
      </c>
      <c r="L282" s="18">
        <v>46128.348078703704</v>
      </c>
    </row>
    <row r="283" spans="1:12" x14ac:dyDescent="0.25">
      <c r="A283" s="17">
        <v>46112</v>
      </c>
      <c r="B283" s="16">
        <v>3</v>
      </c>
      <c r="C283" s="16" t="s">
        <v>39</v>
      </c>
      <c r="D283" s="19">
        <v>5</v>
      </c>
      <c r="E283" s="19">
        <v>3</v>
      </c>
      <c r="F283" s="19">
        <v>0</v>
      </c>
      <c r="G283" s="19">
        <v>0</v>
      </c>
      <c r="H283" s="19">
        <v>1</v>
      </c>
      <c r="I283" s="19">
        <v>2</v>
      </c>
      <c r="J283" s="16">
        <v>25</v>
      </c>
      <c r="K283" s="16">
        <v>26</v>
      </c>
      <c r="L283" s="18">
        <v>46128.348078703704</v>
      </c>
    </row>
    <row r="284" spans="1:12" x14ac:dyDescent="0.25">
      <c r="A284" s="17">
        <v>46113</v>
      </c>
      <c r="B284" s="16">
        <v>4</v>
      </c>
      <c r="C284" s="16" t="s">
        <v>39</v>
      </c>
      <c r="D284" s="19">
        <v>4</v>
      </c>
      <c r="E284" s="19">
        <v>2</v>
      </c>
      <c r="F284" s="19">
        <v>0</v>
      </c>
      <c r="G284" s="19">
        <v>0</v>
      </c>
      <c r="H284" s="19">
        <v>1</v>
      </c>
      <c r="I284" s="19">
        <v>1</v>
      </c>
      <c r="J284" s="16">
        <v>26</v>
      </c>
      <c r="K284" s="16">
        <v>28</v>
      </c>
      <c r="L284" s="18">
        <v>46128.348078703704</v>
      </c>
    </row>
    <row r="285" spans="1:12" x14ac:dyDescent="0.25">
      <c r="A285" s="17">
        <v>46114</v>
      </c>
      <c r="B285" s="16">
        <v>4</v>
      </c>
      <c r="C285" s="16" t="s">
        <v>39</v>
      </c>
      <c r="D285" s="19">
        <v>4</v>
      </c>
      <c r="E285" s="19">
        <v>10</v>
      </c>
      <c r="F285" s="19">
        <v>0</v>
      </c>
      <c r="G285" s="19">
        <v>0</v>
      </c>
      <c r="H285" s="19">
        <v>0</v>
      </c>
      <c r="I285" s="19">
        <v>0</v>
      </c>
      <c r="J285" s="16">
        <v>28</v>
      </c>
      <c r="K285" s="16">
        <v>22</v>
      </c>
      <c r="L285" s="18">
        <v>46128.348078703704</v>
      </c>
    </row>
    <row r="286" spans="1:12" x14ac:dyDescent="0.25">
      <c r="A286" s="17">
        <v>46115</v>
      </c>
      <c r="B286" s="16">
        <v>4</v>
      </c>
      <c r="C286" s="16" t="s">
        <v>39</v>
      </c>
      <c r="D286" s="19">
        <v>0</v>
      </c>
      <c r="E286" s="19">
        <v>3</v>
      </c>
      <c r="F286" s="19">
        <v>0</v>
      </c>
      <c r="G286" s="19">
        <v>0</v>
      </c>
      <c r="H286" s="19">
        <v>3</v>
      </c>
      <c r="I286" s="19">
        <v>1</v>
      </c>
      <c r="J286" s="16">
        <v>22</v>
      </c>
      <c r="K286" s="16">
        <v>21</v>
      </c>
      <c r="L286" s="18">
        <v>46128.348078703704</v>
      </c>
    </row>
    <row r="287" spans="1:12" x14ac:dyDescent="0.25">
      <c r="A287" s="17">
        <v>46116</v>
      </c>
      <c r="B287" s="16">
        <v>4</v>
      </c>
      <c r="C287" s="16" t="s">
        <v>39</v>
      </c>
      <c r="D287" s="19">
        <v>1</v>
      </c>
      <c r="E287" s="19">
        <v>2</v>
      </c>
      <c r="F287" s="19">
        <v>0</v>
      </c>
      <c r="G287" s="19">
        <v>0</v>
      </c>
      <c r="H287" s="19">
        <v>0</v>
      </c>
      <c r="I287" s="19">
        <v>2</v>
      </c>
      <c r="J287" s="16">
        <v>21</v>
      </c>
      <c r="K287" s="16">
        <v>18</v>
      </c>
      <c r="L287" s="18">
        <v>46128.348078703704</v>
      </c>
    </row>
    <row r="288" spans="1:12" x14ac:dyDescent="0.25">
      <c r="A288" s="17">
        <v>46117</v>
      </c>
      <c r="B288" s="16">
        <v>4</v>
      </c>
      <c r="C288" s="16" t="s">
        <v>39</v>
      </c>
      <c r="D288" s="19">
        <v>1</v>
      </c>
      <c r="E288" s="19">
        <v>3</v>
      </c>
      <c r="F288" s="19">
        <v>0</v>
      </c>
      <c r="G288" s="19">
        <v>0</v>
      </c>
      <c r="H288" s="19">
        <v>0</v>
      </c>
      <c r="I288" s="19">
        <v>0</v>
      </c>
      <c r="J288" s="16">
        <v>18</v>
      </c>
      <c r="K288" s="16">
        <v>16</v>
      </c>
      <c r="L288" s="18">
        <v>46128.348078703704</v>
      </c>
    </row>
    <row r="289" spans="1:12" x14ac:dyDescent="0.25">
      <c r="A289" s="17">
        <v>46118</v>
      </c>
      <c r="B289" s="16">
        <v>4</v>
      </c>
      <c r="C289" s="16" t="s">
        <v>39</v>
      </c>
      <c r="D289" s="19">
        <v>3</v>
      </c>
      <c r="E289" s="19">
        <v>2</v>
      </c>
      <c r="F289" s="19">
        <v>0</v>
      </c>
      <c r="G289" s="19">
        <v>0</v>
      </c>
      <c r="H289" s="19">
        <v>0</v>
      </c>
      <c r="I289" s="19">
        <v>4</v>
      </c>
      <c r="J289" s="16">
        <v>16</v>
      </c>
      <c r="K289" s="16">
        <v>13</v>
      </c>
      <c r="L289" s="18">
        <v>46128.348078703704</v>
      </c>
    </row>
    <row r="290" spans="1:12" x14ac:dyDescent="0.25">
      <c r="A290" s="17">
        <v>46023</v>
      </c>
      <c r="B290" s="16">
        <v>1</v>
      </c>
      <c r="C290" s="16" t="s">
        <v>33</v>
      </c>
      <c r="D290" s="19">
        <v>1</v>
      </c>
      <c r="E290" s="19">
        <v>3</v>
      </c>
      <c r="F290" s="19">
        <v>0</v>
      </c>
      <c r="G290" s="19">
        <v>0</v>
      </c>
      <c r="H290" s="19">
        <v>0</v>
      </c>
      <c r="I290" s="19">
        <v>0</v>
      </c>
      <c r="J290" s="16">
        <v>7</v>
      </c>
      <c r="K290" s="16">
        <v>5</v>
      </c>
      <c r="L290" s="18">
        <v>46128.348078703704</v>
      </c>
    </row>
    <row r="291" spans="1:12" x14ac:dyDescent="0.25">
      <c r="A291" s="17">
        <v>46024</v>
      </c>
      <c r="B291" s="16">
        <v>1</v>
      </c>
      <c r="C291" s="16" t="s">
        <v>33</v>
      </c>
      <c r="D291" s="19">
        <v>0</v>
      </c>
      <c r="E291" s="19">
        <v>0</v>
      </c>
      <c r="F291" s="19">
        <v>0</v>
      </c>
      <c r="G291" s="19">
        <v>0</v>
      </c>
      <c r="H291" s="19">
        <v>0</v>
      </c>
      <c r="I291" s="19">
        <v>0</v>
      </c>
      <c r="J291" s="16">
        <v>5</v>
      </c>
      <c r="K291" s="16">
        <v>5</v>
      </c>
      <c r="L291" s="18">
        <v>46128.348078703704</v>
      </c>
    </row>
    <row r="292" spans="1:12" x14ac:dyDescent="0.25">
      <c r="A292" s="17">
        <v>46025</v>
      </c>
      <c r="B292" s="16">
        <v>1</v>
      </c>
      <c r="C292" s="16" t="s">
        <v>33</v>
      </c>
      <c r="D292" s="19">
        <v>3</v>
      </c>
      <c r="E292" s="19">
        <v>0</v>
      </c>
      <c r="F292" s="19">
        <v>0</v>
      </c>
      <c r="G292" s="19">
        <v>0</v>
      </c>
      <c r="H292" s="19">
        <v>0</v>
      </c>
      <c r="I292" s="19">
        <v>0</v>
      </c>
      <c r="J292" s="16">
        <v>5</v>
      </c>
      <c r="K292" s="16">
        <v>8</v>
      </c>
      <c r="L292" s="18">
        <v>46128.348078703704</v>
      </c>
    </row>
    <row r="293" spans="1:12" x14ac:dyDescent="0.25">
      <c r="A293" s="17">
        <v>46026</v>
      </c>
      <c r="B293" s="16">
        <v>1</v>
      </c>
      <c r="C293" s="16" t="s">
        <v>33</v>
      </c>
      <c r="D293" s="19">
        <v>2</v>
      </c>
      <c r="E293" s="19">
        <v>0</v>
      </c>
      <c r="F293" s="19">
        <v>0</v>
      </c>
      <c r="G293" s="19">
        <v>0</v>
      </c>
      <c r="H293" s="19">
        <v>0</v>
      </c>
      <c r="I293" s="19">
        <v>0</v>
      </c>
      <c r="J293" s="16">
        <v>8</v>
      </c>
      <c r="K293" s="16">
        <v>10</v>
      </c>
      <c r="L293" s="18">
        <v>46128.348078703704</v>
      </c>
    </row>
    <row r="294" spans="1:12" x14ac:dyDescent="0.25">
      <c r="A294" s="17">
        <v>46027</v>
      </c>
      <c r="B294" s="16">
        <v>1</v>
      </c>
      <c r="C294" s="16" t="s">
        <v>33</v>
      </c>
      <c r="D294" s="19">
        <v>2</v>
      </c>
      <c r="E294" s="19">
        <v>2</v>
      </c>
      <c r="F294" s="19">
        <v>0</v>
      </c>
      <c r="G294" s="19">
        <v>0</v>
      </c>
      <c r="H294" s="19">
        <v>0</v>
      </c>
      <c r="I294" s="19">
        <v>0</v>
      </c>
      <c r="J294" s="16">
        <v>10</v>
      </c>
      <c r="K294" s="16">
        <v>10</v>
      </c>
      <c r="L294" s="18">
        <v>46128.348078703704</v>
      </c>
    </row>
    <row r="295" spans="1:12" x14ac:dyDescent="0.25">
      <c r="A295" s="17">
        <v>46028</v>
      </c>
      <c r="B295" s="16">
        <v>1</v>
      </c>
      <c r="C295" s="16" t="s">
        <v>33</v>
      </c>
      <c r="D295" s="19">
        <v>2</v>
      </c>
      <c r="E295" s="19">
        <v>3</v>
      </c>
      <c r="F295" s="19">
        <v>0</v>
      </c>
      <c r="G295" s="19">
        <v>0</v>
      </c>
      <c r="H295" s="19">
        <v>0</v>
      </c>
      <c r="I295" s="19">
        <v>0</v>
      </c>
      <c r="J295" s="16">
        <v>10</v>
      </c>
      <c r="K295" s="16">
        <v>9</v>
      </c>
      <c r="L295" s="18">
        <v>46128.348078703704</v>
      </c>
    </row>
    <row r="296" spans="1:12" x14ac:dyDescent="0.25">
      <c r="A296" s="17">
        <v>46029</v>
      </c>
      <c r="B296" s="16">
        <v>1</v>
      </c>
      <c r="C296" s="16" t="s">
        <v>33</v>
      </c>
      <c r="D296" s="19">
        <v>1</v>
      </c>
      <c r="E296" s="19">
        <v>1</v>
      </c>
      <c r="F296" s="19">
        <v>0</v>
      </c>
      <c r="G296" s="19">
        <v>0</v>
      </c>
      <c r="H296" s="19">
        <v>0</v>
      </c>
      <c r="I296" s="19">
        <v>0</v>
      </c>
      <c r="J296" s="16">
        <v>9</v>
      </c>
      <c r="K296" s="16">
        <v>9</v>
      </c>
      <c r="L296" s="18">
        <v>46128.348078703704</v>
      </c>
    </row>
    <row r="297" spans="1:12" x14ac:dyDescent="0.25">
      <c r="A297" s="17">
        <v>46030</v>
      </c>
      <c r="B297" s="16">
        <v>1</v>
      </c>
      <c r="C297" s="16" t="s">
        <v>33</v>
      </c>
      <c r="D297" s="19">
        <v>0</v>
      </c>
      <c r="E297" s="19">
        <v>2</v>
      </c>
      <c r="F297" s="19">
        <v>0</v>
      </c>
      <c r="G297" s="19">
        <v>0</v>
      </c>
      <c r="H297" s="19">
        <v>0</v>
      </c>
      <c r="I297" s="19">
        <v>0</v>
      </c>
      <c r="J297" s="16">
        <v>9</v>
      </c>
      <c r="K297" s="16">
        <v>7</v>
      </c>
      <c r="L297" s="18">
        <v>46128.348078703704</v>
      </c>
    </row>
    <row r="298" spans="1:12" x14ac:dyDescent="0.25">
      <c r="A298" s="17">
        <v>46031</v>
      </c>
      <c r="B298" s="16">
        <v>1</v>
      </c>
      <c r="C298" s="16" t="s">
        <v>33</v>
      </c>
      <c r="D298" s="19">
        <v>2</v>
      </c>
      <c r="E298" s="19">
        <v>0</v>
      </c>
      <c r="F298" s="19">
        <v>0</v>
      </c>
      <c r="G298" s="19">
        <v>0</v>
      </c>
      <c r="H298" s="19">
        <v>0</v>
      </c>
      <c r="I298" s="19">
        <v>0</v>
      </c>
      <c r="J298" s="16">
        <v>7</v>
      </c>
      <c r="K298" s="16">
        <v>9</v>
      </c>
      <c r="L298" s="18">
        <v>46128.348078703704</v>
      </c>
    </row>
    <row r="299" spans="1:12" x14ac:dyDescent="0.25">
      <c r="A299" s="17">
        <v>46032</v>
      </c>
      <c r="B299" s="16">
        <v>1</v>
      </c>
      <c r="C299" s="16" t="s">
        <v>33</v>
      </c>
      <c r="D299" s="19">
        <v>2</v>
      </c>
      <c r="E299" s="19">
        <v>2</v>
      </c>
      <c r="F299" s="19">
        <v>0</v>
      </c>
      <c r="G299" s="19">
        <v>0</v>
      </c>
      <c r="H299" s="19">
        <v>0</v>
      </c>
      <c r="I299" s="19">
        <v>0</v>
      </c>
      <c r="J299" s="16">
        <v>9</v>
      </c>
      <c r="K299" s="16">
        <v>9</v>
      </c>
      <c r="L299" s="18">
        <v>46128.348078703704</v>
      </c>
    </row>
    <row r="300" spans="1:12" x14ac:dyDescent="0.25">
      <c r="A300" s="17">
        <v>46033</v>
      </c>
      <c r="B300" s="16">
        <v>1</v>
      </c>
      <c r="C300" s="16" t="s">
        <v>33</v>
      </c>
      <c r="D300" s="19">
        <v>5</v>
      </c>
      <c r="E300" s="19">
        <v>2</v>
      </c>
      <c r="F300" s="19">
        <v>0</v>
      </c>
      <c r="G300" s="19">
        <v>0</v>
      </c>
      <c r="H300" s="19">
        <v>0</v>
      </c>
      <c r="I300" s="19">
        <v>0</v>
      </c>
      <c r="J300" s="16">
        <v>9</v>
      </c>
      <c r="K300" s="16">
        <v>12</v>
      </c>
      <c r="L300" s="18">
        <v>46128.348078703704</v>
      </c>
    </row>
    <row r="301" spans="1:12" x14ac:dyDescent="0.25">
      <c r="A301" s="17">
        <v>46034</v>
      </c>
      <c r="B301" s="16">
        <v>1</v>
      </c>
      <c r="C301" s="16" t="s">
        <v>33</v>
      </c>
      <c r="D301" s="19">
        <v>4</v>
      </c>
      <c r="E301" s="19">
        <v>5</v>
      </c>
      <c r="F301" s="19">
        <v>0</v>
      </c>
      <c r="G301" s="19">
        <v>0</v>
      </c>
      <c r="H301" s="19">
        <v>1</v>
      </c>
      <c r="I301" s="19">
        <v>0</v>
      </c>
      <c r="J301" s="16">
        <v>12</v>
      </c>
      <c r="K301" s="16">
        <v>12</v>
      </c>
      <c r="L301" s="18">
        <v>46128.348078703704</v>
      </c>
    </row>
    <row r="302" spans="1:12" x14ac:dyDescent="0.25">
      <c r="A302" s="17">
        <v>46035</v>
      </c>
      <c r="B302" s="16">
        <v>1</v>
      </c>
      <c r="C302" s="16" t="s">
        <v>33</v>
      </c>
      <c r="D302" s="19">
        <v>3</v>
      </c>
      <c r="E302" s="19">
        <v>3</v>
      </c>
      <c r="F302" s="19">
        <v>0</v>
      </c>
      <c r="G302" s="19">
        <v>0</v>
      </c>
      <c r="H302" s="19">
        <v>0</v>
      </c>
      <c r="I302" s="19">
        <v>0</v>
      </c>
      <c r="J302" s="16">
        <v>12</v>
      </c>
      <c r="K302" s="16">
        <v>12</v>
      </c>
      <c r="L302" s="18">
        <v>46128.348078703704</v>
      </c>
    </row>
    <row r="303" spans="1:12" x14ac:dyDescent="0.25">
      <c r="A303" s="17">
        <v>46036</v>
      </c>
      <c r="B303" s="16">
        <v>1</v>
      </c>
      <c r="C303" s="16" t="s">
        <v>33</v>
      </c>
      <c r="D303" s="19">
        <v>6</v>
      </c>
      <c r="E303" s="19">
        <v>1</v>
      </c>
      <c r="F303" s="19">
        <v>0</v>
      </c>
      <c r="G303" s="19">
        <v>0</v>
      </c>
      <c r="H303" s="19">
        <v>0</v>
      </c>
      <c r="I303" s="19">
        <v>0</v>
      </c>
      <c r="J303" s="16">
        <v>12</v>
      </c>
      <c r="K303" s="16">
        <v>17</v>
      </c>
      <c r="L303" s="18">
        <v>46128.348078703704</v>
      </c>
    </row>
    <row r="304" spans="1:12" x14ac:dyDescent="0.25">
      <c r="A304" s="17">
        <v>46037</v>
      </c>
      <c r="B304" s="16">
        <v>1</v>
      </c>
      <c r="C304" s="16" t="s">
        <v>33</v>
      </c>
      <c r="D304" s="19">
        <v>3</v>
      </c>
      <c r="E304" s="19">
        <v>5</v>
      </c>
      <c r="F304" s="19">
        <v>0</v>
      </c>
      <c r="G304" s="19">
        <v>0</v>
      </c>
      <c r="H304" s="19">
        <v>1</v>
      </c>
      <c r="I304" s="19">
        <v>0</v>
      </c>
      <c r="J304" s="16">
        <v>17</v>
      </c>
      <c r="K304" s="16">
        <v>16</v>
      </c>
      <c r="L304" s="18">
        <v>46128.348078703704</v>
      </c>
    </row>
    <row r="305" spans="1:12" x14ac:dyDescent="0.25">
      <c r="A305" s="17">
        <v>46038</v>
      </c>
      <c r="B305" s="16">
        <v>1</v>
      </c>
      <c r="C305" s="16" t="s">
        <v>33</v>
      </c>
      <c r="D305" s="19">
        <v>5</v>
      </c>
      <c r="E305" s="19">
        <v>5</v>
      </c>
      <c r="F305" s="19">
        <v>0</v>
      </c>
      <c r="G305" s="19">
        <v>0</v>
      </c>
      <c r="H305" s="19">
        <v>0</v>
      </c>
      <c r="I305" s="19">
        <v>0</v>
      </c>
      <c r="J305" s="16">
        <v>16</v>
      </c>
      <c r="K305" s="16">
        <v>16</v>
      </c>
      <c r="L305" s="18">
        <v>46128.348078703704</v>
      </c>
    </row>
    <row r="306" spans="1:12" x14ac:dyDescent="0.25">
      <c r="A306" s="17">
        <v>46039</v>
      </c>
      <c r="B306" s="16">
        <v>1</v>
      </c>
      <c r="C306" s="16" t="s">
        <v>33</v>
      </c>
      <c r="D306" s="19">
        <v>3</v>
      </c>
      <c r="E306" s="19">
        <v>2</v>
      </c>
      <c r="F306" s="19">
        <v>0</v>
      </c>
      <c r="G306" s="19">
        <v>0</v>
      </c>
      <c r="H306" s="19">
        <v>0</v>
      </c>
      <c r="I306" s="19">
        <v>0</v>
      </c>
      <c r="J306" s="16">
        <v>16</v>
      </c>
      <c r="K306" s="16">
        <v>17</v>
      </c>
      <c r="L306" s="18">
        <v>46128.348078703704</v>
      </c>
    </row>
    <row r="307" spans="1:12" x14ac:dyDescent="0.25">
      <c r="A307" s="17">
        <v>46040</v>
      </c>
      <c r="B307" s="16">
        <v>1</v>
      </c>
      <c r="C307" s="16" t="s">
        <v>33</v>
      </c>
      <c r="D307" s="19">
        <v>2</v>
      </c>
      <c r="E307" s="19">
        <v>1</v>
      </c>
      <c r="F307" s="19">
        <v>0</v>
      </c>
      <c r="G307" s="19">
        <v>0</v>
      </c>
      <c r="H307" s="19">
        <v>1</v>
      </c>
      <c r="I307" s="19">
        <v>0</v>
      </c>
      <c r="J307" s="16">
        <v>17</v>
      </c>
      <c r="K307" s="16">
        <v>19</v>
      </c>
      <c r="L307" s="18">
        <v>46128.348078703704</v>
      </c>
    </row>
    <row r="308" spans="1:12" x14ac:dyDescent="0.25">
      <c r="A308" s="17">
        <v>46041</v>
      </c>
      <c r="B308" s="16">
        <v>1</v>
      </c>
      <c r="C308" s="16" t="s">
        <v>33</v>
      </c>
      <c r="D308" s="19">
        <v>2</v>
      </c>
      <c r="E308" s="19">
        <v>12</v>
      </c>
      <c r="F308" s="19">
        <v>0</v>
      </c>
      <c r="G308" s="19">
        <v>0</v>
      </c>
      <c r="H308" s="19">
        <v>0</v>
      </c>
      <c r="I308" s="19">
        <v>0</v>
      </c>
      <c r="J308" s="16">
        <v>19</v>
      </c>
      <c r="K308" s="16">
        <v>9</v>
      </c>
      <c r="L308" s="18">
        <v>46128.348078703704</v>
      </c>
    </row>
    <row r="309" spans="1:12" x14ac:dyDescent="0.25">
      <c r="A309" s="17">
        <v>46042</v>
      </c>
      <c r="B309" s="16">
        <v>1</v>
      </c>
      <c r="C309" s="16" t="s">
        <v>33</v>
      </c>
      <c r="D309" s="19">
        <v>0</v>
      </c>
      <c r="E309" s="19">
        <v>3</v>
      </c>
      <c r="F309" s="19">
        <v>0</v>
      </c>
      <c r="G309" s="19">
        <v>0</v>
      </c>
      <c r="H309" s="19">
        <v>0</v>
      </c>
      <c r="I309" s="19">
        <v>0</v>
      </c>
      <c r="J309" s="16">
        <v>9</v>
      </c>
      <c r="K309" s="16">
        <v>6</v>
      </c>
      <c r="L309" s="18">
        <v>46128.348078703704</v>
      </c>
    </row>
    <row r="310" spans="1:12" x14ac:dyDescent="0.25">
      <c r="A310" s="17">
        <v>46043</v>
      </c>
      <c r="B310" s="16">
        <v>1</v>
      </c>
      <c r="C310" s="16" t="s">
        <v>33</v>
      </c>
      <c r="D310" s="19">
        <v>1</v>
      </c>
      <c r="E310" s="19">
        <v>1</v>
      </c>
      <c r="F310" s="19">
        <v>0</v>
      </c>
      <c r="G310" s="19">
        <v>0</v>
      </c>
      <c r="H310" s="19">
        <v>0</v>
      </c>
      <c r="I310" s="19">
        <v>0</v>
      </c>
      <c r="J310" s="16">
        <v>6</v>
      </c>
      <c r="K310" s="16">
        <v>6</v>
      </c>
      <c r="L310" s="18">
        <v>46128.348078703704</v>
      </c>
    </row>
    <row r="311" spans="1:12" x14ac:dyDescent="0.25">
      <c r="A311" s="17">
        <v>46044</v>
      </c>
      <c r="B311" s="16">
        <v>1</v>
      </c>
      <c r="C311" s="16" t="s">
        <v>33</v>
      </c>
      <c r="D311" s="19">
        <v>5</v>
      </c>
      <c r="E311" s="19">
        <v>2</v>
      </c>
      <c r="F311" s="19">
        <v>0</v>
      </c>
      <c r="G311" s="19">
        <v>0</v>
      </c>
      <c r="H311" s="19">
        <v>0</v>
      </c>
      <c r="I311" s="19">
        <v>0</v>
      </c>
      <c r="J311" s="16">
        <v>6</v>
      </c>
      <c r="K311" s="16">
        <v>9</v>
      </c>
      <c r="L311" s="18">
        <v>46128.348078703704</v>
      </c>
    </row>
    <row r="312" spans="1:12" x14ac:dyDescent="0.25">
      <c r="A312" s="17">
        <v>46045</v>
      </c>
      <c r="B312" s="16">
        <v>1</v>
      </c>
      <c r="C312" s="16" t="s">
        <v>33</v>
      </c>
      <c r="D312" s="19">
        <v>4</v>
      </c>
      <c r="E312" s="19">
        <v>8</v>
      </c>
      <c r="F312" s="19">
        <v>0</v>
      </c>
      <c r="G312" s="19">
        <v>0</v>
      </c>
      <c r="H312" s="19">
        <v>0</v>
      </c>
      <c r="I312" s="19">
        <v>0</v>
      </c>
      <c r="J312" s="16">
        <v>9</v>
      </c>
      <c r="K312" s="16">
        <v>5</v>
      </c>
      <c r="L312" s="18">
        <v>46128.348078703704</v>
      </c>
    </row>
    <row r="313" spans="1:12" x14ac:dyDescent="0.25">
      <c r="A313" s="17">
        <v>46046</v>
      </c>
      <c r="B313" s="16">
        <v>1</v>
      </c>
      <c r="C313" s="16" t="s">
        <v>33</v>
      </c>
      <c r="D313" s="19">
        <v>1</v>
      </c>
      <c r="E313" s="19">
        <v>0</v>
      </c>
      <c r="F313" s="19">
        <v>0</v>
      </c>
      <c r="G313" s="19">
        <v>0</v>
      </c>
      <c r="H313" s="19">
        <v>0</v>
      </c>
      <c r="I313" s="19">
        <v>0</v>
      </c>
      <c r="J313" s="16">
        <v>5</v>
      </c>
      <c r="K313" s="16">
        <v>6</v>
      </c>
      <c r="L313" s="18">
        <v>46128.348078703704</v>
      </c>
    </row>
    <row r="314" spans="1:12" x14ac:dyDescent="0.25">
      <c r="A314" s="17">
        <v>46047</v>
      </c>
      <c r="B314" s="16">
        <v>1</v>
      </c>
      <c r="C314" s="16" t="s">
        <v>33</v>
      </c>
      <c r="D314" s="19">
        <v>4</v>
      </c>
      <c r="E314" s="19">
        <v>3</v>
      </c>
      <c r="F314" s="19">
        <v>0</v>
      </c>
      <c r="G314" s="19">
        <v>0</v>
      </c>
      <c r="H314" s="19">
        <v>0</v>
      </c>
      <c r="I314" s="19">
        <v>0</v>
      </c>
      <c r="J314" s="16">
        <v>6</v>
      </c>
      <c r="K314" s="16">
        <v>7</v>
      </c>
      <c r="L314" s="18">
        <v>46128.348078703704</v>
      </c>
    </row>
    <row r="315" spans="1:12" x14ac:dyDescent="0.25">
      <c r="A315" s="17">
        <v>46048</v>
      </c>
      <c r="B315" s="16">
        <v>1</v>
      </c>
      <c r="C315" s="16" t="s">
        <v>33</v>
      </c>
      <c r="D315" s="19">
        <v>1</v>
      </c>
      <c r="E315" s="19">
        <v>2</v>
      </c>
      <c r="F315" s="19">
        <v>0</v>
      </c>
      <c r="G315" s="19">
        <v>0</v>
      </c>
      <c r="H315" s="19">
        <v>1</v>
      </c>
      <c r="I315" s="19">
        <v>0</v>
      </c>
      <c r="J315" s="16">
        <v>7</v>
      </c>
      <c r="K315" s="16">
        <v>7</v>
      </c>
      <c r="L315" s="18">
        <v>46128.348078703704</v>
      </c>
    </row>
    <row r="316" spans="1:12" x14ac:dyDescent="0.25">
      <c r="A316" s="17">
        <v>46049</v>
      </c>
      <c r="B316" s="16">
        <v>1</v>
      </c>
      <c r="C316" s="16" t="s">
        <v>33</v>
      </c>
      <c r="D316" s="19">
        <v>2</v>
      </c>
      <c r="E316" s="19">
        <v>3</v>
      </c>
      <c r="F316" s="19">
        <v>0</v>
      </c>
      <c r="G316" s="19">
        <v>0</v>
      </c>
      <c r="H316" s="19">
        <v>0</v>
      </c>
      <c r="I316" s="19">
        <v>0</v>
      </c>
      <c r="J316" s="16">
        <v>7</v>
      </c>
      <c r="K316" s="16">
        <v>6</v>
      </c>
      <c r="L316" s="18">
        <v>46128.348078703704</v>
      </c>
    </row>
    <row r="317" spans="1:12" x14ac:dyDescent="0.25">
      <c r="A317" s="17">
        <v>46050</v>
      </c>
      <c r="B317" s="16">
        <v>1</v>
      </c>
      <c r="C317" s="16" t="s">
        <v>33</v>
      </c>
      <c r="D317" s="19">
        <v>1</v>
      </c>
      <c r="E317" s="19">
        <v>0</v>
      </c>
      <c r="F317" s="19">
        <v>0</v>
      </c>
      <c r="G317" s="19">
        <v>0</v>
      </c>
      <c r="H317" s="19">
        <v>0</v>
      </c>
      <c r="I317" s="19">
        <v>0</v>
      </c>
      <c r="J317" s="16">
        <v>6</v>
      </c>
      <c r="K317" s="16">
        <v>7</v>
      </c>
      <c r="L317" s="18">
        <v>46128.348078703704</v>
      </c>
    </row>
    <row r="318" spans="1:12" x14ac:dyDescent="0.25">
      <c r="A318" s="17">
        <v>46051</v>
      </c>
      <c r="B318" s="16">
        <v>1</v>
      </c>
      <c r="C318" s="16" t="s">
        <v>33</v>
      </c>
      <c r="D318" s="19">
        <v>2</v>
      </c>
      <c r="E318" s="19">
        <v>2</v>
      </c>
      <c r="F318" s="19">
        <v>0</v>
      </c>
      <c r="G318" s="19">
        <v>0</v>
      </c>
      <c r="H318" s="19">
        <v>0</v>
      </c>
      <c r="I318" s="19">
        <v>0</v>
      </c>
      <c r="J318" s="16">
        <v>7</v>
      </c>
      <c r="K318" s="16">
        <v>7</v>
      </c>
      <c r="L318" s="18">
        <v>46128.348078703704</v>
      </c>
    </row>
    <row r="319" spans="1:12" x14ac:dyDescent="0.25">
      <c r="A319" s="17">
        <v>46052</v>
      </c>
      <c r="B319" s="16">
        <v>1</v>
      </c>
      <c r="C319" s="16" t="s">
        <v>33</v>
      </c>
      <c r="D319" s="19">
        <v>4</v>
      </c>
      <c r="E319" s="19">
        <v>4</v>
      </c>
      <c r="F319" s="19">
        <v>0</v>
      </c>
      <c r="G319" s="19">
        <v>0</v>
      </c>
      <c r="H319" s="19">
        <v>1</v>
      </c>
      <c r="I319" s="19">
        <v>0</v>
      </c>
      <c r="J319" s="16">
        <v>7</v>
      </c>
      <c r="K319" s="16">
        <v>8</v>
      </c>
      <c r="L319" s="18">
        <v>46128.348078703704</v>
      </c>
    </row>
    <row r="320" spans="1:12" x14ac:dyDescent="0.25">
      <c r="A320" s="17">
        <v>46053</v>
      </c>
      <c r="B320" s="16">
        <v>1</v>
      </c>
      <c r="C320" s="16" t="s">
        <v>33</v>
      </c>
      <c r="D320" s="19">
        <v>5</v>
      </c>
      <c r="E320" s="19">
        <v>1</v>
      </c>
      <c r="F320" s="19">
        <v>0</v>
      </c>
      <c r="G320" s="19">
        <v>0</v>
      </c>
      <c r="H320" s="19">
        <v>0</v>
      </c>
      <c r="I320" s="19">
        <v>0</v>
      </c>
      <c r="J320" s="16">
        <v>8</v>
      </c>
      <c r="K320" s="16">
        <v>12</v>
      </c>
      <c r="L320" s="18">
        <v>46128.348078703704</v>
      </c>
    </row>
    <row r="321" spans="1:12" x14ac:dyDescent="0.25">
      <c r="A321" s="17">
        <v>46054</v>
      </c>
      <c r="B321" s="16">
        <v>2</v>
      </c>
      <c r="C321" s="16" t="s">
        <v>33</v>
      </c>
      <c r="D321" s="19">
        <v>3</v>
      </c>
      <c r="E321" s="19">
        <v>7</v>
      </c>
      <c r="F321" s="19">
        <v>0</v>
      </c>
      <c r="G321" s="19">
        <v>0</v>
      </c>
      <c r="H321" s="19">
        <v>0</v>
      </c>
      <c r="I321" s="19">
        <v>0</v>
      </c>
      <c r="J321" s="16">
        <v>12</v>
      </c>
      <c r="K321" s="16">
        <v>8</v>
      </c>
      <c r="L321" s="18">
        <v>46128.348078703704</v>
      </c>
    </row>
    <row r="322" spans="1:12" x14ac:dyDescent="0.25">
      <c r="A322" s="17">
        <v>46055</v>
      </c>
      <c r="B322" s="16">
        <v>2</v>
      </c>
      <c r="C322" s="16" t="s">
        <v>33</v>
      </c>
      <c r="D322" s="19">
        <v>2</v>
      </c>
      <c r="E322" s="19">
        <v>2</v>
      </c>
      <c r="F322" s="19">
        <v>0</v>
      </c>
      <c r="G322" s="19">
        <v>0</v>
      </c>
      <c r="H322" s="19">
        <v>0</v>
      </c>
      <c r="I322" s="19">
        <v>0</v>
      </c>
      <c r="J322" s="16">
        <v>8</v>
      </c>
      <c r="K322" s="16">
        <v>8</v>
      </c>
      <c r="L322" s="18">
        <v>46128.348078703704</v>
      </c>
    </row>
    <row r="323" spans="1:12" x14ac:dyDescent="0.25">
      <c r="A323" s="17">
        <v>46056</v>
      </c>
      <c r="B323" s="16">
        <v>2</v>
      </c>
      <c r="C323" s="16" t="s">
        <v>33</v>
      </c>
      <c r="D323" s="19">
        <v>7</v>
      </c>
      <c r="E323" s="19">
        <v>2</v>
      </c>
      <c r="F323" s="19">
        <v>0</v>
      </c>
      <c r="G323" s="19">
        <v>0</v>
      </c>
      <c r="H323" s="19">
        <v>1</v>
      </c>
      <c r="I323" s="19">
        <v>0</v>
      </c>
      <c r="J323" s="16">
        <v>8</v>
      </c>
      <c r="K323" s="16">
        <v>14</v>
      </c>
      <c r="L323" s="18">
        <v>46128.348078703704</v>
      </c>
    </row>
    <row r="324" spans="1:12" x14ac:dyDescent="0.25">
      <c r="A324" s="17">
        <v>46057</v>
      </c>
      <c r="B324" s="16">
        <v>2</v>
      </c>
      <c r="C324" s="16" t="s">
        <v>33</v>
      </c>
      <c r="D324" s="19">
        <v>3</v>
      </c>
      <c r="E324" s="19">
        <v>6</v>
      </c>
      <c r="F324" s="19">
        <v>0</v>
      </c>
      <c r="G324" s="19">
        <v>0</v>
      </c>
      <c r="H324" s="19">
        <v>0</v>
      </c>
      <c r="I324" s="19">
        <v>0</v>
      </c>
      <c r="J324" s="16">
        <v>14</v>
      </c>
      <c r="K324" s="16">
        <v>11</v>
      </c>
      <c r="L324" s="18">
        <v>46128.348078703704</v>
      </c>
    </row>
    <row r="325" spans="1:12" x14ac:dyDescent="0.25">
      <c r="A325" s="17">
        <v>46058</v>
      </c>
      <c r="B325" s="16">
        <v>2</v>
      </c>
      <c r="C325" s="16" t="s">
        <v>33</v>
      </c>
      <c r="D325" s="19">
        <v>2</v>
      </c>
      <c r="E325" s="19">
        <v>4</v>
      </c>
      <c r="F325" s="19">
        <v>0</v>
      </c>
      <c r="G325" s="19">
        <v>0</v>
      </c>
      <c r="H325" s="19">
        <v>0</v>
      </c>
      <c r="I325" s="19">
        <v>0</v>
      </c>
      <c r="J325" s="16">
        <v>11</v>
      </c>
      <c r="K325" s="16">
        <v>9</v>
      </c>
      <c r="L325" s="18">
        <v>46128.348078703704</v>
      </c>
    </row>
    <row r="326" spans="1:12" x14ac:dyDescent="0.25">
      <c r="A326" s="17">
        <v>46059</v>
      </c>
      <c r="B326" s="16">
        <v>2</v>
      </c>
      <c r="C326" s="16" t="s">
        <v>33</v>
      </c>
      <c r="D326" s="19">
        <v>3</v>
      </c>
      <c r="E326" s="19">
        <v>4</v>
      </c>
      <c r="F326" s="19">
        <v>0</v>
      </c>
      <c r="G326" s="19">
        <v>0</v>
      </c>
      <c r="H326" s="19">
        <v>0</v>
      </c>
      <c r="I326" s="19">
        <v>0</v>
      </c>
      <c r="J326" s="16">
        <v>9</v>
      </c>
      <c r="K326" s="16">
        <v>8</v>
      </c>
      <c r="L326" s="18">
        <v>46128.348078703704</v>
      </c>
    </row>
    <row r="327" spans="1:12" x14ac:dyDescent="0.25">
      <c r="A327" s="17">
        <v>46060</v>
      </c>
      <c r="B327" s="16">
        <v>2</v>
      </c>
      <c r="C327" s="16" t="s">
        <v>33</v>
      </c>
      <c r="D327" s="19">
        <v>2</v>
      </c>
      <c r="E327" s="19">
        <v>4</v>
      </c>
      <c r="F327" s="19">
        <v>0</v>
      </c>
      <c r="G327" s="19">
        <v>0</v>
      </c>
      <c r="H327" s="19">
        <v>0</v>
      </c>
      <c r="I327" s="19">
        <v>0</v>
      </c>
      <c r="J327" s="16">
        <v>8</v>
      </c>
      <c r="K327" s="16">
        <v>6</v>
      </c>
      <c r="L327" s="18">
        <v>46128.348078703704</v>
      </c>
    </row>
    <row r="328" spans="1:12" x14ac:dyDescent="0.25">
      <c r="A328" s="17">
        <v>46061</v>
      </c>
      <c r="B328" s="16">
        <v>2</v>
      </c>
      <c r="C328" s="16" t="s">
        <v>33</v>
      </c>
      <c r="D328" s="19">
        <v>1</v>
      </c>
      <c r="E328" s="19">
        <v>3</v>
      </c>
      <c r="F328" s="19">
        <v>0</v>
      </c>
      <c r="G328" s="19">
        <v>0</v>
      </c>
      <c r="H328" s="19">
        <v>0</v>
      </c>
      <c r="I328" s="19">
        <v>0</v>
      </c>
      <c r="J328" s="16">
        <v>6</v>
      </c>
      <c r="K328" s="16">
        <v>4</v>
      </c>
      <c r="L328" s="18">
        <v>46128.348078703704</v>
      </c>
    </row>
    <row r="329" spans="1:12" x14ac:dyDescent="0.25">
      <c r="A329" s="17">
        <v>46062</v>
      </c>
      <c r="B329" s="16">
        <v>2</v>
      </c>
      <c r="C329" s="16" t="s">
        <v>33</v>
      </c>
      <c r="D329" s="19">
        <v>4</v>
      </c>
      <c r="E329" s="19">
        <v>0</v>
      </c>
      <c r="F329" s="19">
        <v>0</v>
      </c>
      <c r="G329" s="19">
        <v>0</v>
      </c>
      <c r="H329" s="19">
        <v>0</v>
      </c>
      <c r="I329" s="19">
        <v>0</v>
      </c>
      <c r="J329" s="16">
        <v>4</v>
      </c>
      <c r="K329" s="16">
        <v>8</v>
      </c>
      <c r="L329" s="18">
        <v>46128.348078703704</v>
      </c>
    </row>
    <row r="330" spans="1:12" x14ac:dyDescent="0.25">
      <c r="A330" s="17">
        <v>46063</v>
      </c>
      <c r="B330" s="16">
        <v>2</v>
      </c>
      <c r="C330" s="16" t="s">
        <v>33</v>
      </c>
      <c r="D330" s="19">
        <v>1</v>
      </c>
      <c r="E330" s="19">
        <v>3</v>
      </c>
      <c r="F330" s="19">
        <v>0</v>
      </c>
      <c r="G330" s="19">
        <v>0</v>
      </c>
      <c r="H330" s="19">
        <v>0</v>
      </c>
      <c r="I330" s="19">
        <v>0</v>
      </c>
      <c r="J330" s="16">
        <v>8</v>
      </c>
      <c r="K330" s="16">
        <v>6</v>
      </c>
      <c r="L330" s="18">
        <v>46128.348078703704</v>
      </c>
    </row>
    <row r="331" spans="1:12" x14ac:dyDescent="0.25">
      <c r="A331" s="17">
        <v>46064</v>
      </c>
      <c r="B331" s="16">
        <v>2</v>
      </c>
      <c r="C331" s="16" t="s">
        <v>33</v>
      </c>
      <c r="D331" s="19">
        <v>2</v>
      </c>
      <c r="E331" s="19">
        <v>0</v>
      </c>
      <c r="F331" s="19">
        <v>0</v>
      </c>
      <c r="G331" s="19">
        <v>0</v>
      </c>
      <c r="H331" s="19">
        <v>0</v>
      </c>
      <c r="I331" s="19">
        <v>0</v>
      </c>
      <c r="J331" s="16">
        <v>6</v>
      </c>
      <c r="K331" s="16">
        <v>8</v>
      </c>
      <c r="L331" s="18">
        <v>46128.348078703704</v>
      </c>
    </row>
    <row r="332" spans="1:12" x14ac:dyDescent="0.25">
      <c r="A332" s="17">
        <v>46065</v>
      </c>
      <c r="B332" s="16">
        <v>2</v>
      </c>
      <c r="C332" s="16" t="s">
        <v>33</v>
      </c>
      <c r="D332" s="19">
        <v>1</v>
      </c>
      <c r="E332" s="19">
        <v>2</v>
      </c>
      <c r="F332" s="19">
        <v>0</v>
      </c>
      <c r="G332" s="19">
        <v>0</v>
      </c>
      <c r="H332" s="19">
        <v>0</v>
      </c>
      <c r="I332" s="19">
        <v>0</v>
      </c>
      <c r="J332" s="16">
        <v>8</v>
      </c>
      <c r="K332" s="16">
        <v>7</v>
      </c>
      <c r="L332" s="18">
        <v>46128.348078703704</v>
      </c>
    </row>
    <row r="333" spans="1:12" x14ac:dyDescent="0.25">
      <c r="A333" s="17">
        <v>46066</v>
      </c>
      <c r="B333" s="16">
        <v>2</v>
      </c>
      <c r="C333" s="16" t="s">
        <v>33</v>
      </c>
      <c r="D333" s="19">
        <v>4</v>
      </c>
      <c r="E333" s="19">
        <v>3</v>
      </c>
      <c r="F333" s="19">
        <v>0</v>
      </c>
      <c r="G333" s="19">
        <v>0</v>
      </c>
      <c r="H333" s="19">
        <v>0</v>
      </c>
      <c r="I333" s="19">
        <v>0</v>
      </c>
      <c r="J333" s="16">
        <v>7</v>
      </c>
      <c r="K333" s="16">
        <v>8</v>
      </c>
      <c r="L333" s="18">
        <v>46128.348078703704</v>
      </c>
    </row>
    <row r="334" spans="1:12" x14ac:dyDescent="0.25">
      <c r="A334" s="17">
        <v>46067</v>
      </c>
      <c r="B334" s="16">
        <v>2</v>
      </c>
      <c r="C334" s="16" t="s">
        <v>33</v>
      </c>
      <c r="D334" s="19">
        <v>1</v>
      </c>
      <c r="E334" s="19">
        <v>2</v>
      </c>
      <c r="F334" s="19">
        <v>0</v>
      </c>
      <c r="G334" s="19">
        <v>0</v>
      </c>
      <c r="H334" s="19">
        <v>1</v>
      </c>
      <c r="I334" s="19">
        <v>0</v>
      </c>
      <c r="J334" s="16">
        <v>8</v>
      </c>
      <c r="K334" s="16">
        <v>8</v>
      </c>
      <c r="L334" s="18">
        <v>46128.348078703704</v>
      </c>
    </row>
    <row r="335" spans="1:12" x14ac:dyDescent="0.25">
      <c r="A335" s="17">
        <v>46068</v>
      </c>
      <c r="B335" s="16">
        <v>2</v>
      </c>
      <c r="C335" s="16" t="s">
        <v>33</v>
      </c>
      <c r="D335" s="19">
        <v>5</v>
      </c>
      <c r="E335" s="19">
        <v>4</v>
      </c>
      <c r="F335" s="19">
        <v>0</v>
      </c>
      <c r="G335" s="19">
        <v>0</v>
      </c>
      <c r="H335" s="19">
        <v>1</v>
      </c>
      <c r="I335" s="19">
        <v>0</v>
      </c>
      <c r="J335" s="16">
        <v>8</v>
      </c>
      <c r="K335" s="16">
        <v>10</v>
      </c>
      <c r="L335" s="18">
        <v>46128.348078703704</v>
      </c>
    </row>
    <row r="336" spans="1:12" x14ac:dyDescent="0.25">
      <c r="A336" s="17">
        <v>46069</v>
      </c>
      <c r="B336" s="16">
        <v>2</v>
      </c>
      <c r="C336" s="16" t="s">
        <v>33</v>
      </c>
      <c r="D336" s="19">
        <v>3</v>
      </c>
      <c r="E336" s="19">
        <v>3</v>
      </c>
      <c r="F336" s="19">
        <v>0</v>
      </c>
      <c r="G336" s="19">
        <v>0</v>
      </c>
      <c r="H336" s="19">
        <v>0</v>
      </c>
      <c r="I336" s="19">
        <v>0</v>
      </c>
      <c r="J336" s="16">
        <v>10</v>
      </c>
      <c r="K336" s="16">
        <v>10</v>
      </c>
      <c r="L336" s="18">
        <v>46128.348078703704</v>
      </c>
    </row>
    <row r="337" spans="1:12" x14ac:dyDescent="0.25">
      <c r="A337" s="17">
        <v>46070</v>
      </c>
      <c r="B337" s="16">
        <v>2</v>
      </c>
      <c r="C337" s="16" t="s">
        <v>33</v>
      </c>
      <c r="D337" s="19">
        <v>4</v>
      </c>
      <c r="E337" s="19">
        <v>4</v>
      </c>
      <c r="F337" s="19">
        <v>0</v>
      </c>
      <c r="G337" s="19">
        <v>1</v>
      </c>
      <c r="H337" s="19">
        <v>0</v>
      </c>
      <c r="I337" s="19">
        <v>0</v>
      </c>
      <c r="J337" s="16">
        <v>10</v>
      </c>
      <c r="K337" s="16">
        <v>9</v>
      </c>
      <c r="L337" s="18">
        <v>46128.348078703704</v>
      </c>
    </row>
    <row r="338" spans="1:12" x14ac:dyDescent="0.25">
      <c r="A338" s="17">
        <v>46071</v>
      </c>
      <c r="B338" s="16">
        <v>2</v>
      </c>
      <c r="C338" s="16" t="s">
        <v>33</v>
      </c>
      <c r="D338" s="19">
        <v>0</v>
      </c>
      <c r="E338" s="19">
        <v>3</v>
      </c>
      <c r="F338" s="19">
        <v>0</v>
      </c>
      <c r="G338" s="19">
        <v>0</v>
      </c>
      <c r="H338" s="19">
        <v>1</v>
      </c>
      <c r="I338" s="19">
        <v>0</v>
      </c>
      <c r="J338" s="16">
        <v>9</v>
      </c>
      <c r="K338" s="16">
        <v>7</v>
      </c>
      <c r="L338" s="18">
        <v>46128.348078703704</v>
      </c>
    </row>
    <row r="339" spans="1:12" x14ac:dyDescent="0.25">
      <c r="A339" s="17">
        <v>46072</v>
      </c>
      <c r="B339" s="16">
        <v>2</v>
      </c>
      <c r="C339" s="16" t="s">
        <v>33</v>
      </c>
      <c r="D339" s="19">
        <v>7</v>
      </c>
      <c r="E339" s="19">
        <v>3</v>
      </c>
      <c r="F339" s="19">
        <v>0</v>
      </c>
      <c r="G339" s="19">
        <v>0</v>
      </c>
      <c r="H339" s="19">
        <v>0</v>
      </c>
      <c r="I339" s="19">
        <v>0</v>
      </c>
      <c r="J339" s="16">
        <v>7</v>
      </c>
      <c r="K339" s="16">
        <v>11</v>
      </c>
      <c r="L339" s="18">
        <v>46128.348078703704</v>
      </c>
    </row>
    <row r="340" spans="1:12" x14ac:dyDescent="0.25">
      <c r="A340" s="17">
        <v>46073</v>
      </c>
      <c r="B340" s="16">
        <v>2</v>
      </c>
      <c r="C340" s="16" t="s">
        <v>33</v>
      </c>
      <c r="D340" s="19">
        <v>3</v>
      </c>
      <c r="E340" s="19">
        <v>3</v>
      </c>
      <c r="F340" s="19">
        <v>0</v>
      </c>
      <c r="G340" s="19">
        <v>0</v>
      </c>
      <c r="H340" s="19">
        <v>0</v>
      </c>
      <c r="I340" s="19">
        <v>0</v>
      </c>
      <c r="J340" s="16">
        <v>11</v>
      </c>
      <c r="K340" s="16">
        <v>11</v>
      </c>
      <c r="L340" s="18">
        <v>46128.348078703704</v>
      </c>
    </row>
    <row r="341" spans="1:12" x14ac:dyDescent="0.25">
      <c r="A341" s="17">
        <v>46074</v>
      </c>
      <c r="B341" s="16">
        <v>2</v>
      </c>
      <c r="C341" s="16" t="s">
        <v>33</v>
      </c>
      <c r="D341" s="19">
        <v>2</v>
      </c>
      <c r="E341" s="19">
        <v>4</v>
      </c>
      <c r="F341" s="19">
        <v>0</v>
      </c>
      <c r="G341" s="19">
        <v>0</v>
      </c>
      <c r="H341" s="19">
        <v>0</v>
      </c>
      <c r="I341" s="19">
        <v>0</v>
      </c>
      <c r="J341" s="16">
        <v>11</v>
      </c>
      <c r="K341" s="16">
        <v>9</v>
      </c>
      <c r="L341" s="18">
        <v>46128.348078703704</v>
      </c>
    </row>
    <row r="342" spans="1:12" x14ac:dyDescent="0.25">
      <c r="A342" s="17">
        <v>46075</v>
      </c>
      <c r="B342" s="16">
        <v>2</v>
      </c>
      <c r="C342" s="16" t="s">
        <v>33</v>
      </c>
      <c r="D342" s="19">
        <v>4</v>
      </c>
      <c r="E342" s="19">
        <v>2</v>
      </c>
      <c r="F342" s="19">
        <v>0</v>
      </c>
      <c r="G342" s="19">
        <v>0</v>
      </c>
      <c r="H342" s="19">
        <v>0</v>
      </c>
      <c r="I342" s="19">
        <v>0</v>
      </c>
      <c r="J342" s="16">
        <v>9</v>
      </c>
      <c r="K342" s="16">
        <v>11</v>
      </c>
      <c r="L342" s="18">
        <v>46128.348078703704</v>
      </c>
    </row>
    <row r="343" spans="1:12" x14ac:dyDescent="0.25">
      <c r="A343" s="17">
        <v>46076</v>
      </c>
      <c r="B343" s="16">
        <v>2</v>
      </c>
      <c r="C343" s="16" t="s">
        <v>33</v>
      </c>
      <c r="D343" s="19">
        <v>1</v>
      </c>
      <c r="E343" s="19">
        <v>8</v>
      </c>
      <c r="F343" s="19">
        <v>0</v>
      </c>
      <c r="G343" s="19">
        <v>0</v>
      </c>
      <c r="H343" s="19">
        <v>0</v>
      </c>
      <c r="I343" s="19">
        <v>0</v>
      </c>
      <c r="J343" s="16">
        <v>11</v>
      </c>
      <c r="K343" s="16">
        <v>4</v>
      </c>
      <c r="L343" s="18">
        <v>46128.348078703704</v>
      </c>
    </row>
    <row r="344" spans="1:12" x14ac:dyDescent="0.25">
      <c r="A344" s="17">
        <v>46077</v>
      </c>
      <c r="B344" s="16">
        <v>2</v>
      </c>
      <c r="C344" s="16" t="s">
        <v>33</v>
      </c>
      <c r="D344" s="19">
        <v>6</v>
      </c>
      <c r="E344" s="19">
        <v>1</v>
      </c>
      <c r="F344" s="19">
        <v>0</v>
      </c>
      <c r="G344" s="19">
        <v>0</v>
      </c>
      <c r="H344" s="19">
        <v>1</v>
      </c>
      <c r="I344" s="19">
        <v>0</v>
      </c>
      <c r="J344" s="16">
        <v>4</v>
      </c>
      <c r="K344" s="16">
        <v>10</v>
      </c>
      <c r="L344" s="18">
        <v>46128.348078703704</v>
      </c>
    </row>
    <row r="345" spans="1:12" x14ac:dyDescent="0.25">
      <c r="A345" s="17">
        <v>46078</v>
      </c>
      <c r="B345" s="16">
        <v>2</v>
      </c>
      <c r="C345" s="16" t="s">
        <v>33</v>
      </c>
      <c r="D345" s="19">
        <v>3</v>
      </c>
      <c r="E345" s="19">
        <v>0</v>
      </c>
      <c r="F345" s="19">
        <v>0</v>
      </c>
      <c r="G345" s="19">
        <v>0</v>
      </c>
      <c r="H345" s="19">
        <v>0</v>
      </c>
      <c r="I345" s="19">
        <v>0</v>
      </c>
      <c r="J345" s="16">
        <v>10</v>
      </c>
      <c r="K345" s="16">
        <v>13</v>
      </c>
      <c r="L345" s="18">
        <v>46128.348078703704</v>
      </c>
    </row>
    <row r="346" spans="1:12" x14ac:dyDescent="0.25">
      <c r="A346" s="17">
        <v>46079</v>
      </c>
      <c r="B346" s="16">
        <v>2</v>
      </c>
      <c r="C346" s="16" t="s">
        <v>33</v>
      </c>
      <c r="D346" s="19">
        <v>4</v>
      </c>
      <c r="E346" s="19">
        <v>5</v>
      </c>
      <c r="F346" s="19">
        <v>0</v>
      </c>
      <c r="G346" s="19">
        <v>0</v>
      </c>
      <c r="H346" s="19">
        <v>0</v>
      </c>
      <c r="I346" s="19">
        <v>0</v>
      </c>
      <c r="J346" s="16">
        <v>13</v>
      </c>
      <c r="K346" s="16">
        <v>12</v>
      </c>
      <c r="L346" s="18">
        <v>46128.348078703704</v>
      </c>
    </row>
    <row r="347" spans="1:12" x14ac:dyDescent="0.25">
      <c r="A347" s="17">
        <v>46080</v>
      </c>
      <c r="B347" s="16">
        <v>2</v>
      </c>
      <c r="C347" s="16" t="s">
        <v>33</v>
      </c>
      <c r="D347" s="19">
        <v>5</v>
      </c>
      <c r="E347" s="19">
        <v>6</v>
      </c>
      <c r="F347" s="19">
        <v>0</v>
      </c>
      <c r="G347" s="19">
        <v>0</v>
      </c>
      <c r="H347" s="19">
        <v>0</v>
      </c>
      <c r="I347" s="19">
        <v>0</v>
      </c>
      <c r="J347" s="16">
        <v>12</v>
      </c>
      <c r="K347" s="16">
        <v>11</v>
      </c>
      <c r="L347" s="18">
        <v>46128.348078703704</v>
      </c>
    </row>
    <row r="348" spans="1:12" x14ac:dyDescent="0.25">
      <c r="A348" s="17">
        <v>46081</v>
      </c>
      <c r="B348" s="16">
        <v>2</v>
      </c>
      <c r="C348" s="16" t="s">
        <v>33</v>
      </c>
      <c r="D348" s="19">
        <v>1</v>
      </c>
      <c r="E348" s="19">
        <v>3</v>
      </c>
      <c r="F348" s="19">
        <v>0</v>
      </c>
      <c r="G348" s="19">
        <v>0</v>
      </c>
      <c r="H348" s="19">
        <v>0</v>
      </c>
      <c r="I348" s="19">
        <v>0</v>
      </c>
      <c r="J348" s="16">
        <v>11</v>
      </c>
      <c r="K348" s="16">
        <v>9</v>
      </c>
      <c r="L348" s="18">
        <v>46128.348078703704</v>
      </c>
    </row>
    <row r="349" spans="1:12" x14ac:dyDescent="0.25">
      <c r="A349" s="17">
        <v>46082</v>
      </c>
      <c r="B349" s="16">
        <v>3</v>
      </c>
      <c r="C349" s="16" t="s">
        <v>33</v>
      </c>
      <c r="D349" s="19">
        <v>0</v>
      </c>
      <c r="E349" s="19">
        <v>1</v>
      </c>
      <c r="F349" s="19">
        <v>0</v>
      </c>
      <c r="G349" s="19">
        <v>0</v>
      </c>
      <c r="H349" s="19">
        <v>1</v>
      </c>
      <c r="I349" s="19">
        <v>0</v>
      </c>
      <c r="J349" s="16">
        <v>9</v>
      </c>
      <c r="K349" s="16">
        <v>9</v>
      </c>
      <c r="L349" s="18">
        <v>46128.348078703704</v>
      </c>
    </row>
    <row r="350" spans="1:12" x14ac:dyDescent="0.25">
      <c r="A350" s="17">
        <v>46083</v>
      </c>
      <c r="B350" s="16">
        <v>3</v>
      </c>
      <c r="C350" s="16" t="s">
        <v>33</v>
      </c>
      <c r="D350" s="19">
        <v>3</v>
      </c>
      <c r="E350" s="19">
        <v>3</v>
      </c>
      <c r="F350" s="19">
        <v>0</v>
      </c>
      <c r="G350" s="19">
        <v>0</v>
      </c>
      <c r="H350" s="19">
        <v>0</v>
      </c>
      <c r="I350" s="19">
        <v>0</v>
      </c>
      <c r="J350" s="16">
        <v>9</v>
      </c>
      <c r="K350" s="16">
        <v>9</v>
      </c>
      <c r="L350" s="18">
        <v>46128.348078703704</v>
      </c>
    </row>
    <row r="351" spans="1:12" x14ac:dyDescent="0.25">
      <c r="A351" s="17">
        <v>46084</v>
      </c>
      <c r="B351" s="16">
        <v>3</v>
      </c>
      <c r="C351" s="16" t="s">
        <v>33</v>
      </c>
      <c r="D351" s="19">
        <v>4</v>
      </c>
      <c r="E351" s="19">
        <v>3</v>
      </c>
      <c r="F351" s="19">
        <v>0</v>
      </c>
      <c r="G351" s="19">
        <v>0</v>
      </c>
      <c r="H351" s="19">
        <v>1</v>
      </c>
      <c r="I351" s="19">
        <v>0</v>
      </c>
      <c r="J351" s="16">
        <v>9</v>
      </c>
      <c r="K351" s="16">
        <v>11</v>
      </c>
      <c r="L351" s="18">
        <v>46128.348078703704</v>
      </c>
    </row>
    <row r="352" spans="1:12" x14ac:dyDescent="0.25">
      <c r="A352" s="17">
        <v>46085</v>
      </c>
      <c r="B352" s="16">
        <v>3</v>
      </c>
      <c r="C352" s="16" t="s">
        <v>33</v>
      </c>
      <c r="D352" s="19">
        <v>1</v>
      </c>
      <c r="E352" s="19">
        <v>2</v>
      </c>
      <c r="F352" s="19">
        <v>0</v>
      </c>
      <c r="G352" s="19">
        <v>1</v>
      </c>
      <c r="H352" s="19">
        <v>1</v>
      </c>
      <c r="I352" s="19">
        <v>0</v>
      </c>
      <c r="J352" s="16">
        <v>11</v>
      </c>
      <c r="K352" s="16">
        <v>10</v>
      </c>
      <c r="L352" s="18">
        <v>46128.348078703704</v>
      </c>
    </row>
    <row r="353" spans="1:12" x14ac:dyDescent="0.25">
      <c r="A353" s="17">
        <v>46086</v>
      </c>
      <c r="B353" s="16">
        <v>3</v>
      </c>
      <c r="C353" s="16" t="s">
        <v>33</v>
      </c>
      <c r="D353" s="19">
        <v>3</v>
      </c>
      <c r="E353" s="19">
        <v>9</v>
      </c>
      <c r="F353" s="19">
        <v>0</v>
      </c>
      <c r="G353" s="19">
        <v>0</v>
      </c>
      <c r="H353" s="19">
        <v>0</v>
      </c>
      <c r="I353" s="19">
        <v>0</v>
      </c>
      <c r="J353" s="16">
        <v>10</v>
      </c>
      <c r="K353" s="16">
        <v>4</v>
      </c>
      <c r="L353" s="18">
        <v>46128.348078703704</v>
      </c>
    </row>
    <row r="354" spans="1:12" x14ac:dyDescent="0.25">
      <c r="A354" s="17">
        <v>46087</v>
      </c>
      <c r="B354" s="16">
        <v>3</v>
      </c>
      <c r="C354" s="16" t="s">
        <v>33</v>
      </c>
      <c r="D354" s="19">
        <v>3</v>
      </c>
      <c r="E354" s="19">
        <v>1</v>
      </c>
      <c r="F354" s="19">
        <v>0</v>
      </c>
      <c r="G354" s="19">
        <v>0</v>
      </c>
      <c r="H354" s="19">
        <v>0</v>
      </c>
      <c r="I354" s="19">
        <v>0</v>
      </c>
      <c r="J354" s="16">
        <v>4</v>
      </c>
      <c r="K354" s="16">
        <v>6</v>
      </c>
      <c r="L354" s="18">
        <v>46128.348078703704</v>
      </c>
    </row>
    <row r="355" spans="1:12" x14ac:dyDescent="0.25">
      <c r="A355" s="17">
        <v>46088</v>
      </c>
      <c r="B355" s="16">
        <v>3</v>
      </c>
      <c r="C355" s="16" t="s">
        <v>33</v>
      </c>
      <c r="D355" s="19">
        <v>0</v>
      </c>
      <c r="E355" s="19">
        <v>2</v>
      </c>
      <c r="F355" s="19">
        <v>0</v>
      </c>
      <c r="G355" s="19">
        <v>0</v>
      </c>
      <c r="H355" s="19">
        <v>0</v>
      </c>
      <c r="I355" s="19">
        <v>0</v>
      </c>
      <c r="J355" s="16">
        <v>6</v>
      </c>
      <c r="K355" s="16">
        <v>4</v>
      </c>
      <c r="L355" s="18">
        <v>46128.348078703704</v>
      </c>
    </row>
    <row r="356" spans="1:12" x14ac:dyDescent="0.25">
      <c r="A356" s="17">
        <v>46089</v>
      </c>
      <c r="B356" s="16">
        <v>3</v>
      </c>
      <c r="C356" s="16" t="s">
        <v>33</v>
      </c>
      <c r="D356" s="19">
        <v>1</v>
      </c>
      <c r="E356" s="19">
        <v>1</v>
      </c>
      <c r="F356" s="19">
        <v>0</v>
      </c>
      <c r="G356" s="19">
        <v>0</v>
      </c>
      <c r="H356" s="19">
        <v>0</v>
      </c>
      <c r="I356" s="19">
        <v>0</v>
      </c>
      <c r="J356" s="16">
        <v>4</v>
      </c>
      <c r="K356" s="16">
        <v>4</v>
      </c>
      <c r="L356" s="18">
        <v>46128.348078703704</v>
      </c>
    </row>
    <row r="357" spans="1:12" x14ac:dyDescent="0.25">
      <c r="A357" s="17">
        <v>46090</v>
      </c>
      <c r="B357" s="16">
        <v>3</v>
      </c>
      <c r="C357" s="16" t="s">
        <v>33</v>
      </c>
      <c r="D357" s="19">
        <v>2</v>
      </c>
      <c r="E357" s="19">
        <v>2</v>
      </c>
      <c r="F357" s="19">
        <v>0</v>
      </c>
      <c r="G357" s="19">
        <v>0</v>
      </c>
      <c r="H357" s="19">
        <v>0</v>
      </c>
      <c r="I357" s="19">
        <v>0</v>
      </c>
      <c r="J357" s="16">
        <v>4</v>
      </c>
      <c r="K357" s="16">
        <v>4</v>
      </c>
      <c r="L357" s="18">
        <v>46128.348078703704</v>
      </c>
    </row>
    <row r="358" spans="1:12" x14ac:dyDescent="0.25">
      <c r="A358" s="17">
        <v>46091</v>
      </c>
      <c r="B358" s="16">
        <v>3</v>
      </c>
      <c r="C358" s="16" t="s">
        <v>33</v>
      </c>
      <c r="D358" s="19">
        <v>2</v>
      </c>
      <c r="E358" s="19">
        <v>2</v>
      </c>
      <c r="F358" s="19">
        <v>0</v>
      </c>
      <c r="G358" s="19">
        <v>0</v>
      </c>
      <c r="H358" s="19">
        <v>0</v>
      </c>
      <c r="I358" s="19">
        <v>0</v>
      </c>
      <c r="J358" s="16">
        <v>4</v>
      </c>
      <c r="K358" s="16">
        <v>4</v>
      </c>
      <c r="L358" s="18">
        <v>46128.348078703704</v>
      </c>
    </row>
    <row r="359" spans="1:12" x14ac:dyDescent="0.25">
      <c r="A359" s="17">
        <v>46092</v>
      </c>
      <c r="B359" s="16">
        <v>3</v>
      </c>
      <c r="C359" s="16" t="s">
        <v>33</v>
      </c>
      <c r="D359" s="19">
        <v>3</v>
      </c>
      <c r="E359" s="19">
        <v>1</v>
      </c>
      <c r="F359" s="19">
        <v>0</v>
      </c>
      <c r="G359" s="19">
        <v>0</v>
      </c>
      <c r="H359" s="19">
        <v>0</v>
      </c>
      <c r="I359" s="19">
        <v>0</v>
      </c>
      <c r="J359" s="16">
        <v>4</v>
      </c>
      <c r="K359" s="16">
        <v>6</v>
      </c>
      <c r="L359" s="18">
        <v>46128.348078703704</v>
      </c>
    </row>
    <row r="360" spans="1:12" x14ac:dyDescent="0.25">
      <c r="A360" s="17">
        <v>46093</v>
      </c>
      <c r="B360" s="16">
        <v>3</v>
      </c>
      <c r="C360" s="16" t="s">
        <v>33</v>
      </c>
      <c r="D360" s="19">
        <v>3</v>
      </c>
      <c r="E360" s="19">
        <v>1</v>
      </c>
      <c r="F360" s="19">
        <v>0</v>
      </c>
      <c r="G360" s="19">
        <v>0</v>
      </c>
      <c r="H360" s="19">
        <v>0</v>
      </c>
      <c r="I360" s="19">
        <v>0</v>
      </c>
      <c r="J360" s="16">
        <v>6</v>
      </c>
      <c r="K360" s="16">
        <v>8</v>
      </c>
      <c r="L360" s="18">
        <v>46128.348078703704</v>
      </c>
    </row>
    <row r="361" spans="1:12" x14ac:dyDescent="0.25">
      <c r="A361" s="17">
        <v>46094</v>
      </c>
      <c r="B361" s="16">
        <v>3</v>
      </c>
      <c r="C361" s="16" t="s">
        <v>33</v>
      </c>
      <c r="D361" s="19">
        <v>0</v>
      </c>
      <c r="E361" s="19">
        <v>2</v>
      </c>
      <c r="F361" s="19">
        <v>0</v>
      </c>
      <c r="G361" s="19">
        <v>0</v>
      </c>
      <c r="H361" s="19">
        <v>0</v>
      </c>
      <c r="I361" s="19">
        <v>0</v>
      </c>
      <c r="J361" s="16">
        <v>8</v>
      </c>
      <c r="K361" s="16">
        <v>6</v>
      </c>
      <c r="L361" s="18">
        <v>46128.348078703704</v>
      </c>
    </row>
    <row r="362" spans="1:12" x14ac:dyDescent="0.25">
      <c r="A362" s="17">
        <v>46095</v>
      </c>
      <c r="B362" s="16">
        <v>3</v>
      </c>
      <c r="C362" s="16" t="s">
        <v>33</v>
      </c>
      <c r="D362" s="19">
        <v>4</v>
      </c>
      <c r="E362" s="19">
        <v>0</v>
      </c>
      <c r="F362" s="19">
        <v>0</v>
      </c>
      <c r="G362" s="19">
        <v>0</v>
      </c>
      <c r="H362" s="19">
        <v>0</v>
      </c>
      <c r="I362" s="19">
        <v>0</v>
      </c>
      <c r="J362" s="16">
        <v>6</v>
      </c>
      <c r="K362" s="16">
        <v>10</v>
      </c>
      <c r="L362" s="18">
        <v>46128.348078703704</v>
      </c>
    </row>
    <row r="363" spans="1:12" x14ac:dyDescent="0.25">
      <c r="A363" s="17">
        <v>46096</v>
      </c>
      <c r="B363" s="16">
        <v>3</v>
      </c>
      <c r="C363" s="16" t="s">
        <v>33</v>
      </c>
      <c r="D363" s="19">
        <v>0</v>
      </c>
      <c r="E363" s="19">
        <v>1</v>
      </c>
      <c r="F363" s="19">
        <v>0</v>
      </c>
      <c r="G363" s="19">
        <v>0</v>
      </c>
      <c r="H363" s="19">
        <v>0</v>
      </c>
      <c r="I363" s="19">
        <v>0</v>
      </c>
      <c r="J363" s="16">
        <v>10</v>
      </c>
      <c r="K363" s="16">
        <v>9</v>
      </c>
      <c r="L363" s="18">
        <v>46128.348078703704</v>
      </c>
    </row>
    <row r="364" spans="1:12" x14ac:dyDescent="0.25">
      <c r="A364" s="17">
        <v>46097</v>
      </c>
      <c r="B364" s="16">
        <v>3</v>
      </c>
      <c r="C364" s="16" t="s">
        <v>33</v>
      </c>
      <c r="D364" s="19">
        <v>3</v>
      </c>
      <c r="E364" s="19">
        <v>3</v>
      </c>
      <c r="F364" s="19">
        <v>0</v>
      </c>
      <c r="G364" s="19">
        <v>0</v>
      </c>
      <c r="H364" s="19">
        <v>0</v>
      </c>
      <c r="I364" s="19">
        <v>0</v>
      </c>
      <c r="J364" s="16">
        <v>9</v>
      </c>
      <c r="K364" s="16">
        <v>9</v>
      </c>
      <c r="L364" s="18">
        <v>46128.348078703704</v>
      </c>
    </row>
    <row r="365" spans="1:12" x14ac:dyDescent="0.25">
      <c r="A365" s="17">
        <v>46098</v>
      </c>
      <c r="B365" s="16">
        <v>3</v>
      </c>
      <c r="C365" s="16" t="s">
        <v>33</v>
      </c>
      <c r="D365" s="19">
        <v>1</v>
      </c>
      <c r="E365" s="19">
        <v>3</v>
      </c>
      <c r="F365" s="19">
        <v>0</v>
      </c>
      <c r="G365" s="19">
        <v>0</v>
      </c>
      <c r="H365" s="19">
        <v>0</v>
      </c>
      <c r="I365" s="19">
        <v>0</v>
      </c>
      <c r="J365" s="16">
        <v>9</v>
      </c>
      <c r="K365" s="16">
        <v>7</v>
      </c>
      <c r="L365" s="18">
        <v>46128.348078703704</v>
      </c>
    </row>
    <row r="366" spans="1:12" x14ac:dyDescent="0.25">
      <c r="A366" s="17">
        <v>46099</v>
      </c>
      <c r="B366" s="16">
        <v>3</v>
      </c>
      <c r="C366" s="16" t="s">
        <v>33</v>
      </c>
      <c r="D366" s="19">
        <v>3</v>
      </c>
      <c r="E366" s="19">
        <v>2</v>
      </c>
      <c r="F366" s="19">
        <v>0</v>
      </c>
      <c r="G366" s="19">
        <v>0</v>
      </c>
      <c r="H366" s="19">
        <v>0</v>
      </c>
      <c r="I366" s="19">
        <v>0</v>
      </c>
      <c r="J366" s="16">
        <v>7</v>
      </c>
      <c r="K366" s="16">
        <v>8</v>
      </c>
      <c r="L366" s="18">
        <v>46128.348078703704</v>
      </c>
    </row>
    <row r="367" spans="1:12" x14ac:dyDescent="0.25">
      <c r="A367" s="17">
        <v>46100</v>
      </c>
      <c r="B367" s="16">
        <v>3</v>
      </c>
      <c r="C367" s="16" t="s">
        <v>33</v>
      </c>
      <c r="D367" s="19">
        <v>5</v>
      </c>
      <c r="E367" s="19">
        <v>3</v>
      </c>
      <c r="F367" s="19">
        <v>0</v>
      </c>
      <c r="G367" s="19">
        <v>0</v>
      </c>
      <c r="H367" s="19">
        <v>0</v>
      </c>
      <c r="I367" s="19">
        <v>0</v>
      </c>
      <c r="J367" s="16">
        <v>8</v>
      </c>
      <c r="K367" s="16">
        <v>10</v>
      </c>
      <c r="L367" s="18">
        <v>46128.348078703704</v>
      </c>
    </row>
    <row r="368" spans="1:12" x14ac:dyDescent="0.25">
      <c r="A368" s="17">
        <v>46101</v>
      </c>
      <c r="B368" s="16">
        <v>3</v>
      </c>
      <c r="C368" s="16" t="s">
        <v>33</v>
      </c>
      <c r="D368" s="19">
        <v>3</v>
      </c>
      <c r="E368" s="19">
        <v>0</v>
      </c>
      <c r="F368" s="19">
        <v>0</v>
      </c>
      <c r="G368" s="19">
        <v>0</v>
      </c>
      <c r="H368" s="19">
        <v>1</v>
      </c>
      <c r="I368" s="19">
        <v>0</v>
      </c>
      <c r="J368" s="16">
        <v>10</v>
      </c>
      <c r="K368" s="16">
        <v>14</v>
      </c>
      <c r="L368" s="18">
        <v>46128.348078703704</v>
      </c>
    </row>
    <row r="369" spans="1:12" x14ac:dyDescent="0.25">
      <c r="A369" s="17">
        <v>46102</v>
      </c>
      <c r="B369" s="16">
        <v>3</v>
      </c>
      <c r="C369" s="16" t="s">
        <v>33</v>
      </c>
      <c r="D369" s="19">
        <v>2</v>
      </c>
      <c r="E369" s="19">
        <v>3</v>
      </c>
      <c r="F369" s="19">
        <v>0</v>
      </c>
      <c r="G369" s="19">
        <v>0</v>
      </c>
      <c r="H369" s="19">
        <v>0</v>
      </c>
      <c r="I369" s="19">
        <v>0</v>
      </c>
      <c r="J369" s="16">
        <v>14</v>
      </c>
      <c r="K369" s="16">
        <v>13</v>
      </c>
      <c r="L369" s="18">
        <v>46128.348078703704</v>
      </c>
    </row>
    <row r="370" spans="1:12" x14ac:dyDescent="0.25">
      <c r="A370" s="17">
        <v>46103</v>
      </c>
      <c r="B370" s="16">
        <v>3</v>
      </c>
      <c r="C370" s="16" t="s">
        <v>33</v>
      </c>
      <c r="D370" s="19">
        <v>3</v>
      </c>
      <c r="E370" s="19">
        <v>5</v>
      </c>
      <c r="F370" s="19">
        <v>0</v>
      </c>
      <c r="G370" s="19">
        <v>0</v>
      </c>
      <c r="H370" s="19">
        <v>0</v>
      </c>
      <c r="I370" s="19">
        <v>0</v>
      </c>
      <c r="J370" s="16">
        <v>13</v>
      </c>
      <c r="K370" s="16">
        <v>11</v>
      </c>
      <c r="L370" s="18">
        <v>46128.348078703704</v>
      </c>
    </row>
    <row r="371" spans="1:12" x14ac:dyDescent="0.25">
      <c r="A371" s="17">
        <v>46104</v>
      </c>
      <c r="B371" s="16">
        <v>3</v>
      </c>
      <c r="C371" s="16" t="s">
        <v>33</v>
      </c>
      <c r="D371" s="19">
        <v>1</v>
      </c>
      <c r="E371" s="19">
        <v>3</v>
      </c>
      <c r="F371" s="19">
        <v>0</v>
      </c>
      <c r="G371" s="19">
        <v>0</v>
      </c>
      <c r="H371" s="19">
        <v>0</v>
      </c>
      <c r="I371" s="19">
        <v>0</v>
      </c>
      <c r="J371" s="16">
        <v>11</v>
      </c>
      <c r="K371" s="16">
        <v>9</v>
      </c>
      <c r="L371" s="18">
        <v>46128.348078703704</v>
      </c>
    </row>
    <row r="372" spans="1:12" x14ac:dyDescent="0.25">
      <c r="A372" s="17">
        <v>46105</v>
      </c>
      <c r="B372" s="16">
        <v>3</v>
      </c>
      <c r="C372" s="16" t="s">
        <v>33</v>
      </c>
      <c r="D372" s="19">
        <v>4</v>
      </c>
      <c r="E372" s="19">
        <v>6</v>
      </c>
      <c r="F372" s="19">
        <v>0</v>
      </c>
      <c r="G372" s="19">
        <v>0</v>
      </c>
      <c r="H372" s="19">
        <v>2</v>
      </c>
      <c r="I372" s="19">
        <v>0</v>
      </c>
      <c r="J372" s="16">
        <v>9</v>
      </c>
      <c r="K372" s="16">
        <v>9</v>
      </c>
      <c r="L372" s="18">
        <v>46128.348078703704</v>
      </c>
    </row>
    <row r="373" spans="1:12" x14ac:dyDescent="0.25">
      <c r="A373" s="17">
        <v>46106</v>
      </c>
      <c r="B373" s="16">
        <v>3</v>
      </c>
      <c r="C373" s="16" t="s">
        <v>33</v>
      </c>
      <c r="D373" s="19">
        <v>2</v>
      </c>
      <c r="E373" s="19">
        <v>3</v>
      </c>
      <c r="F373" s="19">
        <v>0</v>
      </c>
      <c r="G373" s="19">
        <v>0</v>
      </c>
      <c r="H373" s="19">
        <v>0</v>
      </c>
      <c r="I373" s="19">
        <v>0</v>
      </c>
      <c r="J373" s="16">
        <v>9</v>
      </c>
      <c r="K373" s="16">
        <v>8</v>
      </c>
      <c r="L373" s="18">
        <v>46128.348078703704</v>
      </c>
    </row>
    <row r="374" spans="1:12" x14ac:dyDescent="0.25">
      <c r="A374" s="17">
        <v>46107</v>
      </c>
      <c r="B374" s="16">
        <v>3</v>
      </c>
      <c r="C374" s="16" t="s">
        <v>33</v>
      </c>
      <c r="D374" s="19">
        <v>3</v>
      </c>
      <c r="E374" s="19">
        <v>2</v>
      </c>
      <c r="F374" s="19">
        <v>0</v>
      </c>
      <c r="G374" s="19">
        <v>0</v>
      </c>
      <c r="H374" s="19">
        <v>0</v>
      </c>
      <c r="I374" s="19">
        <v>0</v>
      </c>
      <c r="J374" s="16">
        <v>8</v>
      </c>
      <c r="K374" s="16">
        <v>9</v>
      </c>
      <c r="L374" s="18">
        <v>46128.348078703704</v>
      </c>
    </row>
    <row r="375" spans="1:12" x14ac:dyDescent="0.25">
      <c r="A375" s="17">
        <v>46108</v>
      </c>
      <c r="B375" s="16">
        <v>3</v>
      </c>
      <c r="C375" s="16" t="s">
        <v>33</v>
      </c>
      <c r="D375" s="19">
        <v>4</v>
      </c>
      <c r="E375" s="19">
        <v>4</v>
      </c>
      <c r="F375" s="19">
        <v>0</v>
      </c>
      <c r="G375" s="19">
        <v>0</v>
      </c>
      <c r="H375" s="19">
        <v>0</v>
      </c>
      <c r="I375" s="19">
        <v>0</v>
      </c>
      <c r="J375" s="16">
        <v>9</v>
      </c>
      <c r="K375" s="16">
        <v>9</v>
      </c>
      <c r="L375" s="18">
        <v>46128.348078703704</v>
      </c>
    </row>
    <row r="376" spans="1:12" x14ac:dyDescent="0.25">
      <c r="A376" s="17">
        <v>46109</v>
      </c>
      <c r="B376" s="16">
        <v>3</v>
      </c>
      <c r="C376" s="16" t="s">
        <v>33</v>
      </c>
      <c r="D376" s="19">
        <v>2</v>
      </c>
      <c r="E376" s="19">
        <v>1</v>
      </c>
      <c r="F376" s="19">
        <v>0</v>
      </c>
      <c r="G376" s="19">
        <v>0</v>
      </c>
      <c r="H376" s="19">
        <v>0</v>
      </c>
      <c r="I376" s="19">
        <v>0</v>
      </c>
      <c r="J376" s="16">
        <v>9</v>
      </c>
      <c r="K376" s="16">
        <v>10</v>
      </c>
      <c r="L376" s="18">
        <v>46128.348078703704</v>
      </c>
    </row>
    <row r="377" spans="1:12" x14ac:dyDescent="0.25">
      <c r="A377" s="17">
        <v>46110</v>
      </c>
      <c r="B377" s="16">
        <v>3</v>
      </c>
      <c r="C377" s="16" t="s">
        <v>33</v>
      </c>
      <c r="D377" s="19">
        <v>1</v>
      </c>
      <c r="E377" s="19">
        <v>1</v>
      </c>
      <c r="F377" s="19">
        <v>0</v>
      </c>
      <c r="G377" s="19">
        <v>0</v>
      </c>
      <c r="H377" s="19">
        <v>1</v>
      </c>
      <c r="I377" s="19">
        <v>0</v>
      </c>
      <c r="J377" s="16">
        <v>10</v>
      </c>
      <c r="K377" s="16">
        <v>11</v>
      </c>
      <c r="L377" s="18">
        <v>46128.348078703704</v>
      </c>
    </row>
    <row r="378" spans="1:12" x14ac:dyDescent="0.25">
      <c r="A378" s="17">
        <v>46111</v>
      </c>
      <c r="B378" s="16">
        <v>3</v>
      </c>
      <c r="C378" s="16" t="s">
        <v>33</v>
      </c>
      <c r="D378" s="19">
        <v>2</v>
      </c>
      <c r="E378" s="19">
        <v>3</v>
      </c>
      <c r="F378" s="19">
        <v>0</v>
      </c>
      <c r="G378" s="19">
        <v>0</v>
      </c>
      <c r="H378" s="19">
        <v>0</v>
      </c>
      <c r="I378" s="19">
        <v>0</v>
      </c>
      <c r="J378" s="16">
        <v>11</v>
      </c>
      <c r="K378" s="16">
        <v>10</v>
      </c>
      <c r="L378" s="18">
        <v>46128.348078703704</v>
      </c>
    </row>
    <row r="379" spans="1:12" x14ac:dyDescent="0.25">
      <c r="A379" s="17">
        <v>46112</v>
      </c>
      <c r="B379" s="16">
        <v>3</v>
      </c>
      <c r="C379" s="16" t="s">
        <v>33</v>
      </c>
      <c r="D379" s="19">
        <v>3</v>
      </c>
      <c r="E379" s="19">
        <v>3</v>
      </c>
      <c r="F379" s="19">
        <v>0</v>
      </c>
      <c r="G379" s="19">
        <v>0</v>
      </c>
      <c r="H379" s="19">
        <v>0</v>
      </c>
      <c r="I379" s="19">
        <v>0</v>
      </c>
      <c r="J379" s="16">
        <v>10</v>
      </c>
      <c r="K379" s="16">
        <v>10</v>
      </c>
      <c r="L379" s="18">
        <v>46128.348078703704</v>
      </c>
    </row>
    <row r="380" spans="1:12" x14ac:dyDescent="0.25">
      <c r="A380" s="17">
        <v>46113</v>
      </c>
      <c r="B380" s="16">
        <v>4</v>
      </c>
      <c r="C380" s="16" t="s">
        <v>33</v>
      </c>
      <c r="D380" s="19">
        <v>2</v>
      </c>
      <c r="E380" s="19">
        <v>2</v>
      </c>
      <c r="F380" s="19">
        <v>1</v>
      </c>
      <c r="G380" s="19">
        <v>0</v>
      </c>
      <c r="H380" s="19">
        <v>0</v>
      </c>
      <c r="I380" s="19">
        <v>0</v>
      </c>
      <c r="J380" s="16">
        <v>10</v>
      </c>
      <c r="K380" s="16">
        <v>9</v>
      </c>
      <c r="L380" s="18">
        <v>46128.348078703704</v>
      </c>
    </row>
    <row r="381" spans="1:12" x14ac:dyDescent="0.25">
      <c r="A381" s="17">
        <v>46114</v>
      </c>
      <c r="B381" s="16">
        <v>4</v>
      </c>
      <c r="C381" s="16" t="s">
        <v>33</v>
      </c>
      <c r="D381" s="19">
        <v>3</v>
      </c>
      <c r="E381" s="19">
        <v>5</v>
      </c>
      <c r="F381" s="19">
        <v>0</v>
      </c>
      <c r="G381" s="19">
        <v>0</v>
      </c>
      <c r="H381" s="19">
        <v>0</v>
      </c>
      <c r="I381" s="19">
        <v>0</v>
      </c>
      <c r="J381" s="16">
        <v>9</v>
      </c>
      <c r="K381" s="16">
        <v>7</v>
      </c>
      <c r="L381" s="18">
        <v>46128.348078703704</v>
      </c>
    </row>
    <row r="382" spans="1:12" x14ac:dyDescent="0.25">
      <c r="A382" s="17">
        <v>46115</v>
      </c>
      <c r="B382" s="16">
        <v>4</v>
      </c>
      <c r="C382" s="16" t="s">
        <v>33</v>
      </c>
      <c r="D382" s="19">
        <v>5</v>
      </c>
      <c r="E382" s="19">
        <v>1</v>
      </c>
      <c r="F382" s="19">
        <v>0</v>
      </c>
      <c r="G382" s="19">
        <v>0</v>
      </c>
      <c r="H382" s="19">
        <v>0</v>
      </c>
      <c r="I382" s="19">
        <v>0</v>
      </c>
      <c r="J382" s="16">
        <v>7</v>
      </c>
      <c r="K382" s="16">
        <v>11</v>
      </c>
      <c r="L382" s="18">
        <v>46128.348078703704</v>
      </c>
    </row>
    <row r="383" spans="1:12" x14ac:dyDescent="0.25">
      <c r="A383" s="17">
        <v>46116</v>
      </c>
      <c r="B383" s="16">
        <v>4</v>
      </c>
      <c r="C383" s="16" t="s">
        <v>33</v>
      </c>
      <c r="D383" s="19">
        <v>1</v>
      </c>
      <c r="E383" s="19">
        <v>2</v>
      </c>
      <c r="F383" s="19">
        <v>1</v>
      </c>
      <c r="G383" s="19">
        <v>0</v>
      </c>
      <c r="H383" s="19">
        <v>0</v>
      </c>
      <c r="I383" s="19">
        <v>0</v>
      </c>
      <c r="J383" s="16">
        <v>11</v>
      </c>
      <c r="K383" s="16">
        <v>9</v>
      </c>
      <c r="L383" s="18">
        <v>46128.348078703704</v>
      </c>
    </row>
    <row r="384" spans="1:12" x14ac:dyDescent="0.25">
      <c r="A384" s="17">
        <v>46117</v>
      </c>
      <c r="B384" s="16">
        <v>4</v>
      </c>
      <c r="C384" s="16" t="s">
        <v>33</v>
      </c>
      <c r="D384" s="19">
        <v>2</v>
      </c>
      <c r="E384" s="19">
        <v>1</v>
      </c>
      <c r="F384" s="19">
        <v>0</v>
      </c>
      <c r="G384" s="19">
        <v>0</v>
      </c>
      <c r="H384" s="19">
        <v>1</v>
      </c>
      <c r="I384" s="19">
        <v>0</v>
      </c>
      <c r="J384" s="16">
        <v>9</v>
      </c>
      <c r="K384" s="16">
        <v>11</v>
      </c>
      <c r="L384" s="18">
        <v>46128.348078703704</v>
      </c>
    </row>
    <row r="385" spans="1:12" x14ac:dyDescent="0.25">
      <c r="A385" s="17">
        <v>46118</v>
      </c>
      <c r="B385" s="16">
        <v>4</v>
      </c>
      <c r="C385" s="16" t="s">
        <v>33</v>
      </c>
      <c r="D385" s="19">
        <v>3</v>
      </c>
      <c r="E385" s="19">
        <v>3</v>
      </c>
      <c r="F385" s="19">
        <v>0</v>
      </c>
      <c r="G385" s="19">
        <v>0</v>
      </c>
      <c r="H385" s="19">
        <v>0</v>
      </c>
      <c r="I385" s="19">
        <v>0</v>
      </c>
      <c r="J385" s="16">
        <v>11</v>
      </c>
      <c r="K385" s="16">
        <v>11</v>
      </c>
      <c r="L385" s="18">
        <v>46128.348078703704</v>
      </c>
    </row>
    <row r="386" spans="1:12" x14ac:dyDescent="0.25">
      <c r="A386" s="17">
        <v>46023</v>
      </c>
      <c r="B386" s="16">
        <v>1</v>
      </c>
      <c r="C386" s="16" t="s">
        <v>45</v>
      </c>
      <c r="D386" s="19">
        <v>0</v>
      </c>
      <c r="E386" s="19">
        <v>0</v>
      </c>
      <c r="F386" s="19">
        <v>0</v>
      </c>
      <c r="G386" s="19">
        <v>0</v>
      </c>
      <c r="H386" s="19">
        <v>0</v>
      </c>
      <c r="I386" s="19">
        <v>1</v>
      </c>
      <c r="J386" s="16">
        <v>1</v>
      </c>
      <c r="K386" s="16">
        <v>0</v>
      </c>
      <c r="L386" s="18">
        <v>46128.348078703704</v>
      </c>
    </row>
    <row r="387" spans="1:12" x14ac:dyDescent="0.25">
      <c r="A387" s="17">
        <v>46024</v>
      </c>
      <c r="B387" s="16">
        <v>1</v>
      </c>
      <c r="C387" s="16" t="s">
        <v>45</v>
      </c>
      <c r="D387" s="19">
        <v>1</v>
      </c>
      <c r="E387" s="19">
        <v>0</v>
      </c>
      <c r="F387" s="19">
        <v>0</v>
      </c>
      <c r="G387" s="19">
        <v>0</v>
      </c>
      <c r="H387" s="19">
        <v>0</v>
      </c>
      <c r="I387" s="19">
        <v>0</v>
      </c>
      <c r="J387" s="16">
        <v>0</v>
      </c>
      <c r="K387" s="16">
        <v>1</v>
      </c>
      <c r="L387" s="18">
        <v>46128.348078703704</v>
      </c>
    </row>
    <row r="388" spans="1:12" x14ac:dyDescent="0.25">
      <c r="A388" s="17">
        <v>46025</v>
      </c>
      <c r="B388" s="16">
        <v>1</v>
      </c>
      <c r="C388" s="16" t="s">
        <v>45</v>
      </c>
      <c r="D388" s="19">
        <v>0</v>
      </c>
      <c r="E388" s="19">
        <v>0</v>
      </c>
      <c r="F388" s="19">
        <v>0</v>
      </c>
      <c r="G388" s="19">
        <v>0</v>
      </c>
      <c r="H388" s="19">
        <v>0</v>
      </c>
      <c r="I388" s="19">
        <v>1</v>
      </c>
      <c r="J388" s="16">
        <v>1</v>
      </c>
      <c r="K388" s="16">
        <v>0</v>
      </c>
      <c r="L388" s="18">
        <v>46128.348078703704</v>
      </c>
    </row>
    <row r="389" spans="1:12" x14ac:dyDescent="0.25">
      <c r="A389" s="17">
        <v>46027</v>
      </c>
      <c r="B389" s="16">
        <v>1</v>
      </c>
      <c r="C389" s="16" t="s">
        <v>45</v>
      </c>
      <c r="D389" s="19">
        <v>4</v>
      </c>
      <c r="E389" s="19">
        <v>0</v>
      </c>
      <c r="F389" s="19">
        <v>0</v>
      </c>
      <c r="G389" s="19">
        <v>0</v>
      </c>
      <c r="H389" s="19">
        <v>0</v>
      </c>
      <c r="I389" s="19">
        <v>3</v>
      </c>
      <c r="J389" s="16">
        <v>0</v>
      </c>
      <c r="K389" s="16">
        <v>1</v>
      </c>
      <c r="L389" s="18">
        <v>46128.348078703704</v>
      </c>
    </row>
    <row r="390" spans="1:12" x14ac:dyDescent="0.25">
      <c r="A390" s="17">
        <v>46028</v>
      </c>
      <c r="B390" s="16">
        <v>1</v>
      </c>
      <c r="C390" s="16" t="s">
        <v>45</v>
      </c>
      <c r="D390" s="19">
        <v>1</v>
      </c>
      <c r="E390" s="19">
        <v>0</v>
      </c>
      <c r="F390" s="19">
        <v>0</v>
      </c>
      <c r="G390" s="19">
        <v>0</v>
      </c>
      <c r="H390" s="19">
        <v>0</v>
      </c>
      <c r="I390" s="19">
        <v>0</v>
      </c>
      <c r="J390" s="16">
        <v>1</v>
      </c>
      <c r="K390" s="16">
        <v>2</v>
      </c>
      <c r="L390" s="18">
        <v>46128.348078703704</v>
      </c>
    </row>
    <row r="391" spans="1:12" x14ac:dyDescent="0.25">
      <c r="A391" s="17">
        <v>46029</v>
      </c>
      <c r="B391" s="16">
        <v>1</v>
      </c>
      <c r="C391" s="16" t="s">
        <v>45</v>
      </c>
      <c r="D391" s="19">
        <v>0</v>
      </c>
      <c r="E391" s="19">
        <v>0</v>
      </c>
      <c r="F391" s="19">
        <v>0</v>
      </c>
      <c r="G391" s="19">
        <v>0</v>
      </c>
      <c r="H391" s="19">
        <v>0</v>
      </c>
      <c r="I391" s="19">
        <v>0</v>
      </c>
      <c r="J391" s="16">
        <v>2</v>
      </c>
      <c r="K391" s="16">
        <v>2</v>
      </c>
      <c r="L391" s="18">
        <v>46128.348078703704</v>
      </c>
    </row>
    <row r="392" spans="1:12" x14ac:dyDescent="0.25">
      <c r="A392" s="17">
        <v>46030</v>
      </c>
      <c r="B392" s="16">
        <v>1</v>
      </c>
      <c r="C392" s="16" t="s">
        <v>45</v>
      </c>
      <c r="D392" s="19">
        <v>0</v>
      </c>
      <c r="E392" s="19">
        <v>0</v>
      </c>
      <c r="F392" s="19">
        <v>0</v>
      </c>
      <c r="G392" s="19">
        <v>0</v>
      </c>
      <c r="H392" s="19">
        <v>0</v>
      </c>
      <c r="I392" s="19">
        <v>2</v>
      </c>
      <c r="J392" s="16">
        <v>2</v>
      </c>
      <c r="K392" s="16">
        <v>0</v>
      </c>
      <c r="L392" s="18">
        <v>46128.348078703704</v>
      </c>
    </row>
    <row r="393" spans="1:12" x14ac:dyDescent="0.25">
      <c r="A393" s="17">
        <v>46031</v>
      </c>
      <c r="B393" s="16">
        <v>1</v>
      </c>
      <c r="C393" s="16" t="s">
        <v>45</v>
      </c>
      <c r="D393" s="19">
        <v>1</v>
      </c>
      <c r="E393" s="19">
        <v>0</v>
      </c>
      <c r="F393" s="19">
        <v>0</v>
      </c>
      <c r="G393" s="19">
        <v>0</v>
      </c>
      <c r="H393" s="19">
        <v>0</v>
      </c>
      <c r="I393" s="19">
        <v>0</v>
      </c>
      <c r="J393" s="16">
        <v>0</v>
      </c>
      <c r="K393" s="16">
        <v>1</v>
      </c>
      <c r="L393" s="18">
        <v>46128.348078703704</v>
      </c>
    </row>
    <row r="394" spans="1:12" x14ac:dyDescent="0.25">
      <c r="A394" s="17">
        <v>46032</v>
      </c>
      <c r="B394" s="16">
        <v>1</v>
      </c>
      <c r="C394" s="16" t="s">
        <v>45</v>
      </c>
      <c r="D394" s="19">
        <v>3</v>
      </c>
      <c r="E394" s="19">
        <v>0</v>
      </c>
      <c r="F394" s="19">
        <v>0</v>
      </c>
      <c r="G394" s="19">
        <v>0</v>
      </c>
      <c r="H394" s="19">
        <v>0</v>
      </c>
      <c r="I394" s="19">
        <v>0</v>
      </c>
      <c r="J394" s="16">
        <v>1</v>
      </c>
      <c r="K394" s="16">
        <v>4</v>
      </c>
      <c r="L394" s="18">
        <v>46128.348078703704</v>
      </c>
    </row>
    <row r="395" spans="1:12" x14ac:dyDescent="0.25">
      <c r="A395" s="17">
        <v>46033</v>
      </c>
      <c r="B395" s="16">
        <v>1</v>
      </c>
      <c r="C395" s="16" t="s">
        <v>45</v>
      </c>
      <c r="D395" s="19">
        <v>0</v>
      </c>
      <c r="E395" s="19">
        <v>1</v>
      </c>
      <c r="F395" s="19">
        <v>0</v>
      </c>
      <c r="G395" s="19">
        <v>0</v>
      </c>
      <c r="H395" s="19">
        <v>0</v>
      </c>
      <c r="I395" s="19">
        <v>1</v>
      </c>
      <c r="J395" s="16">
        <v>4</v>
      </c>
      <c r="K395" s="16">
        <v>2</v>
      </c>
      <c r="L395" s="18">
        <v>46128.348078703704</v>
      </c>
    </row>
    <row r="396" spans="1:12" x14ac:dyDescent="0.25">
      <c r="A396" s="17">
        <v>46034</v>
      </c>
      <c r="B396" s="16">
        <v>1</v>
      </c>
      <c r="C396" s="16" t="s">
        <v>45</v>
      </c>
      <c r="D396" s="19">
        <v>0</v>
      </c>
      <c r="E396" s="19">
        <v>2</v>
      </c>
      <c r="F396" s="19">
        <v>0</v>
      </c>
      <c r="G396" s="19">
        <v>0</v>
      </c>
      <c r="H396" s="19">
        <v>0</v>
      </c>
      <c r="I396" s="19">
        <v>0</v>
      </c>
      <c r="J396" s="16">
        <v>2</v>
      </c>
      <c r="K396" s="16">
        <v>0</v>
      </c>
      <c r="L396" s="18">
        <v>46128.348078703704</v>
      </c>
    </row>
    <row r="397" spans="1:12" x14ac:dyDescent="0.25">
      <c r="A397" s="17">
        <v>46035</v>
      </c>
      <c r="B397" s="16">
        <v>1</v>
      </c>
      <c r="C397" s="16" t="s">
        <v>45</v>
      </c>
      <c r="D397" s="19">
        <v>1</v>
      </c>
      <c r="E397" s="19">
        <v>0</v>
      </c>
      <c r="F397" s="19">
        <v>0</v>
      </c>
      <c r="G397" s="19">
        <v>0</v>
      </c>
      <c r="H397" s="19">
        <v>0</v>
      </c>
      <c r="I397" s="19">
        <v>0</v>
      </c>
      <c r="J397" s="16">
        <v>0</v>
      </c>
      <c r="K397" s="16">
        <v>1</v>
      </c>
      <c r="L397" s="18">
        <v>46128.348078703704</v>
      </c>
    </row>
    <row r="398" spans="1:12" x14ac:dyDescent="0.25">
      <c r="A398" s="17">
        <v>46036</v>
      </c>
      <c r="B398" s="16">
        <v>1</v>
      </c>
      <c r="C398" s="16" t="s">
        <v>45</v>
      </c>
      <c r="D398" s="19">
        <v>4</v>
      </c>
      <c r="E398" s="19">
        <v>2</v>
      </c>
      <c r="F398" s="19">
        <v>0</v>
      </c>
      <c r="G398" s="19">
        <v>0</v>
      </c>
      <c r="H398" s="19">
        <v>0</v>
      </c>
      <c r="I398" s="19">
        <v>1</v>
      </c>
      <c r="J398" s="16">
        <v>1</v>
      </c>
      <c r="K398" s="16">
        <v>2</v>
      </c>
      <c r="L398" s="18">
        <v>46128.348078703704</v>
      </c>
    </row>
    <row r="399" spans="1:12" x14ac:dyDescent="0.25">
      <c r="A399" s="17">
        <v>46037</v>
      </c>
      <c r="B399" s="16">
        <v>1</v>
      </c>
      <c r="C399" s="16" t="s">
        <v>45</v>
      </c>
      <c r="D399" s="19">
        <v>3</v>
      </c>
      <c r="E399" s="19">
        <v>2</v>
      </c>
      <c r="F399" s="19">
        <v>0</v>
      </c>
      <c r="G399" s="19">
        <v>0</v>
      </c>
      <c r="H399" s="19">
        <v>0</v>
      </c>
      <c r="I399" s="19">
        <v>2</v>
      </c>
      <c r="J399" s="16">
        <v>2</v>
      </c>
      <c r="K399" s="16">
        <v>1</v>
      </c>
      <c r="L399" s="18">
        <v>46128.348078703704</v>
      </c>
    </row>
    <row r="400" spans="1:12" x14ac:dyDescent="0.25">
      <c r="A400" s="17">
        <v>46038</v>
      </c>
      <c r="B400" s="16">
        <v>1</v>
      </c>
      <c r="C400" s="16" t="s">
        <v>45</v>
      </c>
      <c r="D400" s="19">
        <v>1</v>
      </c>
      <c r="E400" s="19">
        <v>0</v>
      </c>
      <c r="F400" s="19">
        <v>0</v>
      </c>
      <c r="G400" s="19">
        <v>0</v>
      </c>
      <c r="H400" s="19">
        <v>0</v>
      </c>
      <c r="I400" s="19">
        <v>2</v>
      </c>
      <c r="J400" s="16">
        <v>1</v>
      </c>
      <c r="K400" s="16">
        <v>0</v>
      </c>
      <c r="L400" s="18">
        <v>46128.348078703704</v>
      </c>
    </row>
    <row r="401" spans="1:12" x14ac:dyDescent="0.25">
      <c r="A401" s="17">
        <v>46039</v>
      </c>
      <c r="B401" s="16">
        <v>1</v>
      </c>
      <c r="C401" s="16" t="s">
        <v>45</v>
      </c>
      <c r="D401" s="19">
        <v>3</v>
      </c>
      <c r="E401" s="19">
        <v>0</v>
      </c>
      <c r="F401" s="19">
        <v>0</v>
      </c>
      <c r="G401" s="19">
        <v>0</v>
      </c>
      <c r="H401" s="19">
        <v>0</v>
      </c>
      <c r="I401" s="19">
        <v>2</v>
      </c>
      <c r="J401" s="16">
        <v>0</v>
      </c>
      <c r="K401" s="16">
        <v>1</v>
      </c>
      <c r="L401" s="18">
        <v>46128.348078703704</v>
      </c>
    </row>
    <row r="402" spans="1:12" x14ac:dyDescent="0.25">
      <c r="A402" s="17">
        <v>46040</v>
      </c>
      <c r="B402" s="16">
        <v>1</v>
      </c>
      <c r="C402" s="16" t="s">
        <v>45</v>
      </c>
      <c r="D402" s="19">
        <v>4</v>
      </c>
      <c r="E402" s="19">
        <v>0</v>
      </c>
      <c r="F402" s="19">
        <v>0</v>
      </c>
      <c r="G402" s="19">
        <v>0</v>
      </c>
      <c r="H402" s="19">
        <v>0</v>
      </c>
      <c r="I402" s="19">
        <v>1</v>
      </c>
      <c r="J402" s="16">
        <v>1</v>
      </c>
      <c r="K402" s="16">
        <v>4</v>
      </c>
      <c r="L402" s="18">
        <v>46128.348078703704</v>
      </c>
    </row>
    <row r="403" spans="1:12" x14ac:dyDescent="0.25">
      <c r="A403" s="17">
        <v>46041</v>
      </c>
      <c r="B403" s="16">
        <v>1</v>
      </c>
      <c r="C403" s="16" t="s">
        <v>45</v>
      </c>
      <c r="D403" s="19">
        <v>1</v>
      </c>
      <c r="E403" s="19">
        <v>1</v>
      </c>
      <c r="F403" s="19">
        <v>0</v>
      </c>
      <c r="G403" s="19">
        <v>0</v>
      </c>
      <c r="H403" s="19">
        <v>0</v>
      </c>
      <c r="I403" s="19">
        <v>1</v>
      </c>
      <c r="J403" s="16">
        <v>4</v>
      </c>
      <c r="K403" s="16">
        <v>3</v>
      </c>
      <c r="L403" s="18">
        <v>46128.348078703704</v>
      </c>
    </row>
    <row r="404" spans="1:12" x14ac:dyDescent="0.25">
      <c r="A404" s="17">
        <v>46042</v>
      </c>
      <c r="B404" s="16">
        <v>1</v>
      </c>
      <c r="C404" s="16" t="s">
        <v>45</v>
      </c>
      <c r="D404" s="19">
        <v>1</v>
      </c>
      <c r="E404" s="19">
        <v>0</v>
      </c>
      <c r="F404" s="19">
        <v>0</v>
      </c>
      <c r="G404" s="19">
        <v>1</v>
      </c>
      <c r="H404" s="19">
        <v>0</v>
      </c>
      <c r="I404" s="19">
        <v>0</v>
      </c>
      <c r="J404" s="16">
        <v>3</v>
      </c>
      <c r="K404" s="16">
        <v>3</v>
      </c>
      <c r="L404" s="18">
        <v>46128.348078703704</v>
      </c>
    </row>
    <row r="405" spans="1:12" x14ac:dyDescent="0.25">
      <c r="A405" s="17">
        <v>46043</v>
      </c>
      <c r="B405" s="16">
        <v>1</v>
      </c>
      <c r="C405" s="16" t="s">
        <v>45</v>
      </c>
      <c r="D405" s="19">
        <v>1</v>
      </c>
      <c r="E405" s="19">
        <v>0</v>
      </c>
      <c r="F405" s="19">
        <v>0</v>
      </c>
      <c r="G405" s="19">
        <v>0</v>
      </c>
      <c r="H405" s="19">
        <v>0</v>
      </c>
      <c r="I405" s="19">
        <v>1</v>
      </c>
      <c r="J405" s="16">
        <v>3</v>
      </c>
      <c r="K405" s="16">
        <v>3</v>
      </c>
      <c r="L405" s="18">
        <v>46128.348078703704</v>
      </c>
    </row>
    <row r="406" spans="1:12" x14ac:dyDescent="0.25">
      <c r="A406" s="17">
        <v>46044</v>
      </c>
      <c r="B406" s="16">
        <v>1</v>
      </c>
      <c r="C406" s="16" t="s">
        <v>45</v>
      </c>
      <c r="D406" s="19">
        <v>2</v>
      </c>
      <c r="E406" s="19">
        <v>0</v>
      </c>
      <c r="F406" s="19">
        <v>0</v>
      </c>
      <c r="G406" s="19">
        <v>0</v>
      </c>
      <c r="H406" s="19">
        <v>0</v>
      </c>
      <c r="I406" s="19">
        <v>2</v>
      </c>
      <c r="J406" s="16">
        <v>3</v>
      </c>
      <c r="K406" s="16">
        <v>3</v>
      </c>
      <c r="L406" s="18">
        <v>46128.348078703704</v>
      </c>
    </row>
    <row r="407" spans="1:12" x14ac:dyDescent="0.25">
      <c r="A407" s="17">
        <v>46045</v>
      </c>
      <c r="B407" s="16">
        <v>1</v>
      </c>
      <c r="C407" s="16" t="s">
        <v>45</v>
      </c>
      <c r="D407" s="19">
        <v>1</v>
      </c>
      <c r="E407" s="19">
        <v>2</v>
      </c>
      <c r="F407" s="19">
        <v>0</v>
      </c>
      <c r="G407" s="19">
        <v>0</v>
      </c>
      <c r="H407" s="19">
        <v>0</v>
      </c>
      <c r="I407" s="19">
        <v>0</v>
      </c>
      <c r="J407" s="16">
        <v>3</v>
      </c>
      <c r="K407" s="16">
        <v>2</v>
      </c>
      <c r="L407" s="18">
        <v>46128.348078703704</v>
      </c>
    </row>
    <row r="408" spans="1:12" x14ac:dyDescent="0.25">
      <c r="A408" s="17">
        <v>46046</v>
      </c>
      <c r="B408" s="16">
        <v>1</v>
      </c>
      <c r="C408" s="16" t="s">
        <v>45</v>
      </c>
      <c r="D408" s="19">
        <v>0</v>
      </c>
      <c r="E408" s="19">
        <v>1</v>
      </c>
      <c r="F408" s="19">
        <v>0</v>
      </c>
      <c r="G408" s="19">
        <v>0</v>
      </c>
      <c r="H408" s="19">
        <v>0</v>
      </c>
      <c r="I408" s="19">
        <v>1</v>
      </c>
      <c r="J408" s="16">
        <v>2</v>
      </c>
      <c r="K408" s="16">
        <v>0</v>
      </c>
      <c r="L408" s="18">
        <v>46128.348078703704</v>
      </c>
    </row>
    <row r="409" spans="1:12" x14ac:dyDescent="0.25">
      <c r="A409" s="17">
        <v>46047</v>
      </c>
      <c r="B409" s="16">
        <v>1</v>
      </c>
      <c r="C409" s="16" t="s">
        <v>45</v>
      </c>
      <c r="D409" s="19">
        <v>2</v>
      </c>
      <c r="E409" s="19">
        <v>0</v>
      </c>
      <c r="F409" s="19">
        <v>0</v>
      </c>
      <c r="G409" s="19">
        <v>0</v>
      </c>
      <c r="H409" s="19">
        <v>0</v>
      </c>
      <c r="I409" s="19">
        <v>0</v>
      </c>
      <c r="J409" s="16">
        <v>0</v>
      </c>
      <c r="K409" s="16">
        <v>2</v>
      </c>
      <c r="L409" s="18">
        <v>46128.348078703704</v>
      </c>
    </row>
    <row r="410" spans="1:12" x14ac:dyDescent="0.25">
      <c r="A410" s="17">
        <v>46048</v>
      </c>
      <c r="B410" s="16">
        <v>1</v>
      </c>
      <c r="C410" s="16" t="s">
        <v>45</v>
      </c>
      <c r="D410" s="19">
        <v>0</v>
      </c>
      <c r="E410" s="19">
        <v>0</v>
      </c>
      <c r="F410" s="19">
        <v>0</v>
      </c>
      <c r="G410" s="19">
        <v>0</v>
      </c>
      <c r="H410" s="19">
        <v>0</v>
      </c>
      <c r="I410" s="19">
        <v>1</v>
      </c>
      <c r="J410" s="16">
        <v>2</v>
      </c>
      <c r="K410" s="16">
        <v>1</v>
      </c>
      <c r="L410" s="18">
        <v>46128.348078703704</v>
      </c>
    </row>
    <row r="411" spans="1:12" x14ac:dyDescent="0.25">
      <c r="A411" s="17">
        <v>46049</v>
      </c>
      <c r="B411" s="16">
        <v>1</v>
      </c>
      <c r="C411" s="16" t="s">
        <v>45</v>
      </c>
      <c r="D411" s="19">
        <v>1</v>
      </c>
      <c r="E411" s="19">
        <v>1</v>
      </c>
      <c r="F411" s="19">
        <v>0</v>
      </c>
      <c r="G411" s="19">
        <v>0</v>
      </c>
      <c r="H411" s="19">
        <v>0</v>
      </c>
      <c r="I411" s="19">
        <v>1</v>
      </c>
      <c r="J411" s="16">
        <v>1</v>
      </c>
      <c r="K411" s="16">
        <v>0</v>
      </c>
      <c r="L411" s="18">
        <v>46128.348078703704</v>
      </c>
    </row>
    <row r="412" spans="1:12" x14ac:dyDescent="0.25">
      <c r="A412" s="17">
        <v>46050</v>
      </c>
      <c r="B412" s="16">
        <v>1</v>
      </c>
      <c r="C412" s="16" t="s">
        <v>45</v>
      </c>
      <c r="D412" s="19">
        <v>4</v>
      </c>
      <c r="E412" s="19">
        <v>0</v>
      </c>
      <c r="F412" s="19">
        <v>0</v>
      </c>
      <c r="G412" s="19">
        <v>0</v>
      </c>
      <c r="H412" s="19">
        <v>0</v>
      </c>
      <c r="I412" s="19">
        <v>1</v>
      </c>
      <c r="J412" s="16">
        <v>0</v>
      </c>
      <c r="K412" s="16">
        <v>3</v>
      </c>
      <c r="L412" s="18">
        <v>46128.348078703704</v>
      </c>
    </row>
    <row r="413" spans="1:12" x14ac:dyDescent="0.25">
      <c r="A413" s="17">
        <v>46051</v>
      </c>
      <c r="B413" s="16">
        <v>1</v>
      </c>
      <c r="C413" s="16" t="s">
        <v>45</v>
      </c>
      <c r="D413" s="19">
        <v>2</v>
      </c>
      <c r="E413" s="19">
        <v>0</v>
      </c>
      <c r="F413" s="19">
        <v>0</v>
      </c>
      <c r="G413" s="19">
        <v>0</v>
      </c>
      <c r="H413" s="19">
        <v>0</v>
      </c>
      <c r="I413" s="19">
        <v>2</v>
      </c>
      <c r="J413" s="16">
        <v>3</v>
      </c>
      <c r="K413" s="16">
        <v>3</v>
      </c>
      <c r="L413" s="18">
        <v>46128.348078703704</v>
      </c>
    </row>
    <row r="414" spans="1:12" x14ac:dyDescent="0.25">
      <c r="A414" s="17">
        <v>46052</v>
      </c>
      <c r="B414" s="16">
        <v>1</v>
      </c>
      <c r="C414" s="16" t="s">
        <v>45</v>
      </c>
      <c r="D414" s="19">
        <v>5</v>
      </c>
      <c r="E414" s="19">
        <v>0</v>
      </c>
      <c r="F414" s="19">
        <v>0</v>
      </c>
      <c r="G414" s="19">
        <v>0</v>
      </c>
      <c r="H414" s="19">
        <v>0</v>
      </c>
      <c r="I414" s="19">
        <v>2</v>
      </c>
      <c r="J414" s="16">
        <v>3</v>
      </c>
      <c r="K414" s="16">
        <v>6</v>
      </c>
      <c r="L414" s="18">
        <v>46128.348078703704</v>
      </c>
    </row>
    <row r="415" spans="1:12" x14ac:dyDescent="0.25">
      <c r="A415" s="17">
        <v>46053</v>
      </c>
      <c r="B415" s="16">
        <v>1</v>
      </c>
      <c r="C415" s="16" t="s">
        <v>45</v>
      </c>
      <c r="D415" s="19">
        <v>1</v>
      </c>
      <c r="E415" s="19">
        <v>1</v>
      </c>
      <c r="F415" s="19">
        <v>0</v>
      </c>
      <c r="G415" s="19">
        <v>0</v>
      </c>
      <c r="H415" s="19">
        <v>0</v>
      </c>
      <c r="I415" s="19">
        <v>2</v>
      </c>
      <c r="J415" s="16">
        <v>6</v>
      </c>
      <c r="K415" s="16">
        <v>4</v>
      </c>
      <c r="L415" s="18">
        <v>46128.348078703704</v>
      </c>
    </row>
    <row r="416" spans="1:12" x14ac:dyDescent="0.25">
      <c r="A416" s="17">
        <v>46054</v>
      </c>
      <c r="B416" s="16">
        <v>2</v>
      </c>
      <c r="C416" s="16" t="s">
        <v>45</v>
      </c>
      <c r="D416" s="19">
        <v>2</v>
      </c>
      <c r="E416" s="19">
        <v>2</v>
      </c>
      <c r="F416" s="19">
        <v>0</v>
      </c>
      <c r="G416" s="19">
        <v>0</v>
      </c>
      <c r="H416" s="19">
        <v>0</v>
      </c>
      <c r="I416" s="19">
        <v>1</v>
      </c>
      <c r="J416" s="16">
        <v>4</v>
      </c>
      <c r="K416" s="16">
        <v>3</v>
      </c>
      <c r="L416" s="18">
        <v>46128.348078703704</v>
      </c>
    </row>
    <row r="417" spans="1:12" x14ac:dyDescent="0.25">
      <c r="A417" s="17">
        <v>46055</v>
      </c>
      <c r="B417" s="16">
        <v>2</v>
      </c>
      <c r="C417" s="16" t="s">
        <v>45</v>
      </c>
      <c r="D417" s="19">
        <v>2</v>
      </c>
      <c r="E417" s="19">
        <v>0</v>
      </c>
      <c r="F417" s="19">
        <v>0</v>
      </c>
      <c r="G417" s="19">
        <v>0</v>
      </c>
      <c r="H417" s="19">
        <v>0</v>
      </c>
      <c r="I417" s="19">
        <v>2</v>
      </c>
      <c r="J417" s="16">
        <v>3</v>
      </c>
      <c r="K417" s="16">
        <v>3</v>
      </c>
      <c r="L417" s="18">
        <v>46128.348078703704</v>
      </c>
    </row>
    <row r="418" spans="1:12" x14ac:dyDescent="0.25">
      <c r="A418" s="17">
        <v>46056</v>
      </c>
      <c r="B418" s="16">
        <v>2</v>
      </c>
      <c r="C418" s="16" t="s">
        <v>45</v>
      </c>
      <c r="D418" s="19">
        <v>2</v>
      </c>
      <c r="E418" s="19">
        <v>1</v>
      </c>
      <c r="F418" s="19">
        <v>0</v>
      </c>
      <c r="G418" s="19">
        <v>0</v>
      </c>
      <c r="H418" s="19">
        <v>0</v>
      </c>
      <c r="I418" s="19">
        <v>1</v>
      </c>
      <c r="J418" s="16">
        <v>3</v>
      </c>
      <c r="K418" s="16">
        <v>3</v>
      </c>
      <c r="L418" s="18">
        <v>46128.348078703704</v>
      </c>
    </row>
    <row r="419" spans="1:12" x14ac:dyDescent="0.25">
      <c r="A419" s="17">
        <v>46057</v>
      </c>
      <c r="B419" s="16">
        <v>2</v>
      </c>
      <c r="C419" s="16" t="s">
        <v>45</v>
      </c>
      <c r="D419" s="19">
        <v>4</v>
      </c>
      <c r="E419" s="19">
        <v>1</v>
      </c>
      <c r="F419" s="19">
        <v>0</v>
      </c>
      <c r="G419" s="19">
        <v>0</v>
      </c>
      <c r="H419" s="19">
        <v>0</v>
      </c>
      <c r="I419" s="19">
        <v>1</v>
      </c>
      <c r="J419" s="16">
        <v>3</v>
      </c>
      <c r="K419" s="16">
        <v>5</v>
      </c>
      <c r="L419" s="18">
        <v>46128.348078703704</v>
      </c>
    </row>
    <row r="420" spans="1:12" x14ac:dyDescent="0.25">
      <c r="A420" s="17">
        <v>46058</v>
      </c>
      <c r="B420" s="16">
        <v>2</v>
      </c>
      <c r="C420" s="16" t="s">
        <v>45</v>
      </c>
      <c r="D420" s="19">
        <v>1</v>
      </c>
      <c r="E420" s="19">
        <v>0</v>
      </c>
      <c r="F420" s="19">
        <v>1</v>
      </c>
      <c r="G420" s="19">
        <v>0</v>
      </c>
      <c r="H420" s="19">
        <v>0</v>
      </c>
      <c r="I420" s="19">
        <v>3</v>
      </c>
      <c r="J420" s="16">
        <v>5</v>
      </c>
      <c r="K420" s="16">
        <v>2</v>
      </c>
      <c r="L420" s="18">
        <v>46128.348078703704</v>
      </c>
    </row>
    <row r="421" spans="1:12" x14ac:dyDescent="0.25">
      <c r="A421" s="17">
        <v>46059</v>
      </c>
      <c r="B421" s="16">
        <v>2</v>
      </c>
      <c r="C421" s="16" t="s">
        <v>45</v>
      </c>
      <c r="D421" s="19">
        <v>1</v>
      </c>
      <c r="E421" s="19">
        <v>2</v>
      </c>
      <c r="F421" s="19">
        <v>0</v>
      </c>
      <c r="G421" s="19">
        <v>0</v>
      </c>
      <c r="H421" s="19">
        <v>0</v>
      </c>
      <c r="I421" s="19">
        <v>0</v>
      </c>
      <c r="J421" s="16">
        <v>2</v>
      </c>
      <c r="K421" s="16">
        <v>1</v>
      </c>
      <c r="L421" s="18">
        <v>46128.348078703704</v>
      </c>
    </row>
    <row r="422" spans="1:12" x14ac:dyDescent="0.25">
      <c r="A422" s="17">
        <v>46060</v>
      </c>
      <c r="B422" s="16">
        <v>2</v>
      </c>
      <c r="C422" s="16" t="s">
        <v>45</v>
      </c>
      <c r="D422" s="19">
        <v>1</v>
      </c>
      <c r="E422" s="19">
        <v>1</v>
      </c>
      <c r="F422" s="19">
        <v>0</v>
      </c>
      <c r="G422" s="19">
        <v>0</v>
      </c>
      <c r="H422" s="19">
        <v>0</v>
      </c>
      <c r="I422" s="19">
        <v>0</v>
      </c>
      <c r="J422" s="16">
        <v>1</v>
      </c>
      <c r="K422" s="16">
        <v>1</v>
      </c>
      <c r="L422" s="18">
        <v>46128.348078703704</v>
      </c>
    </row>
    <row r="423" spans="1:12" x14ac:dyDescent="0.25">
      <c r="A423" s="17">
        <v>46061</v>
      </c>
      <c r="B423" s="16">
        <v>2</v>
      </c>
      <c r="C423" s="16" t="s">
        <v>45</v>
      </c>
      <c r="D423" s="19">
        <v>2</v>
      </c>
      <c r="E423" s="19">
        <v>0</v>
      </c>
      <c r="F423" s="19">
        <v>0</v>
      </c>
      <c r="G423" s="19">
        <v>0</v>
      </c>
      <c r="H423" s="19">
        <v>0</v>
      </c>
      <c r="I423" s="19">
        <v>0</v>
      </c>
      <c r="J423" s="16">
        <v>1</v>
      </c>
      <c r="K423" s="16">
        <v>3</v>
      </c>
      <c r="L423" s="18">
        <v>46128.348078703704</v>
      </c>
    </row>
    <row r="424" spans="1:12" x14ac:dyDescent="0.25">
      <c r="A424" s="17">
        <v>46062</v>
      </c>
      <c r="B424" s="16">
        <v>2</v>
      </c>
      <c r="C424" s="16" t="s">
        <v>45</v>
      </c>
      <c r="D424" s="19">
        <v>3</v>
      </c>
      <c r="E424" s="19">
        <v>0</v>
      </c>
      <c r="F424" s="19">
        <v>0</v>
      </c>
      <c r="G424" s="19">
        <v>0</v>
      </c>
      <c r="H424" s="19">
        <v>0</v>
      </c>
      <c r="I424" s="19">
        <v>1</v>
      </c>
      <c r="J424" s="16">
        <v>3</v>
      </c>
      <c r="K424" s="16">
        <v>5</v>
      </c>
      <c r="L424" s="18">
        <v>46128.348078703704</v>
      </c>
    </row>
    <row r="425" spans="1:12" x14ac:dyDescent="0.25">
      <c r="A425" s="17">
        <v>46063</v>
      </c>
      <c r="B425" s="16">
        <v>2</v>
      </c>
      <c r="C425" s="16" t="s">
        <v>45</v>
      </c>
      <c r="D425" s="19">
        <v>4</v>
      </c>
      <c r="E425" s="19">
        <v>0</v>
      </c>
      <c r="F425" s="19">
        <v>0</v>
      </c>
      <c r="G425" s="19">
        <v>0</v>
      </c>
      <c r="H425" s="19">
        <v>0</v>
      </c>
      <c r="I425" s="19">
        <v>2</v>
      </c>
      <c r="J425" s="16">
        <v>5</v>
      </c>
      <c r="K425" s="16">
        <v>7</v>
      </c>
      <c r="L425" s="18">
        <v>46128.348078703704</v>
      </c>
    </row>
    <row r="426" spans="1:12" x14ac:dyDescent="0.25">
      <c r="A426" s="17">
        <v>46064</v>
      </c>
      <c r="B426" s="16">
        <v>2</v>
      </c>
      <c r="C426" s="16" t="s">
        <v>45</v>
      </c>
      <c r="D426" s="19">
        <v>1</v>
      </c>
      <c r="E426" s="19">
        <v>2</v>
      </c>
      <c r="F426" s="19">
        <v>0</v>
      </c>
      <c r="G426" s="19">
        <v>0</v>
      </c>
      <c r="H426" s="19">
        <v>0</v>
      </c>
      <c r="I426" s="19">
        <v>2</v>
      </c>
      <c r="J426" s="16">
        <v>7</v>
      </c>
      <c r="K426" s="16">
        <v>4</v>
      </c>
      <c r="L426" s="18">
        <v>46128.348078703704</v>
      </c>
    </row>
    <row r="427" spans="1:12" x14ac:dyDescent="0.25">
      <c r="A427" s="17">
        <v>46065</v>
      </c>
      <c r="B427" s="16">
        <v>2</v>
      </c>
      <c r="C427" s="16" t="s">
        <v>45</v>
      </c>
      <c r="D427" s="19">
        <v>3</v>
      </c>
      <c r="E427" s="19">
        <v>1</v>
      </c>
      <c r="F427" s="19">
        <v>0</v>
      </c>
      <c r="G427" s="19">
        <v>0</v>
      </c>
      <c r="H427" s="19">
        <v>0</v>
      </c>
      <c r="I427" s="19">
        <v>1</v>
      </c>
      <c r="J427" s="16">
        <v>4</v>
      </c>
      <c r="K427" s="16">
        <v>5</v>
      </c>
      <c r="L427" s="18">
        <v>46128.348078703704</v>
      </c>
    </row>
    <row r="428" spans="1:12" x14ac:dyDescent="0.25">
      <c r="A428" s="17">
        <v>46066</v>
      </c>
      <c r="B428" s="16">
        <v>2</v>
      </c>
      <c r="C428" s="16" t="s">
        <v>45</v>
      </c>
      <c r="D428" s="19">
        <v>3</v>
      </c>
      <c r="E428" s="19">
        <v>3</v>
      </c>
      <c r="F428" s="19">
        <v>1</v>
      </c>
      <c r="G428" s="19">
        <v>1</v>
      </c>
      <c r="H428" s="19">
        <v>0</v>
      </c>
      <c r="I428" s="19">
        <v>1</v>
      </c>
      <c r="J428" s="16">
        <v>5</v>
      </c>
      <c r="K428" s="16">
        <v>2</v>
      </c>
      <c r="L428" s="18">
        <v>46128.348078703704</v>
      </c>
    </row>
    <row r="429" spans="1:12" x14ac:dyDescent="0.25">
      <c r="A429" s="17">
        <v>46067</v>
      </c>
      <c r="B429" s="16">
        <v>2</v>
      </c>
      <c r="C429" s="16" t="s">
        <v>45</v>
      </c>
      <c r="D429" s="19">
        <v>4</v>
      </c>
      <c r="E429" s="19">
        <v>0</v>
      </c>
      <c r="F429" s="19">
        <v>0</v>
      </c>
      <c r="G429" s="19">
        <v>0</v>
      </c>
      <c r="H429" s="19">
        <v>0</v>
      </c>
      <c r="I429" s="19">
        <v>1</v>
      </c>
      <c r="J429" s="16">
        <v>2</v>
      </c>
      <c r="K429" s="16">
        <v>5</v>
      </c>
      <c r="L429" s="18">
        <v>46128.348078703704</v>
      </c>
    </row>
    <row r="430" spans="1:12" x14ac:dyDescent="0.25">
      <c r="A430" s="17">
        <v>46068</v>
      </c>
      <c r="B430" s="16">
        <v>2</v>
      </c>
      <c r="C430" s="16" t="s">
        <v>45</v>
      </c>
      <c r="D430" s="19">
        <v>5</v>
      </c>
      <c r="E430" s="19">
        <v>2</v>
      </c>
      <c r="F430" s="19">
        <v>0</v>
      </c>
      <c r="G430" s="19">
        <v>0</v>
      </c>
      <c r="H430" s="19">
        <v>0</v>
      </c>
      <c r="I430" s="19">
        <v>2</v>
      </c>
      <c r="J430" s="16">
        <v>5</v>
      </c>
      <c r="K430" s="16">
        <v>6</v>
      </c>
      <c r="L430" s="18">
        <v>46128.348078703704</v>
      </c>
    </row>
    <row r="431" spans="1:12" x14ac:dyDescent="0.25">
      <c r="A431" s="17">
        <v>46069</v>
      </c>
      <c r="B431" s="16">
        <v>2</v>
      </c>
      <c r="C431" s="16" t="s">
        <v>45</v>
      </c>
      <c r="D431" s="19">
        <v>1</v>
      </c>
      <c r="E431" s="19">
        <v>2</v>
      </c>
      <c r="F431" s="19">
        <v>0</v>
      </c>
      <c r="G431" s="19">
        <v>0</v>
      </c>
      <c r="H431" s="19">
        <v>0</v>
      </c>
      <c r="I431" s="19">
        <v>2</v>
      </c>
      <c r="J431" s="16">
        <v>6</v>
      </c>
      <c r="K431" s="16">
        <v>3</v>
      </c>
      <c r="L431" s="18">
        <v>46128.348078703704</v>
      </c>
    </row>
    <row r="432" spans="1:12" x14ac:dyDescent="0.25">
      <c r="A432" s="17">
        <v>46070</v>
      </c>
      <c r="B432" s="16">
        <v>2</v>
      </c>
      <c r="C432" s="16" t="s">
        <v>45</v>
      </c>
      <c r="D432" s="19">
        <v>3</v>
      </c>
      <c r="E432" s="19">
        <v>0</v>
      </c>
      <c r="F432" s="19">
        <v>0</v>
      </c>
      <c r="G432" s="19">
        <v>1</v>
      </c>
      <c r="H432" s="19">
        <v>0</v>
      </c>
      <c r="I432" s="19">
        <v>1</v>
      </c>
      <c r="J432" s="16">
        <v>3</v>
      </c>
      <c r="K432" s="16">
        <v>4</v>
      </c>
      <c r="L432" s="18">
        <v>46128.348078703704</v>
      </c>
    </row>
    <row r="433" spans="1:12" x14ac:dyDescent="0.25">
      <c r="A433" s="17">
        <v>46071</v>
      </c>
      <c r="B433" s="16">
        <v>2</v>
      </c>
      <c r="C433" s="16" t="s">
        <v>45</v>
      </c>
      <c r="D433" s="19">
        <v>0</v>
      </c>
      <c r="E433" s="19">
        <v>1</v>
      </c>
      <c r="F433" s="19">
        <v>0</v>
      </c>
      <c r="G433" s="19">
        <v>0</v>
      </c>
      <c r="H433" s="19">
        <v>0</v>
      </c>
      <c r="I433" s="19">
        <v>1</v>
      </c>
      <c r="J433" s="16">
        <v>4</v>
      </c>
      <c r="K433" s="16">
        <v>2</v>
      </c>
      <c r="L433" s="18">
        <v>46128.348078703704</v>
      </c>
    </row>
    <row r="434" spans="1:12" x14ac:dyDescent="0.25">
      <c r="A434" s="17">
        <v>46072</v>
      </c>
      <c r="B434" s="16">
        <v>2</v>
      </c>
      <c r="C434" s="16" t="s">
        <v>45</v>
      </c>
      <c r="D434" s="19">
        <v>3</v>
      </c>
      <c r="E434" s="19">
        <v>1</v>
      </c>
      <c r="F434" s="19">
        <v>0</v>
      </c>
      <c r="G434" s="19">
        <v>0</v>
      </c>
      <c r="H434" s="19">
        <v>0</v>
      </c>
      <c r="I434" s="19">
        <v>0</v>
      </c>
      <c r="J434" s="16">
        <v>2</v>
      </c>
      <c r="K434" s="16">
        <v>4</v>
      </c>
      <c r="L434" s="18">
        <v>46128.348078703704</v>
      </c>
    </row>
    <row r="435" spans="1:12" x14ac:dyDescent="0.25">
      <c r="A435" s="17">
        <v>46073</v>
      </c>
      <c r="B435" s="16">
        <v>2</v>
      </c>
      <c r="C435" s="16" t="s">
        <v>45</v>
      </c>
      <c r="D435" s="19">
        <v>1</v>
      </c>
      <c r="E435" s="19">
        <v>2</v>
      </c>
      <c r="F435" s="19">
        <v>0</v>
      </c>
      <c r="G435" s="19">
        <v>0</v>
      </c>
      <c r="H435" s="19">
        <v>0</v>
      </c>
      <c r="I435" s="19">
        <v>1</v>
      </c>
      <c r="J435" s="16">
        <v>4</v>
      </c>
      <c r="K435" s="16">
        <v>2</v>
      </c>
      <c r="L435" s="18">
        <v>46128.348078703704</v>
      </c>
    </row>
    <row r="436" spans="1:12" x14ac:dyDescent="0.25">
      <c r="A436" s="17">
        <v>46074</v>
      </c>
      <c r="B436" s="16">
        <v>2</v>
      </c>
      <c r="C436" s="16" t="s">
        <v>45</v>
      </c>
      <c r="D436" s="19">
        <v>3</v>
      </c>
      <c r="E436" s="19">
        <v>2</v>
      </c>
      <c r="F436" s="19">
        <v>0</v>
      </c>
      <c r="G436" s="19">
        <v>0</v>
      </c>
      <c r="H436" s="19">
        <v>0</v>
      </c>
      <c r="I436" s="19">
        <v>1</v>
      </c>
      <c r="J436" s="16">
        <v>2</v>
      </c>
      <c r="K436" s="16">
        <v>2</v>
      </c>
      <c r="L436" s="18">
        <v>46128.348078703704</v>
      </c>
    </row>
    <row r="437" spans="1:12" x14ac:dyDescent="0.25">
      <c r="A437" s="17">
        <v>46075</v>
      </c>
      <c r="B437" s="16">
        <v>2</v>
      </c>
      <c r="C437" s="16" t="s">
        <v>45</v>
      </c>
      <c r="D437" s="19">
        <v>4</v>
      </c>
      <c r="E437" s="19">
        <v>1</v>
      </c>
      <c r="F437" s="19">
        <v>0</v>
      </c>
      <c r="G437" s="19">
        <v>0</v>
      </c>
      <c r="H437" s="19">
        <v>0</v>
      </c>
      <c r="I437" s="19">
        <v>0</v>
      </c>
      <c r="J437" s="16">
        <v>2</v>
      </c>
      <c r="K437" s="16">
        <v>5</v>
      </c>
      <c r="L437" s="18">
        <v>46128.348078703704</v>
      </c>
    </row>
    <row r="438" spans="1:12" x14ac:dyDescent="0.25">
      <c r="A438" s="17">
        <v>46076</v>
      </c>
      <c r="B438" s="16">
        <v>2</v>
      </c>
      <c r="C438" s="16" t="s">
        <v>45</v>
      </c>
      <c r="D438" s="19">
        <v>3</v>
      </c>
      <c r="E438" s="19">
        <v>1</v>
      </c>
      <c r="F438" s="19">
        <v>0</v>
      </c>
      <c r="G438" s="19">
        <v>0</v>
      </c>
      <c r="H438" s="19">
        <v>0</v>
      </c>
      <c r="I438" s="19">
        <v>3</v>
      </c>
      <c r="J438" s="16">
        <v>5</v>
      </c>
      <c r="K438" s="16">
        <v>4</v>
      </c>
      <c r="L438" s="18">
        <v>46128.348078703704</v>
      </c>
    </row>
    <row r="439" spans="1:12" x14ac:dyDescent="0.25">
      <c r="A439" s="17">
        <v>46077</v>
      </c>
      <c r="B439" s="16">
        <v>2</v>
      </c>
      <c r="C439" s="16" t="s">
        <v>45</v>
      </c>
      <c r="D439" s="19">
        <v>4</v>
      </c>
      <c r="E439" s="19">
        <v>0</v>
      </c>
      <c r="F439" s="19">
        <v>0</v>
      </c>
      <c r="G439" s="19">
        <v>0</v>
      </c>
      <c r="H439" s="19">
        <v>0</v>
      </c>
      <c r="I439" s="19">
        <v>3</v>
      </c>
      <c r="J439" s="16">
        <v>4</v>
      </c>
      <c r="K439" s="16">
        <v>5</v>
      </c>
      <c r="L439" s="18">
        <v>46128.348078703704</v>
      </c>
    </row>
    <row r="440" spans="1:12" x14ac:dyDescent="0.25">
      <c r="A440" s="17">
        <v>46078</v>
      </c>
      <c r="B440" s="16">
        <v>2</v>
      </c>
      <c r="C440" s="16" t="s">
        <v>45</v>
      </c>
      <c r="D440" s="19">
        <v>2</v>
      </c>
      <c r="E440" s="19">
        <v>1</v>
      </c>
      <c r="F440" s="19">
        <v>0</v>
      </c>
      <c r="G440" s="19">
        <v>0</v>
      </c>
      <c r="H440" s="19">
        <v>0</v>
      </c>
      <c r="I440" s="19">
        <v>1</v>
      </c>
      <c r="J440" s="16">
        <v>5</v>
      </c>
      <c r="K440" s="16">
        <v>5</v>
      </c>
      <c r="L440" s="18">
        <v>46128.348078703704</v>
      </c>
    </row>
    <row r="441" spans="1:12" x14ac:dyDescent="0.25">
      <c r="A441" s="17">
        <v>46079</v>
      </c>
      <c r="B441" s="16">
        <v>2</v>
      </c>
      <c r="C441" s="16" t="s">
        <v>45</v>
      </c>
      <c r="D441" s="19">
        <v>3</v>
      </c>
      <c r="E441" s="19">
        <v>2</v>
      </c>
      <c r="F441" s="19">
        <v>0</v>
      </c>
      <c r="G441" s="19">
        <v>0</v>
      </c>
      <c r="H441" s="19">
        <v>0</v>
      </c>
      <c r="I441" s="19">
        <v>2</v>
      </c>
      <c r="J441" s="16">
        <v>5</v>
      </c>
      <c r="K441" s="16">
        <v>4</v>
      </c>
      <c r="L441" s="18">
        <v>46128.348078703704</v>
      </c>
    </row>
    <row r="442" spans="1:12" x14ac:dyDescent="0.25">
      <c r="A442" s="17">
        <v>46080</v>
      </c>
      <c r="B442" s="16">
        <v>2</v>
      </c>
      <c r="C442" s="16" t="s">
        <v>45</v>
      </c>
      <c r="D442" s="19">
        <v>1</v>
      </c>
      <c r="E442" s="19">
        <v>1</v>
      </c>
      <c r="F442" s="19">
        <v>2</v>
      </c>
      <c r="G442" s="19">
        <v>1</v>
      </c>
      <c r="H442" s="19">
        <v>0</v>
      </c>
      <c r="I442" s="19">
        <v>0</v>
      </c>
      <c r="J442" s="16">
        <v>4</v>
      </c>
      <c r="K442" s="16">
        <v>1</v>
      </c>
      <c r="L442" s="18">
        <v>46128.348078703704</v>
      </c>
    </row>
    <row r="443" spans="1:12" x14ac:dyDescent="0.25">
      <c r="A443" s="17">
        <v>46081</v>
      </c>
      <c r="B443" s="16">
        <v>2</v>
      </c>
      <c r="C443" s="16" t="s">
        <v>45</v>
      </c>
      <c r="D443" s="19">
        <v>1</v>
      </c>
      <c r="E443" s="19">
        <v>0</v>
      </c>
      <c r="F443" s="19">
        <v>0</v>
      </c>
      <c r="G443" s="19">
        <v>0</v>
      </c>
      <c r="H443" s="19">
        <v>0</v>
      </c>
      <c r="I443" s="19">
        <v>1</v>
      </c>
      <c r="J443" s="16">
        <v>1</v>
      </c>
      <c r="K443" s="16">
        <v>1</v>
      </c>
      <c r="L443" s="18">
        <v>46128.348078703704</v>
      </c>
    </row>
    <row r="444" spans="1:12" x14ac:dyDescent="0.25">
      <c r="A444" s="17">
        <v>46082</v>
      </c>
      <c r="B444" s="16">
        <v>3</v>
      </c>
      <c r="C444" s="16" t="s">
        <v>45</v>
      </c>
      <c r="D444" s="19">
        <v>2</v>
      </c>
      <c r="E444" s="19">
        <v>0</v>
      </c>
      <c r="F444" s="19">
        <v>0</v>
      </c>
      <c r="G444" s="19">
        <v>0</v>
      </c>
      <c r="H444" s="19">
        <v>0</v>
      </c>
      <c r="I444" s="19">
        <v>1</v>
      </c>
      <c r="J444" s="16">
        <v>1</v>
      </c>
      <c r="K444" s="16">
        <v>2</v>
      </c>
      <c r="L444" s="18">
        <v>46128.348078703704</v>
      </c>
    </row>
    <row r="445" spans="1:12" x14ac:dyDescent="0.25">
      <c r="A445" s="17">
        <v>46083</v>
      </c>
      <c r="B445" s="16">
        <v>3</v>
      </c>
      <c r="C445" s="16" t="s">
        <v>45</v>
      </c>
      <c r="D445" s="19">
        <v>1</v>
      </c>
      <c r="E445" s="19">
        <v>0</v>
      </c>
      <c r="F445" s="19">
        <v>0</v>
      </c>
      <c r="G445" s="19">
        <v>0</v>
      </c>
      <c r="H445" s="19">
        <v>0</v>
      </c>
      <c r="I445" s="19">
        <v>0</v>
      </c>
      <c r="J445" s="16">
        <v>2</v>
      </c>
      <c r="K445" s="16">
        <v>3</v>
      </c>
      <c r="L445" s="18">
        <v>46128.348078703704</v>
      </c>
    </row>
    <row r="446" spans="1:12" x14ac:dyDescent="0.25">
      <c r="A446" s="17">
        <v>46084</v>
      </c>
      <c r="B446" s="16">
        <v>3</v>
      </c>
      <c r="C446" s="16" t="s">
        <v>45</v>
      </c>
      <c r="D446" s="19">
        <v>0</v>
      </c>
      <c r="E446" s="19">
        <v>0</v>
      </c>
      <c r="F446" s="19">
        <v>0</v>
      </c>
      <c r="G446" s="19">
        <v>0</v>
      </c>
      <c r="H446" s="19">
        <v>0</v>
      </c>
      <c r="I446" s="19">
        <v>2</v>
      </c>
      <c r="J446" s="16">
        <v>3</v>
      </c>
      <c r="K446" s="16">
        <v>1</v>
      </c>
      <c r="L446" s="18">
        <v>46128.348078703704</v>
      </c>
    </row>
    <row r="447" spans="1:12" x14ac:dyDescent="0.25">
      <c r="A447" s="17">
        <v>46085</v>
      </c>
      <c r="B447" s="16">
        <v>3</v>
      </c>
      <c r="C447" s="16" t="s">
        <v>45</v>
      </c>
      <c r="D447" s="19">
        <v>1</v>
      </c>
      <c r="E447" s="19">
        <v>0</v>
      </c>
      <c r="F447" s="19">
        <v>0</v>
      </c>
      <c r="G447" s="19">
        <v>0</v>
      </c>
      <c r="H447" s="19">
        <v>0</v>
      </c>
      <c r="I447" s="19">
        <v>1</v>
      </c>
      <c r="J447" s="16">
        <v>1</v>
      </c>
      <c r="K447" s="16">
        <v>1</v>
      </c>
      <c r="L447" s="18">
        <v>46128.348078703704</v>
      </c>
    </row>
    <row r="448" spans="1:12" x14ac:dyDescent="0.25">
      <c r="A448" s="17">
        <v>46086</v>
      </c>
      <c r="B448" s="16">
        <v>3</v>
      </c>
      <c r="C448" s="16" t="s">
        <v>45</v>
      </c>
      <c r="D448" s="19">
        <v>0</v>
      </c>
      <c r="E448" s="19">
        <v>0</v>
      </c>
      <c r="F448" s="19">
        <v>0</v>
      </c>
      <c r="G448" s="19">
        <v>0</v>
      </c>
      <c r="H448" s="19">
        <v>0</v>
      </c>
      <c r="I448" s="19">
        <v>0</v>
      </c>
      <c r="J448" s="16">
        <v>1</v>
      </c>
      <c r="K448" s="16">
        <v>1</v>
      </c>
      <c r="L448" s="18">
        <v>46128.348078703704</v>
      </c>
    </row>
    <row r="449" spans="1:12" x14ac:dyDescent="0.25">
      <c r="A449" s="17">
        <v>46087</v>
      </c>
      <c r="B449" s="16">
        <v>3</v>
      </c>
      <c r="C449" s="16" t="s">
        <v>45</v>
      </c>
      <c r="D449" s="19">
        <v>1</v>
      </c>
      <c r="E449" s="19">
        <v>0</v>
      </c>
      <c r="F449" s="19">
        <v>0</v>
      </c>
      <c r="G449" s="19">
        <v>0</v>
      </c>
      <c r="H449" s="19">
        <v>0</v>
      </c>
      <c r="I449" s="19">
        <v>1</v>
      </c>
      <c r="J449" s="16">
        <v>1</v>
      </c>
      <c r="K449" s="16">
        <v>1</v>
      </c>
      <c r="L449" s="18">
        <v>46128.348078703704</v>
      </c>
    </row>
    <row r="450" spans="1:12" x14ac:dyDescent="0.25">
      <c r="A450" s="17">
        <v>46088</v>
      </c>
      <c r="B450" s="16">
        <v>3</v>
      </c>
      <c r="C450" s="16" t="s">
        <v>45</v>
      </c>
      <c r="D450" s="19">
        <v>1</v>
      </c>
      <c r="E450" s="19">
        <v>0</v>
      </c>
      <c r="F450" s="19">
        <v>0</v>
      </c>
      <c r="G450" s="19">
        <v>0</v>
      </c>
      <c r="H450" s="19">
        <v>0</v>
      </c>
      <c r="I450" s="19">
        <v>0</v>
      </c>
      <c r="J450" s="16">
        <v>1</v>
      </c>
      <c r="K450" s="16">
        <v>2</v>
      </c>
      <c r="L450" s="18">
        <v>46128.348078703704</v>
      </c>
    </row>
    <row r="451" spans="1:12" x14ac:dyDescent="0.25">
      <c r="A451" s="17">
        <v>46089</v>
      </c>
      <c r="B451" s="16">
        <v>3</v>
      </c>
      <c r="C451" s="16" t="s">
        <v>45</v>
      </c>
      <c r="D451" s="19">
        <v>1</v>
      </c>
      <c r="E451" s="19">
        <v>0</v>
      </c>
      <c r="F451" s="19">
        <v>0</v>
      </c>
      <c r="G451" s="19">
        <v>0</v>
      </c>
      <c r="H451" s="19">
        <v>0</v>
      </c>
      <c r="I451" s="19">
        <v>0</v>
      </c>
      <c r="J451" s="16">
        <v>2</v>
      </c>
      <c r="K451" s="16">
        <v>3</v>
      </c>
      <c r="L451" s="18">
        <v>46128.348078703704</v>
      </c>
    </row>
    <row r="452" spans="1:12" x14ac:dyDescent="0.25">
      <c r="A452" s="17">
        <v>46090</v>
      </c>
      <c r="B452" s="16">
        <v>3</v>
      </c>
      <c r="C452" s="16" t="s">
        <v>45</v>
      </c>
      <c r="D452" s="19">
        <v>0</v>
      </c>
      <c r="E452" s="19">
        <v>0</v>
      </c>
      <c r="F452" s="19">
        <v>0</v>
      </c>
      <c r="G452" s="19">
        <v>0</v>
      </c>
      <c r="H452" s="19">
        <v>0</v>
      </c>
      <c r="I452" s="19">
        <v>1</v>
      </c>
      <c r="J452" s="16">
        <v>3</v>
      </c>
      <c r="K452" s="16">
        <v>2</v>
      </c>
      <c r="L452" s="18">
        <v>46128.348078703704</v>
      </c>
    </row>
    <row r="453" spans="1:12" x14ac:dyDescent="0.25">
      <c r="A453" s="17">
        <v>46091</v>
      </c>
      <c r="B453" s="16">
        <v>3</v>
      </c>
      <c r="C453" s="16" t="s">
        <v>45</v>
      </c>
      <c r="D453" s="19">
        <v>2</v>
      </c>
      <c r="E453" s="19">
        <v>0</v>
      </c>
      <c r="F453" s="19">
        <v>0</v>
      </c>
      <c r="G453" s="19">
        <v>0</v>
      </c>
      <c r="H453" s="19">
        <v>0</v>
      </c>
      <c r="I453" s="19">
        <v>1</v>
      </c>
      <c r="J453" s="16">
        <v>2</v>
      </c>
      <c r="K453" s="16">
        <v>3</v>
      </c>
      <c r="L453" s="18">
        <v>46128.348078703704</v>
      </c>
    </row>
    <row r="454" spans="1:12" x14ac:dyDescent="0.25">
      <c r="A454" s="17">
        <v>46092</v>
      </c>
      <c r="B454" s="16">
        <v>3</v>
      </c>
      <c r="C454" s="16" t="s">
        <v>45</v>
      </c>
      <c r="D454" s="19">
        <v>1</v>
      </c>
      <c r="E454" s="19">
        <v>2</v>
      </c>
      <c r="F454" s="19">
        <v>0</v>
      </c>
      <c r="G454" s="19">
        <v>0</v>
      </c>
      <c r="H454" s="19">
        <v>0</v>
      </c>
      <c r="I454" s="19">
        <v>1</v>
      </c>
      <c r="J454" s="16">
        <v>3</v>
      </c>
      <c r="K454" s="16">
        <v>1</v>
      </c>
      <c r="L454" s="18">
        <v>46128.348078703704</v>
      </c>
    </row>
    <row r="455" spans="1:12" x14ac:dyDescent="0.25">
      <c r="A455" s="17">
        <v>46093</v>
      </c>
      <c r="B455" s="16">
        <v>3</v>
      </c>
      <c r="C455" s="16" t="s">
        <v>45</v>
      </c>
      <c r="D455" s="19">
        <v>1</v>
      </c>
      <c r="E455" s="19">
        <v>0</v>
      </c>
      <c r="F455" s="19">
        <v>0</v>
      </c>
      <c r="G455" s="19">
        <v>0</v>
      </c>
      <c r="H455" s="19">
        <v>0</v>
      </c>
      <c r="I455" s="19">
        <v>0</v>
      </c>
      <c r="J455" s="16">
        <v>1</v>
      </c>
      <c r="K455" s="16">
        <v>2</v>
      </c>
      <c r="L455" s="18">
        <v>46128.348078703704</v>
      </c>
    </row>
    <row r="456" spans="1:12" x14ac:dyDescent="0.25">
      <c r="A456" s="17">
        <v>46094</v>
      </c>
      <c r="B456" s="16">
        <v>3</v>
      </c>
      <c r="C456" s="16" t="s">
        <v>45</v>
      </c>
      <c r="D456" s="19">
        <v>2</v>
      </c>
      <c r="E456" s="19">
        <v>0</v>
      </c>
      <c r="F456" s="19">
        <v>0</v>
      </c>
      <c r="G456" s="19">
        <v>1</v>
      </c>
      <c r="H456" s="19">
        <v>0</v>
      </c>
      <c r="I456" s="19">
        <v>0</v>
      </c>
      <c r="J456" s="16">
        <v>2</v>
      </c>
      <c r="K456" s="16">
        <v>3</v>
      </c>
      <c r="L456" s="18">
        <v>46128.348078703704</v>
      </c>
    </row>
    <row r="457" spans="1:12" x14ac:dyDescent="0.25">
      <c r="A457" s="17">
        <v>46095</v>
      </c>
      <c r="B457" s="16">
        <v>3</v>
      </c>
      <c r="C457" s="16" t="s">
        <v>45</v>
      </c>
      <c r="D457" s="19">
        <v>2</v>
      </c>
      <c r="E457" s="19">
        <v>0</v>
      </c>
      <c r="F457" s="19">
        <v>0</v>
      </c>
      <c r="G457" s="19">
        <v>0</v>
      </c>
      <c r="H457" s="19">
        <v>0</v>
      </c>
      <c r="I457" s="19">
        <v>0</v>
      </c>
      <c r="J457" s="16">
        <v>3</v>
      </c>
      <c r="K457" s="16">
        <v>5</v>
      </c>
      <c r="L457" s="18">
        <v>46128.348078703704</v>
      </c>
    </row>
    <row r="458" spans="1:12" x14ac:dyDescent="0.25">
      <c r="A458" s="17">
        <v>46096</v>
      </c>
      <c r="B458" s="16">
        <v>3</v>
      </c>
      <c r="C458" s="16" t="s">
        <v>45</v>
      </c>
      <c r="D458" s="19">
        <v>2</v>
      </c>
      <c r="E458" s="19">
        <v>3</v>
      </c>
      <c r="F458" s="19">
        <v>0</v>
      </c>
      <c r="G458" s="19">
        <v>0</v>
      </c>
      <c r="H458" s="19">
        <v>0</v>
      </c>
      <c r="I458" s="19">
        <v>2</v>
      </c>
      <c r="J458" s="16">
        <v>5</v>
      </c>
      <c r="K458" s="16">
        <v>2</v>
      </c>
      <c r="L458" s="18">
        <v>46128.348078703704</v>
      </c>
    </row>
    <row r="459" spans="1:12" x14ac:dyDescent="0.25">
      <c r="A459" s="17">
        <v>46097</v>
      </c>
      <c r="B459" s="16">
        <v>3</v>
      </c>
      <c r="C459" s="16" t="s">
        <v>45</v>
      </c>
      <c r="D459" s="19">
        <v>2</v>
      </c>
      <c r="E459" s="19">
        <v>0</v>
      </c>
      <c r="F459" s="19">
        <v>0</v>
      </c>
      <c r="G459" s="19">
        <v>1</v>
      </c>
      <c r="H459" s="19">
        <v>0</v>
      </c>
      <c r="I459" s="19">
        <v>0</v>
      </c>
      <c r="J459" s="16">
        <v>2</v>
      </c>
      <c r="K459" s="16">
        <v>3</v>
      </c>
      <c r="L459" s="18">
        <v>46128.348078703704</v>
      </c>
    </row>
    <row r="460" spans="1:12" x14ac:dyDescent="0.25">
      <c r="A460" s="17">
        <v>46098</v>
      </c>
      <c r="B460" s="16">
        <v>3</v>
      </c>
      <c r="C460" s="16" t="s">
        <v>45</v>
      </c>
      <c r="D460" s="19">
        <v>4</v>
      </c>
      <c r="E460" s="19">
        <v>0</v>
      </c>
      <c r="F460" s="19">
        <v>0</v>
      </c>
      <c r="G460" s="19">
        <v>0</v>
      </c>
      <c r="H460" s="19">
        <v>0</v>
      </c>
      <c r="I460" s="19">
        <v>0</v>
      </c>
      <c r="J460" s="16">
        <v>3</v>
      </c>
      <c r="K460" s="16">
        <v>7</v>
      </c>
      <c r="L460" s="18">
        <v>46128.348078703704</v>
      </c>
    </row>
    <row r="461" spans="1:12" x14ac:dyDescent="0.25">
      <c r="A461" s="17">
        <v>46099</v>
      </c>
      <c r="B461" s="16">
        <v>3</v>
      </c>
      <c r="C461" s="16" t="s">
        <v>45</v>
      </c>
      <c r="D461" s="19">
        <v>1</v>
      </c>
      <c r="E461" s="19">
        <v>2</v>
      </c>
      <c r="F461" s="19">
        <v>0</v>
      </c>
      <c r="G461" s="19">
        <v>0</v>
      </c>
      <c r="H461" s="19">
        <v>0</v>
      </c>
      <c r="I461" s="19">
        <v>4</v>
      </c>
      <c r="J461" s="16">
        <v>7</v>
      </c>
      <c r="K461" s="16">
        <v>2</v>
      </c>
      <c r="L461" s="18">
        <v>46128.348078703704</v>
      </c>
    </row>
    <row r="462" spans="1:12" x14ac:dyDescent="0.25">
      <c r="A462" s="17">
        <v>46100</v>
      </c>
      <c r="B462" s="16">
        <v>3</v>
      </c>
      <c r="C462" s="16" t="s">
        <v>45</v>
      </c>
      <c r="D462" s="19">
        <v>0</v>
      </c>
      <c r="E462" s="19">
        <v>0</v>
      </c>
      <c r="F462" s="19">
        <v>0</v>
      </c>
      <c r="G462" s="19">
        <v>0</v>
      </c>
      <c r="H462" s="19">
        <v>0</v>
      </c>
      <c r="I462" s="19">
        <v>0</v>
      </c>
      <c r="J462" s="16">
        <v>2</v>
      </c>
      <c r="K462" s="16">
        <v>2</v>
      </c>
      <c r="L462" s="18">
        <v>46128.348078703704</v>
      </c>
    </row>
    <row r="463" spans="1:12" x14ac:dyDescent="0.25">
      <c r="A463" s="17">
        <v>46101</v>
      </c>
      <c r="B463" s="16">
        <v>3</v>
      </c>
      <c r="C463" s="16" t="s">
        <v>45</v>
      </c>
      <c r="D463" s="19">
        <v>1</v>
      </c>
      <c r="E463" s="19">
        <v>1</v>
      </c>
      <c r="F463" s="19">
        <v>0</v>
      </c>
      <c r="G463" s="19">
        <v>0</v>
      </c>
      <c r="H463" s="19">
        <v>0</v>
      </c>
      <c r="I463" s="19">
        <v>1</v>
      </c>
      <c r="J463" s="16">
        <v>2</v>
      </c>
      <c r="K463" s="16">
        <v>1</v>
      </c>
      <c r="L463" s="18">
        <v>46128.348078703704</v>
      </c>
    </row>
    <row r="464" spans="1:12" x14ac:dyDescent="0.25">
      <c r="A464" s="17">
        <v>46102</v>
      </c>
      <c r="B464" s="16">
        <v>3</v>
      </c>
      <c r="C464" s="16" t="s">
        <v>45</v>
      </c>
      <c r="D464" s="19">
        <v>2</v>
      </c>
      <c r="E464" s="19">
        <v>0</v>
      </c>
      <c r="F464" s="19">
        <v>0</v>
      </c>
      <c r="G464" s="19">
        <v>0</v>
      </c>
      <c r="H464" s="19">
        <v>0</v>
      </c>
      <c r="I464" s="19">
        <v>1</v>
      </c>
      <c r="J464" s="16">
        <v>1</v>
      </c>
      <c r="K464" s="16">
        <v>2</v>
      </c>
      <c r="L464" s="18">
        <v>46128.348078703704</v>
      </c>
    </row>
    <row r="465" spans="1:12" x14ac:dyDescent="0.25">
      <c r="A465" s="17">
        <v>46103</v>
      </c>
      <c r="B465" s="16">
        <v>3</v>
      </c>
      <c r="C465" s="16" t="s">
        <v>45</v>
      </c>
      <c r="D465" s="19">
        <v>0</v>
      </c>
      <c r="E465" s="19">
        <v>0</v>
      </c>
      <c r="F465" s="19">
        <v>0</v>
      </c>
      <c r="G465" s="19">
        <v>0</v>
      </c>
      <c r="H465" s="19">
        <v>0</v>
      </c>
      <c r="I465" s="19">
        <v>0</v>
      </c>
      <c r="J465" s="16">
        <v>2</v>
      </c>
      <c r="K465" s="16">
        <v>2</v>
      </c>
      <c r="L465" s="18">
        <v>46128.348078703704</v>
      </c>
    </row>
    <row r="466" spans="1:12" x14ac:dyDescent="0.25">
      <c r="A466" s="17">
        <v>46104</v>
      </c>
      <c r="B466" s="16">
        <v>3</v>
      </c>
      <c r="C466" s="16" t="s">
        <v>45</v>
      </c>
      <c r="D466" s="19">
        <v>4</v>
      </c>
      <c r="E466" s="19">
        <v>0</v>
      </c>
      <c r="F466" s="19">
        <v>0</v>
      </c>
      <c r="G466" s="19">
        <v>0</v>
      </c>
      <c r="H466" s="19">
        <v>0</v>
      </c>
      <c r="I466" s="19">
        <v>1</v>
      </c>
      <c r="J466" s="16">
        <v>2</v>
      </c>
      <c r="K466" s="16">
        <v>5</v>
      </c>
      <c r="L466" s="18">
        <v>46128.348078703704</v>
      </c>
    </row>
    <row r="467" spans="1:12" x14ac:dyDescent="0.25">
      <c r="A467" s="17">
        <v>46105</v>
      </c>
      <c r="B467" s="16">
        <v>3</v>
      </c>
      <c r="C467" s="16" t="s">
        <v>45</v>
      </c>
      <c r="D467" s="19">
        <v>3</v>
      </c>
      <c r="E467" s="19">
        <v>0</v>
      </c>
      <c r="F467" s="19">
        <v>0</v>
      </c>
      <c r="G467" s="19">
        <v>0</v>
      </c>
      <c r="H467" s="19">
        <v>0</v>
      </c>
      <c r="I467" s="19">
        <v>3</v>
      </c>
      <c r="J467" s="16">
        <v>5</v>
      </c>
      <c r="K467" s="16">
        <v>5</v>
      </c>
      <c r="L467" s="18">
        <v>46128.348078703704</v>
      </c>
    </row>
    <row r="468" spans="1:12" x14ac:dyDescent="0.25">
      <c r="A468" s="17">
        <v>46106</v>
      </c>
      <c r="B468" s="16">
        <v>3</v>
      </c>
      <c r="C468" s="16" t="s">
        <v>45</v>
      </c>
      <c r="D468" s="19">
        <v>2</v>
      </c>
      <c r="E468" s="19">
        <v>0</v>
      </c>
      <c r="F468" s="19">
        <v>0</v>
      </c>
      <c r="G468" s="19">
        <v>0</v>
      </c>
      <c r="H468" s="19">
        <v>0</v>
      </c>
      <c r="I468" s="19">
        <v>0</v>
      </c>
      <c r="J468" s="16">
        <v>5</v>
      </c>
      <c r="K468" s="16">
        <v>7</v>
      </c>
      <c r="L468" s="18">
        <v>46128.348078703704</v>
      </c>
    </row>
    <row r="469" spans="1:12" x14ac:dyDescent="0.25">
      <c r="A469" s="17">
        <v>46107</v>
      </c>
      <c r="B469" s="16">
        <v>3</v>
      </c>
      <c r="C469" s="16" t="s">
        <v>45</v>
      </c>
      <c r="D469" s="19">
        <v>2</v>
      </c>
      <c r="E469" s="19">
        <v>2</v>
      </c>
      <c r="F469" s="19">
        <v>0</v>
      </c>
      <c r="G469" s="19">
        <v>0</v>
      </c>
      <c r="H469" s="19">
        <v>0</v>
      </c>
      <c r="I469" s="19">
        <v>1</v>
      </c>
      <c r="J469" s="16">
        <v>7</v>
      </c>
      <c r="K469" s="16">
        <v>6</v>
      </c>
      <c r="L469" s="18">
        <v>46128.348078703704</v>
      </c>
    </row>
    <row r="470" spans="1:12" x14ac:dyDescent="0.25">
      <c r="A470" s="17">
        <v>46108</v>
      </c>
      <c r="B470" s="16">
        <v>3</v>
      </c>
      <c r="C470" s="16" t="s">
        <v>45</v>
      </c>
      <c r="D470" s="19">
        <v>0</v>
      </c>
      <c r="E470" s="19">
        <v>0</v>
      </c>
      <c r="F470" s="19">
        <v>3</v>
      </c>
      <c r="G470" s="19">
        <v>1</v>
      </c>
      <c r="H470" s="19">
        <v>0</v>
      </c>
      <c r="I470" s="19">
        <v>2</v>
      </c>
      <c r="J470" s="16">
        <v>6</v>
      </c>
      <c r="K470" s="16">
        <v>0</v>
      </c>
      <c r="L470" s="18">
        <v>46128.348078703704</v>
      </c>
    </row>
    <row r="471" spans="1:12" x14ac:dyDescent="0.25">
      <c r="A471" s="17">
        <v>46109</v>
      </c>
      <c r="B471" s="16">
        <v>3</v>
      </c>
      <c r="C471" s="16" t="s">
        <v>45</v>
      </c>
      <c r="D471" s="19">
        <v>1</v>
      </c>
      <c r="E471" s="19">
        <v>0</v>
      </c>
      <c r="F471" s="19">
        <v>0</v>
      </c>
      <c r="G471" s="19">
        <v>0</v>
      </c>
      <c r="H471" s="19">
        <v>0</v>
      </c>
      <c r="I471" s="19">
        <v>0</v>
      </c>
      <c r="J471" s="16">
        <v>0</v>
      </c>
      <c r="K471" s="16">
        <v>1</v>
      </c>
      <c r="L471" s="18">
        <v>46128.348078703704</v>
      </c>
    </row>
    <row r="472" spans="1:12" x14ac:dyDescent="0.25">
      <c r="A472" s="17">
        <v>46110</v>
      </c>
      <c r="B472" s="16">
        <v>3</v>
      </c>
      <c r="C472" s="16" t="s">
        <v>45</v>
      </c>
      <c r="D472" s="19">
        <v>4</v>
      </c>
      <c r="E472" s="19">
        <v>0</v>
      </c>
      <c r="F472" s="19">
        <v>0</v>
      </c>
      <c r="G472" s="19">
        <v>0</v>
      </c>
      <c r="H472" s="19">
        <v>0</v>
      </c>
      <c r="I472" s="19">
        <v>1</v>
      </c>
      <c r="J472" s="16">
        <v>1</v>
      </c>
      <c r="K472" s="16">
        <v>4</v>
      </c>
      <c r="L472" s="18">
        <v>46128.348078703704</v>
      </c>
    </row>
    <row r="473" spans="1:12" x14ac:dyDescent="0.25">
      <c r="A473" s="17">
        <v>46111</v>
      </c>
      <c r="B473" s="16">
        <v>3</v>
      </c>
      <c r="C473" s="16" t="s">
        <v>45</v>
      </c>
      <c r="D473" s="19">
        <v>3</v>
      </c>
      <c r="E473" s="19">
        <v>0</v>
      </c>
      <c r="F473" s="19">
        <v>1</v>
      </c>
      <c r="G473" s="19">
        <v>0</v>
      </c>
      <c r="H473" s="19">
        <v>0</v>
      </c>
      <c r="I473" s="19">
        <v>0</v>
      </c>
      <c r="J473" s="16">
        <v>4</v>
      </c>
      <c r="K473" s="16">
        <v>6</v>
      </c>
      <c r="L473" s="18">
        <v>46128.348078703704</v>
      </c>
    </row>
    <row r="474" spans="1:12" x14ac:dyDescent="0.25">
      <c r="A474" s="17">
        <v>46112</v>
      </c>
      <c r="B474" s="16">
        <v>3</v>
      </c>
      <c r="C474" s="16" t="s">
        <v>45</v>
      </c>
      <c r="D474" s="19">
        <v>3</v>
      </c>
      <c r="E474" s="19">
        <v>2</v>
      </c>
      <c r="F474" s="19">
        <v>1</v>
      </c>
      <c r="G474" s="19">
        <v>2</v>
      </c>
      <c r="H474" s="19">
        <v>0</v>
      </c>
      <c r="I474" s="19">
        <v>1</v>
      </c>
      <c r="J474" s="16">
        <v>6</v>
      </c>
      <c r="K474" s="16">
        <v>3</v>
      </c>
      <c r="L474" s="18">
        <v>46128.348078703704</v>
      </c>
    </row>
    <row r="475" spans="1:12" x14ac:dyDescent="0.25">
      <c r="A475" s="17">
        <v>46113</v>
      </c>
      <c r="B475" s="16">
        <v>4</v>
      </c>
      <c r="C475" s="16" t="s">
        <v>45</v>
      </c>
      <c r="D475" s="19">
        <v>3</v>
      </c>
      <c r="E475" s="19">
        <v>2</v>
      </c>
      <c r="F475" s="19">
        <v>0</v>
      </c>
      <c r="G475" s="19">
        <v>0</v>
      </c>
      <c r="H475" s="19">
        <v>0</v>
      </c>
      <c r="I475" s="19">
        <v>0</v>
      </c>
      <c r="J475" s="16">
        <v>3</v>
      </c>
      <c r="K475" s="16">
        <v>4</v>
      </c>
      <c r="L475" s="18">
        <v>46128.348078703704</v>
      </c>
    </row>
    <row r="476" spans="1:12" x14ac:dyDescent="0.25">
      <c r="A476" s="17">
        <v>46114</v>
      </c>
      <c r="B476" s="16">
        <v>4</v>
      </c>
      <c r="C476" s="16" t="s">
        <v>45</v>
      </c>
      <c r="D476" s="19">
        <v>1</v>
      </c>
      <c r="E476" s="19">
        <v>0</v>
      </c>
      <c r="F476" s="19">
        <v>0</v>
      </c>
      <c r="G476" s="19">
        <v>0</v>
      </c>
      <c r="H476" s="19">
        <v>0</v>
      </c>
      <c r="I476" s="19">
        <v>2</v>
      </c>
      <c r="J476" s="16">
        <v>4</v>
      </c>
      <c r="K476" s="16">
        <v>3</v>
      </c>
      <c r="L476" s="18">
        <v>46128.348078703704</v>
      </c>
    </row>
    <row r="477" spans="1:12" x14ac:dyDescent="0.25">
      <c r="A477" s="17">
        <v>46115</v>
      </c>
      <c r="B477" s="16">
        <v>4</v>
      </c>
      <c r="C477" s="16" t="s">
        <v>45</v>
      </c>
      <c r="D477" s="19">
        <v>0</v>
      </c>
      <c r="E477" s="19">
        <v>1</v>
      </c>
      <c r="F477" s="19">
        <v>0</v>
      </c>
      <c r="G477" s="19">
        <v>0</v>
      </c>
      <c r="H477" s="19">
        <v>0</v>
      </c>
      <c r="I477" s="19">
        <v>2</v>
      </c>
      <c r="J477" s="16">
        <v>3</v>
      </c>
      <c r="K477" s="16">
        <v>0</v>
      </c>
      <c r="L477" s="18">
        <v>46128.348078703704</v>
      </c>
    </row>
    <row r="478" spans="1:12" x14ac:dyDescent="0.25">
      <c r="A478" s="17">
        <v>46116</v>
      </c>
      <c r="B478" s="16">
        <v>4</v>
      </c>
      <c r="C478" s="16" t="s">
        <v>45</v>
      </c>
      <c r="D478" s="19">
        <v>1</v>
      </c>
      <c r="E478" s="19">
        <v>0</v>
      </c>
      <c r="F478" s="19">
        <v>0</v>
      </c>
      <c r="G478" s="19">
        <v>1</v>
      </c>
      <c r="H478" s="19">
        <v>0</v>
      </c>
      <c r="I478" s="19">
        <v>0</v>
      </c>
      <c r="J478" s="16">
        <v>0</v>
      </c>
      <c r="K478" s="16">
        <v>0</v>
      </c>
      <c r="L478" s="18">
        <v>46128.348078703704</v>
      </c>
    </row>
    <row r="479" spans="1:12" x14ac:dyDescent="0.25">
      <c r="A479" s="17">
        <v>46023</v>
      </c>
      <c r="B479" s="16">
        <v>1</v>
      </c>
      <c r="C479" s="16" t="s">
        <v>31</v>
      </c>
      <c r="D479" s="19">
        <v>4</v>
      </c>
      <c r="E479" s="19">
        <v>2</v>
      </c>
      <c r="F479" s="19">
        <v>0</v>
      </c>
      <c r="G479" s="19">
        <v>0</v>
      </c>
      <c r="H479" s="19">
        <v>1</v>
      </c>
      <c r="I479" s="19">
        <v>0</v>
      </c>
      <c r="J479" s="16">
        <v>16</v>
      </c>
      <c r="K479" s="16">
        <v>19</v>
      </c>
      <c r="L479" s="18">
        <v>46128.348078703704</v>
      </c>
    </row>
    <row r="480" spans="1:12" x14ac:dyDescent="0.25">
      <c r="A480" s="17">
        <v>46024</v>
      </c>
      <c r="B480" s="16">
        <v>1</v>
      </c>
      <c r="C480" s="16" t="s">
        <v>31</v>
      </c>
      <c r="D480" s="19">
        <v>2</v>
      </c>
      <c r="E480" s="19">
        <v>4</v>
      </c>
      <c r="F480" s="19">
        <v>1</v>
      </c>
      <c r="G480" s="19">
        <v>0</v>
      </c>
      <c r="H480" s="19">
        <v>0</v>
      </c>
      <c r="I480" s="19">
        <v>0</v>
      </c>
      <c r="J480" s="16">
        <v>19</v>
      </c>
      <c r="K480" s="16">
        <v>16</v>
      </c>
      <c r="L480" s="18">
        <v>46128.348078703704</v>
      </c>
    </row>
    <row r="481" spans="1:12" x14ac:dyDescent="0.25">
      <c r="A481" s="17">
        <v>46025</v>
      </c>
      <c r="B481" s="16">
        <v>1</v>
      </c>
      <c r="C481" s="16" t="s">
        <v>31</v>
      </c>
      <c r="D481" s="19">
        <v>2</v>
      </c>
      <c r="E481" s="19">
        <v>1</v>
      </c>
      <c r="F481" s="19">
        <v>0</v>
      </c>
      <c r="G481" s="19">
        <v>0</v>
      </c>
      <c r="H481" s="19">
        <v>1</v>
      </c>
      <c r="I481" s="19">
        <v>0</v>
      </c>
      <c r="J481" s="16">
        <v>16</v>
      </c>
      <c r="K481" s="16">
        <v>18</v>
      </c>
      <c r="L481" s="18">
        <v>46128.348078703704</v>
      </c>
    </row>
    <row r="482" spans="1:12" x14ac:dyDescent="0.25">
      <c r="A482" s="17">
        <v>46026</v>
      </c>
      <c r="B482" s="16">
        <v>1</v>
      </c>
      <c r="C482" s="16" t="s">
        <v>31</v>
      </c>
      <c r="D482" s="19">
        <v>6</v>
      </c>
      <c r="E482" s="19">
        <v>1</v>
      </c>
      <c r="F482" s="19">
        <v>0</v>
      </c>
      <c r="G482" s="19">
        <v>0</v>
      </c>
      <c r="H482" s="19">
        <v>0</v>
      </c>
      <c r="I482" s="19">
        <v>0</v>
      </c>
      <c r="J482" s="16">
        <v>18</v>
      </c>
      <c r="K482" s="16">
        <v>23</v>
      </c>
      <c r="L482" s="18">
        <v>46128.348078703704</v>
      </c>
    </row>
    <row r="483" spans="1:12" x14ac:dyDescent="0.25">
      <c r="A483" s="17">
        <v>46027</v>
      </c>
      <c r="B483" s="16">
        <v>1</v>
      </c>
      <c r="C483" s="16" t="s">
        <v>31</v>
      </c>
      <c r="D483" s="19">
        <v>4</v>
      </c>
      <c r="E483" s="19">
        <v>5</v>
      </c>
      <c r="F483" s="19">
        <v>0</v>
      </c>
      <c r="G483" s="19">
        <v>0</v>
      </c>
      <c r="H483" s="19">
        <v>1</v>
      </c>
      <c r="I483" s="19">
        <v>0</v>
      </c>
      <c r="J483" s="16">
        <v>23</v>
      </c>
      <c r="K483" s="16">
        <v>23</v>
      </c>
      <c r="L483" s="18">
        <v>46128.348078703704</v>
      </c>
    </row>
    <row r="484" spans="1:12" x14ac:dyDescent="0.25">
      <c r="A484" s="17">
        <v>46028</v>
      </c>
      <c r="B484" s="16">
        <v>1</v>
      </c>
      <c r="C484" s="16" t="s">
        <v>31</v>
      </c>
      <c r="D484" s="19">
        <v>2</v>
      </c>
      <c r="E484" s="19">
        <v>5</v>
      </c>
      <c r="F484" s="19">
        <v>0</v>
      </c>
      <c r="G484" s="19">
        <v>0</v>
      </c>
      <c r="H484" s="19">
        <v>0</v>
      </c>
      <c r="I484" s="19">
        <v>0</v>
      </c>
      <c r="J484" s="16">
        <v>23</v>
      </c>
      <c r="K484" s="16">
        <v>20</v>
      </c>
      <c r="L484" s="18">
        <v>46128.348078703704</v>
      </c>
    </row>
    <row r="485" spans="1:12" x14ac:dyDescent="0.25">
      <c r="A485" s="17">
        <v>46029</v>
      </c>
      <c r="B485" s="16">
        <v>1</v>
      </c>
      <c r="C485" s="16" t="s">
        <v>31</v>
      </c>
      <c r="D485" s="19">
        <v>5</v>
      </c>
      <c r="E485" s="19">
        <v>2</v>
      </c>
      <c r="F485" s="19">
        <v>0</v>
      </c>
      <c r="G485" s="19">
        <v>0</v>
      </c>
      <c r="H485" s="19">
        <v>0</v>
      </c>
      <c r="I485" s="19">
        <v>0</v>
      </c>
      <c r="J485" s="16">
        <v>20</v>
      </c>
      <c r="K485" s="16">
        <v>23</v>
      </c>
      <c r="L485" s="18">
        <v>46128.348078703704</v>
      </c>
    </row>
    <row r="486" spans="1:12" x14ac:dyDescent="0.25">
      <c r="A486" s="17">
        <v>46030</v>
      </c>
      <c r="B486" s="16">
        <v>1</v>
      </c>
      <c r="C486" s="16" t="s">
        <v>31</v>
      </c>
      <c r="D486" s="19">
        <v>1</v>
      </c>
      <c r="E486" s="19">
        <v>7</v>
      </c>
      <c r="F486" s="19">
        <v>0</v>
      </c>
      <c r="G486" s="19">
        <v>0</v>
      </c>
      <c r="H486" s="19">
        <v>2</v>
      </c>
      <c r="I486" s="19">
        <v>0</v>
      </c>
      <c r="J486" s="16">
        <v>23</v>
      </c>
      <c r="K486" s="16">
        <v>19</v>
      </c>
      <c r="L486" s="18">
        <v>46128.348078703704</v>
      </c>
    </row>
    <row r="487" spans="1:12" x14ac:dyDescent="0.25">
      <c r="A487" s="17">
        <v>46031</v>
      </c>
      <c r="B487" s="16">
        <v>1</v>
      </c>
      <c r="C487" s="16" t="s">
        <v>31</v>
      </c>
      <c r="D487" s="19">
        <v>4</v>
      </c>
      <c r="E487" s="19">
        <v>3</v>
      </c>
      <c r="F487" s="19">
        <v>0</v>
      </c>
      <c r="G487" s="19">
        <v>0</v>
      </c>
      <c r="H487" s="19">
        <v>0</v>
      </c>
      <c r="I487" s="19">
        <v>0</v>
      </c>
      <c r="J487" s="16">
        <v>19</v>
      </c>
      <c r="K487" s="16">
        <v>20</v>
      </c>
      <c r="L487" s="18">
        <v>46128.348078703704</v>
      </c>
    </row>
    <row r="488" spans="1:12" x14ac:dyDescent="0.25">
      <c r="A488" s="17">
        <v>46032</v>
      </c>
      <c r="B488" s="16">
        <v>1</v>
      </c>
      <c r="C488" s="16" t="s">
        <v>31</v>
      </c>
      <c r="D488" s="19">
        <v>2</v>
      </c>
      <c r="E488" s="19">
        <v>6</v>
      </c>
      <c r="F488" s="19">
        <v>0</v>
      </c>
      <c r="G488" s="19">
        <v>0</v>
      </c>
      <c r="H488" s="19">
        <v>0</v>
      </c>
      <c r="I488" s="19">
        <v>0</v>
      </c>
      <c r="J488" s="16">
        <v>20</v>
      </c>
      <c r="K488" s="16">
        <v>16</v>
      </c>
      <c r="L488" s="18">
        <v>46128.348078703704</v>
      </c>
    </row>
    <row r="489" spans="1:12" x14ac:dyDescent="0.25">
      <c r="A489" s="17">
        <v>46033</v>
      </c>
      <c r="B489" s="16">
        <v>1</v>
      </c>
      <c r="C489" s="16" t="s">
        <v>31</v>
      </c>
      <c r="D489" s="19">
        <v>1</v>
      </c>
      <c r="E489" s="19">
        <v>2</v>
      </c>
      <c r="F489" s="19">
        <v>0</v>
      </c>
      <c r="G489" s="19">
        <v>0</v>
      </c>
      <c r="H489" s="19">
        <v>1</v>
      </c>
      <c r="I489" s="19">
        <v>0</v>
      </c>
      <c r="J489" s="16">
        <v>16</v>
      </c>
      <c r="K489" s="16">
        <v>16</v>
      </c>
      <c r="L489" s="18">
        <v>46128.348078703704</v>
      </c>
    </row>
    <row r="490" spans="1:12" x14ac:dyDescent="0.25">
      <c r="A490" s="17">
        <v>46034</v>
      </c>
      <c r="B490" s="16">
        <v>1</v>
      </c>
      <c r="C490" s="16" t="s">
        <v>31</v>
      </c>
      <c r="D490" s="19">
        <v>5</v>
      </c>
      <c r="E490" s="19">
        <v>4</v>
      </c>
      <c r="F490" s="19">
        <v>0</v>
      </c>
      <c r="G490" s="19">
        <v>0</v>
      </c>
      <c r="H490" s="19">
        <v>0</v>
      </c>
      <c r="I490" s="19">
        <v>0</v>
      </c>
      <c r="J490" s="16">
        <v>16</v>
      </c>
      <c r="K490" s="16">
        <v>17</v>
      </c>
      <c r="L490" s="18">
        <v>46128.348078703704</v>
      </c>
    </row>
    <row r="491" spans="1:12" x14ac:dyDescent="0.25">
      <c r="A491" s="17">
        <v>46035</v>
      </c>
      <c r="B491" s="16">
        <v>1</v>
      </c>
      <c r="C491" s="16" t="s">
        <v>31</v>
      </c>
      <c r="D491" s="19">
        <v>5</v>
      </c>
      <c r="E491" s="19">
        <v>5</v>
      </c>
      <c r="F491" s="19">
        <v>0</v>
      </c>
      <c r="G491" s="19">
        <v>0</v>
      </c>
      <c r="H491" s="19">
        <v>0</v>
      </c>
      <c r="I491" s="19">
        <v>0</v>
      </c>
      <c r="J491" s="16">
        <v>17</v>
      </c>
      <c r="K491" s="16">
        <v>17</v>
      </c>
      <c r="L491" s="18">
        <v>46128.348078703704</v>
      </c>
    </row>
    <row r="492" spans="1:12" x14ac:dyDescent="0.25">
      <c r="A492" s="17">
        <v>46036</v>
      </c>
      <c r="B492" s="16">
        <v>1</v>
      </c>
      <c r="C492" s="16" t="s">
        <v>31</v>
      </c>
      <c r="D492" s="19">
        <v>1</v>
      </c>
      <c r="E492" s="19">
        <v>3</v>
      </c>
      <c r="F492" s="19">
        <v>0</v>
      </c>
      <c r="G492" s="19">
        <v>0</v>
      </c>
      <c r="H492" s="19">
        <v>1</v>
      </c>
      <c r="I492" s="19">
        <v>0</v>
      </c>
      <c r="J492" s="16">
        <v>17</v>
      </c>
      <c r="K492" s="16">
        <v>16</v>
      </c>
      <c r="L492" s="18">
        <v>46128.348078703704</v>
      </c>
    </row>
    <row r="493" spans="1:12" x14ac:dyDescent="0.25">
      <c r="A493" s="17">
        <v>46037</v>
      </c>
      <c r="B493" s="16">
        <v>1</v>
      </c>
      <c r="C493" s="16" t="s">
        <v>31</v>
      </c>
      <c r="D493" s="19">
        <v>2</v>
      </c>
      <c r="E493" s="19">
        <v>2</v>
      </c>
      <c r="F493" s="19">
        <v>0</v>
      </c>
      <c r="G493" s="19">
        <v>0</v>
      </c>
      <c r="H493" s="19">
        <v>1</v>
      </c>
      <c r="I493" s="19">
        <v>0</v>
      </c>
      <c r="J493" s="16">
        <v>16</v>
      </c>
      <c r="K493" s="16">
        <v>17</v>
      </c>
      <c r="L493" s="18">
        <v>46128.348078703704</v>
      </c>
    </row>
    <row r="494" spans="1:12" x14ac:dyDescent="0.25">
      <c r="A494" s="17">
        <v>46038</v>
      </c>
      <c r="B494" s="16">
        <v>1</v>
      </c>
      <c r="C494" s="16" t="s">
        <v>31</v>
      </c>
      <c r="D494" s="19">
        <v>0</v>
      </c>
      <c r="E494" s="19">
        <v>1</v>
      </c>
      <c r="F494" s="19">
        <v>2</v>
      </c>
      <c r="G494" s="19">
        <v>0</v>
      </c>
      <c r="H494" s="19">
        <v>2</v>
      </c>
      <c r="I494" s="19">
        <v>0</v>
      </c>
      <c r="J494" s="16">
        <v>17</v>
      </c>
      <c r="K494" s="16">
        <v>16</v>
      </c>
      <c r="L494" s="18">
        <v>46128.348078703704</v>
      </c>
    </row>
    <row r="495" spans="1:12" x14ac:dyDescent="0.25">
      <c r="A495" s="17">
        <v>46039</v>
      </c>
      <c r="B495" s="16">
        <v>1</v>
      </c>
      <c r="C495" s="16" t="s">
        <v>31</v>
      </c>
      <c r="D495" s="19">
        <v>3</v>
      </c>
      <c r="E495" s="19">
        <v>2</v>
      </c>
      <c r="F495" s="19">
        <v>1</v>
      </c>
      <c r="G495" s="19">
        <v>0</v>
      </c>
      <c r="H495" s="19">
        <v>2</v>
      </c>
      <c r="I495" s="19">
        <v>0</v>
      </c>
      <c r="J495" s="16">
        <v>16</v>
      </c>
      <c r="K495" s="16">
        <v>18</v>
      </c>
      <c r="L495" s="18">
        <v>46128.348078703704</v>
      </c>
    </row>
    <row r="496" spans="1:12" x14ac:dyDescent="0.25">
      <c r="A496" s="17">
        <v>46040</v>
      </c>
      <c r="B496" s="16">
        <v>1</v>
      </c>
      <c r="C496" s="16" t="s">
        <v>31</v>
      </c>
      <c r="D496" s="19">
        <v>4</v>
      </c>
      <c r="E496" s="19">
        <v>2</v>
      </c>
      <c r="F496" s="19">
        <v>1</v>
      </c>
      <c r="G496" s="19">
        <v>0</v>
      </c>
      <c r="H496" s="19">
        <v>1</v>
      </c>
      <c r="I496" s="19">
        <v>0</v>
      </c>
      <c r="J496" s="16">
        <v>18</v>
      </c>
      <c r="K496" s="16">
        <v>20</v>
      </c>
      <c r="L496" s="18">
        <v>46128.348078703704</v>
      </c>
    </row>
    <row r="497" spans="1:12" x14ac:dyDescent="0.25">
      <c r="A497" s="17">
        <v>46041</v>
      </c>
      <c r="B497" s="16">
        <v>1</v>
      </c>
      <c r="C497" s="16" t="s">
        <v>31</v>
      </c>
      <c r="D497" s="19">
        <v>3</v>
      </c>
      <c r="E497" s="19">
        <v>1</v>
      </c>
      <c r="F497" s="19">
        <v>0</v>
      </c>
      <c r="G497" s="19">
        <v>0</v>
      </c>
      <c r="H497" s="19">
        <v>1</v>
      </c>
      <c r="I497" s="19">
        <v>0</v>
      </c>
      <c r="J497" s="16">
        <v>20</v>
      </c>
      <c r="K497" s="16">
        <v>23</v>
      </c>
      <c r="L497" s="18">
        <v>46128.348078703704</v>
      </c>
    </row>
    <row r="498" spans="1:12" x14ac:dyDescent="0.25">
      <c r="A498" s="17">
        <v>46042</v>
      </c>
      <c r="B498" s="16">
        <v>1</v>
      </c>
      <c r="C498" s="16" t="s">
        <v>31</v>
      </c>
      <c r="D498" s="19">
        <v>4</v>
      </c>
      <c r="E498" s="19">
        <v>11</v>
      </c>
      <c r="F498" s="19">
        <v>0</v>
      </c>
      <c r="G498" s="19">
        <v>0</v>
      </c>
      <c r="H498" s="19">
        <v>0</v>
      </c>
      <c r="I498" s="19">
        <v>0</v>
      </c>
      <c r="J498" s="16">
        <v>23</v>
      </c>
      <c r="K498" s="16">
        <v>16</v>
      </c>
      <c r="L498" s="18">
        <v>46128.348078703704</v>
      </c>
    </row>
    <row r="499" spans="1:12" x14ac:dyDescent="0.25">
      <c r="A499" s="17">
        <v>46043</v>
      </c>
      <c r="B499" s="16">
        <v>1</v>
      </c>
      <c r="C499" s="16" t="s">
        <v>31</v>
      </c>
      <c r="D499" s="19">
        <v>1</v>
      </c>
      <c r="E499" s="19">
        <v>3</v>
      </c>
      <c r="F499" s="19">
        <v>1</v>
      </c>
      <c r="G499" s="19">
        <v>0</v>
      </c>
      <c r="H499" s="19">
        <v>1</v>
      </c>
      <c r="I499" s="19">
        <v>0</v>
      </c>
      <c r="J499" s="16">
        <v>16</v>
      </c>
      <c r="K499" s="16">
        <v>14</v>
      </c>
      <c r="L499" s="18">
        <v>46128.348078703704</v>
      </c>
    </row>
    <row r="500" spans="1:12" x14ac:dyDescent="0.25">
      <c r="A500" s="17">
        <v>46044</v>
      </c>
      <c r="B500" s="16">
        <v>1</v>
      </c>
      <c r="C500" s="16" t="s">
        <v>31</v>
      </c>
      <c r="D500" s="19">
        <v>2</v>
      </c>
      <c r="E500" s="19">
        <v>3</v>
      </c>
      <c r="F500" s="19">
        <v>0</v>
      </c>
      <c r="G500" s="19">
        <v>0</v>
      </c>
      <c r="H500" s="19">
        <v>2</v>
      </c>
      <c r="I500" s="19">
        <v>0</v>
      </c>
      <c r="J500" s="16">
        <v>14</v>
      </c>
      <c r="K500" s="16">
        <v>15</v>
      </c>
      <c r="L500" s="18">
        <v>46128.348078703704</v>
      </c>
    </row>
    <row r="501" spans="1:12" x14ac:dyDescent="0.25">
      <c r="A501" s="17">
        <v>46045</v>
      </c>
      <c r="B501" s="16">
        <v>1</v>
      </c>
      <c r="C501" s="16" t="s">
        <v>31</v>
      </c>
      <c r="D501" s="19">
        <v>4</v>
      </c>
      <c r="E501" s="19">
        <v>2</v>
      </c>
      <c r="F501" s="19">
        <v>2</v>
      </c>
      <c r="G501" s="19">
        <v>0</v>
      </c>
      <c r="H501" s="19">
        <v>0</v>
      </c>
      <c r="I501" s="19">
        <v>0</v>
      </c>
      <c r="J501" s="16">
        <v>15</v>
      </c>
      <c r="K501" s="16">
        <v>15</v>
      </c>
      <c r="L501" s="18">
        <v>46128.348078703704</v>
      </c>
    </row>
    <row r="502" spans="1:12" x14ac:dyDescent="0.25">
      <c r="A502" s="17">
        <v>46046</v>
      </c>
      <c r="B502" s="16">
        <v>1</v>
      </c>
      <c r="C502" s="16" t="s">
        <v>31</v>
      </c>
      <c r="D502" s="19">
        <v>2</v>
      </c>
      <c r="E502" s="19">
        <v>1</v>
      </c>
      <c r="F502" s="19">
        <v>0</v>
      </c>
      <c r="G502" s="19">
        <v>0</v>
      </c>
      <c r="H502" s="19">
        <v>1</v>
      </c>
      <c r="I502" s="19">
        <v>0</v>
      </c>
      <c r="J502" s="16">
        <v>15</v>
      </c>
      <c r="K502" s="16">
        <v>17</v>
      </c>
      <c r="L502" s="18">
        <v>46128.348078703704</v>
      </c>
    </row>
    <row r="503" spans="1:12" x14ac:dyDescent="0.25">
      <c r="A503" s="17">
        <v>46047</v>
      </c>
      <c r="B503" s="16">
        <v>1</v>
      </c>
      <c r="C503" s="16" t="s">
        <v>31</v>
      </c>
      <c r="D503" s="19">
        <v>0</v>
      </c>
      <c r="E503" s="19">
        <v>4</v>
      </c>
      <c r="F503" s="19">
        <v>0</v>
      </c>
      <c r="G503" s="19">
        <v>0</v>
      </c>
      <c r="H503" s="19">
        <v>0</v>
      </c>
      <c r="I503" s="19">
        <v>0</v>
      </c>
      <c r="J503" s="16">
        <v>17</v>
      </c>
      <c r="K503" s="16">
        <v>13</v>
      </c>
      <c r="L503" s="18">
        <v>46128.348078703704</v>
      </c>
    </row>
    <row r="504" spans="1:12" x14ac:dyDescent="0.25">
      <c r="A504" s="17">
        <v>46048</v>
      </c>
      <c r="B504" s="16">
        <v>1</v>
      </c>
      <c r="C504" s="16" t="s">
        <v>31</v>
      </c>
      <c r="D504" s="19">
        <v>2</v>
      </c>
      <c r="E504" s="19">
        <v>2</v>
      </c>
      <c r="F504" s="19">
        <v>0</v>
      </c>
      <c r="G504" s="19">
        <v>0</v>
      </c>
      <c r="H504" s="19">
        <v>1</v>
      </c>
      <c r="I504" s="19">
        <v>0</v>
      </c>
      <c r="J504" s="16">
        <v>13</v>
      </c>
      <c r="K504" s="16">
        <v>14</v>
      </c>
      <c r="L504" s="18">
        <v>46128.348078703704</v>
      </c>
    </row>
    <row r="505" spans="1:12" x14ac:dyDescent="0.25">
      <c r="A505" s="17">
        <v>46049</v>
      </c>
      <c r="B505" s="16">
        <v>1</v>
      </c>
      <c r="C505" s="16" t="s">
        <v>31</v>
      </c>
      <c r="D505" s="19">
        <v>3</v>
      </c>
      <c r="E505" s="19">
        <v>7</v>
      </c>
      <c r="F505" s="19">
        <v>1</v>
      </c>
      <c r="G505" s="19">
        <v>0</v>
      </c>
      <c r="H505" s="19">
        <v>1</v>
      </c>
      <c r="I505" s="19">
        <v>0</v>
      </c>
      <c r="J505" s="16">
        <v>14</v>
      </c>
      <c r="K505" s="16">
        <v>10</v>
      </c>
      <c r="L505" s="18">
        <v>46128.348078703704</v>
      </c>
    </row>
    <row r="506" spans="1:12" x14ac:dyDescent="0.25">
      <c r="A506" s="17">
        <v>46050</v>
      </c>
      <c r="B506" s="16">
        <v>1</v>
      </c>
      <c r="C506" s="16" t="s">
        <v>31</v>
      </c>
      <c r="D506" s="19">
        <v>1</v>
      </c>
      <c r="E506" s="19">
        <v>1</v>
      </c>
      <c r="F506" s="19">
        <v>0</v>
      </c>
      <c r="G506" s="19">
        <v>0</v>
      </c>
      <c r="H506" s="19">
        <v>1</v>
      </c>
      <c r="I506" s="19">
        <v>0</v>
      </c>
      <c r="J506" s="16">
        <v>10</v>
      </c>
      <c r="K506" s="16">
        <v>11</v>
      </c>
      <c r="L506" s="18">
        <v>46128.348078703704</v>
      </c>
    </row>
    <row r="507" spans="1:12" x14ac:dyDescent="0.25">
      <c r="A507" s="17">
        <v>46051</v>
      </c>
      <c r="B507" s="16">
        <v>1</v>
      </c>
      <c r="C507" s="16" t="s">
        <v>31</v>
      </c>
      <c r="D507" s="19">
        <v>2</v>
      </c>
      <c r="E507" s="19">
        <v>1</v>
      </c>
      <c r="F507" s="19">
        <v>0</v>
      </c>
      <c r="G507" s="19">
        <v>0</v>
      </c>
      <c r="H507" s="19">
        <v>2</v>
      </c>
      <c r="I507" s="19">
        <v>0</v>
      </c>
      <c r="J507" s="16">
        <v>11</v>
      </c>
      <c r="K507" s="16">
        <v>14</v>
      </c>
      <c r="L507" s="18">
        <v>46128.348078703704</v>
      </c>
    </row>
    <row r="508" spans="1:12" x14ac:dyDescent="0.25">
      <c r="A508" s="17">
        <v>46052</v>
      </c>
      <c r="B508" s="16">
        <v>1</v>
      </c>
      <c r="C508" s="16" t="s">
        <v>31</v>
      </c>
      <c r="D508" s="19">
        <v>2</v>
      </c>
      <c r="E508" s="19">
        <v>1</v>
      </c>
      <c r="F508" s="19">
        <v>0</v>
      </c>
      <c r="G508" s="19">
        <v>0</v>
      </c>
      <c r="H508" s="19">
        <v>2</v>
      </c>
      <c r="I508" s="19">
        <v>0</v>
      </c>
      <c r="J508" s="16">
        <v>14</v>
      </c>
      <c r="K508" s="16">
        <v>17</v>
      </c>
      <c r="L508" s="18">
        <v>46128.348078703704</v>
      </c>
    </row>
    <row r="509" spans="1:12" x14ac:dyDescent="0.25">
      <c r="A509" s="17">
        <v>46053</v>
      </c>
      <c r="B509" s="16">
        <v>1</v>
      </c>
      <c r="C509" s="16" t="s">
        <v>31</v>
      </c>
      <c r="D509" s="19">
        <v>0</v>
      </c>
      <c r="E509" s="19">
        <v>6</v>
      </c>
      <c r="F509" s="19">
        <v>1</v>
      </c>
      <c r="G509" s="19">
        <v>0</v>
      </c>
      <c r="H509" s="19">
        <v>2</v>
      </c>
      <c r="I509" s="19">
        <v>0</v>
      </c>
      <c r="J509" s="16">
        <v>17</v>
      </c>
      <c r="K509" s="16">
        <v>12</v>
      </c>
      <c r="L509" s="18">
        <v>46128.348078703704</v>
      </c>
    </row>
    <row r="510" spans="1:12" x14ac:dyDescent="0.25">
      <c r="A510" s="17">
        <v>46054</v>
      </c>
      <c r="B510" s="16">
        <v>2</v>
      </c>
      <c r="C510" s="16" t="s">
        <v>31</v>
      </c>
      <c r="D510" s="19">
        <v>0</v>
      </c>
      <c r="E510" s="19">
        <v>0</v>
      </c>
      <c r="F510" s="19">
        <v>0</v>
      </c>
      <c r="G510" s="19">
        <v>0</v>
      </c>
      <c r="H510" s="19">
        <v>2</v>
      </c>
      <c r="I510" s="19">
        <v>0</v>
      </c>
      <c r="J510" s="16">
        <v>12</v>
      </c>
      <c r="K510" s="16">
        <v>14</v>
      </c>
      <c r="L510" s="18">
        <v>46128.348078703704</v>
      </c>
    </row>
    <row r="511" spans="1:12" x14ac:dyDescent="0.25">
      <c r="A511" s="17">
        <v>46055</v>
      </c>
      <c r="B511" s="16">
        <v>2</v>
      </c>
      <c r="C511" s="16" t="s">
        <v>31</v>
      </c>
      <c r="D511" s="19">
        <v>1</v>
      </c>
      <c r="E511" s="19">
        <v>4</v>
      </c>
      <c r="F511" s="19">
        <v>1</v>
      </c>
      <c r="G511" s="19">
        <v>0</v>
      </c>
      <c r="H511" s="19">
        <v>2</v>
      </c>
      <c r="I511" s="19">
        <v>0</v>
      </c>
      <c r="J511" s="16">
        <v>14</v>
      </c>
      <c r="K511" s="16">
        <v>12</v>
      </c>
      <c r="L511" s="18">
        <v>46128.348078703704</v>
      </c>
    </row>
    <row r="512" spans="1:12" x14ac:dyDescent="0.25">
      <c r="A512" s="17">
        <v>46056</v>
      </c>
      <c r="B512" s="16">
        <v>2</v>
      </c>
      <c r="C512" s="16" t="s">
        <v>31</v>
      </c>
      <c r="D512" s="19">
        <v>6</v>
      </c>
      <c r="E512" s="19">
        <v>2</v>
      </c>
      <c r="F512" s="19">
        <v>0</v>
      </c>
      <c r="G512" s="19">
        <v>0</v>
      </c>
      <c r="H512" s="19">
        <v>0</v>
      </c>
      <c r="I512" s="19">
        <v>0</v>
      </c>
      <c r="J512" s="16">
        <v>12</v>
      </c>
      <c r="K512" s="16">
        <v>16</v>
      </c>
      <c r="L512" s="18">
        <v>46128.348078703704</v>
      </c>
    </row>
    <row r="513" spans="1:12" x14ac:dyDescent="0.25">
      <c r="A513" s="17">
        <v>46057</v>
      </c>
      <c r="B513" s="16">
        <v>2</v>
      </c>
      <c r="C513" s="16" t="s">
        <v>31</v>
      </c>
      <c r="D513" s="19">
        <v>3</v>
      </c>
      <c r="E513" s="19">
        <v>1</v>
      </c>
      <c r="F513" s="19">
        <v>0</v>
      </c>
      <c r="G513" s="19">
        <v>0</v>
      </c>
      <c r="H513" s="19">
        <v>1</v>
      </c>
      <c r="I513" s="19">
        <v>0</v>
      </c>
      <c r="J513" s="16">
        <v>16</v>
      </c>
      <c r="K513" s="16">
        <v>19</v>
      </c>
      <c r="L513" s="18">
        <v>46128.348078703704</v>
      </c>
    </row>
    <row r="514" spans="1:12" x14ac:dyDescent="0.25">
      <c r="A514" s="17">
        <v>46058</v>
      </c>
      <c r="B514" s="16">
        <v>2</v>
      </c>
      <c r="C514" s="16" t="s">
        <v>31</v>
      </c>
      <c r="D514" s="19">
        <v>2</v>
      </c>
      <c r="E514" s="19">
        <v>2</v>
      </c>
      <c r="F514" s="19">
        <v>1</v>
      </c>
      <c r="G514" s="19">
        <v>0</v>
      </c>
      <c r="H514" s="19">
        <v>2</v>
      </c>
      <c r="I514" s="19">
        <v>0</v>
      </c>
      <c r="J514" s="16">
        <v>19</v>
      </c>
      <c r="K514" s="16">
        <v>20</v>
      </c>
      <c r="L514" s="18">
        <v>46128.348078703704</v>
      </c>
    </row>
    <row r="515" spans="1:12" x14ac:dyDescent="0.25">
      <c r="A515" s="17">
        <v>46059</v>
      </c>
      <c r="B515" s="16">
        <v>2</v>
      </c>
      <c r="C515" s="16" t="s">
        <v>31</v>
      </c>
      <c r="D515" s="19">
        <v>1</v>
      </c>
      <c r="E515" s="19">
        <v>3</v>
      </c>
      <c r="F515" s="19">
        <v>0</v>
      </c>
      <c r="G515" s="19">
        <v>0</v>
      </c>
      <c r="H515" s="19">
        <v>0</v>
      </c>
      <c r="I515" s="19">
        <v>0</v>
      </c>
      <c r="J515" s="16">
        <v>20</v>
      </c>
      <c r="K515" s="16">
        <v>18</v>
      </c>
      <c r="L515" s="18">
        <v>46128.348078703704</v>
      </c>
    </row>
    <row r="516" spans="1:12" x14ac:dyDescent="0.25">
      <c r="A516" s="17">
        <v>46060</v>
      </c>
      <c r="B516" s="16">
        <v>2</v>
      </c>
      <c r="C516" s="16" t="s">
        <v>31</v>
      </c>
      <c r="D516" s="19">
        <v>2</v>
      </c>
      <c r="E516" s="19">
        <v>1</v>
      </c>
      <c r="F516" s="19">
        <v>0</v>
      </c>
      <c r="G516" s="19">
        <v>0</v>
      </c>
      <c r="H516" s="19">
        <v>0</v>
      </c>
      <c r="I516" s="19">
        <v>0</v>
      </c>
      <c r="J516" s="16">
        <v>18</v>
      </c>
      <c r="K516" s="16">
        <v>19</v>
      </c>
      <c r="L516" s="18">
        <v>46128.348078703704</v>
      </c>
    </row>
    <row r="517" spans="1:12" x14ac:dyDescent="0.25">
      <c r="A517" s="17">
        <v>46061</v>
      </c>
      <c r="B517" s="16">
        <v>2</v>
      </c>
      <c r="C517" s="16" t="s">
        <v>31</v>
      </c>
      <c r="D517" s="19">
        <v>2</v>
      </c>
      <c r="E517" s="19">
        <v>0</v>
      </c>
      <c r="F517" s="19">
        <v>0</v>
      </c>
      <c r="G517" s="19">
        <v>0</v>
      </c>
      <c r="H517" s="19">
        <v>0</v>
      </c>
      <c r="I517" s="19">
        <v>0</v>
      </c>
      <c r="J517" s="16">
        <v>19</v>
      </c>
      <c r="K517" s="16">
        <v>21</v>
      </c>
      <c r="L517" s="18">
        <v>46128.348078703704</v>
      </c>
    </row>
    <row r="518" spans="1:12" x14ac:dyDescent="0.25">
      <c r="A518" s="17">
        <v>46062</v>
      </c>
      <c r="B518" s="16">
        <v>2</v>
      </c>
      <c r="C518" s="16" t="s">
        <v>31</v>
      </c>
      <c r="D518" s="19">
        <v>0</v>
      </c>
      <c r="E518" s="19">
        <v>3</v>
      </c>
      <c r="F518" s="19">
        <v>0</v>
      </c>
      <c r="G518" s="19">
        <v>0</v>
      </c>
      <c r="H518" s="19">
        <v>1</v>
      </c>
      <c r="I518" s="19">
        <v>0</v>
      </c>
      <c r="J518" s="16">
        <v>21</v>
      </c>
      <c r="K518" s="16">
        <v>19</v>
      </c>
      <c r="L518" s="18">
        <v>46128.348078703704</v>
      </c>
    </row>
    <row r="519" spans="1:12" x14ac:dyDescent="0.25">
      <c r="A519" s="17">
        <v>46063</v>
      </c>
      <c r="B519" s="16">
        <v>2</v>
      </c>
      <c r="C519" s="16" t="s">
        <v>31</v>
      </c>
      <c r="D519" s="19">
        <v>3</v>
      </c>
      <c r="E519" s="19">
        <v>3</v>
      </c>
      <c r="F519" s="19">
        <v>0</v>
      </c>
      <c r="G519" s="19">
        <v>0</v>
      </c>
      <c r="H519" s="19">
        <v>1</v>
      </c>
      <c r="I519" s="19">
        <v>0</v>
      </c>
      <c r="J519" s="16">
        <v>19</v>
      </c>
      <c r="K519" s="16">
        <v>20</v>
      </c>
      <c r="L519" s="18">
        <v>46128.348078703704</v>
      </c>
    </row>
    <row r="520" spans="1:12" x14ac:dyDescent="0.25">
      <c r="A520" s="17">
        <v>46064</v>
      </c>
      <c r="B520" s="16">
        <v>2</v>
      </c>
      <c r="C520" s="16" t="s">
        <v>31</v>
      </c>
      <c r="D520" s="19">
        <v>1</v>
      </c>
      <c r="E520" s="19">
        <v>2</v>
      </c>
      <c r="F520" s="19">
        <v>0</v>
      </c>
      <c r="G520" s="19">
        <v>0</v>
      </c>
      <c r="H520" s="19">
        <v>2</v>
      </c>
      <c r="I520" s="19">
        <v>0</v>
      </c>
      <c r="J520" s="16">
        <v>20</v>
      </c>
      <c r="K520" s="16">
        <v>21</v>
      </c>
      <c r="L520" s="18">
        <v>46128.348078703704</v>
      </c>
    </row>
    <row r="521" spans="1:12" x14ac:dyDescent="0.25">
      <c r="A521" s="17">
        <v>46065</v>
      </c>
      <c r="B521" s="16">
        <v>2</v>
      </c>
      <c r="C521" s="16" t="s">
        <v>31</v>
      </c>
      <c r="D521" s="19">
        <v>3</v>
      </c>
      <c r="E521" s="19">
        <v>2</v>
      </c>
      <c r="F521" s="19">
        <v>0</v>
      </c>
      <c r="G521" s="19">
        <v>0</v>
      </c>
      <c r="H521" s="19">
        <v>0</v>
      </c>
      <c r="I521" s="19">
        <v>0</v>
      </c>
      <c r="J521" s="16">
        <v>21</v>
      </c>
      <c r="K521" s="16">
        <v>22</v>
      </c>
      <c r="L521" s="18">
        <v>46128.348078703704</v>
      </c>
    </row>
    <row r="522" spans="1:12" x14ac:dyDescent="0.25">
      <c r="A522" s="17">
        <v>46066</v>
      </c>
      <c r="B522" s="16">
        <v>2</v>
      </c>
      <c r="C522" s="16" t="s">
        <v>31</v>
      </c>
      <c r="D522" s="19">
        <v>1</v>
      </c>
      <c r="E522" s="19">
        <v>5</v>
      </c>
      <c r="F522" s="19">
        <v>1</v>
      </c>
      <c r="G522" s="19">
        <v>0</v>
      </c>
      <c r="H522" s="19">
        <v>2</v>
      </c>
      <c r="I522" s="19">
        <v>0</v>
      </c>
      <c r="J522" s="16">
        <v>22</v>
      </c>
      <c r="K522" s="16">
        <v>19</v>
      </c>
      <c r="L522" s="18">
        <v>46128.348078703704</v>
      </c>
    </row>
    <row r="523" spans="1:12" x14ac:dyDescent="0.25">
      <c r="A523" s="17">
        <v>46067</v>
      </c>
      <c r="B523" s="16">
        <v>2</v>
      </c>
      <c r="C523" s="16" t="s">
        <v>31</v>
      </c>
      <c r="D523" s="19">
        <v>4</v>
      </c>
      <c r="E523" s="19">
        <v>3</v>
      </c>
      <c r="F523" s="19">
        <v>0</v>
      </c>
      <c r="G523" s="19">
        <v>0</v>
      </c>
      <c r="H523" s="19">
        <v>1</v>
      </c>
      <c r="I523" s="19">
        <v>0</v>
      </c>
      <c r="J523" s="16">
        <v>19</v>
      </c>
      <c r="K523" s="16">
        <v>21</v>
      </c>
      <c r="L523" s="18">
        <v>46128.348078703704</v>
      </c>
    </row>
    <row r="524" spans="1:12" x14ac:dyDescent="0.25">
      <c r="A524" s="17">
        <v>46068</v>
      </c>
      <c r="B524" s="16">
        <v>2</v>
      </c>
      <c r="C524" s="16" t="s">
        <v>31</v>
      </c>
      <c r="D524" s="19">
        <v>2</v>
      </c>
      <c r="E524" s="19">
        <v>0</v>
      </c>
      <c r="F524" s="19">
        <v>0</v>
      </c>
      <c r="G524" s="19">
        <v>0</v>
      </c>
      <c r="H524" s="19">
        <v>1</v>
      </c>
      <c r="I524" s="19">
        <v>0</v>
      </c>
      <c r="J524" s="16">
        <v>21</v>
      </c>
      <c r="K524" s="16">
        <v>24</v>
      </c>
      <c r="L524" s="18">
        <v>46128.348078703704</v>
      </c>
    </row>
    <row r="525" spans="1:12" x14ac:dyDescent="0.25">
      <c r="A525" s="17">
        <v>46069</v>
      </c>
      <c r="B525" s="16">
        <v>2</v>
      </c>
      <c r="C525" s="16" t="s">
        <v>31</v>
      </c>
      <c r="D525" s="19">
        <v>1</v>
      </c>
      <c r="E525" s="19">
        <v>7</v>
      </c>
      <c r="F525" s="19">
        <v>0</v>
      </c>
      <c r="G525" s="19">
        <v>0</v>
      </c>
      <c r="H525" s="19">
        <v>2</v>
      </c>
      <c r="I525" s="19">
        <v>0</v>
      </c>
      <c r="J525" s="16">
        <v>24</v>
      </c>
      <c r="K525" s="16">
        <v>20</v>
      </c>
      <c r="L525" s="18">
        <v>46128.348078703704</v>
      </c>
    </row>
    <row r="526" spans="1:12" x14ac:dyDescent="0.25">
      <c r="A526" s="17">
        <v>46070</v>
      </c>
      <c r="B526" s="16">
        <v>2</v>
      </c>
      <c r="C526" s="16" t="s">
        <v>31</v>
      </c>
      <c r="D526" s="19">
        <v>1</v>
      </c>
      <c r="E526" s="19">
        <v>2</v>
      </c>
      <c r="F526" s="19">
        <v>0</v>
      </c>
      <c r="G526" s="19">
        <v>0</v>
      </c>
      <c r="H526" s="19">
        <v>1</v>
      </c>
      <c r="I526" s="19">
        <v>0</v>
      </c>
      <c r="J526" s="16">
        <v>20</v>
      </c>
      <c r="K526" s="16">
        <v>20</v>
      </c>
      <c r="L526" s="18">
        <v>46128.348078703704</v>
      </c>
    </row>
    <row r="527" spans="1:12" x14ac:dyDescent="0.25">
      <c r="A527" s="17">
        <v>46071</v>
      </c>
      <c r="B527" s="16">
        <v>2</v>
      </c>
      <c r="C527" s="16" t="s">
        <v>31</v>
      </c>
      <c r="D527" s="19">
        <v>1</v>
      </c>
      <c r="E527" s="19">
        <v>5</v>
      </c>
      <c r="F527" s="19">
        <v>0</v>
      </c>
      <c r="G527" s="19">
        <v>0</v>
      </c>
      <c r="H527" s="19">
        <v>1</v>
      </c>
      <c r="I527" s="19">
        <v>0</v>
      </c>
      <c r="J527" s="16">
        <v>20</v>
      </c>
      <c r="K527" s="16">
        <v>17</v>
      </c>
      <c r="L527" s="18">
        <v>46128.348078703704</v>
      </c>
    </row>
    <row r="528" spans="1:12" x14ac:dyDescent="0.25">
      <c r="A528" s="17">
        <v>46072</v>
      </c>
      <c r="B528" s="16">
        <v>2</v>
      </c>
      <c r="C528" s="16" t="s">
        <v>31</v>
      </c>
      <c r="D528" s="19">
        <v>4</v>
      </c>
      <c r="E528" s="19">
        <v>4</v>
      </c>
      <c r="F528" s="19">
        <v>0</v>
      </c>
      <c r="G528" s="19">
        <v>0</v>
      </c>
      <c r="H528" s="19">
        <v>0</v>
      </c>
      <c r="I528" s="19">
        <v>0</v>
      </c>
      <c r="J528" s="16">
        <v>17</v>
      </c>
      <c r="K528" s="16">
        <v>17</v>
      </c>
      <c r="L528" s="18">
        <v>46128.348078703704</v>
      </c>
    </row>
    <row r="529" spans="1:12" x14ac:dyDescent="0.25">
      <c r="A529" s="17">
        <v>46073</v>
      </c>
      <c r="B529" s="16">
        <v>2</v>
      </c>
      <c r="C529" s="16" t="s">
        <v>31</v>
      </c>
      <c r="D529" s="19">
        <v>2</v>
      </c>
      <c r="E529" s="19">
        <v>1</v>
      </c>
      <c r="F529" s="19">
        <v>0</v>
      </c>
      <c r="G529" s="19">
        <v>0</v>
      </c>
      <c r="H529" s="19">
        <v>1</v>
      </c>
      <c r="I529" s="19">
        <v>0</v>
      </c>
      <c r="J529" s="16">
        <v>17</v>
      </c>
      <c r="K529" s="16">
        <v>19</v>
      </c>
      <c r="L529" s="18">
        <v>46128.348078703704</v>
      </c>
    </row>
    <row r="530" spans="1:12" x14ac:dyDescent="0.25">
      <c r="A530" s="17">
        <v>46074</v>
      </c>
      <c r="B530" s="16">
        <v>2</v>
      </c>
      <c r="C530" s="16" t="s">
        <v>31</v>
      </c>
      <c r="D530" s="19">
        <v>1</v>
      </c>
      <c r="E530" s="19">
        <v>4</v>
      </c>
      <c r="F530" s="19">
        <v>1</v>
      </c>
      <c r="G530" s="19">
        <v>0</v>
      </c>
      <c r="H530" s="19">
        <v>1</v>
      </c>
      <c r="I530" s="19">
        <v>0</v>
      </c>
      <c r="J530" s="16">
        <v>19</v>
      </c>
      <c r="K530" s="16">
        <v>16</v>
      </c>
      <c r="L530" s="18">
        <v>46128.348078703704</v>
      </c>
    </row>
    <row r="531" spans="1:12" x14ac:dyDescent="0.25">
      <c r="A531" s="17">
        <v>46075</v>
      </c>
      <c r="B531" s="16">
        <v>2</v>
      </c>
      <c r="C531" s="16" t="s">
        <v>31</v>
      </c>
      <c r="D531" s="19">
        <v>1</v>
      </c>
      <c r="E531" s="19">
        <v>2</v>
      </c>
      <c r="F531" s="19">
        <v>0</v>
      </c>
      <c r="G531" s="19">
        <v>0</v>
      </c>
      <c r="H531" s="19">
        <v>0</v>
      </c>
      <c r="I531" s="19">
        <v>0</v>
      </c>
      <c r="J531" s="16">
        <v>16</v>
      </c>
      <c r="K531" s="16">
        <v>15</v>
      </c>
      <c r="L531" s="18">
        <v>46128.348078703704</v>
      </c>
    </row>
    <row r="532" spans="1:12" x14ac:dyDescent="0.25">
      <c r="A532" s="17">
        <v>46076</v>
      </c>
      <c r="B532" s="16">
        <v>2</v>
      </c>
      <c r="C532" s="16" t="s">
        <v>31</v>
      </c>
      <c r="D532" s="19">
        <v>2</v>
      </c>
      <c r="E532" s="19">
        <v>3</v>
      </c>
      <c r="F532" s="19">
        <v>1</v>
      </c>
      <c r="G532" s="19">
        <v>0</v>
      </c>
      <c r="H532" s="19">
        <v>3</v>
      </c>
      <c r="I532" s="19">
        <v>0</v>
      </c>
      <c r="J532" s="16">
        <v>15</v>
      </c>
      <c r="K532" s="16">
        <v>16</v>
      </c>
      <c r="L532" s="18">
        <v>46128.348078703704</v>
      </c>
    </row>
    <row r="533" spans="1:12" x14ac:dyDescent="0.25">
      <c r="A533" s="17">
        <v>46077</v>
      </c>
      <c r="B533" s="16">
        <v>2</v>
      </c>
      <c r="C533" s="16" t="s">
        <v>31</v>
      </c>
      <c r="D533" s="19">
        <v>1</v>
      </c>
      <c r="E533" s="19">
        <v>1</v>
      </c>
      <c r="F533" s="19">
        <v>0</v>
      </c>
      <c r="G533" s="19">
        <v>0</v>
      </c>
      <c r="H533" s="19">
        <v>3</v>
      </c>
      <c r="I533" s="19">
        <v>0</v>
      </c>
      <c r="J533" s="16">
        <v>16</v>
      </c>
      <c r="K533" s="16">
        <v>19</v>
      </c>
      <c r="L533" s="18">
        <v>46128.348078703704</v>
      </c>
    </row>
    <row r="534" spans="1:12" x14ac:dyDescent="0.25">
      <c r="A534" s="17">
        <v>46078</v>
      </c>
      <c r="B534" s="16">
        <v>2</v>
      </c>
      <c r="C534" s="16" t="s">
        <v>31</v>
      </c>
      <c r="D534" s="19">
        <v>1</v>
      </c>
      <c r="E534" s="19">
        <v>4</v>
      </c>
      <c r="F534" s="19">
        <v>0</v>
      </c>
      <c r="G534" s="19">
        <v>0</v>
      </c>
      <c r="H534" s="19">
        <v>1</v>
      </c>
      <c r="I534" s="19">
        <v>0</v>
      </c>
      <c r="J534" s="16">
        <v>19</v>
      </c>
      <c r="K534" s="16">
        <v>17</v>
      </c>
      <c r="L534" s="18">
        <v>46128.348078703704</v>
      </c>
    </row>
    <row r="535" spans="1:12" x14ac:dyDescent="0.25">
      <c r="A535" s="17">
        <v>46079</v>
      </c>
      <c r="B535" s="16">
        <v>2</v>
      </c>
      <c r="C535" s="16" t="s">
        <v>31</v>
      </c>
      <c r="D535" s="19">
        <v>3</v>
      </c>
      <c r="E535" s="19">
        <v>4</v>
      </c>
      <c r="F535" s="19">
        <v>1</v>
      </c>
      <c r="G535" s="19">
        <v>0</v>
      </c>
      <c r="H535" s="19">
        <v>2</v>
      </c>
      <c r="I535" s="19">
        <v>0</v>
      </c>
      <c r="J535" s="16">
        <v>17</v>
      </c>
      <c r="K535" s="16">
        <v>17</v>
      </c>
      <c r="L535" s="18">
        <v>46128.348078703704</v>
      </c>
    </row>
    <row r="536" spans="1:12" x14ac:dyDescent="0.25">
      <c r="A536" s="17">
        <v>46080</v>
      </c>
      <c r="B536" s="16">
        <v>2</v>
      </c>
      <c r="C536" s="16" t="s">
        <v>31</v>
      </c>
      <c r="D536" s="19">
        <v>2</v>
      </c>
      <c r="E536" s="19">
        <v>3</v>
      </c>
      <c r="F536" s="19">
        <v>1</v>
      </c>
      <c r="G536" s="19">
        <v>0</v>
      </c>
      <c r="H536" s="19">
        <v>0</v>
      </c>
      <c r="I536" s="19">
        <v>0</v>
      </c>
      <c r="J536" s="16">
        <v>17</v>
      </c>
      <c r="K536" s="16">
        <v>15</v>
      </c>
      <c r="L536" s="18">
        <v>46128.348078703704</v>
      </c>
    </row>
    <row r="537" spans="1:12" x14ac:dyDescent="0.25">
      <c r="A537" s="17">
        <v>46081</v>
      </c>
      <c r="B537" s="16">
        <v>2</v>
      </c>
      <c r="C537" s="16" t="s">
        <v>31</v>
      </c>
      <c r="D537" s="19">
        <v>2</v>
      </c>
      <c r="E537" s="19">
        <v>4</v>
      </c>
      <c r="F537" s="19">
        <v>0</v>
      </c>
      <c r="G537" s="19">
        <v>0</v>
      </c>
      <c r="H537" s="19">
        <v>1</v>
      </c>
      <c r="I537" s="19">
        <v>0</v>
      </c>
      <c r="J537" s="16">
        <v>15</v>
      </c>
      <c r="K537" s="16">
        <v>14</v>
      </c>
      <c r="L537" s="18">
        <v>46128.348078703704</v>
      </c>
    </row>
    <row r="538" spans="1:12" x14ac:dyDescent="0.25">
      <c r="A538" s="17">
        <v>46082</v>
      </c>
      <c r="B538" s="16">
        <v>3</v>
      </c>
      <c r="C538" s="16" t="s">
        <v>31</v>
      </c>
      <c r="D538" s="19">
        <v>2</v>
      </c>
      <c r="E538" s="19">
        <v>0</v>
      </c>
      <c r="F538" s="19">
        <v>0</v>
      </c>
      <c r="G538" s="19">
        <v>0</v>
      </c>
      <c r="H538" s="19">
        <v>0</v>
      </c>
      <c r="I538" s="19">
        <v>0</v>
      </c>
      <c r="J538" s="16">
        <v>14</v>
      </c>
      <c r="K538" s="16">
        <v>16</v>
      </c>
      <c r="L538" s="18">
        <v>46128.348078703704</v>
      </c>
    </row>
    <row r="539" spans="1:12" x14ac:dyDescent="0.25">
      <c r="A539" s="17">
        <v>46083</v>
      </c>
      <c r="B539" s="16">
        <v>3</v>
      </c>
      <c r="C539" s="16" t="s">
        <v>31</v>
      </c>
      <c r="D539" s="19">
        <v>0</v>
      </c>
      <c r="E539" s="19">
        <v>6</v>
      </c>
      <c r="F539" s="19">
        <v>0</v>
      </c>
      <c r="G539" s="19">
        <v>0</v>
      </c>
      <c r="H539" s="19">
        <v>1</v>
      </c>
      <c r="I539" s="19">
        <v>0</v>
      </c>
      <c r="J539" s="16">
        <v>16</v>
      </c>
      <c r="K539" s="16">
        <v>11</v>
      </c>
      <c r="L539" s="18">
        <v>46128.348078703704</v>
      </c>
    </row>
    <row r="540" spans="1:12" x14ac:dyDescent="0.25">
      <c r="A540" s="17">
        <v>46084</v>
      </c>
      <c r="B540" s="16">
        <v>3</v>
      </c>
      <c r="C540" s="16" t="s">
        <v>31</v>
      </c>
      <c r="D540" s="19">
        <v>2</v>
      </c>
      <c r="E540" s="19">
        <v>2</v>
      </c>
      <c r="F540" s="19">
        <v>0</v>
      </c>
      <c r="G540" s="19">
        <v>0</v>
      </c>
      <c r="H540" s="19">
        <v>2</v>
      </c>
      <c r="I540" s="19">
        <v>0</v>
      </c>
      <c r="J540" s="16">
        <v>11</v>
      </c>
      <c r="K540" s="16">
        <v>13</v>
      </c>
      <c r="L540" s="18">
        <v>46128.348078703704</v>
      </c>
    </row>
    <row r="541" spans="1:12" x14ac:dyDescent="0.25">
      <c r="A541" s="17">
        <v>46085</v>
      </c>
      <c r="B541" s="16">
        <v>3</v>
      </c>
      <c r="C541" s="16" t="s">
        <v>31</v>
      </c>
      <c r="D541" s="19">
        <v>2</v>
      </c>
      <c r="E541" s="19">
        <v>1</v>
      </c>
      <c r="F541" s="19">
        <v>0</v>
      </c>
      <c r="G541" s="19">
        <v>0</v>
      </c>
      <c r="H541" s="19">
        <v>0</v>
      </c>
      <c r="I541" s="19">
        <v>0</v>
      </c>
      <c r="J541" s="16">
        <v>13</v>
      </c>
      <c r="K541" s="16">
        <v>14</v>
      </c>
      <c r="L541" s="18">
        <v>46128.348078703704</v>
      </c>
    </row>
    <row r="542" spans="1:12" x14ac:dyDescent="0.25">
      <c r="A542" s="17">
        <v>46086</v>
      </c>
      <c r="B542" s="16">
        <v>3</v>
      </c>
      <c r="C542" s="16" t="s">
        <v>31</v>
      </c>
      <c r="D542" s="19">
        <v>1</v>
      </c>
      <c r="E542" s="19">
        <v>2</v>
      </c>
      <c r="F542" s="19">
        <v>0</v>
      </c>
      <c r="G542" s="19">
        <v>0</v>
      </c>
      <c r="H542" s="19">
        <v>0</v>
      </c>
      <c r="I542" s="19">
        <v>0</v>
      </c>
      <c r="J542" s="16">
        <v>14</v>
      </c>
      <c r="K542" s="16">
        <v>13</v>
      </c>
      <c r="L542" s="18">
        <v>46128.348078703704</v>
      </c>
    </row>
    <row r="543" spans="1:12" x14ac:dyDescent="0.25">
      <c r="A543" s="17">
        <v>46087</v>
      </c>
      <c r="B543" s="16">
        <v>3</v>
      </c>
      <c r="C543" s="16" t="s">
        <v>31</v>
      </c>
      <c r="D543" s="19">
        <v>2</v>
      </c>
      <c r="E543" s="19">
        <v>2</v>
      </c>
      <c r="F543" s="19">
        <v>0</v>
      </c>
      <c r="G543" s="19">
        <v>0</v>
      </c>
      <c r="H543" s="19">
        <v>1</v>
      </c>
      <c r="I543" s="19">
        <v>0</v>
      </c>
      <c r="J543" s="16">
        <v>13</v>
      </c>
      <c r="K543" s="16">
        <v>14</v>
      </c>
      <c r="L543" s="18">
        <v>46128.348078703704</v>
      </c>
    </row>
    <row r="544" spans="1:12" x14ac:dyDescent="0.25">
      <c r="A544" s="17">
        <v>46088</v>
      </c>
      <c r="B544" s="16">
        <v>3</v>
      </c>
      <c r="C544" s="16" t="s">
        <v>31</v>
      </c>
      <c r="D544" s="19">
        <v>3</v>
      </c>
      <c r="E544" s="19">
        <v>2</v>
      </c>
      <c r="F544" s="19">
        <v>1</v>
      </c>
      <c r="G544" s="19">
        <v>0</v>
      </c>
      <c r="H544" s="19">
        <v>0</v>
      </c>
      <c r="I544" s="19">
        <v>0</v>
      </c>
      <c r="J544" s="16">
        <v>14</v>
      </c>
      <c r="K544" s="16">
        <v>14</v>
      </c>
      <c r="L544" s="18">
        <v>46128.348078703704</v>
      </c>
    </row>
    <row r="545" spans="1:12" x14ac:dyDescent="0.25">
      <c r="A545" s="17">
        <v>46089</v>
      </c>
      <c r="B545" s="16">
        <v>3</v>
      </c>
      <c r="C545" s="16" t="s">
        <v>31</v>
      </c>
      <c r="D545" s="19">
        <v>3</v>
      </c>
      <c r="E545" s="19">
        <v>2</v>
      </c>
      <c r="F545" s="19">
        <v>0</v>
      </c>
      <c r="G545" s="19">
        <v>0</v>
      </c>
      <c r="H545" s="19">
        <v>0</v>
      </c>
      <c r="I545" s="19">
        <v>0</v>
      </c>
      <c r="J545" s="16">
        <v>14</v>
      </c>
      <c r="K545" s="16">
        <v>15</v>
      </c>
      <c r="L545" s="18">
        <v>46128.348078703704</v>
      </c>
    </row>
    <row r="546" spans="1:12" x14ac:dyDescent="0.25">
      <c r="A546" s="17">
        <v>46090</v>
      </c>
      <c r="B546" s="16">
        <v>3</v>
      </c>
      <c r="C546" s="16" t="s">
        <v>31</v>
      </c>
      <c r="D546" s="19">
        <v>1</v>
      </c>
      <c r="E546" s="19">
        <v>2</v>
      </c>
      <c r="F546" s="19">
        <v>0</v>
      </c>
      <c r="G546" s="19">
        <v>0</v>
      </c>
      <c r="H546" s="19">
        <v>1</v>
      </c>
      <c r="I546" s="19">
        <v>0</v>
      </c>
      <c r="J546" s="16">
        <v>15</v>
      </c>
      <c r="K546" s="16">
        <v>15</v>
      </c>
      <c r="L546" s="18">
        <v>46128.348078703704</v>
      </c>
    </row>
    <row r="547" spans="1:12" x14ac:dyDescent="0.25">
      <c r="A547" s="17">
        <v>46091</v>
      </c>
      <c r="B547" s="16">
        <v>3</v>
      </c>
      <c r="C547" s="16" t="s">
        <v>31</v>
      </c>
      <c r="D547" s="19">
        <v>3</v>
      </c>
      <c r="E547" s="19">
        <v>1</v>
      </c>
      <c r="F547" s="19">
        <v>0</v>
      </c>
      <c r="G547" s="19">
        <v>0</v>
      </c>
      <c r="H547" s="19">
        <v>1</v>
      </c>
      <c r="I547" s="19">
        <v>0</v>
      </c>
      <c r="J547" s="16">
        <v>15</v>
      </c>
      <c r="K547" s="16">
        <v>18</v>
      </c>
      <c r="L547" s="18">
        <v>46128.348078703704</v>
      </c>
    </row>
    <row r="548" spans="1:12" x14ac:dyDescent="0.25">
      <c r="A548" s="17">
        <v>46092</v>
      </c>
      <c r="B548" s="16">
        <v>3</v>
      </c>
      <c r="C548" s="16" t="s">
        <v>31</v>
      </c>
      <c r="D548" s="19">
        <v>1</v>
      </c>
      <c r="E548" s="19">
        <v>1</v>
      </c>
      <c r="F548" s="19">
        <v>0</v>
      </c>
      <c r="G548" s="19">
        <v>0</v>
      </c>
      <c r="H548" s="19">
        <v>1</v>
      </c>
      <c r="I548" s="19">
        <v>0</v>
      </c>
      <c r="J548" s="16">
        <v>18</v>
      </c>
      <c r="K548" s="16">
        <v>19</v>
      </c>
      <c r="L548" s="18">
        <v>46128.348078703704</v>
      </c>
    </row>
    <row r="549" spans="1:12" x14ac:dyDescent="0.25">
      <c r="A549" s="17">
        <v>46093</v>
      </c>
      <c r="B549" s="16">
        <v>3</v>
      </c>
      <c r="C549" s="16" t="s">
        <v>31</v>
      </c>
      <c r="D549" s="19">
        <v>1</v>
      </c>
      <c r="E549" s="19">
        <v>4</v>
      </c>
      <c r="F549" s="19">
        <v>0</v>
      </c>
      <c r="G549" s="19">
        <v>0</v>
      </c>
      <c r="H549" s="19">
        <v>0</v>
      </c>
      <c r="I549" s="19">
        <v>0</v>
      </c>
      <c r="J549" s="16">
        <v>19</v>
      </c>
      <c r="K549" s="16">
        <v>16</v>
      </c>
      <c r="L549" s="18">
        <v>46128.348078703704</v>
      </c>
    </row>
    <row r="550" spans="1:12" x14ac:dyDescent="0.25">
      <c r="A550" s="17">
        <v>46094</v>
      </c>
      <c r="B550" s="16">
        <v>3</v>
      </c>
      <c r="C550" s="16" t="s">
        <v>31</v>
      </c>
      <c r="D550" s="19">
        <v>1</v>
      </c>
      <c r="E550" s="19">
        <v>7</v>
      </c>
      <c r="F550" s="19">
        <v>0</v>
      </c>
      <c r="G550" s="19">
        <v>0</v>
      </c>
      <c r="H550" s="19">
        <v>0</v>
      </c>
      <c r="I550" s="19">
        <v>0</v>
      </c>
      <c r="J550" s="16">
        <v>16</v>
      </c>
      <c r="K550" s="16">
        <v>10</v>
      </c>
      <c r="L550" s="18">
        <v>46128.348078703704</v>
      </c>
    </row>
    <row r="551" spans="1:12" x14ac:dyDescent="0.25">
      <c r="A551" s="17">
        <v>46095</v>
      </c>
      <c r="B551" s="16">
        <v>3</v>
      </c>
      <c r="C551" s="16" t="s">
        <v>31</v>
      </c>
      <c r="D551" s="19">
        <v>7</v>
      </c>
      <c r="E551" s="19">
        <v>2</v>
      </c>
      <c r="F551" s="19">
        <v>1</v>
      </c>
      <c r="G551" s="19">
        <v>0</v>
      </c>
      <c r="H551" s="19">
        <v>0</v>
      </c>
      <c r="I551" s="19">
        <v>0</v>
      </c>
      <c r="J551" s="16">
        <v>10</v>
      </c>
      <c r="K551" s="16">
        <v>14</v>
      </c>
      <c r="L551" s="18">
        <v>46128.348078703704</v>
      </c>
    </row>
    <row r="552" spans="1:12" x14ac:dyDescent="0.25">
      <c r="A552" s="17">
        <v>46096</v>
      </c>
      <c r="B552" s="16">
        <v>3</v>
      </c>
      <c r="C552" s="16" t="s">
        <v>31</v>
      </c>
      <c r="D552" s="19">
        <v>0</v>
      </c>
      <c r="E552" s="19">
        <v>1</v>
      </c>
      <c r="F552" s="19">
        <v>0</v>
      </c>
      <c r="G552" s="19">
        <v>0</v>
      </c>
      <c r="H552" s="19">
        <v>2</v>
      </c>
      <c r="I552" s="19">
        <v>0</v>
      </c>
      <c r="J552" s="16">
        <v>14</v>
      </c>
      <c r="K552" s="16">
        <v>15</v>
      </c>
      <c r="L552" s="18">
        <v>46128.348078703704</v>
      </c>
    </row>
    <row r="553" spans="1:12" x14ac:dyDescent="0.25">
      <c r="A553" s="17">
        <v>46097</v>
      </c>
      <c r="B553" s="16">
        <v>3</v>
      </c>
      <c r="C553" s="16" t="s">
        <v>31</v>
      </c>
      <c r="D553" s="19">
        <v>7</v>
      </c>
      <c r="E553" s="19">
        <v>2</v>
      </c>
      <c r="F553" s="19">
        <v>0</v>
      </c>
      <c r="G553" s="19">
        <v>0</v>
      </c>
      <c r="H553" s="19">
        <v>0</v>
      </c>
      <c r="I553" s="19">
        <v>0</v>
      </c>
      <c r="J553" s="16">
        <v>15</v>
      </c>
      <c r="K553" s="16">
        <v>20</v>
      </c>
      <c r="L553" s="18">
        <v>46128.348078703704</v>
      </c>
    </row>
    <row r="554" spans="1:12" x14ac:dyDescent="0.25">
      <c r="A554" s="17">
        <v>46098</v>
      </c>
      <c r="B554" s="16">
        <v>3</v>
      </c>
      <c r="C554" s="16" t="s">
        <v>31</v>
      </c>
      <c r="D554" s="19">
        <v>0</v>
      </c>
      <c r="E554" s="19">
        <v>1</v>
      </c>
      <c r="F554" s="19">
        <v>1</v>
      </c>
      <c r="G554" s="19">
        <v>0</v>
      </c>
      <c r="H554" s="19">
        <v>0</v>
      </c>
      <c r="I554" s="19">
        <v>0</v>
      </c>
      <c r="J554" s="16">
        <v>20</v>
      </c>
      <c r="K554" s="16">
        <v>18</v>
      </c>
      <c r="L554" s="18">
        <v>46128.348078703704</v>
      </c>
    </row>
    <row r="555" spans="1:12" x14ac:dyDescent="0.25">
      <c r="A555" s="17">
        <v>46099</v>
      </c>
      <c r="B555" s="16">
        <v>3</v>
      </c>
      <c r="C555" s="16" t="s">
        <v>31</v>
      </c>
      <c r="D555" s="19">
        <v>0</v>
      </c>
      <c r="E555" s="19">
        <v>8</v>
      </c>
      <c r="F555" s="19">
        <v>0</v>
      </c>
      <c r="G555" s="19">
        <v>0</v>
      </c>
      <c r="H555" s="19">
        <v>3</v>
      </c>
      <c r="I555" s="19">
        <v>0</v>
      </c>
      <c r="J555" s="16">
        <v>18</v>
      </c>
      <c r="K555" s="16">
        <v>13</v>
      </c>
      <c r="L555" s="18">
        <v>46128.348078703704</v>
      </c>
    </row>
    <row r="556" spans="1:12" x14ac:dyDescent="0.25">
      <c r="A556" s="17">
        <v>46100</v>
      </c>
      <c r="B556" s="16">
        <v>3</v>
      </c>
      <c r="C556" s="16" t="s">
        <v>31</v>
      </c>
      <c r="D556" s="19">
        <v>3</v>
      </c>
      <c r="E556" s="19">
        <v>5</v>
      </c>
      <c r="F556" s="19">
        <v>0</v>
      </c>
      <c r="G556" s="19">
        <v>0</v>
      </c>
      <c r="H556" s="19">
        <v>1</v>
      </c>
      <c r="I556" s="19">
        <v>0</v>
      </c>
      <c r="J556" s="16">
        <v>13</v>
      </c>
      <c r="K556" s="16">
        <v>12</v>
      </c>
      <c r="L556" s="18">
        <v>46128.348078703704</v>
      </c>
    </row>
    <row r="557" spans="1:12" x14ac:dyDescent="0.25">
      <c r="A557" s="17">
        <v>46101</v>
      </c>
      <c r="B557" s="16">
        <v>3</v>
      </c>
      <c r="C557" s="16" t="s">
        <v>31</v>
      </c>
      <c r="D557" s="19">
        <v>3</v>
      </c>
      <c r="E557" s="19">
        <v>3</v>
      </c>
      <c r="F557" s="19">
        <v>0</v>
      </c>
      <c r="G557" s="19">
        <v>0</v>
      </c>
      <c r="H557" s="19">
        <v>1</v>
      </c>
      <c r="I557" s="19">
        <v>0</v>
      </c>
      <c r="J557" s="16">
        <v>12</v>
      </c>
      <c r="K557" s="16">
        <v>13</v>
      </c>
      <c r="L557" s="18">
        <v>46128.348078703704</v>
      </c>
    </row>
    <row r="558" spans="1:12" x14ac:dyDescent="0.25">
      <c r="A558" s="17">
        <v>46102</v>
      </c>
      <c r="B558" s="16">
        <v>3</v>
      </c>
      <c r="C558" s="16" t="s">
        <v>31</v>
      </c>
      <c r="D558" s="19">
        <v>3</v>
      </c>
      <c r="E558" s="19">
        <v>2</v>
      </c>
      <c r="F558" s="19">
        <v>0</v>
      </c>
      <c r="G558" s="19">
        <v>0</v>
      </c>
      <c r="H558" s="19">
        <v>1</v>
      </c>
      <c r="I558" s="19">
        <v>0</v>
      </c>
      <c r="J558" s="16">
        <v>13</v>
      </c>
      <c r="K558" s="16">
        <v>15</v>
      </c>
      <c r="L558" s="18">
        <v>46128.348078703704</v>
      </c>
    </row>
    <row r="559" spans="1:12" x14ac:dyDescent="0.25">
      <c r="A559" s="17">
        <v>46103</v>
      </c>
      <c r="B559" s="16">
        <v>3</v>
      </c>
      <c r="C559" s="16" t="s">
        <v>31</v>
      </c>
      <c r="D559" s="19">
        <v>3</v>
      </c>
      <c r="E559" s="19">
        <v>4</v>
      </c>
      <c r="F559" s="19">
        <v>0</v>
      </c>
      <c r="G559" s="19">
        <v>0</v>
      </c>
      <c r="H559" s="19">
        <v>0</v>
      </c>
      <c r="I559" s="19">
        <v>0</v>
      </c>
      <c r="J559" s="16">
        <v>15</v>
      </c>
      <c r="K559" s="16">
        <v>14</v>
      </c>
      <c r="L559" s="18">
        <v>46128.348078703704</v>
      </c>
    </row>
    <row r="560" spans="1:12" x14ac:dyDescent="0.25">
      <c r="A560" s="17">
        <v>46104</v>
      </c>
      <c r="B560" s="16">
        <v>3</v>
      </c>
      <c r="C560" s="16" t="s">
        <v>31</v>
      </c>
      <c r="D560" s="19">
        <v>3</v>
      </c>
      <c r="E560" s="19">
        <v>2</v>
      </c>
      <c r="F560" s="19">
        <v>0</v>
      </c>
      <c r="G560" s="19">
        <v>0</v>
      </c>
      <c r="H560" s="19">
        <v>1</v>
      </c>
      <c r="I560" s="19">
        <v>0</v>
      </c>
      <c r="J560" s="16">
        <v>14</v>
      </c>
      <c r="K560" s="16">
        <v>16</v>
      </c>
      <c r="L560" s="18">
        <v>46128.348078703704</v>
      </c>
    </row>
    <row r="561" spans="1:12" x14ac:dyDescent="0.25">
      <c r="A561" s="17">
        <v>46105</v>
      </c>
      <c r="B561" s="16">
        <v>3</v>
      </c>
      <c r="C561" s="16" t="s">
        <v>31</v>
      </c>
      <c r="D561" s="19">
        <v>7</v>
      </c>
      <c r="E561" s="19">
        <v>6</v>
      </c>
      <c r="F561" s="19">
        <v>0</v>
      </c>
      <c r="G561" s="19">
        <v>0</v>
      </c>
      <c r="H561" s="19">
        <v>2</v>
      </c>
      <c r="I561" s="19">
        <v>0</v>
      </c>
      <c r="J561" s="16">
        <v>16</v>
      </c>
      <c r="K561" s="16">
        <v>19</v>
      </c>
      <c r="L561" s="18">
        <v>46128.348078703704</v>
      </c>
    </row>
    <row r="562" spans="1:12" x14ac:dyDescent="0.25">
      <c r="A562" s="17">
        <v>46106</v>
      </c>
      <c r="B562" s="16">
        <v>3</v>
      </c>
      <c r="C562" s="16" t="s">
        <v>31</v>
      </c>
      <c r="D562" s="19">
        <v>3</v>
      </c>
      <c r="E562" s="19">
        <v>2</v>
      </c>
      <c r="F562" s="19">
        <v>1</v>
      </c>
      <c r="G562" s="19">
        <v>0</v>
      </c>
      <c r="H562" s="19">
        <v>0</v>
      </c>
      <c r="I562" s="19">
        <v>0</v>
      </c>
      <c r="J562" s="16">
        <v>19</v>
      </c>
      <c r="K562" s="16">
        <v>19</v>
      </c>
      <c r="L562" s="18">
        <v>46128.348078703704</v>
      </c>
    </row>
    <row r="563" spans="1:12" x14ac:dyDescent="0.25">
      <c r="A563" s="17">
        <v>46107</v>
      </c>
      <c r="B563" s="16">
        <v>3</v>
      </c>
      <c r="C563" s="16" t="s">
        <v>31</v>
      </c>
      <c r="D563" s="19">
        <v>3</v>
      </c>
      <c r="E563" s="19">
        <v>5</v>
      </c>
      <c r="F563" s="19">
        <v>0</v>
      </c>
      <c r="G563" s="19">
        <v>0</v>
      </c>
      <c r="H563" s="19">
        <v>1</v>
      </c>
      <c r="I563" s="19">
        <v>0</v>
      </c>
      <c r="J563" s="16">
        <v>19</v>
      </c>
      <c r="K563" s="16">
        <v>18</v>
      </c>
      <c r="L563" s="18">
        <v>46128.348078703704</v>
      </c>
    </row>
    <row r="564" spans="1:12" x14ac:dyDescent="0.25">
      <c r="A564" s="17">
        <v>46108</v>
      </c>
      <c r="B564" s="16">
        <v>3</v>
      </c>
      <c r="C564" s="16" t="s">
        <v>31</v>
      </c>
      <c r="D564" s="19">
        <v>1</v>
      </c>
      <c r="E564" s="19">
        <v>5</v>
      </c>
      <c r="F564" s="19">
        <v>0</v>
      </c>
      <c r="G564" s="19">
        <v>0</v>
      </c>
      <c r="H564" s="19">
        <v>2</v>
      </c>
      <c r="I564" s="19">
        <v>0</v>
      </c>
      <c r="J564" s="16">
        <v>18</v>
      </c>
      <c r="K564" s="16">
        <v>16</v>
      </c>
      <c r="L564" s="18">
        <v>46128.348078703704</v>
      </c>
    </row>
    <row r="565" spans="1:12" x14ac:dyDescent="0.25">
      <c r="A565" s="17">
        <v>46109</v>
      </c>
      <c r="B565" s="16">
        <v>3</v>
      </c>
      <c r="C565" s="16" t="s">
        <v>31</v>
      </c>
      <c r="D565" s="19">
        <v>3</v>
      </c>
      <c r="E565" s="19">
        <v>2</v>
      </c>
      <c r="F565" s="19">
        <v>0</v>
      </c>
      <c r="G565" s="19">
        <v>0</v>
      </c>
      <c r="H565" s="19">
        <v>0</v>
      </c>
      <c r="I565" s="19">
        <v>0</v>
      </c>
      <c r="J565" s="16">
        <v>16</v>
      </c>
      <c r="K565" s="16">
        <v>17</v>
      </c>
      <c r="L565" s="18">
        <v>46128.348078703704</v>
      </c>
    </row>
    <row r="566" spans="1:12" x14ac:dyDescent="0.25">
      <c r="A566" s="17">
        <v>46110</v>
      </c>
      <c r="B566" s="16">
        <v>3</v>
      </c>
      <c r="C566" s="16" t="s">
        <v>31</v>
      </c>
      <c r="D566" s="19">
        <v>2</v>
      </c>
      <c r="E566" s="19">
        <v>6</v>
      </c>
      <c r="F566" s="19">
        <v>0</v>
      </c>
      <c r="G566" s="19">
        <v>0</v>
      </c>
      <c r="H566" s="19">
        <v>0</v>
      </c>
      <c r="I566" s="19">
        <v>0</v>
      </c>
      <c r="J566" s="16">
        <v>17</v>
      </c>
      <c r="K566" s="16">
        <v>13</v>
      </c>
      <c r="L566" s="18">
        <v>46128.348078703704</v>
      </c>
    </row>
    <row r="567" spans="1:12" x14ac:dyDescent="0.25">
      <c r="A567" s="17">
        <v>46111</v>
      </c>
      <c r="B567" s="16">
        <v>3</v>
      </c>
      <c r="C567" s="16" t="s">
        <v>31</v>
      </c>
      <c r="D567" s="19">
        <v>2</v>
      </c>
      <c r="E567" s="19">
        <v>3</v>
      </c>
      <c r="F567" s="19">
        <v>0</v>
      </c>
      <c r="G567" s="19">
        <v>0</v>
      </c>
      <c r="H567" s="19">
        <v>0</v>
      </c>
      <c r="I567" s="19">
        <v>0</v>
      </c>
      <c r="J567" s="16">
        <v>13</v>
      </c>
      <c r="K567" s="16">
        <v>12</v>
      </c>
      <c r="L567" s="18">
        <v>46128.348078703704</v>
      </c>
    </row>
    <row r="568" spans="1:12" x14ac:dyDescent="0.25">
      <c r="A568" s="17">
        <v>46112</v>
      </c>
      <c r="B568" s="16">
        <v>3</v>
      </c>
      <c r="C568" s="16" t="s">
        <v>31</v>
      </c>
      <c r="D568" s="19">
        <v>5</v>
      </c>
      <c r="E568" s="19">
        <v>4</v>
      </c>
      <c r="F568" s="19">
        <v>0</v>
      </c>
      <c r="G568" s="19">
        <v>0</v>
      </c>
      <c r="H568" s="19">
        <v>1</v>
      </c>
      <c r="I568" s="19">
        <v>0</v>
      </c>
      <c r="J568" s="16">
        <v>12</v>
      </c>
      <c r="K568" s="16">
        <v>14</v>
      </c>
      <c r="L568" s="18">
        <v>46128.348078703704</v>
      </c>
    </row>
    <row r="569" spans="1:12" x14ac:dyDescent="0.25">
      <c r="A569" s="17">
        <v>46113</v>
      </c>
      <c r="B569" s="16">
        <v>4</v>
      </c>
      <c r="C569" s="16" t="s">
        <v>31</v>
      </c>
      <c r="D569" s="19">
        <v>7</v>
      </c>
      <c r="E569" s="19">
        <v>4</v>
      </c>
      <c r="F569" s="19">
        <v>1</v>
      </c>
      <c r="G569" s="19">
        <v>0</v>
      </c>
      <c r="H569" s="19">
        <v>0</v>
      </c>
      <c r="I569" s="19">
        <v>0</v>
      </c>
      <c r="J569" s="16">
        <v>14</v>
      </c>
      <c r="K569" s="16">
        <v>16</v>
      </c>
      <c r="L569" s="18">
        <v>46128.348078703704</v>
      </c>
    </row>
    <row r="570" spans="1:12" x14ac:dyDescent="0.25">
      <c r="A570" s="17">
        <v>46114</v>
      </c>
      <c r="B570" s="16">
        <v>4</v>
      </c>
      <c r="C570" s="16" t="s">
        <v>31</v>
      </c>
      <c r="D570" s="19">
        <v>3</v>
      </c>
      <c r="E570" s="19">
        <v>3</v>
      </c>
      <c r="F570" s="19">
        <v>0</v>
      </c>
      <c r="G570" s="19">
        <v>0</v>
      </c>
      <c r="H570" s="19">
        <v>2</v>
      </c>
      <c r="I570" s="19">
        <v>0</v>
      </c>
      <c r="J570" s="16">
        <v>16</v>
      </c>
      <c r="K570" s="16">
        <v>18</v>
      </c>
      <c r="L570" s="18">
        <v>46128.348078703704</v>
      </c>
    </row>
    <row r="571" spans="1:12" x14ac:dyDescent="0.25">
      <c r="A571" s="17">
        <v>46115</v>
      </c>
      <c r="B571" s="16">
        <v>4</v>
      </c>
      <c r="C571" s="16" t="s">
        <v>31</v>
      </c>
      <c r="D571" s="19">
        <v>1</v>
      </c>
      <c r="E571" s="19">
        <v>2</v>
      </c>
      <c r="F571" s="19">
        <v>1</v>
      </c>
      <c r="G571" s="19">
        <v>0</v>
      </c>
      <c r="H571" s="19">
        <v>0</v>
      </c>
      <c r="I571" s="19">
        <v>0</v>
      </c>
      <c r="J571" s="16">
        <v>18</v>
      </c>
      <c r="K571" s="16">
        <v>16</v>
      </c>
      <c r="L571" s="18">
        <v>46128.348078703704</v>
      </c>
    </row>
    <row r="572" spans="1:12" x14ac:dyDescent="0.25">
      <c r="A572" s="17">
        <v>46116</v>
      </c>
      <c r="B572" s="16">
        <v>4</v>
      </c>
      <c r="C572" s="16" t="s">
        <v>31</v>
      </c>
      <c r="D572" s="19">
        <v>2</v>
      </c>
      <c r="E572" s="19">
        <v>4</v>
      </c>
      <c r="F572" s="19">
        <v>1</v>
      </c>
      <c r="G572" s="19">
        <v>0</v>
      </c>
      <c r="H572" s="19">
        <v>0</v>
      </c>
      <c r="I572" s="19">
        <v>0</v>
      </c>
      <c r="J572" s="16">
        <v>16</v>
      </c>
      <c r="K572" s="16">
        <v>13</v>
      </c>
      <c r="L572" s="18">
        <v>46128.348078703704</v>
      </c>
    </row>
    <row r="573" spans="1:12" x14ac:dyDescent="0.25">
      <c r="A573" s="17">
        <v>46117</v>
      </c>
      <c r="B573" s="16">
        <v>4</v>
      </c>
      <c r="C573" s="16" t="s">
        <v>31</v>
      </c>
      <c r="D573" s="19">
        <v>3</v>
      </c>
      <c r="E573" s="19">
        <v>0</v>
      </c>
      <c r="F573" s="19">
        <v>0</v>
      </c>
      <c r="G573" s="19">
        <v>0</v>
      </c>
      <c r="H573" s="19">
        <v>0</v>
      </c>
      <c r="I573" s="19">
        <v>0</v>
      </c>
      <c r="J573" s="16">
        <v>13</v>
      </c>
      <c r="K573" s="16">
        <v>16</v>
      </c>
      <c r="L573" s="18">
        <v>46128.348078703704</v>
      </c>
    </row>
    <row r="574" spans="1:12" x14ac:dyDescent="0.25">
      <c r="A574" s="17">
        <v>46118</v>
      </c>
      <c r="B574" s="16">
        <v>4</v>
      </c>
      <c r="C574" s="16" t="s">
        <v>31</v>
      </c>
      <c r="D574" s="19">
        <v>3</v>
      </c>
      <c r="E574" s="19">
        <v>4</v>
      </c>
      <c r="F574" s="19">
        <v>0</v>
      </c>
      <c r="G574" s="19">
        <v>0</v>
      </c>
      <c r="H574" s="19">
        <v>1</v>
      </c>
      <c r="I574" s="19">
        <v>0</v>
      </c>
      <c r="J574" s="16">
        <v>16</v>
      </c>
      <c r="K574" s="16">
        <v>16</v>
      </c>
      <c r="L574" s="18">
        <v>46128.348078703704</v>
      </c>
    </row>
    <row r="575" spans="1:12" x14ac:dyDescent="0.25">
      <c r="A575" s="17">
        <v>46142</v>
      </c>
      <c r="B575" s="16">
        <v>4</v>
      </c>
      <c r="C575" s="16" t="s">
        <v>31</v>
      </c>
      <c r="D575" s="19">
        <v>0</v>
      </c>
      <c r="E575" s="19">
        <v>0</v>
      </c>
      <c r="F575" s="19">
        <v>0</v>
      </c>
      <c r="G575" s="19">
        <v>0</v>
      </c>
      <c r="H575" s="19">
        <v>0</v>
      </c>
      <c r="I575" s="19">
        <v>0</v>
      </c>
      <c r="J575" s="16">
        <v>16</v>
      </c>
      <c r="K575" s="16">
        <v>16</v>
      </c>
      <c r="L575" s="18">
        <v>46128.348078703704</v>
      </c>
    </row>
    <row r="576" spans="1:12" x14ac:dyDescent="0.25">
      <c r="A576" s="17">
        <v>46023</v>
      </c>
      <c r="B576" s="16">
        <v>1</v>
      </c>
      <c r="C576" s="16" t="s">
        <v>43</v>
      </c>
      <c r="D576" s="19">
        <v>3</v>
      </c>
      <c r="E576" s="19">
        <v>3</v>
      </c>
      <c r="F576" s="19">
        <v>0</v>
      </c>
      <c r="G576" s="19">
        <v>0</v>
      </c>
      <c r="H576" s="19">
        <v>0</v>
      </c>
      <c r="I576" s="19">
        <v>1</v>
      </c>
      <c r="J576" s="16">
        <v>9</v>
      </c>
      <c r="K576" s="16">
        <v>8</v>
      </c>
      <c r="L576" s="18">
        <v>46128.348078703704</v>
      </c>
    </row>
    <row r="577" spans="1:12" x14ac:dyDescent="0.25">
      <c r="A577" s="17">
        <v>46024</v>
      </c>
      <c r="B577" s="16">
        <v>1</v>
      </c>
      <c r="C577" s="16" t="s">
        <v>43</v>
      </c>
      <c r="D577" s="19">
        <v>4</v>
      </c>
      <c r="E577" s="19">
        <v>3</v>
      </c>
      <c r="F577" s="19">
        <v>0</v>
      </c>
      <c r="G577" s="19">
        <v>0</v>
      </c>
      <c r="H577" s="19">
        <v>0</v>
      </c>
      <c r="I577" s="19">
        <v>0</v>
      </c>
      <c r="J577" s="16">
        <v>8</v>
      </c>
      <c r="K577" s="16">
        <v>9</v>
      </c>
      <c r="L577" s="18">
        <v>46128.348078703704</v>
      </c>
    </row>
    <row r="578" spans="1:12" x14ac:dyDescent="0.25">
      <c r="A578" s="17">
        <v>46025</v>
      </c>
      <c r="B578" s="16">
        <v>1</v>
      </c>
      <c r="C578" s="16" t="s">
        <v>43</v>
      </c>
      <c r="D578" s="19">
        <v>5</v>
      </c>
      <c r="E578" s="19">
        <v>2</v>
      </c>
      <c r="F578" s="19">
        <v>0</v>
      </c>
      <c r="G578" s="19">
        <v>0</v>
      </c>
      <c r="H578" s="19">
        <v>0</v>
      </c>
      <c r="I578" s="19">
        <v>2</v>
      </c>
      <c r="J578" s="16">
        <v>9</v>
      </c>
      <c r="K578" s="16">
        <v>10</v>
      </c>
      <c r="L578" s="18">
        <v>46128.348078703704</v>
      </c>
    </row>
    <row r="579" spans="1:12" x14ac:dyDescent="0.25">
      <c r="A579" s="17">
        <v>46026</v>
      </c>
      <c r="B579" s="16">
        <v>1</v>
      </c>
      <c r="C579" s="16" t="s">
        <v>43</v>
      </c>
      <c r="D579" s="19">
        <v>4</v>
      </c>
      <c r="E579" s="19">
        <v>1</v>
      </c>
      <c r="F579" s="19">
        <v>0</v>
      </c>
      <c r="G579" s="19">
        <v>1</v>
      </c>
      <c r="H579" s="19">
        <v>0</v>
      </c>
      <c r="I579" s="19">
        <v>3</v>
      </c>
      <c r="J579" s="16">
        <v>10</v>
      </c>
      <c r="K579" s="16">
        <v>9</v>
      </c>
      <c r="L579" s="18">
        <v>46128.348078703704</v>
      </c>
    </row>
    <row r="580" spans="1:12" x14ac:dyDescent="0.25">
      <c r="A580" s="17">
        <v>46027</v>
      </c>
      <c r="B580" s="16">
        <v>1</v>
      </c>
      <c r="C580" s="16" t="s">
        <v>43</v>
      </c>
      <c r="D580" s="19">
        <v>1</v>
      </c>
      <c r="E580" s="19">
        <v>8</v>
      </c>
      <c r="F580" s="19">
        <v>0</v>
      </c>
      <c r="G580" s="19">
        <v>0</v>
      </c>
      <c r="H580" s="19">
        <v>0</v>
      </c>
      <c r="I580" s="19">
        <v>0</v>
      </c>
      <c r="J580" s="16">
        <v>9</v>
      </c>
      <c r="K580" s="16">
        <v>2</v>
      </c>
      <c r="L580" s="18">
        <v>46128.348078703704</v>
      </c>
    </row>
    <row r="581" spans="1:12" x14ac:dyDescent="0.25">
      <c r="A581" s="17">
        <v>46028</v>
      </c>
      <c r="B581" s="16">
        <v>1</v>
      </c>
      <c r="C581" s="16" t="s">
        <v>43</v>
      </c>
      <c r="D581" s="19">
        <v>2</v>
      </c>
      <c r="E581" s="19">
        <v>1</v>
      </c>
      <c r="F581" s="19">
        <v>0</v>
      </c>
      <c r="G581" s="19">
        <v>0</v>
      </c>
      <c r="H581" s="19">
        <v>0</v>
      </c>
      <c r="I581" s="19">
        <v>2</v>
      </c>
      <c r="J581" s="16">
        <v>2</v>
      </c>
      <c r="K581" s="16">
        <v>1</v>
      </c>
      <c r="L581" s="18">
        <v>46128.348078703704</v>
      </c>
    </row>
    <row r="582" spans="1:12" x14ac:dyDescent="0.25">
      <c r="A582" s="17">
        <v>46029</v>
      </c>
      <c r="B582" s="16">
        <v>1</v>
      </c>
      <c r="C582" s="16" t="s">
        <v>43</v>
      </c>
      <c r="D582" s="19">
        <v>3</v>
      </c>
      <c r="E582" s="19">
        <v>1</v>
      </c>
      <c r="F582" s="19">
        <v>0</v>
      </c>
      <c r="G582" s="19">
        <v>0</v>
      </c>
      <c r="H582" s="19">
        <v>0</v>
      </c>
      <c r="I582" s="19">
        <v>1</v>
      </c>
      <c r="J582" s="16">
        <v>1</v>
      </c>
      <c r="K582" s="16">
        <v>2</v>
      </c>
      <c r="L582" s="18">
        <v>46128.348078703704</v>
      </c>
    </row>
    <row r="583" spans="1:12" x14ac:dyDescent="0.25">
      <c r="A583" s="17">
        <v>46030</v>
      </c>
      <c r="B583" s="16">
        <v>1</v>
      </c>
      <c r="C583" s="16" t="s">
        <v>43</v>
      </c>
      <c r="D583" s="19">
        <v>5</v>
      </c>
      <c r="E583" s="19">
        <v>1</v>
      </c>
      <c r="F583" s="19">
        <v>0</v>
      </c>
      <c r="G583" s="19">
        <v>0</v>
      </c>
      <c r="H583" s="19">
        <v>0</v>
      </c>
      <c r="I583" s="19">
        <v>0</v>
      </c>
      <c r="J583" s="16">
        <v>2</v>
      </c>
      <c r="K583" s="16">
        <v>6</v>
      </c>
      <c r="L583" s="18">
        <v>46128.348078703704</v>
      </c>
    </row>
    <row r="584" spans="1:12" x14ac:dyDescent="0.25">
      <c r="A584" s="17">
        <v>46031</v>
      </c>
      <c r="B584" s="16">
        <v>1</v>
      </c>
      <c r="C584" s="16" t="s">
        <v>43</v>
      </c>
      <c r="D584" s="19">
        <v>0</v>
      </c>
      <c r="E584" s="19">
        <v>2</v>
      </c>
      <c r="F584" s="19">
        <v>0</v>
      </c>
      <c r="G584" s="19">
        <v>0</v>
      </c>
      <c r="H584" s="19">
        <v>0</v>
      </c>
      <c r="I584" s="19">
        <v>2</v>
      </c>
      <c r="J584" s="16">
        <v>6</v>
      </c>
      <c r="K584" s="16">
        <v>2</v>
      </c>
      <c r="L584" s="18">
        <v>46128.348078703704</v>
      </c>
    </row>
    <row r="585" spans="1:12" x14ac:dyDescent="0.25">
      <c r="A585" s="17">
        <v>46032</v>
      </c>
      <c r="B585" s="16">
        <v>1</v>
      </c>
      <c r="C585" s="16" t="s">
        <v>43</v>
      </c>
      <c r="D585" s="19">
        <v>2</v>
      </c>
      <c r="E585" s="19">
        <v>0</v>
      </c>
      <c r="F585" s="19">
        <v>0</v>
      </c>
      <c r="G585" s="19">
        <v>0</v>
      </c>
      <c r="H585" s="19">
        <v>0</v>
      </c>
      <c r="I585" s="19">
        <v>0</v>
      </c>
      <c r="J585" s="16">
        <v>2</v>
      </c>
      <c r="K585" s="16">
        <v>4</v>
      </c>
      <c r="L585" s="18">
        <v>46128.348078703704</v>
      </c>
    </row>
    <row r="586" spans="1:12" x14ac:dyDescent="0.25">
      <c r="A586" s="17">
        <v>46033</v>
      </c>
      <c r="B586" s="16">
        <v>1</v>
      </c>
      <c r="C586" s="16" t="s">
        <v>43</v>
      </c>
      <c r="D586" s="19">
        <v>4</v>
      </c>
      <c r="E586" s="19">
        <v>1</v>
      </c>
      <c r="F586" s="19">
        <v>0</v>
      </c>
      <c r="G586" s="19">
        <v>0</v>
      </c>
      <c r="H586" s="19">
        <v>0</v>
      </c>
      <c r="I586" s="19">
        <v>4</v>
      </c>
      <c r="J586" s="16">
        <v>4</v>
      </c>
      <c r="K586" s="16">
        <v>3</v>
      </c>
      <c r="L586" s="18">
        <v>46128.348078703704</v>
      </c>
    </row>
    <row r="587" spans="1:12" x14ac:dyDescent="0.25">
      <c r="A587" s="17">
        <v>46034</v>
      </c>
      <c r="B587" s="16">
        <v>1</v>
      </c>
      <c r="C587" s="16" t="s">
        <v>43</v>
      </c>
      <c r="D587" s="19">
        <v>1</v>
      </c>
      <c r="E587" s="19">
        <v>0</v>
      </c>
      <c r="F587" s="19">
        <v>0</v>
      </c>
      <c r="G587" s="19">
        <v>0</v>
      </c>
      <c r="H587" s="19">
        <v>0</v>
      </c>
      <c r="I587" s="19">
        <v>3</v>
      </c>
      <c r="J587" s="16">
        <v>3</v>
      </c>
      <c r="K587" s="16">
        <v>1</v>
      </c>
      <c r="L587" s="18">
        <v>46128.348078703704</v>
      </c>
    </row>
    <row r="588" spans="1:12" x14ac:dyDescent="0.25">
      <c r="A588" s="17">
        <v>46035</v>
      </c>
      <c r="B588" s="16">
        <v>1</v>
      </c>
      <c r="C588" s="16" t="s">
        <v>43</v>
      </c>
      <c r="D588" s="19">
        <v>4</v>
      </c>
      <c r="E588" s="19">
        <v>0</v>
      </c>
      <c r="F588" s="19">
        <v>0</v>
      </c>
      <c r="G588" s="19">
        <v>0</v>
      </c>
      <c r="H588" s="19">
        <v>0</v>
      </c>
      <c r="I588" s="19">
        <v>2</v>
      </c>
      <c r="J588" s="16">
        <v>1</v>
      </c>
      <c r="K588" s="16">
        <v>3</v>
      </c>
      <c r="L588" s="18">
        <v>46128.348078703704</v>
      </c>
    </row>
    <row r="589" spans="1:12" x14ac:dyDescent="0.25">
      <c r="A589" s="17">
        <v>46036</v>
      </c>
      <c r="B589" s="16">
        <v>1</v>
      </c>
      <c r="C589" s="16" t="s">
        <v>43</v>
      </c>
      <c r="D589" s="19">
        <v>4</v>
      </c>
      <c r="E589" s="19">
        <v>0</v>
      </c>
      <c r="F589" s="19">
        <v>0</v>
      </c>
      <c r="G589" s="19">
        <v>0</v>
      </c>
      <c r="H589" s="19">
        <v>0</v>
      </c>
      <c r="I589" s="19">
        <v>1</v>
      </c>
      <c r="J589" s="16">
        <v>3</v>
      </c>
      <c r="K589" s="16">
        <v>6</v>
      </c>
      <c r="L589" s="18">
        <v>46128.348078703704</v>
      </c>
    </row>
    <row r="590" spans="1:12" x14ac:dyDescent="0.25">
      <c r="A590" s="17">
        <v>46037</v>
      </c>
      <c r="B590" s="16">
        <v>1</v>
      </c>
      <c r="C590" s="16" t="s">
        <v>43</v>
      </c>
      <c r="D590" s="19">
        <v>1</v>
      </c>
      <c r="E590" s="19">
        <v>2</v>
      </c>
      <c r="F590" s="19">
        <v>0</v>
      </c>
      <c r="G590" s="19">
        <v>0</v>
      </c>
      <c r="H590" s="19">
        <v>0</v>
      </c>
      <c r="I590" s="19">
        <v>0</v>
      </c>
      <c r="J590" s="16">
        <v>6</v>
      </c>
      <c r="K590" s="16">
        <v>5</v>
      </c>
      <c r="L590" s="18">
        <v>46128.348078703704</v>
      </c>
    </row>
    <row r="591" spans="1:12" x14ac:dyDescent="0.25">
      <c r="A591" s="17">
        <v>46038</v>
      </c>
      <c r="B591" s="16">
        <v>1</v>
      </c>
      <c r="C591" s="16" t="s">
        <v>43</v>
      </c>
      <c r="D591" s="19">
        <v>6</v>
      </c>
      <c r="E591" s="19">
        <v>1</v>
      </c>
      <c r="F591" s="19">
        <v>0</v>
      </c>
      <c r="G591" s="19">
        <v>1</v>
      </c>
      <c r="H591" s="19">
        <v>0</v>
      </c>
      <c r="I591" s="19">
        <v>0</v>
      </c>
      <c r="J591" s="16">
        <v>5</v>
      </c>
      <c r="K591" s="16">
        <v>9</v>
      </c>
      <c r="L591" s="18">
        <v>46128.348078703704</v>
      </c>
    </row>
    <row r="592" spans="1:12" x14ac:dyDescent="0.25">
      <c r="A592" s="17">
        <v>46039</v>
      </c>
      <c r="B592" s="16">
        <v>1</v>
      </c>
      <c r="C592" s="16" t="s">
        <v>43</v>
      </c>
      <c r="D592" s="19">
        <v>3</v>
      </c>
      <c r="E592" s="19">
        <v>0</v>
      </c>
      <c r="F592" s="19">
        <v>0</v>
      </c>
      <c r="G592" s="19">
        <v>0</v>
      </c>
      <c r="H592" s="19">
        <v>0</v>
      </c>
      <c r="I592" s="19">
        <v>3</v>
      </c>
      <c r="J592" s="16">
        <v>9</v>
      </c>
      <c r="K592" s="16">
        <v>9</v>
      </c>
      <c r="L592" s="18">
        <v>46128.348078703704</v>
      </c>
    </row>
    <row r="593" spans="1:12" x14ac:dyDescent="0.25">
      <c r="A593" s="17">
        <v>46040</v>
      </c>
      <c r="B593" s="16">
        <v>1</v>
      </c>
      <c r="C593" s="16" t="s">
        <v>43</v>
      </c>
      <c r="D593" s="19">
        <v>0</v>
      </c>
      <c r="E593" s="19">
        <v>1</v>
      </c>
      <c r="F593" s="19">
        <v>0</v>
      </c>
      <c r="G593" s="19">
        <v>0</v>
      </c>
      <c r="H593" s="19">
        <v>0</v>
      </c>
      <c r="I593" s="19">
        <v>2</v>
      </c>
      <c r="J593" s="16">
        <v>9</v>
      </c>
      <c r="K593" s="16">
        <v>6</v>
      </c>
      <c r="L593" s="18">
        <v>46128.348078703704</v>
      </c>
    </row>
    <row r="594" spans="1:12" x14ac:dyDescent="0.25">
      <c r="A594" s="17">
        <v>46041</v>
      </c>
      <c r="B594" s="16">
        <v>1</v>
      </c>
      <c r="C594" s="16" t="s">
        <v>43</v>
      </c>
      <c r="D594" s="19">
        <v>2</v>
      </c>
      <c r="E594" s="19">
        <v>4</v>
      </c>
      <c r="F594" s="19">
        <v>0</v>
      </c>
      <c r="G594" s="19">
        <v>1</v>
      </c>
      <c r="H594" s="19">
        <v>0</v>
      </c>
      <c r="I594" s="19">
        <v>0</v>
      </c>
      <c r="J594" s="16">
        <v>6</v>
      </c>
      <c r="K594" s="16">
        <v>3</v>
      </c>
      <c r="L594" s="18">
        <v>46128.348078703704</v>
      </c>
    </row>
    <row r="595" spans="1:12" x14ac:dyDescent="0.25">
      <c r="A595" s="17">
        <v>46042</v>
      </c>
      <c r="B595" s="16">
        <v>1</v>
      </c>
      <c r="C595" s="16" t="s">
        <v>43</v>
      </c>
      <c r="D595" s="19">
        <v>7</v>
      </c>
      <c r="E595" s="19">
        <v>3</v>
      </c>
      <c r="F595" s="19">
        <v>0</v>
      </c>
      <c r="G595" s="19">
        <v>0</v>
      </c>
      <c r="H595" s="19">
        <v>0</v>
      </c>
      <c r="I595" s="19">
        <v>1</v>
      </c>
      <c r="J595" s="16">
        <v>3</v>
      </c>
      <c r="K595" s="16">
        <v>6</v>
      </c>
      <c r="L595" s="18">
        <v>46128.348078703704</v>
      </c>
    </row>
    <row r="596" spans="1:12" x14ac:dyDescent="0.25">
      <c r="A596" s="17">
        <v>46043</v>
      </c>
      <c r="B596" s="16">
        <v>1</v>
      </c>
      <c r="C596" s="16" t="s">
        <v>43</v>
      </c>
      <c r="D596" s="19">
        <v>1</v>
      </c>
      <c r="E596" s="19">
        <v>2</v>
      </c>
      <c r="F596" s="19">
        <v>0</v>
      </c>
      <c r="G596" s="19">
        <v>0</v>
      </c>
      <c r="H596" s="19">
        <v>0</v>
      </c>
      <c r="I596" s="19">
        <v>1</v>
      </c>
      <c r="J596" s="16">
        <v>6</v>
      </c>
      <c r="K596" s="16">
        <v>4</v>
      </c>
      <c r="L596" s="18">
        <v>46128.348078703704</v>
      </c>
    </row>
    <row r="597" spans="1:12" x14ac:dyDescent="0.25">
      <c r="A597" s="17">
        <v>46044</v>
      </c>
      <c r="B597" s="16">
        <v>1</v>
      </c>
      <c r="C597" s="16" t="s">
        <v>43</v>
      </c>
      <c r="D597" s="19">
        <v>5</v>
      </c>
      <c r="E597" s="19">
        <v>0</v>
      </c>
      <c r="F597" s="19">
        <v>0</v>
      </c>
      <c r="G597" s="19">
        <v>0</v>
      </c>
      <c r="H597" s="19">
        <v>0</v>
      </c>
      <c r="I597" s="19">
        <v>3</v>
      </c>
      <c r="J597" s="16">
        <v>4</v>
      </c>
      <c r="K597" s="16">
        <v>6</v>
      </c>
      <c r="L597" s="18">
        <v>46128.348078703704</v>
      </c>
    </row>
    <row r="598" spans="1:12" x14ac:dyDescent="0.25">
      <c r="A598" s="17">
        <v>46045</v>
      </c>
      <c r="B598" s="16">
        <v>1</v>
      </c>
      <c r="C598" s="16" t="s">
        <v>43</v>
      </c>
      <c r="D598" s="19">
        <v>4</v>
      </c>
      <c r="E598" s="19">
        <v>1</v>
      </c>
      <c r="F598" s="19">
        <v>1</v>
      </c>
      <c r="G598" s="19">
        <v>0</v>
      </c>
      <c r="H598" s="19">
        <v>0</v>
      </c>
      <c r="I598" s="19">
        <v>2</v>
      </c>
      <c r="J598" s="16">
        <v>6</v>
      </c>
      <c r="K598" s="16">
        <v>6</v>
      </c>
      <c r="L598" s="18">
        <v>46128.348078703704</v>
      </c>
    </row>
    <row r="599" spans="1:12" x14ac:dyDescent="0.25">
      <c r="A599" s="17">
        <v>46046</v>
      </c>
      <c r="B599" s="16">
        <v>1</v>
      </c>
      <c r="C599" s="16" t="s">
        <v>43</v>
      </c>
      <c r="D599" s="19">
        <v>3</v>
      </c>
      <c r="E599" s="19">
        <v>0</v>
      </c>
      <c r="F599" s="19">
        <v>1</v>
      </c>
      <c r="G599" s="19">
        <v>1</v>
      </c>
      <c r="H599" s="19">
        <v>0</v>
      </c>
      <c r="I599" s="19">
        <v>2</v>
      </c>
      <c r="J599" s="16">
        <v>6</v>
      </c>
      <c r="K599" s="16">
        <v>5</v>
      </c>
      <c r="L599" s="18">
        <v>46128.348078703704</v>
      </c>
    </row>
    <row r="600" spans="1:12" x14ac:dyDescent="0.25">
      <c r="A600" s="17">
        <v>46047</v>
      </c>
      <c r="B600" s="16">
        <v>1</v>
      </c>
      <c r="C600" s="16" t="s">
        <v>43</v>
      </c>
      <c r="D600" s="19">
        <v>0</v>
      </c>
      <c r="E600" s="19">
        <v>1</v>
      </c>
      <c r="F600" s="19">
        <v>0</v>
      </c>
      <c r="G600" s="19">
        <v>0</v>
      </c>
      <c r="H600" s="19">
        <v>0</v>
      </c>
      <c r="I600" s="19">
        <v>2</v>
      </c>
      <c r="J600" s="16">
        <v>5</v>
      </c>
      <c r="K600" s="16">
        <v>2</v>
      </c>
      <c r="L600" s="18">
        <v>46128.348078703704</v>
      </c>
    </row>
    <row r="601" spans="1:12" x14ac:dyDescent="0.25">
      <c r="A601" s="17">
        <v>46048</v>
      </c>
      <c r="B601" s="16">
        <v>1</v>
      </c>
      <c r="C601" s="16" t="s">
        <v>43</v>
      </c>
      <c r="D601" s="19">
        <v>5</v>
      </c>
      <c r="E601" s="19">
        <v>1</v>
      </c>
      <c r="F601" s="19">
        <v>0</v>
      </c>
      <c r="G601" s="19">
        <v>0</v>
      </c>
      <c r="H601" s="19">
        <v>0</v>
      </c>
      <c r="I601" s="19">
        <v>2</v>
      </c>
      <c r="J601" s="16">
        <v>2</v>
      </c>
      <c r="K601" s="16">
        <v>4</v>
      </c>
      <c r="L601" s="18">
        <v>46128.348078703704</v>
      </c>
    </row>
    <row r="602" spans="1:12" x14ac:dyDescent="0.25">
      <c r="A602" s="17">
        <v>46049</v>
      </c>
      <c r="B602" s="16">
        <v>1</v>
      </c>
      <c r="C602" s="16" t="s">
        <v>43</v>
      </c>
      <c r="D602" s="19">
        <v>5</v>
      </c>
      <c r="E602" s="19">
        <v>0</v>
      </c>
      <c r="F602" s="19">
        <v>0</v>
      </c>
      <c r="G602" s="19">
        <v>1</v>
      </c>
      <c r="H602" s="19">
        <v>0</v>
      </c>
      <c r="I602" s="19">
        <v>2</v>
      </c>
      <c r="J602" s="16">
        <v>4</v>
      </c>
      <c r="K602" s="16">
        <v>6</v>
      </c>
      <c r="L602" s="18">
        <v>46128.348078703704</v>
      </c>
    </row>
    <row r="603" spans="1:12" x14ac:dyDescent="0.25">
      <c r="A603" s="17">
        <v>46050</v>
      </c>
      <c r="B603" s="16">
        <v>1</v>
      </c>
      <c r="C603" s="16" t="s">
        <v>43</v>
      </c>
      <c r="D603" s="19">
        <v>2</v>
      </c>
      <c r="E603" s="19">
        <v>3</v>
      </c>
      <c r="F603" s="19">
        <v>0</v>
      </c>
      <c r="G603" s="19">
        <v>0</v>
      </c>
      <c r="H603" s="19">
        <v>0</v>
      </c>
      <c r="I603" s="19">
        <v>2</v>
      </c>
      <c r="J603" s="16">
        <v>6</v>
      </c>
      <c r="K603" s="16">
        <v>3</v>
      </c>
      <c r="L603" s="18">
        <v>46128.348078703704</v>
      </c>
    </row>
    <row r="604" spans="1:12" x14ac:dyDescent="0.25">
      <c r="A604" s="17">
        <v>46051</v>
      </c>
      <c r="B604" s="16">
        <v>1</v>
      </c>
      <c r="C604" s="16" t="s">
        <v>43</v>
      </c>
      <c r="D604" s="19">
        <v>1</v>
      </c>
      <c r="E604" s="19">
        <v>0</v>
      </c>
      <c r="F604" s="19">
        <v>0</v>
      </c>
      <c r="G604" s="19">
        <v>0</v>
      </c>
      <c r="H604" s="19">
        <v>0</v>
      </c>
      <c r="I604" s="19">
        <v>0</v>
      </c>
      <c r="J604" s="16">
        <v>3</v>
      </c>
      <c r="K604" s="16">
        <v>4</v>
      </c>
      <c r="L604" s="18">
        <v>46128.348078703704</v>
      </c>
    </row>
    <row r="605" spans="1:12" x14ac:dyDescent="0.25">
      <c r="A605" s="17">
        <v>46052</v>
      </c>
      <c r="B605" s="16">
        <v>1</v>
      </c>
      <c r="C605" s="16" t="s">
        <v>43</v>
      </c>
      <c r="D605" s="19">
        <v>3</v>
      </c>
      <c r="E605" s="19">
        <v>1</v>
      </c>
      <c r="F605" s="19">
        <v>2</v>
      </c>
      <c r="G605" s="19">
        <v>0</v>
      </c>
      <c r="H605" s="19">
        <v>0</v>
      </c>
      <c r="I605" s="19">
        <v>1</v>
      </c>
      <c r="J605" s="16">
        <v>4</v>
      </c>
      <c r="K605" s="16">
        <v>3</v>
      </c>
      <c r="L605" s="18">
        <v>46128.348078703704</v>
      </c>
    </row>
    <row r="606" spans="1:12" x14ac:dyDescent="0.25">
      <c r="A606" s="17">
        <v>46053</v>
      </c>
      <c r="B606" s="16">
        <v>1</v>
      </c>
      <c r="C606" s="16" t="s">
        <v>43</v>
      </c>
      <c r="D606" s="19">
        <v>1</v>
      </c>
      <c r="E606" s="19">
        <v>0</v>
      </c>
      <c r="F606" s="19">
        <v>0</v>
      </c>
      <c r="G606" s="19">
        <v>0</v>
      </c>
      <c r="H606" s="19">
        <v>0</v>
      </c>
      <c r="I606" s="19">
        <v>3</v>
      </c>
      <c r="J606" s="16">
        <v>3</v>
      </c>
      <c r="K606" s="16">
        <v>1</v>
      </c>
      <c r="L606" s="18">
        <v>46128.348078703704</v>
      </c>
    </row>
    <row r="607" spans="1:12" x14ac:dyDescent="0.25">
      <c r="A607" s="17">
        <v>46054</v>
      </c>
      <c r="B607" s="16">
        <v>2</v>
      </c>
      <c r="C607" s="16" t="s">
        <v>43</v>
      </c>
      <c r="D607" s="19">
        <v>7</v>
      </c>
      <c r="E607" s="19">
        <v>0</v>
      </c>
      <c r="F607" s="19">
        <v>0</v>
      </c>
      <c r="G607" s="19">
        <v>1</v>
      </c>
      <c r="H607" s="19">
        <v>0</v>
      </c>
      <c r="I607" s="19">
        <v>3</v>
      </c>
      <c r="J607" s="16">
        <v>1</v>
      </c>
      <c r="K607" s="16">
        <v>4</v>
      </c>
      <c r="L607" s="18">
        <v>46128.348078703704</v>
      </c>
    </row>
    <row r="608" spans="1:12" x14ac:dyDescent="0.25">
      <c r="A608" s="17">
        <v>46055</v>
      </c>
      <c r="B608" s="16">
        <v>2</v>
      </c>
      <c r="C608" s="16" t="s">
        <v>43</v>
      </c>
      <c r="D608" s="19">
        <v>3</v>
      </c>
      <c r="E608" s="19">
        <v>4</v>
      </c>
      <c r="F608" s="19">
        <v>0</v>
      </c>
      <c r="G608" s="19">
        <v>0</v>
      </c>
      <c r="H608" s="19">
        <v>0</v>
      </c>
      <c r="I608" s="19">
        <v>0</v>
      </c>
      <c r="J608" s="16">
        <v>4</v>
      </c>
      <c r="K608" s="16">
        <v>3</v>
      </c>
      <c r="L608" s="18">
        <v>46128.348078703704</v>
      </c>
    </row>
    <row r="609" spans="1:12" x14ac:dyDescent="0.25">
      <c r="A609" s="17">
        <v>46056</v>
      </c>
      <c r="B609" s="16">
        <v>2</v>
      </c>
      <c r="C609" s="16" t="s">
        <v>43</v>
      </c>
      <c r="D609" s="19">
        <v>5</v>
      </c>
      <c r="E609" s="19">
        <v>1</v>
      </c>
      <c r="F609" s="19">
        <v>0</v>
      </c>
      <c r="G609" s="19">
        <v>1</v>
      </c>
      <c r="H609" s="19">
        <v>0</v>
      </c>
      <c r="I609" s="19">
        <v>2</v>
      </c>
      <c r="J609" s="16">
        <v>3</v>
      </c>
      <c r="K609" s="16">
        <v>4</v>
      </c>
      <c r="L609" s="18">
        <v>46128.348078703704</v>
      </c>
    </row>
    <row r="610" spans="1:12" x14ac:dyDescent="0.25">
      <c r="A610" s="17">
        <v>46057</v>
      </c>
      <c r="B610" s="16">
        <v>2</v>
      </c>
      <c r="C610" s="16" t="s">
        <v>43</v>
      </c>
      <c r="D610" s="19">
        <v>2</v>
      </c>
      <c r="E610" s="19">
        <v>1</v>
      </c>
      <c r="F610" s="19">
        <v>0</v>
      </c>
      <c r="G610" s="19">
        <v>0</v>
      </c>
      <c r="H610" s="19">
        <v>0</v>
      </c>
      <c r="I610" s="19">
        <v>1</v>
      </c>
      <c r="J610" s="16">
        <v>4</v>
      </c>
      <c r="K610" s="16">
        <v>4</v>
      </c>
      <c r="L610" s="18">
        <v>46128.348078703704</v>
      </c>
    </row>
    <row r="611" spans="1:12" x14ac:dyDescent="0.25">
      <c r="A611" s="17">
        <v>46058</v>
      </c>
      <c r="B611" s="16">
        <v>2</v>
      </c>
      <c r="C611" s="16" t="s">
        <v>43</v>
      </c>
      <c r="D611" s="19">
        <v>2</v>
      </c>
      <c r="E611" s="19">
        <v>1</v>
      </c>
      <c r="F611" s="19">
        <v>0</v>
      </c>
      <c r="G611" s="19">
        <v>0</v>
      </c>
      <c r="H611" s="19">
        <v>0</v>
      </c>
      <c r="I611" s="19">
        <v>1</v>
      </c>
      <c r="J611" s="16">
        <v>4</v>
      </c>
      <c r="K611" s="16">
        <v>4</v>
      </c>
      <c r="L611" s="18">
        <v>46128.348078703704</v>
      </c>
    </row>
    <row r="612" spans="1:12" x14ac:dyDescent="0.25">
      <c r="A612" s="17">
        <v>46059</v>
      </c>
      <c r="B612" s="16">
        <v>2</v>
      </c>
      <c r="C612" s="16" t="s">
        <v>43</v>
      </c>
      <c r="D612" s="19">
        <v>3</v>
      </c>
      <c r="E612" s="19">
        <v>0</v>
      </c>
      <c r="F612" s="19">
        <v>0</v>
      </c>
      <c r="G612" s="19">
        <v>0</v>
      </c>
      <c r="H612" s="19">
        <v>0</v>
      </c>
      <c r="I612" s="19">
        <v>2</v>
      </c>
      <c r="J612" s="16">
        <v>4</v>
      </c>
      <c r="K612" s="16">
        <v>5</v>
      </c>
      <c r="L612" s="18">
        <v>46128.348078703704</v>
      </c>
    </row>
    <row r="613" spans="1:12" x14ac:dyDescent="0.25">
      <c r="A613" s="17">
        <v>46060</v>
      </c>
      <c r="B613" s="16">
        <v>2</v>
      </c>
      <c r="C613" s="16" t="s">
        <v>43</v>
      </c>
      <c r="D613" s="19">
        <v>2</v>
      </c>
      <c r="E613" s="19">
        <v>4</v>
      </c>
      <c r="F613" s="19">
        <v>0</v>
      </c>
      <c r="G613" s="19">
        <v>0</v>
      </c>
      <c r="H613" s="19">
        <v>0</v>
      </c>
      <c r="I613" s="19">
        <v>1</v>
      </c>
      <c r="J613" s="16">
        <v>5</v>
      </c>
      <c r="K613" s="16">
        <v>2</v>
      </c>
      <c r="L613" s="18">
        <v>46128.348078703704</v>
      </c>
    </row>
    <row r="614" spans="1:12" x14ac:dyDescent="0.25">
      <c r="A614" s="17">
        <v>46061</v>
      </c>
      <c r="B614" s="16">
        <v>2</v>
      </c>
      <c r="C614" s="16" t="s">
        <v>43</v>
      </c>
      <c r="D614" s="19">
        <v>2</v>
      </c>
      <c r="E614" s="19">
        <v>0</v>
      </c>
      <c r="F614" s="19">
        <v>0</v>
      </c>
      <c r="G614" s="19">
        <v>0</v>
      </c>
      <c r="H614" s="19">
        <v>0</v>
      </c>
      <c r="I614" s="19">
        <v>2</v>
      </c>
      <c r="J614" s="16">
        <v>2</v>
      </c>
      <c r="K614" s="16">
        <v>2</v>
      </c>
      <c r="L614" s="18">
        <v>46128.348078703704</v>
      </c>
    </row>
    <row r="615" spans="1:12" x14ac:dyDescent="0.25">
      <c r="A615" s="17">
        <v>46062</v>
      </c>
      <c r="B615" s="16">
        <v>2</v>
      </c>
      <c r="C615" s="16" t="s">
        <v>43</v>
      </c>
      <c r="D615" s="19">
        <v>3</v>
      </c>
      <c r="E615" s="19">
        <v>1</v>
      </c>
      <c r="F615" s="19">
        <v>0</v>
      </c>
      <c r="G615" s="19">
        <v>0</v>
      </c>
      <c r="H615" s="19">
        <v>0</v>
      </c>
      <c r="I615" s="19">
        <v>0</v>
      </c>
      <c r="J615" s="16">
        <v>2</v>
      </c>
      <c r="K615" s="16">
        <v>4</v>
      </c>
      <c r="L615" s="18">
        <v>46128.348078703704</v>
      </c>
    </row>
    <row r="616" spans="1:12" x14ac:dyDescent="0.25">
      <c r="A616" s="17">
        <v>46063</v>
      </c>
      <c r="B616" s="16">
        <v>2</v>
      </c>
      <c r="C616" s="16" t="s">
        <v>43</v>
      </c>
      <c r="D616" s="19">
        <v>3</v>
      </c>
      <c r="E616" s="19">
        <v>2</v>
      </c>
      <c r="F616" s="19">
        <v>0</v>
      </c>
      <c r="G616" s="19">
        <v>0</v>
      </c>
      <c r="H616" s="19">
        <v>0</v>
      </c>
      <c r="I616" s="19">
        <v>2</v>
      </c>
      <c r="J616" s="16">
        <v>4</v>
      </c>
      <c r="K616" s="16">
        <v>3</v>
      </c>
      <c r="L616" s="18">
        <v>46128.348078703704</v>
      </c>
    </row>
    <row r="617" spans="1:12" x14ac:dyDescent="0.25">
      <c r="A617" s="17">
        <v>46064</v>
      </c>
      <c r="B617" s="16">
        <v>2</v>
      </c>
      <c r="C617" s="16" t="s">
        <v>43</v>
      </c>
      <c r="D617" s="19">
        <v>1</v>
      </c>
      <c r="E617" s="19">
        <v>0</v>
      </c>
      <c r="F617" s="19">
        <v>0</v>
      </c>
      <c r="G617" s="19">
        <v>0</v>
      </c>
      <c r="H617" s="19">
        <v>0</v>
      </c>
      <c r="I617" s="19">
        <v>1</v>
      </c>
      <c r="J617" s="16">
        <v>3</v>
      </c>
      <c r="K617" s="16">
        <v>3</v>
      </c>
      <c r="L617" s="18">
        <v>46128.348078703704</v>
      </c>
    </row>
    <row r="618" spans="1:12" x14ac:dyDescent="0.25">
      <c r="A618" s="17">
        <v>46065</v>
      </c>
      <c r="B618" s="16">
        <v>2</v>
      </c>
      <c r="C618" s="16" t="s">
        <v>43</v>
      </c>
      <c r="D618" s="19">
        <v>3</v>
      </c>
      <c r="E618" s="19">
        <v>2</v>
      </c>
      <c r="F618" s="19">
        <v>0</v>
      </c>
      <c r="G618" s="19">
        <v>1</v>
      </c>
      <c r="H618" s="19">
        <v>0</v>
      </c>
      <c r="I618" s="19">
        <v>1</v>
      </c>
      <c r="J618" s="16">
        <v>3</v>
      </c>
      <c r="K618" s="16">
        <v>2</v>
      </c>
      <c r="L618" s="18">
        <v>46128.348078703704</v>
      </c>
    </row>
    <row r="619" spans="1:12" x14ac:dyDescent="0.25">
      <c r="A619" s="17">
        <v>46066</v>
      </c>
      <c r="B619" s="16">
        <v>2</v>
      </c>
      <c r="C619" s="16" t="s">
        <v>43</v>
      </c>
      <c r="D619" s="19">
        <v>0</v>
      </c>
      <c r="E619" s="19">
        <v>0</v>
      </c>
      <c r="F619" s="19">
        <v>0</v>
      </c>
      <c r="G619" s="19">
        <v>0</v>
      </c>
      <c r="H619" s="19">
        <v>0</v>
      </c>
      <c r="I619" s="19">
        <v>1</v>
      </c>
      <c r="J619" s="16">
        <v>2</v>
      </c>
      <c r="K619" s="16">
        <v>1</v>
      </c>
      <c r="L619" s="18">
        <v>46128.348078703704</v>
      </c>
    </row>
    <row r="620" spans="1:12" x14ac:dyDescent="0.25">
      <c r="A620" s="17">
        <v>46067</v>
      </c>
      <c r="B620" s="16">
        <v>2</v>
      </c>
      <c r="C620" s="16" t="s">
        <v>43</v>
      </c>
      <c r="D620" s="19">
        <v>4</v>
      </c>
      <c r="E620" s="19">
        <v>0</v>
      </c>
      <c r="F620" s="19">
        <v>0</v>
      </c>
      <c r="G620" s="19">
        <v>0</v>
      </c>
      <c r="H620" s="19">
        <v>0</v>
      </c>
      <c r="I620" s="19">
        <v>1</v>
      </c>
      <c r="J620" s="16">
        <v>1</v>
      </c>
      <c r="K620" s="16">
        <v>4</v>
      </c>
      <c r="L620" s="18">
        <v>46128.348078703704</v>
      </c>
    </row>
    <row r="621" spans="1:12" x14ac:dyDescent="0.25">
      <c r="A621" s="17">
        <v>46068</v>
      </c>
      <c r="B621" s="16">
        <v>2</v>
      </c>
      <c r="C621" s="16" t="s">
        <v>43</v>
      </c>
      <c r="D621" s="19">
        <v>2</v>
      </c>
      <c r="E621" s="19">
        <v>2</v>
      </c>
      <c r="F621" s="19">
        <v>0</v>
      </c>
      <c r="G621" s="19">
        <v>0</v>
      </c>
      <c r="H621" s="19">
        <v>0</v>
      </c>
      <c r="I621" s="19">
        <v>1</v>
      </c>
      <c r="J621" s="16">
        <v>4</v>
      </c>
      <c r="K621" s="16">
        <v>3</v>
      </c>
      <c r="L621" s="18">
        <v>46128.348078703704</v>
      </c>
    </row>
    <row r="622" spans="1:12" x14ac:dyDescent="0.25">
      <c r="A622" s="17">
        <v>46069</v>
      </c>
      <c r="B622" s="16">
        <v>2</v>
      </c>
      <c r="C622" s="16" t="s">
        <v>43</v>
      </c>
      <c r="D622" s="19">
        <v>2</v>
      </c>
      <c r="E622" s="19">
        <v>1</v>
      </c>
      <c r="F622" s="19">
        <v>0</v>
      </c>
      <c r="G622" s="19">
        <v>1</v>
      </c>
      <c r="H622" s="19">
        <v>0</v>
      </c>
      <c r="I622" s="19">
        <v>3</v>
      </c>
      <c r="J622" s="16">
        <v>3</v>
      </c>
      <c r="K622" s="16">
        <v>0</v>
      </c>
      <c r="L622" s="18">
        <v>46128.348078703704</v>
      </c>
    </row>
    <row r="623" spans="1:12" x14ac:dyDescent="0.25">
      <c r="A623" s="17">
        <v>46070</v>
      </c>
      <c r="B623" s="16">
        <v>2</v>
      </c>
      <c r="C623" s="16" t="s">
        <v>43</v>
      </c>
      <c r="D623" s="19">
        <v>1</v>
      </c>
      <c r="E623" s="19">
        <v>0</v>
      </c>
      <c r="F623" s="19">
        <v>0</v>
      </c>
      <c r="G623" s="19">
        <v>0</v>
      </c>
      <c r="H623" s="19">
        <v>0</v>
      </c>
      <c r="I623" s="19">
        <v>0</v>
      </c>
      <c r="J623" s="16">
        <v>0</v>
      </c>
      <c r="K623" s="16">
        <v>1</v>
      </c>
      <c r="L623" s="18">
        <v>46128.348078703704</v>
      </c>
    </row>
    <row r="624" spans="1:12" x14ac:dyDescent="0.25">
      <c r="A624" s="17">
        <v>46071</v>
      </c>
      <c r="B624" s="16">
        <v>2</v>
      </c>
      <c r="C624" s="16" t="s">
        <v>43</v>
      </c>
      <c r="D624" s="19">
        <v>4</v>
      </c>
      <c r="E624" s="19">
        <v>0</v>
      </c>
      <c r="F624" s="19">
        <v>0</v>
      </c>
      <c r="G624" s="19">
        <v>1</v>
      </c>
      <c r="H624" s="19">
        <v>0</v>
      </c>
      <c r="I624" s="19">
        <v>1</v>
      </c>
      <c r="J624" s="16">
        <v>1</v>
      </c>
      <c r="K624" s="16">
        <v>3</v>
      </c>
      <c r="L624" s="18">
        <v>46128.348078703704</v>
      </c>
    </row>
    <row r="625" spans="1:12" x14ac:dyDescent="0.25">
      <c r="A625" s="17">
        <v>46072</v>
      </c>
      <c r="B625" s="16">
        <v>2</v>
      </c>
      <c r="C625" s="16" t="s">
        <v>43</v>
      </c>
      <c r="D625" s="19">
        <v>2</v>
      </c>
      <c r="E625" s="19">
        <v>0</v>
      </c>
      <c r="F625" s="19">
        <v>0</v>
      </c>
      <c r="G625" s="19">
        <v>0</v>
      </c>
      <c r="H625" s="19">
        <v>0</v>
      </c>
      <c r="I625" s="19">
        <v>2</v>
      </c>
      <c r="J625" s="16">
        <v>3</v>
      </c>
      <c r="K625" s="16">
        <v>3</v>
      </c>
      <c r="L625" s="18">
        <v>46128.348078703704</v>
      </c>
    </row>
    <row r="626" spans="1:12" x14ac:dyDescent="0.25">
      <c r="A626" s="17">
        <v>46073</v>
      </c>
      <c r="B626" s="16">
        <v>2</v>
      </c>
      <c r="C626" s="16" t="s">
        <v>43</v>
      </c>
      <c r="D626" s="19">
        <v>2</v>
      </c>
      <c r="E626" s="19">
        <v>1</v>
      </c>
      <c r="F626" s="19">
        <v>0</v>
      </c>
      <c r="G626" s="19">
        <v>0</v>
      </c>
      <c r="H626" s="19">
        <v>0</v>
      </c>
      <c r="I626" s="19">
        <v>2</v>
      </c>
      <c r="J626" s="16">
        <v>3</v>
      </c>
      <c r="K626" s="16">
        <v>2</v>
      </c>
      <c r="L626" s="18">
        <v>46128.348078703704</v>
      </c>
    </row>
    <row r="627" spans="1:12" x14ac:dyDescent="0.25">
      <c r="A627" s="17">
        <v>46074</v>
      </c>
      <c r="B627" s="16">
        <v>2</v>
      </c>
      <c r="C627" s="16" t="s">
        <v>43</v>
      </c>
      <c r="D627" s="19">
        <v>1</v>
      </c>
      <c r="E627" s="19">
        <v>1</v>
      </c>
      <c r="F627" s="19">
        <v>0</v>
      </c>
      <c r="G627" s="19">
        <v>0</v>
      </c>
      <c r="H627" s="19">
        <v>0</v>
      </c>
      <c r="I627" s="19">
        <v>1</v>
      </c>
      <c r="J627" s="16">
        <v>2</v>
      </c>
      <c r="K627" s="16">
        <v>1</v>
      </c>
      <c r="L627" s="18">
        <v>46128.348078703704</v>
      </c>
    </row>
    <row r="628" spans="1:12" x14ac:dyDescent="0.25">
      <c r="A628" s="17">
        <v>46075</v>
      </c>
      <c r="B628" s="16">
        <v>2</v>
      </c>
      <c r="C628" s="16" t="s">
        <v>43</v>
      </c>
      <c r="D628" s="19">
        <v>2</v>
      </c>
      <c r="E628" s="19">
        <v>0</v>
      </c>
      <c r="F628" s="19">
        <v>0</v>
      </c>
      <c r="G628" s="19">
        <v>1</v>
      </c>
      <c r="H628" s="19">
        <v>0</v>
      </c>
      <c r="I628" s="19">
        <v>0</v>
      </c>
      <c r="J628" s="16">
        <v>1</v>
      </c>
      <c r="K628" s="16">
        <v>2</v>
      </c>
      <c r="L628" s="18">
        <v>46128.348078703704</v>
      </c>
    </row>
    <row r="629" spans="1:12" x14ac:dyDescent="0.25">
      <c r="A629" s="17">
        <v>46076</v>
      </c>
      <c r="B629" s="16">
        <v>2</v>
      </c>
      <c r="C629" s="16" t="s">
        <v>43</v>
      </c>
      <c r="D629" s="19">
        <v>2</v>
      </c>
      <c r="E629" s="19">
        <v>0</v>
      </c>
      <c r="F629" s="19">
        <v>0</v>
      </c>
      <c r="G629" s="19">
        <v>0</v>
      </c>
      <c r="H629" s="19">
        <v>0</v>
      </c>
      <c r="I629" s="19">
        <v>0</v>
      </c>
      <c r="J629" s="16">
        <v>2</v>
      </c>
      <c r="K629" s="16">
        <v>4</v>
      </c>
      <c r="L629" s="18">
        <v>46128.348078703704</v>
      </c>
    </row>
    <row r="630" spans="1:12" x14ac:dyDescent="0.25">
      <c r="A630" s="17">
        <v>46077</v>
      </c>
      <c r="B630" s="16">
        <v>2</v>
      </c>
      <c r="C630" s="16" t="s">
        <v>43</v>
      </c>
      <c r="D630" s="19">
        <v>2</v>
      </c>
      <c r="E630" s="19">
        <v>0</v>
      </c>
      <c r="F630" s="19">
        <v>0</v>
      </c>
      <c r="G630" s="19">
        <v>0</v>
      </c>
      <c r="H630" s="19">
        <v>0</v>
      </c>
      <c r="I630" s="19">
        <v>3</v>
      </c>
      <c r="J630" s="16">
        <v>4</v>
      </c>
      <c r="K630" s="16">
        <v>3</v>
      </c>
      <c r="L630" s="18">
        <v>46128.348078703704</v>
      </c>
    </row>
    <row r="631" spans="1:12" x14ac:dyDescent="0.25">
      <c r="A631" s="17">
        <v>46078</v>
      </c>
      <c r="B631" s="16">
        <v>2</v>
      </c>
      <c r="C631" s="16" t="s">
        <v>43</v>
      </c>
      <c r="D631" s="19">
        <v>2</v>
      </c>
      <c r="E631" s="19">
        <v>1</v>
      </c>
      <c r="F631" s="19">
        <v>0</v>
      </c>
      <c r="G631" s="19">
        <v>0</v>
      </c>
      <c r="H631" s="19">
        <v>0</v>
      </c>
      <c r="I631" s="19">
        <v>0</v>
      </c>
      <c r="J631" s="16">
        <v>3</v>
      </c>
      <c r="K631" s="16">
        <v>4</v>
      </c>
      <c r="L631" s="18">
        <v>46128.348078703704</v>
      </c>
    </row>
    <row r="632" spans="1:12" x14ac:dyDescent="0.25">
      <c r="A632" s="17">
        <v>46079</v>
      </c>
      <c r="B632" s="16">
        <v>2</v>
      </c>
      <c r="C632" s="16" t="s">
        <v>43</v>
      </c>
      <c r="D632" s="19">
        <v>1</v>
      </c>
      <c r="E632" s="19">
        <v>1</v>
      </c>
      <c r="F632" s="19">
        <v>0</v>
      </c>
      <c r="G632" s="19">
        <v>0</v>
      </c>
      <c r="H632" s="19">
        <v>0</v>
      </c>
      <c r="I632" s="19">
        <v>2</v>
      </c>
      <c r="J632" s="16">
        <v>4</v>
      </c>
      <c r="K632" s="16">
        <v>2</v>
      </c>
      <c r="L632" s="18">
        <v>46128.348078703704</v>
      </c>
    </row>
    <row r="633" spans="1:12" x14ac:dyDescent="0.25">
      <c r="A633" s="17">
        <v>46080</v>
      </c>
      <c r="B633" s="16">
        <v>2</v>
      </c>
      <c r="C633" s="16" t="s">
        <v>43</v>
      </c>
      <c r="D633" s="19">
        <v>2</v>
      </c>
      <c r="E633" s="19">
        <v>1</v>
      </c>
      <c r="F633" s="19">
        <v>0</v>
      </c>
      <c r="G633" s="19">
        <v>0</v>
      </c>
      <c r="H633" s="19">
        <v>0</v>
      </c>
      <c r="I633" s="19">
        <v>1</v>
      </c>
      <c r="J633" s="16">
        <v>2</v>
      </c>
      <c r="K633" s="16">
        <v>2</v>
      </c>
      <c r="L633" s="18">
        <v>46128.348078703704</v>
      </c>
    </row>
    <row r="634" spans="1:12" x14ac:dyDescent="0.25">
      <c r="A634" s="17">
        <v>46081</v>
      </c>
      <c r="B634" s="16">
        <v>2</v>
      </c>
      <c r="C634" s="16" t="s">
        <v>43</v>
      </c>
      <c r="D634" s="19">
        <v>3</v>
      </c>
      <c r="E634" s="19">
        <v>0</v>
      </c>
      <c r="F634" s="19">
        <v>0</v>
      </c>
      <c r="G634" s="19">
        <v>0</v>
      </c>
      <c r="H634" s="19">
        <v>0</v>
      </c>
      <c r="I634" s="19">
        <v>0</v>
      </c>
      <c r="J634" s="16">
        <v>2</v>
      </c>
      <c r="K634" s="16">
        <v>5</v>
      </c>
      <c r="L634" s="18">
        <v>46128.348078703704</v>
      </c>
    </row>
    <row r="635" spans="1:12" x14ac:dyDescent="0.25">
      <c r="A635" s="17">
        <v>46082</v>
      </c>
      <c r="B635" s="16">
        <v>3</v>
      </c>
      <c r="C635" s="16" t="s">
        <v>43</v>
      </c>
      <c r="D635" s="19">
        <v>3</v>
      </c>
      <c r="E635" s="19">
        <v>2</v>
      </c>
      <c r="F635" s="19">
        <v>1</v>
      </c>
      <c r="G635" s="19">
        <v>0</v>
      </c>
      <c r="H635" s="19">
        <v>0</v>
      </c>
      <c r="I635" s="19">
        <v>2</v>
      </c>
      <c r="J635" s="16">
        <v>5</v>
      </c>
      <c r="K635" s="16">
        <v>3</v>
      </c>
      <c r="L635" s="18">
        <v>46128.348078703704</v>
      </c>
    </row>
    <row r="636" spans="1:12" x14ac:dyDescent="0.25">
      <c r="A636" s="17">
        <v>46083</v>
      </c>
      <c r="B636" s="16">
        <v>3</v>
      </c>
      <c r="C636" s="16" t="s">
        <v>43</v>
      </c>
      <c r="D636" s="19">
        <v>3</v>
      </c>
      <c r="E636" s="19">
        <v>1</v>
      </c>
      <c r="F636" s="19">
        <v>0</v>
      </c>
      <c r="G636" s="19">
        <v>0</v>
      </c>
      <c r="H636" s="19">
        <v>0</v>
      </c>
      <c r="I636" s="19">
        <v>2</v>
      </c>
      <c r="J636" s="16">
        <v>3</v>
      </c>
      <c r="K636" s="16">
        <v>3</v>
      </c>
      <c r="L636" s="18">
        <v>46128.348078703704</v>
      </c>
    </row>
    <row r="637" spans="1:12" x14ac:dyDescent="0.25">
      <c r="A637" s="17">
        <v>46084</v>
      </c>
      <c r="B637" s="16">
        <v>3</v>
      </c>
      <c r="C637" s="16" t="s">
        <v>43</v>
      </c>
      <c r="D637" s="19">
        <v>2</v>
      </c>
      <c r="E637" s="19">
        <v>1</v>
      </c>
      <c r="F637" s="19">
        <v>0</v>
      </c>
      <c r="G637" s="19">
        <v>0</v>
      </c>
      <c r="H637" s="19">
        <v>0</v>
      </c>
      <c r="I637" s="19">
        <v>3</v>
      </c>
      <c r="J637" s="16">
        <v>3</v>
      </c>
      <c r="K637" s="16">
        <v>1</v>
      </c>
      <c r="L637" s="18">
        <v>46128.348078703704</v>
      </c>
    </row>
    <row r="638" spans="1:12" x14ac:dyDescent="0.25">
      <c r="A638" s="17">
        <v>46085</v>
      </c>
      <c r="B638" s="16">
        <v>3</v>
      </c>
      <c r="C638" s="16" t="s">
        <v>43</v>
      </c>
      <c r="D638" s="19">
        <v>0</v>
      </c>
      <c r="E638" s="19">
        <v>1</v>
      </c>
      <c r="F638" s="19">
        <v>0</v>
      </c>
      <c r="G638" s="19">
        <v>0</v>
      </c>
      <c r="H638" s="19">
        <v>0</v>
      </c>
      <c r="I638" s="19">
        <v>0</v>
      </c>
      <c r="J638" s="16">
        <v>1</v>
      </c>
      <c r="K638" s="16">
        <v>0</v>
      </c>
      <c r="L638" s="18">
        <v>46128.348078703704</v>
      </c>
    </row>
    <row r="639" spans="1:12" x14ac:dyDescent="0.25">
      <c r="A639" s="17">
        <v>46086</v>
      </c>
      <c r="B639" s="16">
        <v>3</v>
      </c>
      <c r="C639" s="16" t="s">
        <v>43</v>
      </c>
      <c r="D639" s="19">
        <v>1</v>
      </c>
      <c r="E639" s="19">
        <v>0</v>
      </c>
      <c r="F639" s="19">
        <v>0</v>
      </c>
      <c r="G639" s="19">
        <v>0</v>
      </c>
      <c r="H639" s="19">
        <v>0</v>
      </c>
      <c r="I639" s="19">
        <v>1</v>
      </c>
      <c r="J639" s="16">
        <v>0</v>
      </c>
      <c r="K639" s="16">
        <v>0</v>
      </c>
      <c r="L639" s="18">
        <v>46128.348078703704</v>
      </c>
    </row>
    <row r="640" spans="1:12" x14ac:dyDescent="0.25">
      <c r="A640" s="17">
        <v>46087</v>
      </c>
      <c r="B640" s="16">
        <v>3</v>
      </c>
      <c r="C640" s="16" t="s">
        <v>43</v>
      </c>
      <c r="D640" s="19">
        <v>5</v>
      </c>
      <c r="E640" s="19">
        <v>2</v>
      </c>
      <c r="F640" s="19">
        <v>0</v>
      </c>
      <c r="G640" s="19">
        <v>0</v>
      </c>
      <c r="H640" s="19">
        <v>0</v>
      </c>
      <c r="I640" s="19">
        <v>0</v>
      </c>
      <c r="J640" s="16">
        <v>0</v>
      </c>
      <c r="K640" s="16">
        <v>3</v>
      </c>
      <c r="L640" s="18">
        <v>46128.348078703704</v>
      </c>
    </row>
    <row r="641" spans="1:12" x14ac:dyDescent="0.25">
      <c r="A641" s="17">
        <v>46088</v>
      </c>
      <c r="B641" s="16">
        <v>3</v>
      </c>
      <c r="C641" s="16" t="s">
        <v>43</v>
      </c>
      <c r="D641" s="19">
        <v>2</v>
      </c>
      <c r="E641" s="19">
        <v>2</v>
      </c>
      <c r="F641" s="19">
        <v>0</v>
      </c>
      <c r="G641" s="19">
        <v>0</v>
      </c>
      <c r="H641" s="19">
        <v>0</v>
      </c>
      <c r="I641" s="19">
        <v>1</v>
      </c>
      <c r="J641" s="16">
        <v>3</v>
      </c>
      <c r="K641" s="16">
        <v>2</v>
      </c>
      <c r="L641" s="18">
        <v>46128.348078703704</v>
      </c>
    </row>
    <row r="642" spans="1:12" x14ac:dyDescent="0.25">
      <c r="A642" s="17">
        <v>46089</v>
      </c>
      <c r="B642" s="16">
        <v>3</v>
      </c>
      <c r="C642" s="16" t="s">
        <v>43</v>
      </c>
      <c r="D642" s="19">
        <v>0</v>
      </c>
      <c r="E642" s="19">
        <v>0</v>
      </c>
      <c r="F642" s="19">
        <v>0</v>
      </c>
      <c r="G642" s="19">
        <v>0</v>
      </c>
      <c r="H642" s="19">
        <v>0</v>
      </c>
      <c r="I642" s="19">
        <v>1</v>
      </c>
      <c r="J642" s="16">
        <v>2</v>
      </c>
      <c r="K642" s="16">
        <v>1</v>
      </c>
      <c r="L642" s="18">
        <v>46128.348078703704</v>
      </c>
    </row>
    <row r="643" spans="1:12" x14ac:dyDescent="0.25">
      <c r="A643" s="17">
        <v>46090</v>
      </c>
      <c r="B643" s="16">
        <v>3</v>
      </c>
      <c r="C643" s="16" t="s">
        <v>43</v>
      </c>
      <c r="D643" s="19">
        <v>1</v>
      </c>
      <c r="E643" s="19">
        <v>1</v>
      </c>
      <c r="F643" s="19">
        <v>0</v>
      </c>
      <c r="G643" s="19">
        <v>0</v>
      </c>
      <c r="H643" s="19">
        <v>0</v>
      </c>
      <c r="I643" s="19">
        <v>1</v>
      </c>
      <c r="J643" s="16">
        <v>1</v>
      </c>
      <c r="K643" s="16">
        <v>0</v>
      </c>
      <c r="L643" s="18">
        <v>46128.348078703704</v>
      </c>
    </row>
    <row r="644" spans="1:12" x14ac:dyDescent="0.25">
      <c r="A644" s="17">
        <v>46091</v>
      </c>
      <c r="B644" s="16">
        <v>3</v>
      </c>
      <c r="C644" s="16" t="s">
        <v>43</v>
      </c>
      <c r="D644" s="19">
        <v>2</v>
      </c>
      <c r="E644" s="19">
        <v>0</v>
      </c>
      <c r="F644" s="19">
        <v>0</v>
      </c>
      <c r="G644" s="19">
        <v>0</v>
      </c>
      <c r="H644" s="19">
        <v>0</v>
      </c>
      <c r="I644" s="19">
        <v>1</v>
      </c>
      <c r="J644" s="16">
        <v>0</v>
      </c>
      <c r="K644" s="16">
        <v>1</v>
      </c>
      <c r="L644" s="18">
        <v>46128.348078703704</v>
      </c>
    </row>
    <row r="645" spans="1:12" x14ac:dyDescent="0.25">
      <c r="A645" s="17">
        <v>46092</v>
      </c>
      <c r="B645" s="16">
        <v>3</v>
      </c>
      <c r="C645" s="16" t="s">
        <v>43</v>
      </c>
      <c r="D645" s="19">
        <v>3</v>
      </c>
      <c r="E645" s="19">
        <v>1</v>
      </c>
      <c r="F645" s="19">
        <v>0</v>
      </c>
      <c r="G645" s="19">
        <v>0</v>
      </c>
      <c r="H645" s="19">
        <v>0</v>
      </c>
      <c r="I645" s="19">
        <v>0</v>
      </c>
      <c r="J645" s="16">
        <v>1</v>
      </c>
      <c r="K645" s="16">
        <v>3</v>
      </c>
      <c r="L645" s="18">
        <v>46128.348078703704</v>
      </c>
    </row>
    <row r="646" spans="1:12" x14ac:dyDescent="0.25">
      <c r="A646" s="17">
        <v>46093</v>
      </c>
      <c r="B646" s="16">
        <v>3</v>
      </c>
      <c r="C646" s="16" t="s">
        <v>43</v>
      </c>
      <c r="D646" s="19">
        <v>3</v>
      </c>
      <c r="E646" s="19">
        <v>1</v>
      </c>
      <c r="F646" s="19">
        <v>0</v>
      </c>
      <c r="G646" s="19">
        <v>0</v>
      </c>
      <c r="H646" s="19">
        <v>0</v>
      </c>
      <c r="I646" s="19">
        <v>3</v>
      </c>
      <c r="J646" s="16">
        <v>3</v>
      </c>
      <c r="K646" s="16">
        <v>2</v>
      </c>
      <c r="L646" s="18">
        <v>46128.348078703704</v>
      </c>
    </row>
    <row r="647" spans="1:12" x14ac:dyDescent="0.25">
      <c r="A647" s="17">
        <v>46094</v>
      </c>
      <c r="B647" s="16">
        <v>3</v>
      </c>
      <c r="C647" s="16" t="s">
        <v>43</v>
      </c>
      <c r="D647" s="19">
        <v>2</v>
      </c>
      <c r="E647" s="19">
        <v>1</v>
      </c>
      <c r="F647" s="19">
        <v>0</v>
      </c>
      <c r="G647" s="19">
        <v>0</v>
      </c>
      <c r="H647" s="19">
        <v>0</v>
      </c>
      <c r="I647" s="19">
        <v>1</v>
      </c>
      <c r="J647" s="16">
        <v>2</v>
      </c>
      <c r="K647" s="16">
        <v>2</v>
      </c>
      <c r="L647" s="18">
        <v>46128.348078703704</v>
      </c>
    </row>
    <row r="648" spans="1:12" x14ac:dyDescent="0.25">
      <c r="A648" s="17">
        <v>46095</v>
      </c>
      <c r="B648" s="16">
        <v>3</v>
      </c>
      <c r="C648" s="16" t="s">
        <v>43</v>
      </c>
      <c r="D648" s="19">
        <v>2</v>
      </c>
      <c r="E648" s="19">
        <v>1</v>
      </c>
      <c r="F648" s="19">
        <v>0</v>
      </c>
      <c r="G648" s="19">
        <v>0</v>
      </c>
      <c r="H648" s="19">
        <v>0</v>
      </c>
      <c r="I648" s="19">
        <v>0</v>
      </c>
      <c r="J648" s="16">
        <v>2</v>
      </c>
      <c r="K648" s="16">
        <v>3</v>
      </c>
      <c r="L648" s="18">
        <v>46128.348078703704</v>
      </c>
    </row>
    <row r="649" spans="1:12" x14ac:dyDescent="0.25">
      <c r="A649" s="17">
        <v>46096</v>
      </c>
      <c r="B649" s="16">
        <v>3</v>
      </c>
      <c r="C649" s="16" t="s">
        <v>43</v>
      </c>
      <c r="D649" s="19">
        <v>1</v>
      </c>
      <c r="E649" s="19">
        <v>0</v>
      </c>
      <c r="F649" s="19">
        <v>0</v>
      </c>
      <c r="G649" s="19">
        <v>0</v>
      </c>
      <c r="H649" s="19">
        <v>0</v>
      </c>
      <c r="I649" s="19">
        <v>2</v>
      </c>
      <c r="J649" s="16">
        <v>3</v>
      </c>
      <c r="K649" s="16">
        <v>2</v>
      </c>
      <c r="L649" s="18">
        <v>46128.348078703704</v>
      </c>
    </row>
    <row r="650" spans="1:12" x14ac:dyDescent="0.25">
      <c r="A650" s="17">
        <v>46097</v>
      </c>
      <c r="B650" s="16">
        <v>3</v>
      </c>
      <c r="C650" s="16" t="s">
        <v>43</v>
      </c>
      <c r="D650" s="19">
        <v>3</v>
      </c>
      <c r="E650" s="19">
        <v>2</v>
      </c>
      <c r="F650" s="19">
        <v>0</v>
      </c>
      <c r="G650" s="19">
        <v>0</v>
      </c>
      <c r="H650" s="19">
        <v>0</v>
      </c>
      <c r="I650" s="19">
        <v>0</v>
      </c>
      <c r="J650" s="16">
        <v>2</v>
      </c>
      <c r="K650" s="16">
        <v>3</v>
      </c>
      <c r="L650" s="18">
        <v>46128.348078703704</v>
      </c>
    </row>
    <row r="651" spans="1:12" x14ac:dyDescent="0.25">
      <c r="A651" s="17">
        <v>46098</v>
      </c>
      <c r="B651" s="16">
        <v>3</v>
      </c>
      <c r="C651" s="16" t="s">
        <v>43</v>
      </c>
      <c r="D651" s="19">
        <v>1</v>
      </c>
      <c r="E651" s="19">
        <v>0</v>
      </c>
      <c r="F651" s="19">
        <v>0</v>
      </c>
      <c r="G651" s="19">
        <v>0</v>
      </c>
      <c r="H651" s="19">
        <v>0</v>
      </c>
      <c r="I651" s="19">
        <v>2</v>
      </c>
      <c r="J651" s="16">
        <v>3</v>
      </c>
      <c r="K651" s="16">
        <v>2</v>
      </c>
      <c r="L651" s="18">
        <v>46128.348078703704</v>
      </c>
    </row>
    <row r="652" spans="1:12" x14ac:dyDescent="0.25">
      <c r="A652" s="17">
        <v>46099</v>
      </c>
      <c r="B652" s="16">
        <v>3</v>
      </c>
      <c r="C652" s="16" t="s">
        <v>43</v>
      </c>
      <c r="D652" s="19">
        <v>4</v>
      </c>
      <c r="E652" s="19">
        <v>0</v>
      </c>
      <c r="F652" s="19">
        <v>0</v>
      </c>
      <c r="G652" s="19">
        <v>1</v>
      </c>
      <c r="H652" s="19">
        <v>0</v>
      </c>
      <c r="I652" s="19">
        <v>1</v>
      </c>
      <c r="J652" s="16">
        <v>2</v>
      </c>
      <c r="K652" s="16">
        <v>4</v>
      </c>
      <c r="L652" s="18">
        <v>46128.348078703704</v>
      </c>
    </row>
    <row r="653" spans="1:12" x14ac:dyDescent="0.25">
      <c r="A653" s="17">
        <v>46100</v>
      </c>
      <c r="B653" s="16">
        <v>3</v>
      </c>
      <c r="C653" s="16" t="s">
        <v>43</v>
      </c>
      <c r="D653" s="19">
        <v>5</v>
      </c>
      <c r="E653" s="19">
        <v>2</v>
      </c>
      <c r="F653" s="19">
        <v>2</v>
      </c>
      <c r="G653" s="19">
        <v>0</v>
      </c>
      <c r="H653" s="19">
        <v>0</v>
      </c>
      <c r="I653" s="19">
        <v>1</v>
      </c>
      <c r="J653" s="16">
        <v>4</v>
      </c>
      <c r="K653" s="16">
        <v>4</v>
      </c>
      <c r="L653" s="18">
        <v>46128.348078703704</v>
      </c>
    </row>
    <row r="654" spans="1:12" x14ac:dyDescent="0.25">
      <c r="A654" s="17">
        <v>46101</v>
      </c>
      <c r="B654" s="16">
        <v>3</v>
      </c>
      <c r="C654" s="16" t="s">
        <v>43</v>
      </c>
      <c r="D654" s="19">
        <v>1</v>
      </c>
      <c r="E654" s="19">
        <v>1</v>
      </c>
      <c r="F654" s="19">
        <v>2</v>
      </c>
      <c r="G654" s="19">
        <v>0</v>
      </c>
      <c r="H654" s="19">
        <v>0</v>
      </c>
      <c r="I654" s="19">
        <v>1</v>
      </c>
      <c r="J654" s="16">
        <v>4</v>
      </c>
      <c r="K654" s="16">
        <v>1</v>
      </c>
      <c r="L654" s="18">
        <v>46128.348078703704</v>
      </c>
    </row>
    <row r="655" spans="1:12" x14ac:dyDescent="0.25">
      <c r="A655" s="17">
        <v>46102</v>
      </c>
      <c r="B655" s="16">
        <v>3</v>
      </c>
      <c r="C655" s="16" t="s">
        <v>43</v>
      </c>
      <c r="D655" s="19">
        <v>1</v>
      </c>
      <c r="E655" s="19">
        <v>1</v>
      </c>
      <c r="F655" s="19">
        <v>0</v>
      </c>
      <c r="G655" s="19">
        <v>0</v>
      </c>
      <c r="H655" s="19">
        <v>0</v>
      </c>
      <c r="I655" s="19">
        <v>1</v>
      </c>
      <c r="J655" s="16">
        <v>1</v>
      </c>
      <c r="K655" s="16">
        <v>0</v>
      </c>
      <c r="L655" s="18">
        <v>46128.348078703704</v>
      </c>
    </row>
    <row r="656" spans="1:12" x14ac:dyDescent="0.25">
      <c r="A656" s="17">
        <v>46103</v>
      </c>
      <c r="B656" s="16">
        <v>3</v>
      </c>
      <c r="C656" s="16" t="s">
        <v>43</v>
      </c>
      <c r="D656" s="19">
        <v>5</v>
      </c>
      <c r="E656" s="19">
        <v>0</v>
      </c>
      <c r="F656" s="19">
        <v>0</v>
      </c>
      <c r="G656" s="19">
        <v>0</v>
      </c>
      <c r="H656" s="19">
        <v>0</v>
      </c>
      <c r="I656" s="19">
        <v>0</v>
      </c>
      <c r="J656" s="16">
        <v>0</v>
      </c>
      <c r="K656" s="16">
        <v>5</v>
      </c>
      <c r="L656" s="18">
        <v>46128.348078703704</v>
      </c>
    </row>
    <row r="657" spans="1:12" x14ac:dyDescent="0.25">
      <c r="A657" s="17">
        <v>46104</v>
      </c>
      <c r="B657" s="16">
        <v>3</v>
      </c>
      <c r="C657" s="16" t="s">
        <v>43</v>
      </c>
      <c r="D657" s="19">
        <v>1</v>
      </c>
      <c r="E657" s="19">
        <v>1</v>
      </c>
      <c r="F657" s="19">
        <v>0</v>
      </c>
      <c r="G657" s="19">
        <v>0</v>
      </c>
      <c r="H657" s="19">
        <v>0</v>
      </c>
      <c r="I657" s="19">
        <v>0</v>
      </c>
      <c r="J657" s="16">
        <v>5</v>
      </c>
      <c r="K657" s="16">
        <v>5</v>
      </c>
      <c r="L657" s="18">
        <v>46128.348078703704</v>
      </c>
    </row>
    <row r="658" spans="1:12" x14ac:dyDescent="0.25">
      <c r="A658" s="17">
        <v>46105</v>
      </c>
      <c r="B658" s="16">
        <v>3</v>
      </c>
      <c r="C658" s="16" t="s">
        <v>43</v>
      </c>
      <c r="D658" s="19">
        <v>2</v>
      </c>
      <c r="E658" s="19">
        <v>1</v>
      </c>
      <c r="F658" s="19">
        <v>0</v>
      </c>
      <c r="G658" s="19">
        <v>1</v>
      </c>
      <c r="H658" s="19">
        <v>0</v>
      </c>
      <c r="I658" s="19">
        <v>1</v>
      </c>
      <c r="J658" s="16">
        <v>5</v>
      </c>
      <c r="K658" s="16">
        <v>4</v>
      </c>
      <c r="L658" s="18">
        <v>46128.348078703704</v>
      </c>
    </row>
    <row r="659" spans="1:12" x14ac:dyDescent="0.25">
      <c r="A659" s="17">
        <v>46106</v>
      </c>
      <c r="B659" s="16">
        <v>3</v>
      </c>
      <c r="C659" s="16" t="s">
        <v>43</v>
      </c>
      <c r="D659" s="19">
        <v>2</v>
      </c>
      <c r="E659" s="19">
        <v>0</v>
      </c>
      <c r="F659" s="19">
        <v>0</v>
      </c>
      <c r="G659" s="19">
        <v>1</v>
      </c>
      <c r="H659" s="19">
        <v>0</v>
      </c>
      <c r="I659" s="19">
        <v>2</v>
      </c>
      <c r="J659" s="16">
        <v>4</v>
      </c>
      <c r="K659" s="16">
        <v>3</v>
      </c>
      <c r="L659" s="18">
        <v>46128.348078703704</v>
      </c>
    </row>
    <row r="660" spans="1:12" x14ac:dyDescent="0.25">
      <c r="A660" s="17">
        <v>46107</v>
      </c>
      <c r="B660" s="16">
        <v>3</v>
      </c>
      <c r="C660" s="16" t="s">
        <v>43</v>
      </c>
      <c r="D660" s="19">
        <v>4</v>
      </c>
      <c r="E660" s="19">
        <v>0</v>
      </c>
      <c r="F660" s="19">
        <v>1</v>
      </c>
      <c r="G660" s="19">
        <v>0</v>
      </c>
      <c r="H660" s="19">
        <v>0</v>
      </c>
      <c r="I660" s="19">
        <v>3</v>
      </c>
      <c r="J660" s="16">
        <v>3</v>
      </c>
      <c r="K660" s="16">
        <v>3</v>
      </c>
      <c r="L660" s="18">
        <v>46128.348078703704</v>
      </c>
    </row>
    <row r="661" spans="1:12" x14ac:dyDescent="0.25">
      <c r="A661" s="17">
        <v>46108</v>
      </c>
      <c r="B661" s="16">
        <v>3</v>
      </c>
      <c r="C661" s="16" t="s">
        <v>43</v>
      </c>
      <c r="D661" s="19">
        <v>2</v>
      </c>
      <c r="E661" s="19">
        <v>3</v>
      </c>
      <c r="F661" s="19">
        <v>0</v>
      </c>
      <c r="G661" s="19">
        <v>0</v>
      </c>
      <c r="H661" s="19">
        <v>0</v>
      </c>
      <c r="I661" s="19">
        <v>0</v>
      </c>
      <c r="J661" s="16">
        <v>3</v>
      </c>
      <c r="K661" s="16">
        <v>2</v>
      </c>
      <c r="L661" s="18">
        <v>46128.348078703704</v>
      </c>
    </row>
    <row r="662" spans="1:12" x14ac:dyDescent="0.25">
      <c r="A662" s="17">
        <v>46109</v>
      </c>
      <c r="B662" s="16">
        <v>3</v>
      </c>
      <c r="C662" s="16" t="s">
        <v>43</v>
      </c>
      <c r="D662" s="19">
        <v>3</v>
      </c>
      <c r="E662" s="19">
        <v>0</v>
      </c>
      <c r="F662" s="19">
        <v>0</v>
      </c>
      <c r="G662" s="19">
        <v>0</v>
      </c>
      <c r="H662" s="19">
        <v>0</v>
      </c>
      <c r="I662" s="19">
        <v>2</v>
      </c>
      <c r="J662" s="16">
        <v>2</v>
      </c>
      <c r="K662" s="16">
        <v>3</v>
      </c>
      <c r="L662" s="18">
        <v>46128.348078703704</v>
      </c>
    </row>
    <row r="663" spans="1:12" x14ac:dyDescent="0.25">
      <c r="A663" s="17">
        <v>46110</v>
      </c>
      <c r="B663" s="16">
        <v>3</v>
      </c>
      <c r="C663" s="16" t="s">
        <v>43</v>
      </c>
      <c r="D663" s="19">
        <v>2</v>
      </c>
      <c r="E663" s="19">
        <v>0</v>
      </c>
      <c r="F663" s="19">
        <v>1</v>
      </c>
      <c r="G663" s="19">
        <v>0</v>
      </c>
      <c r="H663" s="19">
        <v>0</v>
      </c>
      <c r="I663" s="19">
        <v>1</v>
      </c>
      <c r="J663" s="16">
        <v>3</v>
      </c>
      <c r="K663" s="16">
        <v>3</v>
      </c>
      <c r="L663" s="18">
        <v>46128.348078703704</v>
      </c>
    </row>
    <row r="664" spans="1:12" x14ac:dyDescent="0.25">
      <c r="A664" s="17">
        <v>46111</v>
      </c>
      <c r="B664" s="16">
        <v>3</v>
      </c>
      <c r="C664" s="16" t="s">
        <v>43</v>
      </c>
      <c r="D664" s="19">
        <v>1</v>
      </c>
      <c r="E664" s="19">
        <v>1</v>
      </c>
      <c r="F664" s="19">
        <v>1</v>
      </c>
      <c r="G664" s="19">
        <v>0</v>
      </c>
      <c r="H664" s="19">
        <v>0</v>
      </c>
      <c r="I664" s="19">
        <v>0</v>
      </c>
      <c r="J664" s="16">
        <v>3</v>
      </c>
      <c r="K664" s="16">
        <v>2</v>
      </c>
      <c r="L664" s="18">
        <v>46128.348078703704</v>
      </c>
    </row>
    <row r="665" spans="1:12" x14ac:dyDescent="0.25">
      <c r="A665" s="17">
        <v>46112</v>
      </c>
      <c r="B665" s="16">
        <v>3</v>
      </c>
      <c r="C665" s="16" t="s">
        <v>43</v>
      </c>
      <c r="D665" s="19">
        <v>3</v>
      </c>
      <c r="E665" s="19">
        <v>1</v>
      </c>
      <c r="F665" s="19">
        <v>0</v>
      </c>
      <c r="G665" s="19">
        <v>1</v>
      </c>
      <c r="H665" s="19">
        <v>0</v>
      </c>
      <c r="I665" s="19">
        <v>0</v>
      </c>
      <c r="J665" s="16">
        <v>2</v>
      </c>
      <c r="K665" s="16">
        <v>3</v>
      </c>
      <c r="L665" s="18">
        <v>46128.348078703704</v>
      </c>
    </row>
    <row r="666" spans="1:12" x14ac:dyDescent="0.25">
      <c r="A666" s="17">
        <v>46113</v>
      </c>
      <c r="B666" s="16">
        <v>4</v>
      </c>
      <c r="C666" s="16" t="s">
        <v>43</v>
      </c>
      <c r="D666" s="19">
        <v>4</v>
      </c>
      <c r="E666" s="19">
        <v>0</v>
      </c>
      <c r="F666" s="19">
        <v>1</v>
      </c>
      <c r="G666" s="19">
        <v>0</v>
      </c>
      <c r="H666" s="19">
        <v>0</v>
      </c>
      <c r="I666" s="19">
        <v>1</v>
      </c>
      <c r="J666" s="16">
        <v>3</v>
      </c>
      <c r="K666" s="16">
        <v>5</v>
      </c>
      <c r="L666" s="18">
        <v>46128.348078703704</v>
      </c>
    </row>
    <row r="667" spans="1:12" x14ac:dyDescent="0.25">
      <c r="A667" s="17">
        <v>46114</v>
      </c>
      <c r="B667" s="16">
        <v>4</v>
      </c>
      <c r="C667" s="16" t="s">
        <v>43</v>
      </c>
      <c r="D667" s="19">
        <v>3</v>
      </c>
      <c r="E667" s="19">
        <v>2</v>
      </c>
      <c r="F667" s="19">
        <v>0</v>
      </c>
      <c r="G667" s="19">
        <v>0</v>
      </c>
      <c r="H667" s="19">
        <v>0</v>
      </c>
      <c r="I667" s="19">
        <v>0</v>
      </c>
      <c r="J667" s="16">
        <v>5</v>
      </c>
      <c r="K667" s="16">
        <v>6</v>
      </c>
      <c r="L667" s="18">
        <v>46128.348078703704</v>
      </c>
    </row>
    <row r="668" spans="1:12" x14ac:dyDescent="0.25">
      <c r="A668" s="17">
        <v>46115</v>
      </c>
      <c r="B668" s="16">
        <v>4</v>
      </c>
      <c r="C668" s="16" t="s">
        <v>43</v>
      </c>
      <c r="D668" s="19">
        <v>0</v>
      </c>
      <c r="E668" s="19">
        <v>3</v>
      </c>
      <c r="F668" s="19">
        <v>0</v>
      </c>
      <c r="G668" s="19">
        <v>0</v>
      </c>
      <c r="H668" s="19">
        <v>0</v>
      </c>
      <c r="I668" s="19">
        <v>0</v>
      </c>
      <c r="J668" s="16">
        <v>6</v>
      </c>
      <c r="K668" s="16">
        <v>3</v>
      </c>
      <c r="L668" s="18">
        <v>46128.348078703704</v>
      </c>
    </row>
    <row r="669" spans="1:12" x14ac:dyDescent="0.25">
      <c r="A669" s="17">
        <v>46116</v>
      </c>
      <c r="B669" s="16">
        <v>4</v>
      </c>
      <c r="C669" s="16" t="s">
        <v>43</v>
      </c>
      <c r="D669" s="19">
        <v>2</v>
      </c>
      <c r="E669" s="19">
        <v>0</v>
      </c>
      <c r="F669" s="19">
        <v>0</v>
      </c>
      <c r="G669" s="19">
        <v>0</v>
      </c>
      <c r="H669" s="19">
        <v>0</v>
      </c>
      <c r="I669" s="19">
        <v>1</v>
      </c>
      <c r="J669" s="16">
        <v>3</v>
      </c>
      <c r="K669" s="16">
        <v>4</v>
      </c>
      <c r="L669" s="18">
        <v>46128.348078703704</v>
      </c>
    </row>
    <row r="670" spans="1:12" x14ac:dyDescent="0.25">
      <c r="A670" s="17">
        <v>46023</v>
      </c>
      <c r="B670" s="16">
        <v>1</v>
      </c>
      <c r="C670" s="16" t="s">
        <v>29</v>
      </c>
      <c r="D670" s="19">
        <v>0</v>
      </c>
      <c r="E670" s="19">
        <v>0</v>
      </c>
      <c r="F670" s="19">
        <v>1</v>
      </c>
      <c r="G670" s="19">
        <v>0</v>
      </c>
      <c r="H670" s="19">
        <v>1</v>
      </c>
      <c r="I670" s="19">
        <v>0</v>
      </c>
      <c r="J670" s="16">
        <v>25</v>
      </c>
      <c r="K670" s="16">
        <v>25</v>
      </c>
      <c r="L670" s="18">
        <v>46128.348078703704</v>
      </c>
    </row>
    <row r="671" spans="1:12" x14ac:dyDescent="0.25">
      <c r="A671" s="17">
        <v>46024</v>
      </c>
      <c r="B671" s="16">
        <v>1</v>
      </c>
      <c r="C671" s="16" t="s">
        <v>29</v>
      </c>
      <c r="D671" s="19">
        <v>0</v>
      </c>
      <c r="E671" s="19">
        <v>2</v>
      </c>
      <c r="F671" s="19">
        <v>0</v>
      </c>
      <c r="G671" s="19">
        <v>0</v>
      </c>
      <c r="H671" s="19">
        <v>0</v>
      </c>
      <c r="I671" s="19">
        <v>0</v>
      </c>
      <c r="J671" s="16">
        <v>25</v>
      </c>
      <c r="K671" s="16">
        <v>23</v>
      </c>
      <c r="L671" s="18">
        <v>46128.348078703704</v>
      </c>
    </row>
    <row r="672" spans="1:12" x14ac:dyDescent="0.25">
      <c r="A672" s="17">
        <v>46025</v>
      </c>
      <c r="B672" s="16">
        <v>1</v>
      </c>
      <c r="C672" s="16" t="s">
        <v>29</v>
      </c>
      <c r="D672" s="19">
        <v>0</v>
      </c>
      <c r="E672" s="19">
        <v>2</v>
      </c>
      <c r="F672" s="19">
        <v>0</v>
      </c>
      <c r="G672" s="19">
        <v>0</v>
      </c>
      <c r="H672" s="19">
        <v>2</v>
      </c>
      <c r="I672" s="19">
        <v>0</v>
      </c>
      <c r="J672" s="16">
        <v>23</v>
      </c>
      <c r="K672" s="16">
        <v>23</v>
      </c>
      <c r="L672" s="18">
        <v>46128.348078703704</v>
      </c>
    </row>
    <row r="673" spans="1:12" x14ac:dyDescent="0.25">
      <c r="A673" s="17">
        <v>46026</v>
      </c>
      <c r="B673" s="16">
        <v>1</v>
      </c>
      <c r="C673" s="16" t="s">
        <v>29</v>
      </c>
      <c r="D673" s="19">
        <v>3</v>
      </c>
      <c r="E673" s="19">
        <v>5</v>
      </c>
      <c r="F673" s="19">
        <v>0</v>
      </c>
      <c r="G673" s="19">
        <v>0</v>
      </c>
      <c r="H673" s="19">
        <v>3</v>
      </c>
      <c r="I673" s="19">
        <v>0</v>
      </c>
      <c r="J673" s="16">
        <v>23</v>
      </c>
      <c r="K673" s="16">
        <v>24</v>
      </c>
      <c r="L673" s="18">
        <v>46128.348078703704</v>
      </c>
    </row>
    <row r="674" spans="1:12" x14ac:dyDescent="0.25">
      <c r="A674" s="17">
        <v>46027</v>
      </c>
      <c r="B674" s="16">
        <v>1</v>
      </c>
      <c r="C674" s="16" t="s">
        <v>29</v>
      </c>
      <c r="D674" s="19">
        <v>3</v>
      </c>
      <c r="E674" s="19">
        <v>4</v>
      </c>
      <c r="F674" s="19">
        <v>1</v>
      </c>
      <c r="G674" s="19">
        <v>0</v>
      </c>
      <c r="H674" s="19">
        <v>0</v>
      </c>
      <c r="I674" s="19">
        <v>0</v>
      </c>
      <c r="J674" s="16">
        <v>24</v>
      </c>
      <c r="K674" s="16">
        <v>22</v>
      </c>
      <c r="L674" s="18">
        <v>46128.348078703704</v>
      </c>
    </row>
    <row r="675" spans="1:12" x14ac:dyDescent="0.25">
      <c r="A675" s="17">
        <v>46028</v>
      </c>
      <c r="B675" s="16">
        <v>1</v>
      </c>
      <c r="C675" s="16" t="s">
        <v>29</v>
      </c>
      <c r="D675" s="19">
        <v>0</v>
      </c>
      <c r="E675" s="19">
        <v>8</v>
      </c>
      <c r="F675" s="19">
        <v>1</v>
      </c>
      <c r="G675" s="19">
        <v>0</v>
      </c>
      <c r="H675" s="19">
        <v>2</v>
      </c>
      <c r="I675" s="19">
        <v>0</v>
      </c>
      <c r="J675" s="16">
        <v>22</v>
      </c>
      <c r="K675" s="16">
        <v>15</v>
      </c>
      <c r="L675" s="18">
        <v>46128.348078703704</v>
      </c>
    </row>
    <row r="676" spans="1:12" x14ac:dyDescent="0.25">
      <c r="A676" s="17">
        <v>46029</v>
      </c>
      <c r="B676" s="16">
        <v>1</v>
      </c>
      <c r="C676" s="16" t="s">
        <v>29</v>
      </c>
      <c r="D676" s="19">
        <v>3</v>
      </c>
      <c r="E676" s="19">
        <v>3</v>
      </c>
      <c r="F676" s="19">
        <v>2</v>
      </c>
      <c r="G676" s="19">
        <v>0</v>
      </c>
      <c r="H676" s="19">
        <v>1</v>
      </c>
      <c r="I676" s="19">
        <v>0</v>
      </c>
      <c r="J676" s="16">
        <v>15</v>
      </c>
      <c r="K676" s="16">
        <v>14</v>
      </c>
      <c r="L676" s="18">
        <v>46128.348078703704</v>
      </c>
    </row>
    <row r="677" spans="1:12" x14ac:dyDescent="0.25">
      <c r="A677" s="17">
        <v>46030</v>
      </c>
      <c r="B677" s="16">
        <v>1</v>
      </c>
      <c r="C677" s="16" t="s">
        <v>29</v>
      </c>
      <c r="D677" s="19">
        <v>4</v>
      </c>
      <c r="E677" s="19">
        <v>1</v>
      </c>
      <c r="F677" s="19">
        <v>0</v>
      </c>
      <c r="G677" s="19">
        <v>0</v>
      </c>
      <c r="H677" s="19">
        <v>0</v>
      </c>
      <c r="I677" s="19">
        <v>0</v>
      </c>
      <c r="J677" s="16">
        <v>14</v>
      </c>
      <c r="K677" s="16">
        <v>17</v>
      </c>
      <c r="L677" s="18">
        <v>46128.348078703704</v>
      </c>
    </row>
    <row r="678" spans="1:12" x14ac:dyDescent="0.25">
      <c r="A678" s="17">
        <v>46031</v>
      </c>
      <c r="B678" s="16">
        <v>1</v>
      </c>
      <c r="C678" s="16" t="s">
        <v>29</v>
      </c>
      <c r="D678" s="19">
        <v>1</v>
      </c>
      <c r="E678" s="19">
        <v>3</v>
      </c>
      <c r="F678" s="19">
        <v>0</v>
      </c>
      <c r="G678" s="19">
        <v>0</v>
      </c>
      <c r="H678" s="19">
        <v>2</v>
      </c>
      <c r="I678" s="19">
        <v>0</v>
      </c>
      <c r="J678" s="16">
        <v>17</v>
      </c>
      <c r="K678" s="16">
        <v>17</v>
      </c>
      <c r="L678" s="18">
        <v>46128.348078703704</v>
      </c>
    </row>
    <row r="679" spans="1:12" x14ac:dyDescent="0.25">
      <c r="A679" s="17">
        <v>46032</v>
      </c>
      <c r="B679" s="16">
        <v>1</v>
      </c>
      <c r="C679" s="16" t="s">
        <v>29</v>
      </c>
      <c r="D679" s="19">
        <v>1</v>
      </c>
      <c r="E679" s="19">
        <v>3</v>
      </c>
      <c r="F679" s="19">
        <v>0</v>
      </c>
      <c r="G679" s="19">
        <v>0</v>
      </c>
      <c r="H679" s="19">
        <v>0</v>
      </c>
      <c r="I679" s="19">
        <v>0</v>
      </c>
      <c r="J679" s="16">
        <v>17</v>
      </c>
      <c r="K679" s="16">
        <v>15</v>
      </c>
      <c r="L679" s="18">
        <v>46128.348078703704</v>
      </c>
    </row>
    <row r="680" spans="1:12" x14ac:dyDescent="0.25">
      <c r="A680" s="17">
        <v>46033</v>
      </c>
      <c r="B680" s="16">
        <v>1</v>
      </c>
      <c r="C680" s="16" t="s">
        <v>29</v>
      </c>
      <c r="D680" s="19">
        <v>1</v>
      </c>
      <c r="E680" s="19">
        <v>3</v>
      </c>
      <c r="F680" s="19">
        <v>0</v>
      </c>
      <c r="G680" s="19">
        <v>0</v>
      </c>
      <c r="H680" s="19">
        <v>4</v>
      </c>
      <c r="I680" s="19">
        <v>0</v>
      </c>
      <c r="J680" s="16">
        <v>15</v>
      </c>
      <c r="K680" s="16">
        <v>17</v>
      </c>
      <c r="L680" s="18">
        <v>46128.348078703704</v>
      </c>
    </row>
    <row r="681" spans="1:12" x14ac:dyDescent="0.25">
      <c r="A681" s="17">
        <v>46034</v>
      </c>
      <c r="B681" s="16">
        <v>1</v>
      </c>
      <c r="C681" s="16" t="s">
        <v>29</v>
      </c>
      <c r="D681" s="19">
        <v>6</v>
      </c>
      <c r="E681" s="19">
        <v>3</v>
      </c>
      <c r="F681" s="19">
        <v>1</v>
      </c>
      <c r="G681" s="19">
        <v>0</v>
      </c>
      <c r="H681" s="19">
        <v>2</v>
      </c>
      <c r="I681" s="19">
        <v>0</v>
      </c>
      <c r="J681" s="16">
        <v>17</v>
      </c>
      <c r="K681" s="16">
        <v>21</v>
      </c>
      <c r="L681" s="18">
        <v>46128.348078703704</v>
      </c>
    </row>
    <row r="682" spans="1:12" x14ac:dyDescent="0.25">
      <c r="A682" s="17">
        <v>46035</v>
      </c>
      <c r="B682" s="16">
        <v>1</v>
      </c>
      <c r="C682" s="16" t="s">
        <v>29</v>
      </c>
      <c r="D682" s="19">
        <v>4</v>
      </c>
      <c r="E682" s="19">
        <v>3</v>
      </c>
      <c r="F682" s="19">
        <v>1</v>
      </c>
      <c r="G682" s="19">
        <v>0</v>
      </c>
      <c r="H682" s="19">
        <v>2</v>
      </c>
      <c r="I682" s="19">
        <v>0</v>
      </c>
      <c r="J682" s="16">
        <v>21</v>
      </c>
      <c r="K682" s="16">
        <v>23</v>
      </c>
      <c r="L682" s="18">
        <v>46128.348078703704</v>
      </c>
    </row>
    <row r="683" spans="1:12" x14ac:dyDescent="0.25">
      <c r="A683" s="17">
        <v>46036</v>
      </c>
      <c r="B683" s="16">
        <v>1</v>
      </c>
      <c r="C683" s="16" t="s">
        <v>29</v>
      </c>
      <c r="D683" s="19">
        <v>1</v>
      </c>
      <c r="E683" s="19">
        <v>1</v>
      </c>
      <c r="F683" s="19">
        <v>0</v>
      </c>
      <c r="G683" s="19">
        <v>0</v>
      </c>
      <c r="H683" s="19">
        <v>1</v>
      </c>
      <c r="I683" s="19">
        <v>0</v>
      </c>
      <c r="J683" s="16">
        <v>23</v>
      </c>
      <c r="K683" s="16">
        <v>24</v>
      </c>
      <c r="L683" s="18">
        <v>46128.348078703704</v>
      </c>
    </row>
    <row r="684" spans="1:12" x14ac:dyDescent="0.25">
      <c r="A684" s="17">
        <v>46037</v>
      </c>
      <c r="B684" s="16">
        <v>1</v>
      </c>
      <c r="C684" s="16" t="s">
        <v>29</v>
      </c>
      <c r="D684" s="19">
        <v>4</v>
      </c>
      <c r="E684" s="19">
        <v>4</v>
      </c>
      <c r="F684" s="19">
        <v>0</v>
      </c>
      <c r="G684" s="19">
        <v>0</v>
      </c>
      <c r="H684" s="19">
        <v>0</v>
      </c>
      <c r="I684" s="19">
        <v>0</v>
      </c>
      <c r="J684" s="16">
        <v>24</v>
      </c>
      <c r="K684" s="16">
        <v>24</v>
      </c>
      <c r="L684" s="18">
        <v>46128.348078703704</v>
      </c>
    </row>
    <row r="685" spans="1:12" x14ac:dyDescent="0.25">
      <c r="A685" s="17">
        <v>46038</v>
      </c>
      <c r="B685" s="16">
        <v>1</v>
      </c>
      <c r="C685" s="16" t="s">
        <v>29</v>
      </c>
      <c r="D685" s="19">
        <v>4</v>
      </c>
      <c r="E685" s="19">
        <v>2</v>
      </c>
      <c r="F685" s="19">
        <v>2</v>
      </c>
      <c r="G685" s="19">
        <v>0</v>
      </c>
      <c r="H685" s="19">
        <v>0</v>
      </c>
      <c r="I685" s="19">
        <v>0</v>
      </c>
      <c r="J685" s="16">
        <v>24</v>
      </c>
      <c r="K685" s="16">
        <v>24</v>
      </c>
      <c r="L685" s="18">
        <v>46128.348078703704</v>
      </c>
    </row>
    <row r="686" spans="1:12" x14ac:dyDescent="0.25">
      <c r="A686" s="17">
        <v>46039</v>
      </c>
      <c r="B686" s="16">
        <v>1</v>
      </c>
      <c r="C686" s="16" t="s">
        <v>29</v>
      </c>
      <c r="D686" s="19">
        <v>0</v>
      </c>
      <c r="E686" s="19">
        <v>2</v>
      </c>
      <c r="F686" s="19">
        <v>1</v>
      </c>
      <c r="G686" s="19">
        <v>0</v>
      </c>
      <c r="H686" s="19">
        <v>3</v>
      </c>
      <c r="I686" s="19">
        <v>0</v>
      </c>
      <c r="J686" s="16">
        <v>24</v>
      </c>
      <c r="K686" s="16">
        <v>24</v>
      </c>
      <c r="L686" s="18">
        <v>46128.348078703704</v>
      </c>
    </row>
    <row r="687" spans="1:12" x14ac:dyDescent="0.25">
      <c r="A687" s="17">
        <v>46040</v>
      </c>
      <c r="B687" s="16">
        <v>1</v>
      </c>
      <c r="C687" s="16" t="s">
        <v>29</v>
      </c>
      <c r="D687" s="19">
        <v>1</v>
      </c>
      <c r="E687" s="19">
        <v>3</v>
      </c>
      <c r="F687" s="19">
        <v>0</v>
      </c>
      <c r="G687" s="19">
        <v>0</v>
      </c>
      <c r="H687" s="19">
        <v>1</v>
      </c>
      <c r="I687" s="19">
        <v>0</v>
      </c>
      <c r="J687" s="16">
        <v>24</v>
      </c>
      <c r="K687" s="16">
        <v>23</v>
      </c>
      <c r="L687" s="18">
        <v>46128.348078703704</v>
      </c>
    </row>
    <row r="688" spans="1:12" x14ac:dyDescent="0.25">
      <c r="A688" s="17">
        <v>46041</v>
      </c>
      <c r="B688" s="16">
        <v>1</v>
      </c>
      <c r="C688" s="16" t="s">
        <v>29</v>
      </c>
      <c r="D688" s="19">
        <v>1</v>
      </c>
      <c r="E688" s="19">
        <v>5</v>
      </c>
      <c r="F688" s="19">
        <v>0</v>
      </c>
      <c r="G688" s="19">
        <v>0</v>
      </c>
      <c r="H688" s="19">
        <v>0</v>
      </c>
      <c r="I688" s="19">
        <v>0</v>
      </c>
      <c r="J688" s="16">
        <v>23</v>
      </c>
      <c r="K688" s="16">
        <v>19</v>
      </c>
      <c r="L688" s="18">
        <v>46128.348078703704</v>
      </c>
    </row>
    <row r="689" spans="1:12" x14ac:dyDescent="0.25">
      <c r="A689" s="17">
        <v>46042</v>
      </c>
      <c r="B689" s="16">
        <v>1</v>
      </c>
      <c r="C689" s="16" t="s">
        <v>29</v>
      </c>
      <c r="D689" s="19">
        <v>7</v>
      </c>
      <c r="E689" s="19">
        <v>7</v>
      </c>
      <c r="F689" s="19">
        <v>0</v>
      </c>
      <c r="G689" s="19">
        <v>0</v>
      </c>
      <c r="H689" s="19">
        <v>1</v>
      </c>
      <c r="I689" s="19">
        <v>0</v>
      </c>
      <c r="J689" s="16">
        <v>19</v>
      </c>
      <c r="K689" s="16">
        <v>20</v>
      </c>
      <c r="L689" s="18">
        <v>46128.348078703704</v>
      </c>
    </row>
    <row r="690" spans="1:12" x14ac:dyDescent="0.25">
      <c r="A690" s="17">
        <v>46043</v>
      </c>
      <c r="B690" s="16">
        <v>1</v>
      </c>
      <c r="C690" s="16" t="s">
        <v>29</v>
      </c>
      <c r="D690" s="19">
        <v>1</v>
      </c>
      <c r="E690" s="19">
        <v>0</v>
      </c>
      <c r="F690" s="19">
        <v>0</v>
      </c>
      <c r="G690" s="19">
        <v>0</v>
      </c>
      <c r="H690" s="19">
        <v>1</v>
      </c>
      <c r="I690" s="19">
        <v>0</v>
      </c>
      <c r="J690" s="16">
        <v>20</v>
      </c>
      <c r="K690" s="16">
        <v>22</v>
      </c>
      <c r="L690" s="18">
        <v>46128.348078703704</v>
      </c>
    </row>
    <row r="691" spans="1:12" x14ac:dyDescent="0.25">
      <c r="A691" s="17">
        <v>46044</v>
      </c>
      <c r="B691" s="16">
        <v>1</v>
      </c>
      <c r="C691" s="16" t="s">
        <v>29</v>
      </c>
      <c r="D691" s="19">
        <v>3</v>
      </c>
      <c r="E691" s="19">
        <v>5</v>
      </c>
      <c r="F691" s="19">
        <v>0</v>
      </c>
      <c r="G691" s="19">
        <v>0</v>
      </c>
      <c r="H691" s="19">
        <v>3</v>
      </c>
      <c r="I691" s="19">
        <v>0</v>
      </c>
      <c r="J691" s="16">
        <v>22</v>
      </c>
      <c r="K691" s="16">
        <v>23</v>
      </c>
      <c r="L691" s="18">
        <v>46128.348078703704</v>
      </c>
    </row>
    <row r="692" spans="1:12" x14ac:dyDescent="0.25">
      <c r="A692" s="17">
        <v>46045</v>
      </c>
      <c r="B692" s="16">
        <v>1</v>
      </c>
      <c r="C692" s="16" t="s">
        <v>29</v>
      </c>
      <c r="D692" s="19">
        <v>4</v>
      </c>
      <c r="E692" s="19">
        <v>6</v>
      </c>
      <c r="F692" s="19">
        <v>0</v>
      </c>
      <c r="G692" s="19">
        <v>0</v>
      </c>
      <c r="H692" s="19">
        <v>2</v>
      </c>
      <c r="I692" s="19">
        <v>0</v>
      </c>
      <c r="J692" s="16">
        <v>23</v>
      </c>
      <c r="K692" s="16">
        <v>23</v>
      </c>
      <c r="L692" s="18">
        <v>46128.348078703704</v>
      </c>
    </row>
    <row r="693" spans="1:12" x14ac:dyDescent="0.25">
      <c r="A693" s="17">
        <v>46046</v>
      </c>
      <c r="B693" s="16">
        <v>1</v>
      </c>
      <c r="C693" s="16" t="s">
        <v>29</v>
      </c>
      <c r="D693" s="19">
        <v>3</v>
      </c>
      <c r="E693" s="19">
        <v>2</v>
      </c>
      <c r="F693" s="19">
        <v>0</v>
      </c>
      <c r="G693" s="19">
        <v>0</v>
      </c>
      <c r="H693" s="19">
        <v>2</v>
      </c>
      <c r="I693" s="19">
        <v>0</v>
      </c>
      <c r="J693" s="16">
        <v>23</v>
      </c>
      <c r="K693" s="16">
        <v>26</v>
      </c>
      <c r="L693" s="18">
        <v>46128.348078703704</v>
      </c>
    </row>
    <row r="694" spans="1:12" x14ac:dyDescent="0.25">
      <c r="A694" s="17">
        <v>46047</v>
      </c>
      <c r="B694" s="16">
        <v>1</v>
      </c>
      <c r="C694" s="16" t="s">
        <v>29</v>
      </c>
      <c r="D694" s="19">
        <v>1</v>
      </c>
      <c r="E694" s="19">
        <v>4</v>
      </c>
      <c r="F694" s="19">
        <v>0</v>
      </c>
      <c r="G694" s="19">
        <v>0</v>
      </c>
      <c r="H694" s="19">
        <v>2</v>
      </c>
      <c r="I694" s="19">
        <v>0</v>
      </c>
      <c r="J694" s="16">
        <v>26</v>
      </c>
      <c r="K694" s="16">
        <v>25</v>
      </c>
      <c r="L694" s="18">
        <v>46128.348078703704</v>
      </c>
    </row>
    <row r="695" spans="1:12" x14ac:dyDescent="0.25">
      <c r="A695" s="17">
        <v>46048</v>
      </c>
      <c r="B695" s="16">
        <v>1</v>
      </c>
      <c r="C695" s="16" t="s">
        <v>29</v>
      </c>
      <c r="D695" s="19">
        <v>0</v>
      </c>
      <c r="E695" s="19">
        <v>4</v>
      </c>
      <c r="F695" s="19">
        <v>0</v>
      </c>
      <c r="G695" s="19">
        <v>0</v>
      </c>
      <c r="H695" s="19">
        <v>1</v>
      </c>
      <c r="I695" s="19">
        <v>0</v>
      </c>
      <c r="J695" s="16">
        <v>25</v>
      </c>
      <c r="K695" s="16">
        <v>22</v>
      </c>
      <c r="L695" s="18">
        <v>46128.348078703704</v>
      </c>
    </row>
    <row r="696" spans="1:12" x14ac:dyDescent="0.25">
      <c r="A696" s="17">
        <v>46049</v>
      </c>
      <c r="B696" s="16">
        <v>1</v>
      </c>
      <c r="C696" s="16" t="s">
        <v>29</v>
      </c>
      <c r="D696" s="19">
        <v>2</v>
      </c>
      <c r="E696" s="19">
        <v>5</v>
      </c>
      <c r="F696" s="19">
        <v>1</v>
      </c>
      <c r="G696" s="19">
        <v>0</v>
      </c>
      <c r="H696" s="19">
        <v>2</v>
      </c>
      <c r="I696" s="19">
        <v>0</v>
      </c>
      <c r="J696" s="16">
        <v>22</v>
      </c>
      <c r="K696" s="16">
        <v>20</v>
      </c>
      <c r="L696" s="18">
        <v>46128.348078703704</v>
      </c>
    </row>
    <row r="697" spans="1:12" x14ac:dyDescent="0.25">
      <c r="A697" s="17">
        <v>46050</v>
      </c>
      <c r="B697" s="16">
        <v>1</v>
      </c>
      <c r="C697" s="16" t="s">
        <v>29</v>
      </c>
      <c r="D697" s="19">
        <v>3</v>
      </c>
      <c r="E697" s="19">
        <v>0</v>
      </c>
      <c r="F697" s="19">
        <v>0</v>
      </c>
      <c r="G697" s="19">
        <v>0</v>
      </c>
      <c r="H697" s="19">
        <v>2</v>
      </c>
      <c r="I697" s="19">
        <v>0</v>
      </c>
      <c r="J697" s="16">
        <v>20</v>
      </c>
      <c r="K697" s="16">
        <v>25</v>
      </c>
      <c r="L697" s="18">
        <v>46128.348078703704</v>
      </c>
    </row>
    <row r="698" spans="1:12" x14ac:dyDescent="0.25">
      <c r="A698" s="17">
        <v>46051</v>
      </c>
      <c r="B698" s="16">
        <v>1</v>
      </c>
      <c r="C698" s="16" t="s">
        <v>29</v>
      </c>
      <c r="D698" s="19">
        <v>1</v>
      </c>
      <c r="E698" s="19">
        <v>6</v>
      </c>
      <c r="F698" s="19">
        <v>0</v>
      </c>
      <c r="G698" s="19">
        <v>0</v>
      </c>
      <c r="H698" s="19">
        <v>0</v>
      </c>
      <c r="I698" s="19">
        <v>0</v>
      </c>
      <c r="J698" s="16">
        <v>25</v>
      </c>
      <c r="K698" s="16">
        <v>20</v>
      </c>
      <c r="L698" s="18">
        <v>46128.348078703704</v>
      </c>
    </row>
    <row r="699" spans="1:12" x14ac:dyDescent="0.25">
      <c r="A699" s="17">
        <v>46052</v>
      </c>
      <c r="B699" s="16">
        <v>1</v>
      </c>
      <c r="C699" s="16" t="s">
        <v>29</v>
      </c>
      <c r="D699" s="19">
        <v>0</v>
      </c>
      <c r="E699" s="19">
        <v>6</v>
      </c>
      <c r="F699" s="19">
        <v>0</v>
      </c>
      <c r="G699" s="19">
        <v>0</v>
      </c>
      <c r="H699" s="19">
        <v>0</v>
      </c>
      <c r="I699" s="19">
        <v>0</v>
      </c>
      <c r="J699" s="16">
        <v>20</v>
      </c>
      <c r="K699" s="16">
        <v>14</v>
      </c>
      <c r="L699" s="18">
        <v>46128.348078703704</v>
      </c>
    </row>
    <row r="700" spans="1:12" x14ac:dyDescent="0.25">
      <c r="A700" s="17">
        <v>46053</v>
      </c>
      <c r="B700" s="16">
        <v>1</v>
      </c>
      <c r="C700" s="16" t="s">
        <v>29</v>
      </c>
      <c r="D700" s="19">
        <v>3</v>
      </c>
      <c r="E700" s="19">
        <v>1</v>
      </c>
      <c r="F700" s="19">
        <v>0</v>
      </c>
      <c r="G700" s="19">
        <v>0</v>
      </c>
      <c r="H700" s="19">
        <v>3</v>
      </c>
      <c r="I700" s="19">
        <v>0</v>
      </c>
      <c r="J700" s="16">
        <v>14</v>
      </c>
      <c r="K700" s="16">
        <v>19</v>
      </c>
      <c r="L700" s="18">
        <v>46128.348078703704</v>
      </c>
    </row>
    <row r="701" spans="1:12" x14ac:dyDescent="0.25">
      <c r="A701" s="17">
        <v>46054</v>
      </c>
      <c r="B701" s="16">
        <v>2</v>
      </c>
      <c r="C701" s="16" t="s">
        <v>29</v>
      </c>
      <c r="D701" s="19">
        <v>7</v>
      </c>
      <c r="E701" s="19">
        <v>0</v>
      </c>
      <c r="F701" s="19">
        <v>0</v>
      </c>
      <c r="G701" s="19">
        <v>0</v>
      </c>
      <c r="H701" s="19">
        <v>2</v>
      </c>
      <c r="I701" s="19">
        <v>0</v>
      </c>
      <c r="J701" s="16">
        <v>19</v>
      </c>
      <c r="K701" s="16">
        <v>28</v>
      </c>
      <c r="L701" s="18">
        <v>46128.348078703704</v>
      </c>
    </row>
    <row r="702" spans="1:12" x14ac:dyDescent="0.25">
      <c r="A702" s="17">
        <v>46055</v>
      </c>
      <c r="B702" s="16">
        <v>2</v>
      </c>
      <c r="C702" s="16" t="s">
        <v>29</v>
      </c>
      <c r="D702" s="19">
        <v>1</v>
      </c>
      <c r="E702" s="19">
        <v>6</v>
      </c>
      <c r="F702" s="19">
        <v>3</v>
      </c>
      <c r="G702" s="19">
        <v>0</v>
      </c>
      <c r="H702" s="19">
        <v>0</v>
      </c>
      <c r="I702" s="19">
        <v>0</v>
      </c>
      <c r="J702" s="16">
        <v>28</v>
      </c>
      <c r="K702" s="16">
        <v>20</v>
      </c>
      <c r="L702" s="18">
        <v>46128.348078703704</v>
      </c>
    </row>
    <row r="703" spans="1:12" x14ac:dyDescent="0.25">
      <c r="A703" s="17">
        <v>46056</v>
      </c>
      <c r="B703" s="16">
        <v>2</v>
      </c>
      <c r="C703" s="16" t="s">
        <v>29</v>
      </c>
      <c r="D703" s="19">
        <v>3</v>
      </c>
      <c r="E703" s="19">
        <v>3</v>
      </c>
      <c r="F703" s="19">
        <v>0</v>
      </c>
      <c r="G703" s="19">
        <v>0</v>
      </c>
      <c r="H703" s="19">
        <v>2</v>
      </c>
      <c r="I703" s="19">
        <v>0</v>
      </c>
      <c r="J703" s="16">
        <v>20</v>
      </c>
      <c r="K703" s="16">
        <v>22</v>
      </c>
      <c r="L703" s="18">
        <v>46128.348078703704</v>
      </c>
    </row>
    <row r="704" spans="1:12" x14ac:dyDescent="0.25">
      <c r="A704" s="17">
        <v>46057</v>
      </c>
      <c r="B704" s="16">
        <v>2</v>
      </c>
      <c r="C704" s="16" t="s">
        <v>29</v>
      </c>
      <c r="D704" s="19">
        <v>5</v>
      </c>
      <c r="E704" s="19">
        <v>5</v>
      </c>
      <c r="F704" s="19">
        <v>0</v>
      </c>
      <c r="G704" s="19">
        <v>0</v>
      </c>
      <c r="H704" s="19">
        <v>1</v>
      </c>
      <c r="I704" s="19">
        <v>0</v>
      </c>
      <c r="J704" s="16">
        <v>22</v>
      </c>
      <c r="K704" s="16">
        <v>23</v>
      </c>
      <c r="L704" s="18">
        <v>46128.348078703704</v>
      </c>
    </row>
    <row r="705" spans="1:12" x14ac:dyDescent="0.25">
      <c r="A705" s="17">
        <v>46058</v>
      </c>
      <c r="B705" s="16">
        <v>2</v>
      </c>
      <c r="C705" s="16" t="s">
        <v>29</v>
      </c>
      <c r="D705" s="19">
        <v>0</v>
      </c>
      <c r="E705" s="19">
        <v>3</v>
      </c>
      <c r="F705" s="19">
        <v>0</v>
      </c>
      <c r="G705" s="19">
        <v>0</v>
      </c>
      <c r="H705" s="19">
        <v>2</v>
      </c>
      <c r="I705" s="19">
        <v>0</v>
      </c>
      <c r="J705" s="16">
        <v>23</v>
      </c>
      <c r="K705" s="16">
        <v>22</v>
      </c>
      <c r="L705" s="18">
        <v>46128.348078703704</v>
      </c>
    </row>
    <row r="706" spans="1:12" x14ac:dyDescent="0.25">
      <c r="A706" s="17">
        <v>46059</v>
      </c>
      <c r="B706" s="16">
        <v>2</v>
      </c>
      <c r="C706" s="16" t="s">
        <v>29</v>
      </c>
      <c r="D706" s="19">
        <v>2</v>
      </c>
      <c r="E706" s="19">
        <v>6</v>
      </c>
      <c r="F706" s="19">
        <v>0</v>
      </c>
      <c r="G706" s="19">
        <v>0</v>
      </c>
      <c r="H706" s="19">
        <v>2</v>
      </c>
      <c r="I706" s="19">
        <v>0</v>
      </c>
      <c r="J706" s="16">
        <v>22</v>
      </c>
      <c r="K706" s="16">
        <v>20</v>
      </c>
      <c r="L706" s="18">
        <v>46128.348078703704</v>
      </c>
    </row>
    <row r="707" spans="1:12" x14ac:dyDescent="0.25">
      <c r="A707" s="17">
        <v>46060</v>
      </c>
      <c r="B707" s="16">
        <v>2</v>
      </c>
      <c r="C707" s="16" t="s">
        <v>29</v>
      </c>
      <c r="D707" s="19">
        <v>2</v>
      </c>
      <c r="E707" s="19">
        <v>2</v>
      </c>
      <c r="F707" s="19">
        <v>0</v>
      </c>
      <c r="G707" s="19">
        <v>0</v>
      </c>
      <c r="H707" s="19">
        <v>1</v>
      </c>
      <c r="I707" s="19">
        <v>0</v>
      </c>
      <c r="J707" s="16">
        <v>20</v>
      </c>
      <c r="K707" s="16">
        <v>21</v>
      </c>
      <c r="L707" s="18">
        <v>46128.348078703704</v>
      </c>
    </row>
    <row r="708" spans="1:12" x14ac:dyDescent="0.25">
      <c r="A708" s="17">
        <v>46061</v>
      </c>
      <c r="B708" s="16">
        <v>2</v>
      </c>
      <c r="C708" s="16" t="s">
        <v>29</v>
      </c>
      <c r="D708" s="19">
        <v>1</v>
      </c>
      <c r="E708" s="19">
        <v>1</v>
      </c>
      <c r="F708" s="19">
        <v>1</v>
      </c>
      <c r="G708" s="19">
        <v>0</v>
      </c>
      <c r="H708" s="19">
        <v>2</v>
      </c>
      <c r="I708" s="19">
        <v>0</v>
      </c>
      <c r="J708" s="16">
        <v>21</v>
      </c>
      <c r="K708" s="16">
        <v>22</v>
      </c>
      <c r="L708" s="18">
        <v>46128.348078703704</v>
      </c>
    </row>
    <row r="709" spans="1:12" x14ac:dyDescent="0.25">
      <c r="A709" s="17">
        <v>46062</v>
      </c>
      <c r="B709" s="16">
        <v>2</v>
      </c>
      <c r="C709" s="16" t="s">
        <v>29</v>
      </c>
      <c r="D709" s="19">
        <v>1</v>
      </c>
      <c r="E709" s="19">
        <v>1</v>
      </c>
      <c r="F709" s="19">
        <v>0</v>
      </c>
      <c r="G709" s="19">
        <v>0</v>
      </c>
      <c r="H709" s="19">
        <v>0</v>
      </c>
      <c r="I709" s="19">
        <v>0</v>
      </c>
      <c r="J709" s="16">
        <v>22</v>
      </c>
      <c r="K709" s="16">
        <v>22</v>
      </c>
      <c r="L709" s="18">
        <v>46128.348078703704</v>
      </c>
    </row>
    <row r="710" spans="1:12" x14ac:dyDescent="0.25">
      <c r="A710" s="17">
        <v>46063</v>
      </c>
      <c r="B710" s="16">
        <v>2</v>
      </c>
      <c r="C710" s="16" t="s">
        <v>29</v>
      </c>
      <c r="D710" s="19">
        <v>4</v>
      </c>
      <c r="E710" s="19">
        <v>6</v>
      </c>
      <c r="F710" s="19">
        <v>1</v>
      </c>
      <c r="G710" s="19">
        <v>0</v>
      </c>
      <c r="H710" s="19">
        <v>2</v>
      </c>
      <c r="I710" s="19">
        <v>0</v>
      </c>
      <c r="J710" s="16">
        <v>22</v>
      </c>
      <c r="K710" s="16">
        <v>21</v>
      </c>
      <c r="L710" s="18">
        <v>46128.348078703704</v>
      </c>
    </row>
    <row r="711" spans="1:12" x14ac:dyDescent="0.25">
      <c r="A711" s="17">
        <v>46064</v>
      </c>
      <c r="B711" s="16">
        <v>2</v>
      </c>
      <c r="C711" s="16" t="s">
        <v>29</v>
      </c>
      <c r="D711" s="19">
        <v>4</v>
      </c>
      <c r="E711" s="19">
        <v>3</v>
      </c>
      <c r="F711" s="19">
        <v>0</v>
      </c>
      <c r="G711" s="19">
        <v>0</v>
      </c>
      <c r="H711" s="19">
        <v>1</v>
      </c>
      <c r="I711" s="19">
        <v>0</v>
      </c>
      <c r="J711" s="16">
        <v>21</v>
      </c>
      <c r="K711" s="16">
        <v>23</v>
      </c>
      <c r="L711" s="18">
        <v>46128.348078703704</v>
      </c>
    </row>
    <row r="712" spans="1:12" x14ac:dyDescent="0.25">
      <c r="A712" s="17">
        <v>46065</v>
      </c>
      <c r="B712" s="16">
        <v>2</v>
      </c>
      <c r="C712" s="16" t="s">
        <v>29</v>
      </c>
      <c r="D712" s="19">
        <v>4</v>
      </c>
      <c r="E712" s="19">
        <v>4</v>
      </c>
      <c r="F712" s="19">
        <v>0</v>
      </c>
      <c r="G712" s="19">
        <v>0</v>
      </c>
      <c r="H712" s="19">
        <v>1</v>
      </c>
      <c r="I712" s="19">
        <v>0</v>
      </c>
      <c r="J712" s="16">
        <v>23</v>
      </c>
      <c r="K712" s="16">
        <v>24</v>
      </c>
      <c r="L712" s="18">
        <v>46128.348078703704</v>
      </c>
    </row>
    <row r="713" spans="1:12" x14ac:dyDescent="0.25">
      <c r="A713" s="17">
        <v>46066</v>
      </c>
      <c r="B713" s="16">
        <v>2</v>
      </c>
      <c r="C713" s="16" t="s">
        <v>29</v>
      </c>
      <c r="D713" s="19">
        <v>1</v>
      </c>
      <c r="E713" s="19">
        <v>7</v>
      </c>
      <c r="F713" s="19">
        <v>1</v>
      </c>
      <c r="G713" s="19">
        <v>0</v>
      </c>
      <c r="H713" s="19">
        <v>1</v>
      </c>
      <c r="I713" s="19">
        <v>0</v>
      </c>
      <c r="J713" s="16">
        <v>24</v>
      </c>
      <c r="K713" s="16">
        <v>18</v>
      </c>
      <c r="L713" s="18">
        <v>46128.348078703704</v>
      </c>
    </row>
    <row r="714" spans="1:12" x14ac:dyDescent="0.25">
      <c r="A714" s="17">
        <v>46067</v>
      </c>
      <c r="B714" s="16">
        <v>2</v>
      </c>
      <c r="C714" s="16" t="s">
        <v>29</v>
      </c>
      <c r="D714" s="19">
        <v>3</v>
      </c>
      <c r="E714" s="19">
        <v>2</v>
      </c>
      <c r="F714" s="19">
        <v>0</v>
      </c>
      <c r="G714" s="19">
        <v>0</v>
      </c>
      <c r="H714" s="19">
        <v>0</v>
      </c>
      <c r="I714" s="19">
        <v>0</v>
      </c>
      <c r="J714" s="16">
        <v>18</v>
      </c>
      <c r="K714" s="16">
        <v>19</v>
      </c>
      <c r="L714" s="18">
        <v>46128.348078703704</v>
      </c>
    </row>
    <row r="715" spans="1:12" x14ac:dyDescent="0.25">
      <c r="A715" s="17">
        <v>46068</v>
      </c>
      <c r="B715" s="16">
        <v>2</v>
      </c>
      <c r="C715" s="16" t="s">
        <v>29</v>
      </c>
      <c r="D715" s="19">
        <v>1</v>
      </c>
      <c r="E715" s="19">
        <v>0</v>
      </c>
      <c r="F715" s="19">
        <v>0</v>
      </c>
      <c r="G715" s="19">
        <v>0</v>
      </c>
      <c r="H715" s="19">
        <v>1</v>
      </c>
      <c r="I715" s="19">
        <v>0</v>
      </c>
      <c r="J715" s="16">
        <v>19</v>
      </c>
      <c r="K715" s="16">
        <v>21</v>
      </c>
      <c r="L715" s="18">
        <v>46128.348078703704</v>
      </c>
    </row>
    <row r="716" spans="1:12" x14ac:dyDescent="0.25">
      <c r="A716" s="17">
        <v>46069</v>
      </c>
      <c r="B716" s="16">
        <v>2</v>
      </c>
      <c r="C716" s="16" t="s">
        <v>29</v>
      </c>
      <c r="D716" s="19">
        <v>5</v>
      </c>
      <c r="E716" s="19">
        <v>9</v>
      </c>
      <c r="F716" s="19">
        <v>0</v>
      </c>
      <c r="G716" s="19">
        <v>0</v>
      </c>
      <c r="H716" s="19">
        <v>3</v>
      </c>
      <c r="I716" s="19">
        <v>0</v>
      </c>
      <c r="J716" s="16">
        <v>21</v>
      </c>
      <c r="K716" s="16">
        <v>20</v>
      </c>
      <c r="L716" s="18">
        <v>46128.348078703704</v>
      </c>
    </row>
    <row r="717" spans="1:12" x14ac:dyDescent="0.25">
      <c r="A717" s="17">
        <v>46070</v>
      </c>
      <c r="B717" s="16">
        <v>2</v>
      </c>
      <c r="C717" s="16" t="s">
        <v>29</v>
      </c>
      <c r="D717" s="19">
        <v>3</v>
      </c>
      <c r="E717" s="19">
        <v>4</v>
      </c>
      <c r="F717" s="19">
        <v>0</v>
      </c>
      <c r="G717" s="19">
        <v>0</v>
      </c>
      <c r="H717" s="19">
        <v>0</v>
      </c>
      <c r="I717" s="19">
        <v>0</v>
      </c>
      <c r="J717" s="16">
        <v>20</v>
      </c>
      <c r="K717" s="16">
        <v>19</v>
      </c>
      <c r="L717" s="18">
        <v>46128.348078703704</v>
      </c>
    </row>
    <row r="718" spans="1:12" x14ac:dyDescent="0.25">
      <c r="A718" s="17">
        <v>46071</v>
      </c>
      <c r="B718" s="16">
        <v>2</v>
      </c>
      <c r="C718" s="16" t="s">
        <v>29</v>
      </c>
      <c r="D718" s="19">
        <v>1</v>
      </c>
      <c r="E718" s="19">
        <v>2</v>
      </c>
      <c r="F718" s="19">
        <v>0</v>
      </c>
      <c r="G718" s="19">
        <v>0</v>
      </c>
      <c r="H718" s="19">
        <v>0</v>
      </c>
      <c r="I718" s="19">
        <v>0</v>
      </c>
      <c r="J718" s="16">
        <v>19</v>
      </c>
      <c r="K718" s="16">
        <v>18</v>
      </c>
      <c r="L718" s="18">
        <v>46128.348078703704</v>
      </c>
    </row>
    <row r="719" spans="1:12" x14ac:dyDescent="0.25">
      <c r="A719" s="17">
        <v>46072</v>
      </c>
      <c r="B719" s="16">
        <v>2</v>
      </c>
      <c r="C719" s="16" t="s">
        <v>29</v>
      </c>
      <c r="D719" s="19">
        <v>1</v>
      </c>
      <c r="E719" s="19">
        <v>1</v>
      </c>
      <c r="F719" s="19">
        <v>1</v>
      </c>
      <c r="G719" s="19">
        <v>0</v>
      </c>
      <c r="H719" s="19">
        <v>2</v>
      </c>
      <c r="I719" s="19">
        <v>0</v>
      </c>
      <c r="J719" s="16">
        <v>18</v>
      </c>
      <c r="K719" s="16">
        <v>19</v>
      </c>
      <c r="L719" s="18">
        <v>46128.348078703704</v>
      </c>
    </row>
    <row r="720" spans="1:12" x14ac:dyDescent="0.25">
      <c r="A720" s="17">
        <v>46073</v>
      </c>
      <c r="B720" s="16">
        <v>2</v>
      </c>
      <c r="C720" s="16" t="s">
        <v>29</v>
      </c>
      <c r="D720" s="19">
        <v>0</v>
      </c>
      <c r="E720" s="19">
        <v>3</v>
      </c>
      <c r="F720" s="19">
        <v>0</v>
      </c>
      <c r="G720" s="19">
        <v>0</v>
      </c>
      <c r="H720" s="19">
        <v>2</v>
      </c>
      <c r="I720" s="19">
        <v>0</v>
      </c>
      <c r="J720" s="16">
        <v>19</v>
      </c>
      <c r="K720" s="16">
        <v>18</v>
      </c>
      <c r="L720" s="18">
        <v>46128.348078703704</v>
      </c>
    </row>
    <row r="721" spans="1:12" x14ac:dyDescent="0.25">
      <c r="A721" s="17">
        <v>46074</v>
      </c>
      <c r="B721" s="16">
        <v>2</v>
      </c>
      <c r="C721" s="16" t="s">
        <v>29</v>
      </c>
      <c r="D721" s="19">
        <v>2</v>
      </c>
      <c r="E721" s="19">
        <v>9</v>
      </c>
      <c r="F721" s="19">
        <v>1</v>
      </c>
      <c r="G721" s="19">
        <v>0</v>
      </c>
      <c r="H721" s="19">
        <v>1</v>
      </c>
      <c r="I721" s="19">
        <v>0</v>
      </c>
      <c r="J721" s="16">
        <v>18</v>
      </c>
      <c r="K721" s="16">
        <v>11</v>
      </c>
      <c r="L721" s="18">
        <v>46128.348078703704</v>
      </c>
    </row>
    <row r="722" spans="1:12" x14ac:dyDescent="0.25">
      <c r="A722" s="17">
        <v>46075</v>
      </c>
      <c r="B722" s="16">
        <v>2</v>
      </c>
      <c r="C722" s="16" t="s">
        <v>29</v>
      </c>
      <c r="D722" s="19">
        <v>1</v>
      </c>
      <c r="E722" s="19">
        <v>0</v>
      </c>
      <c r="F722" s="19">
        <v>0</v>
      </c>
      <c r="G722" s="19">
        <v>0</v>
      </c>
      <c r="H722" s="19">
        <v>0</v>
      </c>
      <c r="I722" s="19">
        <v>0</v>
      </c>
      <c r="J722" s="16">
        <v>11</v>
      </c>
      <c r="K722" s="16">
        <v>12</v>
      </c>
      <c r="L722" s="18">
        <v>46128.348078703704</v>
      </c>
    </row>
    <row r="723" spans="1:12" x14ac:dyDescent="0.25">
      <c r="A723" s="17">
        <v>46076</v>
      </c>
      <c r="B723" s="16">
        <v>2</v>
      </c>
      <c r="C723" s="16" t="s">
        <v>29</v>
      </c>
      <c r="D723" s="19">
        <v>3</v>
      </c>
      <c r="E723" s="19">
        <v>5</v>
      </c>
      <c r="F723" s="19">
        <v>0</v>
      </c>
      <c r="G723" s="19">
        <v>0</v>
      </c>
      <c r="H723" s="19">
        <v>0</v>
      </c>
      <c r="I723" s="19">
        <v>0</v>
      </c>
      <c r="J723" s="16">
        <v>12</v>
      </c>
      <c r="K723" s="16">
        <v>10</v>
      </c>
      <c r="L723" s="18">
        <v>46128.348078703704</v>
      </c>
    </row>
    <row r="724" spans="1:12" x14ac:dyDescent="0.25">
      <c r="A724" s="17">
        <v>46077</v>
      </c>
      <c r="B724" s="16">
        <v>2</v>
      </c>
      <c r="C724" s="16" t="s">
        <v>29</v>
      </c>
      <c r="D724" s="19">
        <v>4</v>
      </c>
      <c r="E724" s="19">
        <v>3</v>
      </c>
      <c r="F724" s="19">
        <v>0</v>
      </c>
      <c r="G724" s="19">
        <v>0</v>
      </c>
      <c r="H724" s="19">
        <v>2</v>
      </c>
      <c r="I724" s="19">
        <v>0</v>
      </c>
      <c r="J724" s="16">
        <v>10</v>
      </c>
      <c r="K724" s="16">
        <v>13</v>
      </c>
      <c r="L724" s="18">
        <v>46128.348078703704</v>
      </c>
    </row>
    <row r="725" spans="1:12" x14ac:dyDescent="0.25">
      <c r="A725" s="17">
        <v>46078</v>
      </c>
      <c r="B725" s="16">
        <v>2</v>
      </c>
      <c r="C725" s="16" t="s">
        <v>29</v>
      </c>
      <c r="D725" s="19">
        <v>2</v>
      </c>
      <c r="E725" s="19">
        <v>2</v>
      </c>
      <c r="F725" s="19">
        <v>0</v>
      </c>
      <c r="G725" s="19">
        <v>0</v>
      </c>
      <c r="H725" s="19">
        <v>0</v>
      </c>
      <c r="I725" s="19">
        <v>0</v>
      </c>
      <c r="J725" s="16">
        <v>13</v>
      </c>
      <c r="K725" s="16">
        <v>13</v>
      </c>
      <c r="L725" s="18">
        <v>46128.348078703704</v>
      </c>
    </row>
    <row r="726" spans="1:12" x14ac:dyDescent="0.25">
      <c r="A726" s="17">
        <v>46079</v>
      </c>
      <c r="B726" s="16">
        <v>2</v>
      </c>
      <c r="C726" s="16" t="s">
        <v>29</v>
      </c>
      <c r="D726" s="19">
        <v>3</v>
      </c>
      <c r="E726" s="19">
        <v>5</v>
      </c>
      <c r="F726" s="19">
        <v>0</v>
      </c>
      <c r="G726" s="19">
        <v>0</v>
      </c>
      <c r="H726" s="19">
        <v>2</v>
      </c>
      <c r="I726" s="19">
        <v>0</v>
      </c>
      <c r="J726" s="16">
        <v>13</v>
      </c>
      <c r="K726" s="16">
        <v>13</v>
      </c>
      <c r="L726" s="18">
        <v>46128.348078703704</v>
      </c>
    </row>
    <row r="727" spans="1:12" x14ac:dyDescent="0.25">
      <c r="A727" s="17">
        <v>46080</v>
      </c>
      <c r="B727" s="16">
        <v>2</v>
      </c>
      <c r="C727" s="16" t="s">
        <v>29</v>
      </c>
      <c r="D727" s="19">
        <v>5</v>
      </c>
      <c r="E727" s="19">
        <v>4</v>
      </c>
      <c r="F727" s="19">
        <v>0</v>
      </c>
      <c r="G727" s="19">
        <v>0</v>
      </c>
      <c r="H727" s="19">
        <v>1</v>
      </c>
      <c r="I727" s="19">
        <v>0</v>
      </c>
      <c r="J727" s="16">
        <v>13</v>
      </c>
      <c r="K727" s="16">
        <v>15</v>
      </c>
      <c r="L727" s="18">
        <v>46128.348078703704</v>
      </c>
    </row>
    <row r="728" spans="1:12" x14ac:dyDescent="0.25">
      <c r="A728" s="17">
        <v>46081</v>
      </c>
      <c r="B728" s="16">
        <v>2</v>
      </c>
      <c r="C728" s="16" t="s">
        <v>29</v>
      </c>
      <c r="D728" s="19">
        <v>2</v>
      </c>
      <c r="E728" s="19">
        <v>3</v>
      </c>
      <c r="F728" s="19">
        <v>0</v>
      </c>
      <c r="G728" s="19">
        <v>0</v>
      </c>
      <c r="H728" s="19">
        <v>0</v>
      </c>
      <c r="I728" s="19">
        <v>0</v>
      </c>
      <c r="J728" s="16">
        <v>15</v>
      </c>
      <c r="K728" s="16">
        <v>14</v>
      </c>
      <c r="L728" s="18">
        <v>46128.348078703704</v>
      </c>
    </row>
    <row r="729" spans="1:12" x14ac:dyDescent="0.25">
      <c r="A729" s="17">
        <v>46082</v>
      </c>
      <c r="B729" s="16">
        <v>3</v>
      </c>
      <c r="C729" s="16" t="s">
        <v>29</v>
      </c>
      <c r="D729" s="19">
        <v>0</v>
      </c>
      <c r="E729" s="19">
        <v>3</v>
      </c>
      <c r="F729" s="19">
        <v>0</v>
      </c>
      <c r="G729" s="19">
        <v>0</v>
      </c>
      <c r="H729" s="19">
        <v>2</v>
      </c>
      <c r="I729" s="19">
        <v>0</v>
      </c>
      <c r="J729" s="16">
        <v>14</v>
      </c>
      <c r="K729" s="16">
        <v>13</v>
      </c>
      <c r="L729" s="18">
        <v>46128.348078703704</v>
      </c>
    </row>
    <row r="730" spans="1:12" x14ac:dyDescent="0.25">
      <c r="A730" s="17">
        <v>46083</v>
      </c>
      <c r="B730" s="16">
        <v>3</v>
      </c>
      <c r="C730" s="16" t="s">
        <v>29</v>
      </c>
      <c r="D730" s="19">
        <v>1</v>
      </c>
      <c r="E730" s="19">
        <v>1</v>
      </c>
      <c r="F730" s="19">
        <v>3</v>
      </c>
      <c r="G730" s="19">
        <v>0</v>
      </c>
      <c r="H730" s="19">
        <v>1</v>
      </c>
      <c r="I730" s="19">
        <v>0</v>
      </c>
      <c r="J730" s="16">
        <v>13</v>
      </c>
      <c r="K730" s="16">
        <v>11</v>
      </c>
      <c r="L730" s="18">
        <v>46128.348078703704</v>
      </c>
    </row>
    <row r="731" spans="1:12" x14ac:dyDescent="0.25">
      <c r="A731" s="17">
        <v>46084</v>
      </c>
      <c r="B731" s="16">
        <v>3</v>
      </c>
      <c r="C731" s="16" t="s">
        <v>29</v>
      </c>
      <c r="D731" s="19">
        <v>3</v>
      </c>
      <c r="E731" s="19">
        <v>2</v>
      </c>
      <c r="F731" s="19">
        <v>0</v>
      </c>
      <c r="G731" s="19">
        <v>0</v>
      </c>
      <c r="H731" s="19">
        <v>2</v>
      </c>
      <c r="I731" s="19">
        <v>0</v>
      </c>
      <c r="J731" s="16">
        <v>11</v>
      </c>
      <c r="K731" s="16">
        <v>14</v>
      </c>
      <c r="L731" s="18">
        <v>46128.348078703704</v>
      </c>
    </row>
    <row r="732" spans="1:12" x14ac:dyDescent="0.25">
      <c r="A732" s="17">
        <v>46085</v>
      </c>
      <c r="B732" s="16">
        <v>3</v>
      </c>
      <c r="C732" s="16" t="s">
        <v>29</v>
      </c>
      <c r="D732" s="19">
        <v>1</v>
      </c>
      <c r="E732" s="19">
        <v>3</v>
      </c>
      <c r="F732" s="19">
        <v>0</v>
      </c>
      <c r="G732" s="19">
        <v>0</v>
      </c>
      <c r="H732" s="19">
        <v>0</v>
      </c>
      <c r="I732" s="19">
        <v>0</v>
      </c>
      <c r="J732" s="16">
        <v>14</v>
      </c>
      <c r="K732" s="16">
        <v>12</v>
      </c>
      <c r="L732" s="18">
        <v>46128.348078703704</v>
      </c>
    </row>
    <row r="733" spans="1:12" x14ac:dyDescent="0.25">
      <c r="A733" s="17">
        <v>46086</v>
      </c>
      <c r="B733" s="16">
        <v>3</v>
      </c>
      <c r="C733" s="16" t="s">
        <v>29</v>
      </c>
      <c r="D733" s="19">
        <v>3</v>
      </c>
      <c r="E733" s="19">
        <v>4</v>
      </c>
      <c r="F733" s="19">
        <v>0</v>
      </c>
      <c r="G733" s="19">
        <v>0</v>
      </c>
      <c r="H733" s="19">
        <v>1</v>
      </c>
      <c r="I733" s="19">
        <v>0</v>
      </c>
      <c r="J733" s="16">
        <v>12</v>
      </c>
      <c r="K733" s="16">
        <v>12</v>
      </c>
      <c r="L733" s="18">
        <v>46128.348078703704</v>
      </c>
    </row>
    <row r="734" spans="1:12" x14ac:dyDescent="0.25">
      <c r="A734" s="17">
        <v>46087</v>
      </c>
      <c r="B734" s="16">
        <v>3</v>
      </c>
      <c r="C734" s="16" t="s">
        <v>29</v>
      </c>
      <c r="D734" s="19">
        <v>2</v>
      </c>
      <c r="E734" s="19">
        <v>4</v>
      </c>
      <c r="F734" s="19">
        <v>0</v>
      </c>
      <c r="G734" s="19">
        <v>0</v>
      </c>
      <c r="H734" s="19">
        <v>0</v>
      </c>
      <c r="I734" s="19">
        <v>0</v>
      </c>
      <c r="J734" s="16">
        <v>12</v>
      </c>
      <c r="K734" s="16">
        <v>10</v>
      </c>
      <c r="L734" s="18">
        <v>46128.348078703704</v>
      </c>
    </row>
    <row r="735" spans="1:12" x14ac:dyDescent="0.25">
      <c r="A735" s="17">
        <v>46088</v>
      </c>
      <c r="B735" s="16">
        <v>3</v>
      </c>
      <c r="C735" s="16" t="s">
        <v>29</v>
      </c>
      <c r="D735" s="19">
        <v>0</v>
      </c>
      <c r="E735" s="19">
        <v>0</v>
      </c>
      <c r="F735" s="19">
        <v>1</v>
      </c>
      <c r="G735" s="19">
        <v>0</v>
      </c>
      <c r="H735" s="19">
        <v>1</v>
      </c>
      <c r="I735" s="19">
        <v>0</v>
      </c>
      <c r="J735" s="16">
        <v>10</v>
      </c>
      <c r="K735" s="16">
        <v>10</v>
      </c>
      <c r="L735" s="18">
        <v>46128.348078703704</v>
      </c>
    </row>
    <row r="736" spans="1:12" x14ac:dyDescent="0.25">
      <c r="A736" s="17">
        <v>46089</v>
      </c>
      <c r="B736" s="16">
        <v>3</v>
      </c>
      <c r="C736" s="16" t="s">
        <v>29</v>
      </c>
      <c r="D736" s="19">
        <v>1</v>
      </c>
      <c r="E736" s="19">
        <v>0</v>
      </c>
      <c r="F736" s="19">
        <v>0</v>
      </c>
      <c r="G736" s="19">
        <v>0</v>
      </c>
      <c r="H736" s="19">
        <v>1</v>
      </c>
      <c r="I736" s="19">
        <v>0</v>
      </c>
      <c r="J736" s="16">
        <v>10</v>
      </c>
      <c r="K736" s="16">
        <v>12</v>
      </c>
      <c r="L736" s="18">
        <v>46128.348078703704</v>
      </c>
    </row>
    <row r="737" spans="1:12" x14ac:dyDescent="0.25">
      <c r="A737" s="17">
        <v>46090</v>
      </c>
      <c r="B737" s="16">
        <v>3</v>
      </c>
      <c r="C737" s="16" t="s">
        <v>29</v>
      </c>
      <c r="D737" s="19">
        <v>3</v>
      </c>
      <c r="E737" s="19">
        <v>1</v>
      </c>
      <c r="F737" s="19">
        <v>1</v>
      </c>
      <c r="G737" s="19">
        <v>0</v>
      </c>
      <c r="H737" s="19">
        <v>1</v>
      </c>
      <c r="I737" s="19">
        <v>0</v>
      </c>
      <c r="J737" s="16">
        <v>12</v>
      </c>
      <c r="K737" s="16">
        <v>14</v>
      </c>
      <c r="L737" s="18">
        <v>46128.348078703704</v>
      </c>
    </row>
    <row r="738" spans="1:12" x14ac:dyDescent="0.25">
      <c r="A738" s="17">
        <v>46091</v>
      </c>
      <c r="B738" s="16">
        <v>3</v>
      </c>
      <c r="C738" s="16" t="s">
        <v>29</v>
      </c>
      <c r="D738" s="19">
        <v>0</v>
      </c>
      <c r="E738" s="19">
        <v>5</v>
      </c>
      <c r="F738" s="19">
        <v>0</v>
      </c>
      <c r="G738" s="19">
        <v>0</v>
      </c>
      <c r="H738" s="19">
        <v>1</v>
      </c>
      <c r="I738" s="19">
        <v>0</v>
      </c>
      <c r="J738" s="16">
        <v>14</v>
      </c>
      <c r="K738" s="16">
        <v>10</v>
      </c>
      <c r="L738" s="18">
        <v>46128.348078703704</v>
      </c>
    </row>
    <row r="739" spans="1:12" x14ac:dyDescent="0.25">
      <c r="A739" s="17">
        <v>46092</v>
      </c>
      <c r="B739" s="16">
        <v>3</v>
      </c>
      <c r="C739" s="16" t="s">
        <v>29</v>
      </c>
      <c r="D739" s="19">
        <v>3</v>
      </c>
      <c r="E739" s="19">
        <v>2</v>
      </c>
      <c r="F739" s="19">
        <v>0</v>
      </c>
      <c r="G739" s="19">
        <v>0</v>
      </c>
      <c r="H739" s="19">
        <v>0</v>
      </c>
      <c r="I739" s="19">
        <v>0</v>
      </c>
      <c r="J739" s="16">
        <v>10</v>
      </c>
      <c r="K739" s="16">
        <v>11</v>
      </c>
      <c r="L739" s="18">
        <v>46128.348078703704</v>
      </c>
    </row>
    <row r="740" spans="1:12" x14ac:dyDescent="0.25">
      <c r="A740" s="17">
        <v>46093</v>
      </c>
      <c r="B740" s="16">
        <v>3</v>
      </c>
      <c r="C740" s="16" t="s">
        <v>29</v>
      </c>
      <c r="D740" s="19">
        <v>0</v>
      </c>
      <c r="E740" s="19">
        <v>2</v>
      </c>
      <c r="F740" s="19">
        <v>0</v>
      </c>
      <c r="G740" s="19">
        <v>0</v>
      </c>
      <c r="H740" s="19">
        <v>3</v>
      </c>
      <c r="I740" s="19">
        <v>0</v>
      </c>
      <c r="J740" s="16">
        <v>11</v>
      </c>
      <c r="K740" s="16">
        <v>12</v>
      </c>
      <c r="L740" s="18">
        <v>46128.348078703704</v>
      </c>
    </row>
    <row r="741" spans="1:12" x14ac:dyDescent="0.25">
      <c r="A741" s="17">
        <v>46094</v>
      </c>
      <c r="B741" s="16">
        <v>3</v>
      </c>
      <c r="C741" s="16" t="s">
        <v>29</v>
      </c>
      <c r="D741" s="19">
        <v>2</v>
      </c>
      <c r="E741" s="19">
        <v>3</v>
      </c>
      <c r="F741" s="19">
        <v>1</v>
      </c>
      <c r="G741" s="19">
        <v>0</v>
      </c>
      <c r="H741" s="19">
        <v>1</v>
      </c>
      <c r="I741" s="19">
        <v>0</v>
      </c>
      <c r="J741" s="16">
        <v>12</v>
      </c>
      <c r="K741" s="16">
        <v>11</v>
      </c>
      <c r="L741" s="18">
        <v>46128.348078703704</v>
      </c>
    </row>
    <row r="742" spans="1:12" x14ac:dyDescent="0.25">
      <c r="A742" s="17">
        <v>46095</v>
      </c>
      <c r="B742" s="16">
        <v>3</v>
      </c>
      <c r="C742" s="16" t="s">
        <v>29</v>
      </c>
      <c r="D742" s="19">
        <v>3</v>
      </c>
      <c r="E742" s="19">
        <v>1</v>
      </c>
      <c r="F742" s="19">
        <v>0</v>
      </c>
      <c r="G742" s="19">
        <v>0</v>
      </c>
      <c r="H742" s="19">
        <v>0</v>
      </c>
      <c r="I742" s="19">
        <v>0</v>
      </c>
      <c r="J742" s="16">
        <v>11</v>
      </c>
      <c r="K742" s="16">
        <v>13</v>
      </c>
      <c r="L742" s="18">
        <v>46128.348078703704</v>
      </c>
    </row>
    <row r="743" spans="1:12" x14ac:dyDescent="0.25">
      <c r="A743" s="17">
        <v>46096</v>
      </c>
      <c r="B743" s="16">
        <v>3</v>
      </c>
      <c r="C743" s="16" t="s">
        <v>29</v>
      </c>
      <c r="D743" s="19">
        <v>3</v>
      </c>
      <c r="E743" s="19">
        <v>0</v>
      </c>
      <c r="F743" s="19">
        <v>0</v>
      </c>
      <c r="G743" s="19">
        <v>0</v>
      </c>
      <c r="H743" s="19">
        <v>2</v>
      </c>
      <c r="I743" s="19">
        <v>0</v>
      </c>
      <c r="J743" s="16">
        <v>13</v>
      </c>
      <c r="K743" s="16">
        <v>18</v>
      </c>
      <c r="L743" s="18">
        <v>46128.348078703704</v>
      </c>
    </row>
    <row r="744" spans="1:12" x14ac:dyDescent="0.25">
      <c r="A744" s="17">
        <v>46097</v>
      </c>
      <c r="B744" s="16">
        <v>3</v>
      </c>
      <c r="C744" s="16" t="s">
        <v>29</v>
      </c>
      <c r="D744" s="19">
        <v>1</v>
      </c>
      <c r="E744" s="19">
        <v>3</v>
      </c>
      <c r="F744" s="19">
        <v>0</v>
      </c>
      <c r="G744" s="19">
        <v>0</v>
      </c>
      <c r="H744" s="19">
        <v>0</v>
      </c>
      <c r="I744" s="19">
        <v>0</v>
      </c>
      <c r="J744" s="16">
        <v>18</v>
      </c>
      <c r="K744" s="16">
        <v>16</v>
      </c>
      <c r="L744" s="18">
        <v>46128.348078703704</v>
      </c>
    </row>
    <row r="745" spans="1:12" x14ac:dyDescent="0.25">
      <c r="A745" s="17">
        <v>46098</v>
      </c>
      <c r="B745" s="16">
        <v>3</v>
      </c>
      <c r="C745" s="16" t="s">
        <v>29</v>
      </c>
      <c r="D745" s="19">
        <v>3</v>
      </c>
      <c r="E745" s="19">
        <v>3</v>
      </c>
      <c r="F745" s="19">
        <v>0</v>
      </c>
      <c r="G745" s="19">
        <v>0</v>
      </c>
      <c r="H745" s="19">
        <v>2</v>
      </c>
      <c r="I745" s="19">
        <v>0</v>
      </c>
      <c r="J745" s="16">
        <v>16</v>
      </c>
      <c r="K745" s="16">
        <v>18</v>
      </c>
      <c r="L745" s="18">
        <v>46128.348078703704</v>
      </c>
    </row>
    <row r="746" spans="1:12" x14ac:dyDescent="0.25">
      <c r="A746" s="17">
        <v>46099</v>
      </c>
      <c r="B746" s="16">
        <v>3</v>
      </c>
      <c r="C746" s="16" t="s">
        <v>29</v>
      </c>
      <c r="D746" s="19">
        <v>1</v>
      </c>
      <c r="E746" s="19">
        <v>0</v>
      </c>
      <c r="F746" s="19">
        <v>0</v>
      </c>
      <c r="G746" s="19">
        <v>0</v>
      </c>
      <c r="H746" s="19">
        <v>2</v>
      </c>
      <c r="I746" s="19">
        <v>0</v>
      </c>
      <c r="J746" s="16">
        <v>18</v>
      </c>
      <c r="K746" s="16">
        <v>21</v>
      </c>
      <c r="L746" s="18">
        <v>46128.348078703704</v>
      </c>
    </row>
    <row r="747" spans="1:12" x14ac:dyDescent="0.25">
      <c r="A747" s="17">
        <v>46100</v>
      </c>
      <c r="B747" s="16">
        <v>3</v>
      </c>
      <c r="C747" s="16" t="s">
        <v>29</v>
      </c>
      <c r="D747" s="19">
        <v>2</v>
      </c>
      <c r="E747" s="19">
        <v>6</v>
      </c>
      <c r="F747" s="19">
        <v>0</v>
      </c>
      <c r="G747" s="19">
        <v>0</v>
      </c>
      <c r="H747" s="19">
        <v>1</v>
      </c>
      <c r="I747" s="19">
        <v>0</v>
      </c>
      <c r="J747" s="16">
        <v>21</v>
      </c>
      <c r="K747" s="16">
        <v>18</v>
      </c>
      <c r="L747" s="18">
        <v>46128.348078703704</v>
      </c>
    </row>
    <row r="748" spans="1:12" x14ac:dyDescent="0.25">
      <c r="A748" s="17">
        <v>46101</v>
      </c>
      <c r="B748" s="16">
        <v>3</v>
      </c>
      <c r="C748" s="16" t="s">
        <v>29</v>
      </c>
      <c r="D748" s="19">
        <v>3</v>
      </c>
      <c r="E748" s="19">
        <v>4</v>
      </c>
      <c r="F748" s="19">
        <v>0</v>
      </c>
      <c r="G748" s="19">
        <v>0</v>
      </c>
      <c r="H748" s="19">
        <v>0</v>
      </c>
      <c r="I748" s="19">
        <v>0</v>
      </c>
      <c r="J748" s="16">
        <v>18</v>
      </c>
      <c r="K748" s="16">
        <v>17</v>
      </c>
      <c r="L748" s="18">
        <v>46128.348078703704</v>
      </c>
    </row>
    <row r="749" spans="1:12" x14ac:dyDescent="0.25">
      <c r="A749" s="17">
        <v>46102</v>
      </c>
      <c r="B749" s="16">
        <v>3</v>
      </c>
      <c r="C749" s="16" t="s">
        <v>29</v>
      </c>
      <c r="D749" s="19">
        <v>3</v>
      </c>
      <c r="E749" s="19">
        <v>0</v>
      </c>
      <c r="F749" s="19">
        <v>0</v>
      </c>
      <c r="G749" s="19">
        <v>0</v>
      </c>
      <c r="H749" s="19">
        <v>1</v>
      </c>
      <c r="I749" s="19">
        <v>0</v>
      </c>
      <c r="J749" s="16">
        <v>17</v>
      </c>
      <c r="K749" s="16">
        <v>21</v>
      </c>
      <c r="L749" s="18">
        <v>46128.348078703704</v>
      </c>
    </row>
    <row r="750" spans="1:12" x14ac:dyDescent="0.25">
      <c r="A750" s="17">
        <v>46103</v>
      </c>
      <c r="B750" s="16">
        <v>3</v>
      </c>
      <c r="C750" s="16" t="s">
        <v>29</v>
      </c>
      <c r="D750" s="19">
        <v>2</v>
      </c>
      <c r="E750" s="19">
        <v>1</v>
      </c>
      <c r="F750" s="19">
        <v>0</v>
      </c>
      <c r="G750" s="19">
        <v>0</v>
      </c>
      <c r="H750" s="19">
        <v>0</v>
      </c>
      <c r="I750" s="19">
        <v>0</v>
      </c>
      <c r="J750" s="16">
        <v>21</v>
      </c>
      <c r="K750" s="16">
        <v>22</v>
      </c>
      <c r="L750" s="18">
        <v>46128.348078703704</v>
      </c>
    </row>
    <row r="751" spans="1:12" x14ac:dyDescent="0.25">
      <c r="A751" s="17">
        <v>46104</v>
      </c>
      <c r="B751" s="16">
        <v>3</v>
      </c>
      <c r="C751" s="16" t="s">
        <v>29</v>
      </c>
      <c r="D751" s="19">
        <v>3</v>
      </c>
      <c r="E751" s="19">
        <v>2</v>
      </c>
      <c r="F751" s="19">
        <v>0</v>
      </c>
      <c r="G751" s="19">
        <v>0</v>
      </c>
      <c r="H751" s="19">
        <v>0</v>
      </c>
      <c r="I751" s="19">
        <v>0</v>
      </c>
      <c r="J751" s="16">
        <v>22</v>
      </c>
      <c r="K751" s="16">
        <v>23</v>
      </c>
      <c r="L751" s="18">
        <v>46128.348078703704</v>
      </c>
    </row>
    <row r="752" spans="1:12" x14ac:dyDescent="0.25">
      <c r="A752" s="17">
        <v>46105</v>
      </c>
      <c r="B752" s="16">
        <v>3</v>
      </c>
      <c r="C752" s="16" t="s">
        <v>29</v>
      </c>
      <c r="D752" s="19">
        <v>1</v>
      </c>
      <c r="E752" s="19">
        <v>3</v>
      </c>
      <c r="F752" s="19">
        <v>0</v>
      </c>
      <c r="G752" s="19">
        <v>0</v>
      </c>
      <c r="H752" s="19">
        <v>0</v>
      </c>
      <c r="I752" s="19">
        <v>0</v>
      </c>
      <c r="J752" s="16">
        <v>23</v>
      </c>
      <c r="K752" s="16">
        <v>21</v>
      </c>
      <c r="L752" s="18">
        <v>46128.348078703704</v>
      </c>
    </row>
    <row r="753" spans="1:12" x14ac:dyDescent="0.25">
      <c r="A753" s="17">
        <v>46106</v>
      </c>
      <c r="B753" s="16">
        <v>3</v>
      </c>
      <c r="C753" s="16" t="s">
        <v>29</v>
      </c>
      <c r="D753" s="19">
        <v>0</v>
      </c>
      <c r="E753" s="19">
        <v>8</v>
      </c>
      <c r="F753" s="19">
        <v>0</v>
      </c>
      <c r="G753" s="19">
        <v>0</v>
      </c>
      <c r="H753" s="19">
        <v>2</v>
      </c>
      <c r="I753" s="19">
        <v>0</v>
      </c>
      <c r="J753" s="16">
        <v>21</v>
      </c>
      <c r="K753" s="16">
        <v>15</v>
      </c>
      <c r="L753" s="18">
        <v>46128.348078703704</v>
      </c>
    </row>
    <row r="754" spans="1:12" x14ac:dyDescent="0.25">
      <c r="A754" s="17">
        <v>46107</v>
      </c>
      <c r="B754" s="16">
        <v>3</v>
      </c>
      <c r="C754" s="16" t="s">
        <v>29</v>
      </c>
      <c r="D754" s="19">
        <v>2</v>
      </c>
      <c r="E754" s="19">
        <v>4</v>
      </c>
      <c r="F754" s="19">
        <v>0</v>
      </c>
      <c r="G754" s="19">
        <v>0</v>
      </c>
      <c r="H754" s="19">
        <v>3</v>
      </c>
      <c r="I754" s="19">
        <v>0</v>
      </c>
      <c r="J754" s="16">
        <v>15</v>
      </c>
      <c r="K754" s="16">
        <v>16</v>
      </c>
      <c r="L754" s="18">
        <v>46128.348078703704</v>
      </c>
    </row>
    <row r="755" spans="1:12" x14ac:dyDescent="0.25">
      <c r="A755" s="17">
        <v>46108</v>
      </c>
      <c r="B755" s="16">
        <v>3</v>
      </c>
      <c r="C755" s="16" t="s">
        <v>29</v>
      </c>
      <c r="D755" s="19">
        <v>6</v>
      </c>
      <c r="E755" s="19">
        <v>2</v>
      </c>
      <c r="F755" s="19">
        <v>0</v>
      </c>
      <c r="G755" s="19">
        <v>0</v>
      </c>
      <c r="H755" s="19">
        <v>0</v>
      </c>
      <c r="I755" s="19">
        <v>0</v>
      </c>
      <c r="J755" s="16">
        <v>16</v>
      </c>
      <c r="K755" s="16">
        <v>20</v>
      </c>
      <c r="L755" s="18">
        <v>46128.348078703704</v>
      </c>
    </row>
    <row r="756" spans="1:12" x14ac:dyDescent="0.25">
      <c r="A756" s="17">
        <v>46109</v>
      </c>
      <c r="B756" s="16">
        <v>3</v>
      </c>
      <c r="C756" s="16" t="s">
        <v>29</v>
      </c>
      <c r="D756" s="19">
        <v>1</v>
      </c>
      <c r="E756" s="19">
        <v>1</v>
      </c>
      <c r="F756" s="19">
        <v>0</v>
      </c>
      <c r="G756" s="19">
        <v>0</v>
      </c>
      <c r="H756" s="19">
        <v>2</v>
      </c>
      <c r="I756" s="19">
        <v>0</v>
      </c>
      <c r="J756" s="16">
        <v>20</v>
      </c>
      <c r="K756" s="16">
        <v>22</v>
      </c>
      <c r="L756" s="18">
        <v>46128.348078703704</v>
      </c>
    </row>
    <row r="757" spans="1:12" x14ac:dyDescent="0.25">
      <c r="A757" s="17">
        <v>46110</v>
      </c>
      <c r="B757" s="16">
        <v>3</v>
      </c>
      <c r="C757" s="16" t="s">
        <v>29</v>
      </c>
      <c r="D757" s="19">
        <v>2</v>
      </c>
      <c r="E757" s="19">
        <v>1</v>
      </c>
      <c r="F757" s="19">
        <v>0</v>
      </c>
      <c r="G757" s="19">
        <v>0</v>
      </c>
      <c r="H757" s="19">
        <v>1</v>
      </c>
      <c r="I757" s="19">
        <v>0</v>
      </c>
      <c r="J757" s="16">
        <v>22</v>
      </c>
      <c r="K757" s="16">
        <v>24</v>
      </c>
      <c r="L757" s="18">
        <v>46128.348078703704</v>
      </c>
    </row>
    <row r="758" spans="1:12" x14ac:dyDescent="0.25">
      <c r="A758" s="17">
        <v>46111</v>
      </c>
      <c r="B758" s="16">
        <v>3</v>
      </c>
      <c r="C758" s="16" t="s">
        <v>29</v>
      </c>
      <c r="D758" s="19">
        <v>3</v>
      </c>
      <c r="E758" s="19">
        <v>8</v>
      </c>
      <c r="F758" s="19">
        <v>1</v>
      </c>
      <c r="G758" s="19">
        <v>0</v>
      </c>
      <c r="H758" s="19">
        <v>0</v>
      </c>
      <c r="I758" s="19">
        <v>0</v>
      </c>
      <c r="J758" s="16">
        <v>24</v>
      </c>
      <c r="K758" s="16">
        <v>18</v>
      </c>
      <c r="L758" s="18">
        <v>46128.348078703704</v>
      </c>
    </row>
    <row r="759" spans="1:12" x14ac:dyDescent="0.25">
      <c r="A759" s="17">
        <v>46112</v>
      </c>
      <c r="B759" s="16">
        <v>3</v>
      </c>
      <c r="C759" s="16" t="s">
        <v>29</v>
      </c>
      <c r="D759" s="19">
        <v>5</v>
      </c>
      <c r="E759" s="19">
        <v>3</v>
      </c>
      <c r="F759" s="19">
        <v>1</v>
      </c>
      <c r="G759" s="19">
        <v>0</v>
      </c>
      <c r="H759" s="19">
        <v>0</v>
      </c>
      <c r="I759" s="19">
        <v>0</v>
      </c>
      <c r="J759" s="16">
        <v>18</v>
      </c>
      <c r="K759" s="16">
        <v>19</v>
      </c>
      <c r="L759" s="18">
        <v>46128.348078703704</v>
      </c>
    </row>
    <row r="760" spans="1:12" x14ac:dyDescent="0.25">
      <c r="A760" s="17">
        <v>46113</v>
      </c>
      <c r="B760" s="16">
        <v>4</v>
      </c>
      <c r="C760" s="16" t="s">
        <v>29</v>
      </c>
      <c r="D760" s="19">
        <v>4</v>
      </c>
      <c r="E760" s="19">
        <v>3</v>
      </c>
      <c r="F760" s="19">
        <v>0</v>
      </c>
      <c r="G760" s="19">
        <v>0</v>
      </c>
      <c r="H760" s="19">
        <v>1</v>
      </c>
      <c r="I760" s="19">
        <v>0</v>
      </c>
      <c r="J760" s="16">
        <v>19</v>
      </c>
      <c r="K760" s="16">
        <v>21</v>
      </c>
      <c r="L760" s="18">
        <v>46128.348078703704</v>
      </c>
    </row>
    <row r="761" spans="1:12" x14ac:dyDescent="0.25">
      <c r="A761" s="17">
        <v>46114</v>
      </c>
      <c r="B761" s="16">
        <v>4</v>
      </c>
      <c r="C761" s="16" t="s">
        <v>29</v>
      </c>
      <c r="D761" s="19">
        <v>2</v>
      </c>
      <c r="E761" s="19">
        <v>7</v>
      </c>
      <c r="F761" s="19">
        <v>0</v>
      </c>
      <c r="G761" s="19">
        <v>0</v>
      </c>
      <c r="H761" s="19">
        <v>0</v>
      </c>
      <c r="I761" s="19">
        <v>0</v>
      </c>
      <c r="J761" s="16">
        <v>21</v>
      </c>
      <c r="K761" s="16">
        <v>16</v>
      </c>
      <c r="L761" s="18">
        <v>46128.348078703704</v>
      </c>
    </row>
    <row r="762" spans="1:12" x14ac:dyDescent="0.25">
      <c r="A762" s="17">
        <v>46115</v>
      </c>
      <c r="B762" s="16">
        <v>4</v>
      </c>
      <c r="C762" s="16" t="s">
        <v>29</v>
      </c>
      <c r="D762" s="19">
        <v>1</v>
      </c>
      <c r="E762" s="19">
        <v>5</v>
      </c>
      <c r="F762" s="19">
        <v>0</v>
      </c>
      <c r="G762" s="19">
        <v>0</v>
      </c>
      <c r="H762" s="19">
        <v>2</v>
      </c>
      <c r="I762" s="19">
        <v>0</v>
      </c>
      <c r="J762" s="16">
        <v>16</v>
      </c>
      <c r="K762" s="16">
        <v>14</v>
      </c>
      <c r="L762" s="18">
        <v>46128.348078703704</v>
      </c>
    </row>
    <row r="763" spans="1:12" x14ac:dyDescent="0.25">
      <c r="A763" s="17">
        <v>46116</v>
      </c>
      <c r="B763" s="16">
        <v>4</v>
      </c>
      <c r="C763" s="16" t="s">
        <v>29</v>
      </c>
      <c r="D763" s="19">
        <v>3</v>
      </c>
      <c r="E763" s="19">
        <v>0</v>
      </c>
      <c r="F763" s="19">
        <v>0</v>
      </c>
      <c r="G763" s="19">
        <v>0</v>
      </c>
      <c r="H763" s="19">
        <v>1</v>
      </c>
      <c r="I763" s="19">
        <v>0</v>
      </c>
      <c r="J763" s="16">
        <v>14</v>
      </c>
      <c r="K763" s="16">
        <v>18</v>
      </c>
      <c r="L763" s="18">
        <v>46128.348078703704</v>
      </c>
    </row>
    <row r="764" spans="1:12" x14ac:dyDescent="0.25">
      <c r="A764" s="17">
        <v>46117</v>
      </c>
      <c r="B764" s="16">
        <v>4</v>
      </c>
      <c r="C764" s="16" t="s">
        <v>29</v>
      </c>
      <c r="D764" s="19">
        <v>1</v>
      </c>
      <c r="E764" s="19">
        <v>3</v>
      </c>
      <c r="F764" s="19">
        <v>0</v>
      </c>
      <c r="G764" s="19">
        <v>0</v>
      </c>
      <c r="H764" s="19">
        <v>1</v>
      </c>
      <c r="I764" s="19">
        <v>0</v>
      </c>
      <c r="J764" s="16">
        <v>18</v>
      </c>
      <c r="K764" s="16">
        <v>17</v>
      </c>
      <c r="L764" s="18">
        <v>46128.348078703704</v>
      </c>
    </row>
    <row r="765" spans="1:12" x14ac:dyDescent="0.25">
      <c r="A765" s="17">
        <v>46118</v>
      </c>
      <c r="B765" s="16">
        <v>4</v>
      </c>
      <c r="C765" s="16" t="s">
        <v>29</v>
      </c>
      <c r="D765" s="19">
        <v>1</v>
      </c>
      <c r="E765" s="19">
        <v>3</v>
      </c>
      <c r="F765" s="19">
        <v>1</v>
      </c>
      <c r="G765" s="19">
        <v>0</v>
      </c>
      <c r="H765" s="19">
        <v>0</v>
      </c>
      <c r="I765" s="19">
        <v>0</v>
      </c>
      <c r="J765" s="16">
        <v>17</v>
      </c>
      <c r="K765" s="16">
        <v>14</v>
      </c>
      <c r="L765" s="18">
        <v>46128.348078703704</v>
      </c>
    </row>
    <row r="766" spans="1:12" x14ac:dyDescent="0.25">
      <c r="A766" s="17">
        <v>46023</v>
      </c>
      <c r="B766" s="16">
        <v>1</v>
      </c>
      <c r="C766" s="16" t="s">
        <v>41</v>
      </c>
      <c r="D766" s="19">
        <v>0</v>
      </c>
      <c r="E766" s="19">
        <v>2</v>
      </c>
      <c r="F766" s="19">
        <v>0</v>
      </c>
      <c r="G766" s="19">
        <v>0</v>
      </c>
      <c r="H766" s="19">
        <v>0</v>
      </c>
      <c r="I766" s="19">
        <v>0</v>
      </c>
      <c r="J766" s="16">
        <v>14</v>
      </c>
      <c r="K766" s="16">
        <v>12</v>
      </c>
      <c r="L766" s="18">
        <v>46128.348078703704</v>
      </c>
    </row>
    <row r="767" spans="1:12" x14ac:dyDescent="0.25">
      <c r="A767" s="17">
        <v>46024</v>
      </c>
      <c r="B767" s="16">
        <v>1</v>
      </c>
      <c r="C767" s="16" t="s">
        <v>41</v>
      </c>
      <c r="D767" s="19">
        <v>0</v>
      </c>
      <c r="E767" s="19">
        <v>2</v>
      </c>
      <c r="F767" s="19">
        <v>0</v>
      </c>
      <c r="G767" s="19">
        <v>0</v>
      </c>
      <c r="H767" s="19">
        <v>0</v>
      </c>
      <c r="I767" s="19">
        <v>0</v>
      </c>
      <c r="J767" s="16">
        <v>12</v>
      </c>
      <c r="K767" s="16">
        <v>10</v>
      </c>
      <c r="L767" s="18">
        <v>46128.348078703704</v>
      </c>
    </row>
    <row r="768" spans="1:12" x14ac:dyDescent="0.25">
      <c r="A768" s="17">
        <v>46025</v>
      </c>
      <c r="B768" s="16">
        <v>1</v>
      </c>
      <c r="C768" s="16" t="s">
        <v>41</v>
      </c>
      <c r="D768" s="19">
        <v>1</v>
      </c>
      <c r="E768" s="19">
        <v>1</v>
      </c>
      <c r="F768" s="19">
        <v>1</v>
      </c>
      <c r="G768" s="19">
        <v>0</v>
      </c>
      <c r="H768" s="19">
        <v>0</v>
      </c>
      <c r="I768" s="19">
        <v>0</v>
      </c>
      <c r="J768" s="16">
        <v>10</v>
      </c>
      <c r="K768" s="16">
        <v>9</v>
      </c>
      <c r="L768" s="18">
        <v>46128.348078703704</v>
      </c>
    </row>
    <row r="769" spans="1:12" x14ac:dyDescent="0.25">
      <c r="A769" s="17">
        <v>46026</v>
      </c>
      <c r="B769" s="16">
        <v>1</v>
      </c>
      <c r="C769" s="16" t="s">
        <v>41</v>
      </c>
      <c r="D769" s="19">
        <v>0</v>
      </c>
      <c r="E769" s="19">
        <v>0</v>
      </c>
      <c r="F769" s="19">
        <v>1</v>
      </c>
      <c r="G769" s="19">
        <v>0</v>
      </c>
      <c r="H769" s="19">
        <v>0</v>
      </c>
      <c r="I769" s="19">
        <v>0</v>
      </c>
      <c r="J769" s="16">
        <v>9</v>
      </c>
      <c r="K769" s="16">
        <v>8</v>
      </c>
      <c r="L769" s="18">
        <v>46128.348078703704</v>
      </c>
    </row>
    <row r="770" spans="1:12" x14ac:dyDescent="0.25">
      <c r="A770" s="17">
        <v>46027</v>
      </c>
      <c r="B770" s="16">
        <v>1</v>
      </c>
      <c r="C770" s="16" t="s">
        <v>41</v>
      </c>
      <c r="D770" s="19">
        <v>2</v>
      </c>
      <c r="E770" s="19">
        <v>1</v>
      </c>
      <c r="F770" s="19">
        <v>0</v>
      </c>
      <c r="G770" s="19">
        <v>0</v>
      </c>
      <c r="H770" s="19">
        <v>0</v>
      </c>
      <c r="I770" s="19">
        <v>0</v>
      </c>
      <c r="J770" s="16">
        <v>8</v>
      </c>
      <c r="K770" s="16">
        <v>9</v>
      </c>
      <c r="L770" s="18">
        <v>46128.348078703704</v>
      </c>
    </row>
    <row r="771" spans="1:12" x14ac:dyDescent="0.25">
      <c r="A771" s="17">
        <v>46028</v>
      </c>
      <c r="B771" s="16">
        <v>1</v>
      </c>
      <c r="C771" s="16" t="s">
        <v>41</v>
      </c>
      <c r="D771" s="19">
        <v>4</v>
      </c>
      <c r="E771" s="19">
        <v>0</v>
      </c>
      <c r="F771" s="19">
        <v>0</v>
      </c>
      <c r="G771" s="19">
        <v>0</v>
      </c>
      <c r="H771" s="19">
        <v>0</v>
      </c>
      <c r="I771" s="19">
        <v>0</v>
      </c>
      <c r="J771" s="16">
        <v>9</v>
      </c>
      <c r="K771" s="16">
        <v>13</v>
      </c>
      <c r="L771" s="18">
        <v>46128.348078703704</v>
      </c>
    </row>
    <row r="772" spans="1:12" x14ac:dyDescent="0.25">
      <c r="A772" s="17">
        <v>46029</v>
      </c>
      <c r="B772" s="16">
        <v>1</v>
      </c>
      <c r="C772" s="16" t="s">
        <v>41</v>
      </c>
      <c r="D772" s="19">
        <v>4</v>
      </c>
      <c r="E772" s="19">
        <v>2</v>
      </c>
      <c r="F772" s="19">
        <v>0</v>
      </c>
      <c r="G772" s="19">
        <v>0</v>
      </c>
      <c r="H772" s="19">
        <v>0</v>
      </c>
      <c r="I772" s="19">
        <v>0</v>
      </c>
      <c r="J772" s="16">
        <v>13</v>
      </c>
      <c r="K772" s="16">
        <v>15</v>
      </c>
      <c r="L772" s="18">
        <v>46128.348078703704</v>
      </c>
    </row>
    <row r="773" spans="1:12" x14ac:dyDescent="0.25">
      <c r="A773" s="17">
        <v>46030</v>
      </c>
      <c r="B773" s="16">
        <v>1</v>
      </c>
      <c r="C773" s="16" t="s">
        <v>41</v>
      </c>
      <c r="D773" s="19">
        <v>2</v>
      </c>
      <c r="E773" s="19">
        <v>1</v>
      </c>
      <c r="F773" s="19">
        <v>0</v>
      </c>
      <c r="G773" s="19">
        <v>0</v>
      </c>
      <c r="H773" s="19">
        <v>0</v>
      </c>
      <c r="I773" s="19">
        <v>0</v>
      </c>
      <c r="J773" s="16">
        <v>15</v>
      </c>
      <c r="K773" s="16">
        <v>16</v>
      </c>
      <c r="L773" s="18">
        <v>46128.348078703704</v>
      </c>
    </row>
    <row r="774" spans="1:12" x14ac:dyDescent="0.25">
      <c r="A774" s="17">
        <v>46031</v>
      </c>
      <c r="B774" s="16">
        <v>1</v>
      </c>
      <c r="C774" s="16" t="s">
        <v>41</v>
      </c>
      <c r="D774" s="19">
        <v>2</v>
      </c>
      <c r="E774" s="19">
        <v>0</v>
      </c>
      <c r="F774" s="19">
        <v>0</v>
      </c>
      <c r="G774" s="19">
        <v>0</v>
      </c>
      <c r="H774" s="19">
        <v>0</v>
      </c>
      <c r="I774" s="19">
        <v>0</v>
      </c>
      <c r="J774" s="16">
        <v>16</v>
      </c>
      <c r="K774" s="16">
        <v>18</v>
      </c>
      <c r="L774" s="18">
        <v>46128.348078703704</v>
      </c>
    </row>
    <row r="775" spans="1:12" x14ac:dyDescent="0.25">
      <c r="A775" s="17">
        <v>46032</v>
      </c>
      <c r="B775" s="16">
        <v>1</v>
      </c>
      <c r="C775" s="16" t="s">
        <v>41</v>
      </c>
      <c r="D775" s="19">
        <v>1</v>
      </c>
      <c r="E775" s="19">
        <v>1</v>
      </c>
      <c r="F775" s="19">
        <v>0</v>
      </c>
      <c r="G775" s="19">
        <v>0</v>
      </c>
      <c r="H775" s="19">
        <v>0</v>
      </c>
      <c r="I775" s="19">
        <v>0</v>
      </c>
      <c r="J775" s="16">
        <v>18</v>
      </c>
      <c r="K775" s="16">
        <v>18</v>
      </c>
      <c r="L775" s="18">
        <v>46128.348078703704</v>
      </c>
    </row>
    <row r="776" spans="1:12" x14ac:dyDescent="0.25">
      <c r="A776" s="17">
        <v>46033</v>
      </c>
      <c r="B776" s="16">
        <v>1</v>
      </c>
      <c r="C776" s="16" t="s">
        <v>41</v>
      </c>
      <c r="D776" s="19">
        <v>1</v>
      </c>
      <c r="E776" s="19">
        <v>1</v>
      </c>
      <c r="F776" s="19">
        <v>0</v>
      </c>
      <c r="G776" s="19">
        <v>0</v>
      </c>
      <c r="H776" s="19">
        <v>0</v>
      </c>
      <c r="I776" s="19">
        <v>0</v>
      </c>
      <c r="J776" s="16">
        <v>18</v>
      </c>
      <c r="K776" s="16">
        <v>18</v>
      </c>
      <c r="L776" s="18">
        <v>46128.348078703704</v>
      </c>
    </row>
    <row r="777" spans="1:12" x14ac:dyDescent="0.25">
      <c r="A777" s="17">
        <v>46034</v>
      </c>
      <c r="B777" s="16">
        <v>1</v>
      </c>
      <c r="C777" s="16" t="s">
        <v>41</v>
      </c>
      <c r="D777" s="19">
        <v>4</v>
      </c>
      <c r="E777" s="19">
        <v>0</v>
      </c>
      <c r="F777" s="19">
        <v>0</v>
      </c>
      <c r="G777" s="19">
        <v>0</v>
      </c>
      <c r="H777" s="19">
        <v>0</v>
      </c>
      <c r="I777" s="19">
        <v>0</v>
      </c>
      <c r="J777" s="16">
        <v>18</v>
      </c>
      <c r="K777" s="16">
        <v>22</v>
      </c>
      <c r="L777" s="18">
        <v>46128.348078703704</v>
      </c>
    </row>
    <row r="778" spans="1:12" x14ac:dyDescent="0.25">
      <c r="A778" s="17">
        <v>46035</v>
      </c>
      <c r="B778" s="16">
        <v>1</v>
      </c>
      <c r="C778" s="16" t="s">
        <v>41</v>
      </c>
      <c r="D778" s="19">
        <v>4</v>
      </c>
      <c r="E778" s="19">
        <v>4</v>
      </c>
      <c r="F778" s="19">
        <v>0</v>
      </c>
      <c r="G778" s="19">
        <v>0</v>
      </c>
      <c r="H778" s="19">
        <v>0</v>
      </c>
      <c r="I778" s="19">
        <v>0</v>
      </c>
      <c r="J778" s="16">
        <v>22</v>
      </c>
      <c r="K778" s="16">
        <v>22</v>
      </c>
      <c r="L778" s="18">
        <v>46128.348078703704</v>
      </c>
    </row>
    <row r="779" spans="1:12" x14ac:dyDescent="0.25">
      <c r="A779" s="17">
        <v>46036</v>
      </c>
      <c r="B779" s="16">
        <v>1</v>
      </c>
      <c r="C779" s="16" t="s">
        <v>41</v>
      </c>
      <c r="D779" s="19">
        <v>3</v>
      </c>
      <c r="E779" s="19">
        <v>4</v>
      </c>
      <c r="F779" s="19">
        <v>1</v>
      </c>
      <c r="G779" s="19">
        <v>0</v>
      </c>
      <c r="H779" s="19">
        <v>0</v>
      </c>
      <c r="I779" s="19">
        <v>0</v>
      </c>
      <c r="J779" s="16">
        <v>22</v>
      </c>
      <c r="K779" s="16">
        <v>20</v>
      </c>
      <c r="L779" s="18">
        <v>46128.348078703704</v>
      </c>
    </row>
    <row r="780" spans="1:12" x14ac:dyDescent="0.25">
      <c r="A780" s="17">
        <v>46037</v>
      </c>
      <c r="B780" s="16">
        <v>1</v>
      </c>
      <c r="C780" s="16" t="s">
        <v>41</v>
      </c>
      <c r="D780" s="19">
        <v>0</v>
      </c>
      <c r="E780" s="19">
        <v>3</v>
      </c>
      <c r="F780" s="19">
        <v>0</v>
      </c>
      <c r="G780" s="19">
        <v>0</v>
      </c>
      <c r="H780" s="19">
        <v>0</v>
      </c>
      <c r="I780" s="19">
        <v>0</v>
      </c>
      <c r="J780" s="16">
        <v>20</v>
      </c>
      <c r="K780" s="16">
        <v>17</v>
      </c>
      <c r="L780" s="18">
        <v>46128.348078703704</v>
      </c>
    </row>
    <row r="781" spans="1:12" x14ac:dyDescent="0.25">
      <c r="A781" s="17">
        <v>46038</v>
      </c>
      <c r="B781" s="16">
        <v>1</v>
      </c>
      <c r="C781" s="16" t="s">
        <v>41</v>
      </c>
      <c r="D781" s="19">
        <v>0</v>
      </c>
      <c r="E781" s="19">
        <v>4</v>
      </c>
      <c r="F781" s="19">
        <v>0</v>
      </c>
      <c r="G781" s="19">
        <v>0</v>
      </c>
      <c r="H781" s="19">
        <v>0</v>
      </c>
      <c r="I781" s="19">
        <v>0</v>
      </c>
      <c r="J781" s="16">
        <v>17</v>
      </c>
      <c r="K781" s="16">
        <v>13</v>
      </c>
      <c r="L781" s="18">
        <v>46128.348078703704</v>
      </c>
    </row>
    <row r="782" spans="1:12" x14ac:dyDescent="0.25">
      <c r="A782" s="17">
        <v>46039</v>
      </c>
      <c r="B782" s="16">
        <v>1</v>
      </c>
      <c r="C782" s="16" t="s">
        <v>41</v>
      </c>
      <c r="D782" s="19">
        <v>1</v>
      </c>
      <c r="E782" s="19">
        <v>0</v>
      </c>
      <c r="F782" s="19">
        <v>0</v>
      </c>
      <c r="G782" s="19">
        <v>0</v>
      </c>
      <c r="H782" s="19">
        <v>0</v>
      </c>
      <c r="I782" s="19">
        <v>0</v>
      </c>
      <c r="J782" s="16">
        <v>13</v>
      </c>
      <c r="K782" s="16">
        <v>14</v>
      </c>
      <c r="L782" s="18">
        <v>46128.348078703704</v>
      </c>
    </row>
    <row r="783" spans="1:12" x14ac:dyDescent="0.25">
      <c r="A783" s="17">
        <v>46040</v>
      </c>
      <c r="B783" s="16">
        <v>1</v>
      </c>
      <c r="C783" s="16" t="s">
        <v>41</v>
      </c>
      <c r="D783" s="19">
        <v>2</v>
      </c>
      <c r="E783" s="19">
        <v>0</v>
      </c>
      <c r="F783" s="19">
        <v>1</v>
      </c>
      <c r="G783" s="19">
        <v>0</v>
      </c>
      <c r="H783" s="19">
        <v>0</v>
      </c>
      <c r="I783" s="19">
        <v>0</v>
      </c>
      <c r="J783" s="16">
        <v>14</v>
      </c>
      <c r="K783" s="16">
        <v>15</v>
      </c>
      <c r="L783" s="18">
        <v>46128.348078703704</v>
      </c>
    </row>
    <row r="784" spans="1:12" x14ac:dyDescent="0.25">
      <c r="A784" s="17">
        <v>46041</v>
      </c>
      <c r="B784" s="16">
        <v>1</v>
      </c>
      <c r="C784" s="16" t="s">
        <v>41</v>
      </c>
      <c r="D784" s="19">
        <v>1</v>
      </c>
      <c r="E784" s="19">
        <v>0</v>
      </c>
      <c r="F784" s="19">
        <v>0</v>
      </c>
      <c r="G784" s="19">
        <v>0</v>
      </c>
      <c r="H784" s="19">
        <v>0</v>
      </c>
      <c r="I784" s="19">
        <v>0</v>
      </c>
      <c r="J784" s="16">
        <v>15</v>
      </c>
      <c r="K784" s="16">
        <v>16</v>
      </c>
      <c r="L784" s="18">
        <v>46128.348078703704</v>
      </c>
    </row>
    <row r="785" spans="1:12" x14ac:dyDescent="0.25">
      <c r="A785" s="17">
        <v>46042</v>
      </c>
      <c r="B785" s="16">
        <v>1</v>
      </c>
      <c r="C785" s="16" t="s">
        <v>41</v>
      </c>
      <c r="D785" s="19">
        <v>1</v>
      </c>
      <c r="E785" s="19">
        <v>3</v>
      </c>
      <c r="F785" s="19">
        <v>0</v>
      </c>
      <c r="G785" s="19">
        <v>0</v>
      </c>
      <c r="H785" s="19">
        <v>0</v>
      </c>
      <c r="I785" s="19">
        <v>0</v>
      </c>
      <c r="J785" s="16">
        <v>16</v>
      </c>
      <c r="K785" s="16">
        <v>14</v>
      </c>
      <c r="L785" s="18">
        <v>46128.348078703704</v>
      </c>
    </row>
    <row r="786" spans="1:12" x14ac:dyDescent="0.25">
      <c r="A786" s="17">
        <v>46043</v>
      </c>
      <c r="B786" s="16">
        <v>1</v>
      </c>
      <c r="C786" s="16" t="s">
        <v>41</v>
      </c>
      <c r="D786" s="19">
        <v>1</v>
      </c>
      <c r="E786" s="19">
        <v>3</v>
      </c>
      <c r="F786" s="19">
        <v>0</v>
      </c>
      <c r="G786" s="19">
        <v>0</v>
      </c>
      <c r="H786" s="19">
        <v>0</v>
      </c>
      <c r="I786" s="19">
        <v>0</v>
      </c>
      <c r="J786" s="16">
        <v>14</v>
      </c>
      <c r="K786" s="16">
        <v>12</v>
      </c>
      <c r="L786" s="18">
        <v>46128.348078703704</v>
      </c>
    </row>
    <row r="787" spans="1:12" x14ac:dyDescent="0.25">
      <c r="A787" s="17">
        <v>46044</v>
      </c>
      <c r="B787" s="16">
        <v>1</v>
      </c>
      <c r="C787" s="16" t="s">
        <v>41</v>
      </c>
      <c r="D787" s="19">
        <v>4</v>
      </c>
      <c r="E787" s="19">
        <v>1</v>
      </c>
      <c r="F787" s="19">
        <v>0</v>
      </c>
      <c r="G787" s="19">
        <v>0</v>
      </c>
      <c r="H787" s="19">
        <v>0</v>
      </c>
      <c r="I787" s="19">
        <v>0</v>
      </c>
      <c r="J787" s="16">
        <v>12</v>
      </c>
      <c r="K787" s="16">
        <v>15</v>
      </c>
      <c r="L787" s="18">
        <v>46128.348078703704</v>
      </c>
    </row>
    <row r="788" spans="1:12" x14ac:dyDescent="0.25">
      <c r="A788" s="17">
        <v>46045</v>
      </c>
      <c r="B788" s="16">
        <v>1</v>
      </c>
      <c r="C788" s="16" t="s">
        <v>41</v>
      </c>
      <c r="D788" s="19">
        <v>2</v>
      </c>
      <c r="E788" s="19">
        <v>3</v>
      </c>
      <c r="F788" s="19">
        <v>0</v>
      </c>
      <c r="G788" s="19">
        <v>0</v>
      </c>
      <c r="H788" s="19">
        <v>0</v>
      </c>
      <c r="I788" s="19">
        <v>0</v>
      </c>
      <c r="J788" s="16">
        <v>15</v>
      </c>
      <c r="K788" s="16">
        <v>14</v>
      </c>
      <c r="L788" s="18">
        <v>46128.348078703704</v>
      </c>
    </row>
    <row r="789" spans="1:12" x14ac:dyDescent="0.25">
      <c r="A789" s="17">
        <v>46046</v>
      </c>
      <c r="B789" s="16">
        <v>1</v>
      </c>
      <c r="C789" s="16" t="s">
        <v>41</v>
      </c>
      <c r="D789" s="19">
        <v>0</v>
      </c>
      <c r="E789" s="19">
        <v>3</v>
      </c>
      <c r="F789" s="19">
        <v>0</v>
      </c>
      <c r="G789" s="19">
        <v>0</v>
      </c>
      <c r="H789" s="19">
        <v>0</v>
      </c>
      <c r="I789" s="19">
        <v>0</v>
      </c>
      <c r="J789" s="16">
        <v>14</v>
      </c>
      <c r="K789" s="16">
        <v>11</v>
      </c>
      <c r="L789" s="18">
        <v>46128.348078703704</v>
      </c>
    </row>
    <row r="790" spans="1:12" x14ac:dyDescent="0.25">
      <c r="A790" s="17">
        <v>46047</v>
      </c>
      <c r="B790" s="16">
        <v>1</v>
      </c>
      <c r="C790" s="16" t="s">
        <v>41</v>
      </c>
      <c r="D790" s="19">
        <v>0</v>
      </c>
      <c r="E790" s="19">
        <v>0</v>
      </c>
      <c r="F790" s="19">
        <v>1</v>
      </c>
      <c r="G790" s="19">
        <v>0</v>
      </c>
      <c r="H790" s="19">
        <v>0</v>
      </c>
      <c r="I790" s="19">
        <v>0</v>
      </c>
      <c r="J790" s="16">
        <v>11</v>
      </c>
      <c r="K790" s="16">
        <v>10</v>
      </c>
      <c r="L790" s="18">
        <v>46128.348078703704</v>
      </c>
    </row>
    <row r="791" spans="1:12" x14ac:dyDescent="0.25">
      <c r="A791" s="17">
        <v>46048</v>
      </c>
      <c r="B791" s="16">
        <v>1</v>
      </c>
      <c r="C791" s="16" t="s">
        <v>41</v>
      </c>
      <c r="D791" s="19">
        <v>2</v>
      </c>
      <c r="E791" s="19">
        <v>2</v>
      </c>
      <c r="F791" s="19">
        <v>0</v>
      </c>
      <c r="G791" s="19">
        <v>0</v>
      </c>
      <c r="H791" s="19">
        <v>0</v>
      </c>
      <c r="I791" s="19">
        <v>0</v>
      </c>
      <c r="J791" s="16">
        <v>10</v>
      </c>
      <c r="K791" s="16">
        <v>10</v>
      </c>
      <c r="L791" s="18">
        <v>46128.348078703704</v>
      </c>
    </row>
    <row r="792" spans="1:12" x14ac:dyDescent="0.25">
      <c r="A792" s="17">
        <v>46049</v>
      </c>
      <c r="B792" s="16">
        <v>1</v>
      </c>
      <c r="C792" s="16" t="s">
        <v>41</v>
      </c>
      <c r="D792" s="19">
        <v>3</v>
      </c>
      <c r="E792" s="19">
        <v>3</v>
      </c>
      <c r="F792" s="19">
        <v>0</v>
      </c>
      <c r="G792" s="19">
        <v>0</v>
      </c>
      <c r="H792" s="19">
        <v>0</v>
      </c>
      <c r="I792" s="19">
        <v>0</v>
      </c>
      <c r="J792" s="16">
        <v>10</v>
      </c>
      <c r="K792" s="16">
        <v>10</v>
      </c>
      <c r="L792" s="18">
        <v>46128.348078703704</v>
      </c>
    </row>
    <row r="793" spans="1:12" x14ac:dyDescent="0.25">
      <c r="A793" s="17">
        <v>46050</v>
      </c>
      <c r="B793" s="16">
        <v>1</v>
      </c>
      <c r="C793" s="16" t="s">
        <v>41</v>
      </c>
      <c r="D793" s="19">
        <v>1</v>
      </c>
      <c r="E793" s="19">
        <v>2</v>
      </c>
      <c r="F793" s="19">
        <v>0</v>
      </c>
      <c r="G793" s="19">
        <v>0</v>
      </c>
      <c r="H793" s="19">
        <v>0</v>
      </c>
      <c r="I793" s="19">
        <v>0</v>
      </c>
      <c r="J793" s="16">
        <v>10</v>
      </c>
      <c r="K793" s="16">
        <v>9</v>
      </c>
      <c r="L793" s="18">
        <v>46128.348078703704</v>
      </c>
    </row>
    <row r="794" spans="1:12" x14ac:dyDescent="0.25">
      <c r="A794" s="17">
        <v>46051</v>
      </c>
      <c r="B794" s="16">
        <v>1</v>
      </c>
      <c r="C794" s="16" t="s">
        <v>41</v>
      </c>
      <c r="D794" s="19">
        <v>0</v>
      </c>
      <c r="E794" s="19">
        <v>0</v>
      </c>
      <c r="F794" s="19">
        <v>3</v>
      </c>
      <c r="G794" s="19">
        <v>0</v>
      </c>
      <c r="H794" s="19">
        <v>0</v>
      </c>
      <c r="I794" s="19">
        <v>0</v>
      </c>
      <c r="J794" s="16">
        <v>9</v>
      </c>
      <c r="K794" s="16">
        <v>6</v>
      </c>
      <c r="L794" s="18">
        <v>46128.348078703704</v>
      </c>
    </row>
    <row r="795" spans="1:12" x14ac:dyDescent="0.25">
      <c r="A795" s="17">
        <v>46052</v>
      </c>
      <c r="B795" s="16">
        <v>1</v>
      </c>
      <c r="C795" s="16" t="s">
        <v>41</v>
      </c>
      <c r="D795" s="19">
        <v>1</v>
      </c>
      <c r="E795" s="19">
        <v>0</v>
      </c>
      <c r="F795" s="19">
        <v>0</v>
      </c>
      <c r="G795" s="19">
        <v>0</v>
      </c>
      <c r="H795" s="19">
        <v>0</v>
      </c>
      <c r="I795" s="19">
        <v>0</v>
      </c>
      <c r="J795" s="16">
        <v>6</v>
      </c>
      <c r="K795" s="16">
        <v>7</v>
      </c>
      <c r="L795" s="18">
        <v>46128.348078703704</v>
      </c>
    </row>
    <row r="796" spans="1:12" x14ac:dyDescent="0.25">
      <c r="A796" s="17">
        <v>46053</v>
      </c>
      <c r="B796" s="16">
        <v>1</v>
      </c>
      <c r="C796" s="16" t="s">
        <v>41</v>
      </c>
      <c r="D796" s="19">
        <v>0</v>
      </c>
      <c r="E796" s="19">
        <v>0</v>
      </c>
      <c r="F796" s="19">
        <v>0</v>
      </c>
      <c r="G796" s="19">
        <v>0</v>
      </c>
      <c r="H796" s="19">
        <v>0</v>
      </c>
      <c r="I796" s="19">
        <v>0</v>
      </c>
      <c r="J796" s="16">
        <v>7</v>
      </c>
      <c r="K796" s="16">
        <v>7</v>
      </c>
      <c r="L796" s="18">
        <v>46128.348078703704</v>
      </c>
    </row>
    <row r="797" spans="1:12" x14ac:dyDescent="0.25">
      <c r="A797" s="17">
        <v>46054</v>
      </c>
      <c r="B797" s="16">
        <v>2</v>
      </c>
      <c r="C797" s="16" t="s">
        <v>41</v>
      </c>
      <c r="D797" s="19">
        <v>1</v>
      </c>
      <c r="E797" s="19">
        <v>0</v>
      </c>
      <c r="F797" s="19">
        <v>0</v>
      </c>
      <c r="G797" s="19">
        <v>0</v>
      </c>
      <c r="H797" s="19">
        <v>0</v>
      </c>
      <c r="I797" s="19">
        <v>0</v>
      </c>
      <c r="J797" s="16">
        <v>7</v>
      </c>
      <c r="K797" s="16">
        <v>8</v>
      </c>
      <c r="L797" s="18">
        <v>46128.348078703704</v>
      </c>
    </row>
    <row r="798" spans="1:12" x14ac:dyDescent="0.25">
      <c r="A798" s="17">
        <v>46055</v>
      </c>
      <c r="B798" s="16">
        <v>2</v>
      </c>
      <c r="C798" s="16" t="s">
        <v>41</v>
      </c>
      <c r="D798" s="19">
        <v>1</v>
      </c>
      <c r="E798" s="19">
        <v>0</v>
      </c>
      <c r="F798" s="19">
        <v>0</v>
      </c>
      <c r="G798" s="19">
        <v>0</v>
      </c>
      <c r="H798" s="19">
        <v>0</v>
      </c>
      <c r="I798" s="19">
        <v>0</v>
      </c>
      <c r="J798" s="16">
        <v>8</v>
      </c>
      <c r="K798" s="16">
        <v>9</v>
      </c>
      <c r="L798" s="18">
        <v>46128.348078703704</v>
      </c>
    </row>
    <row r="799" spans="1:12" x14ac:dyDescent="0.25">
      <c r="A799" s="17">
        <v>46056</v>
      </c>
      <c r="B799" s="16">
        <v>2</v>
      </c>
      <c r="C799" s="16" t="s">
        <v>41</v>
      </c>
      <c r="D799" s="19">
        <v>3</v>
      </c>
      <c r="E799" s="19">
        <v>3</v>
      </c>
      <c r="F799" s="19">
        <v>0</v>
      </c>
      <c r="G799" s="19">
        <v>0</v>
      </c>
      <c r="H799" s="19">
        <v>0</v>
      </c>
      <c r="I799" s="19">
        <v>0</v>
      </c>
      <c r="J799" s="16">
        <v>9</v>
      </c>
      <c r="K799" s="16">
        <v>9</v>
      </c>
      <c r="L799" s="18">
        <v>46128.348078703704</v>
      </c>
    </row>
    <row r="800" spans="1:12" x14ac:dyDescent="0.25">
      <c r="A800" s="17">
        <v>46057</v>
      </c>
      <c r="B800" s="16">
        <v>2</v>
      </c>
      <c r="C800" s="16" t="s">
        <v>41</v>
      </c>
      <c r="D800" s="19">
        <v>1</v>
      </c>
      <c r="E800" s="19">
        <v>1</v>
      </c>
      <c r="F800" s="19">
        <v>0</v>
      </c>
      <c r="G800" s="19">
        <v>0</v>
      </c>
      <c r="H800" s="19">
        <v>0</v>
      </c>
      <c r="I800" s="19">
        <v>0</v>
      </c>
      <c r="J800" s="16">
        <v>9</v>
      </c>
      <c r="K800" s="16">
        <v>9</v>
      </c>
      <c r="L800" s="18">
        <v>46128.348078703704</v>
      </c>
    </row>
    <row r="801" spans="1:12" x14ac:dyDescent="0.25">
      <c r="A801" s="17">
        <v>46058</v>
      </c>
      <c r="B801" s="16">
        <v>2</v>
      </c>
      <c r="C801" s="16" t="s">
        <v>41</v>
      </c>
      <c r="D801" s="19">
        <v>0</v>
      </c>
      <c r="E801" s="19">
        <v>2</v>
      </c>
      <c r="F801" s="19">
        <v>0</v>
      </c>
      <c r="G801" s="19">
        <v>0</v>
      </c>
      <c r="H801" s="19">
        <v>0</v>
      </c>
      <c r="I801" s="19">
        <v>0</v>
      </c>
      <c r="J801" s="16">
        <v>9</v>
      </c>
      <c r="K801" s="16">
        <v>7</v>
      </c>
      <c r="L801" s="18">
        <v>46128.348078703704</v>
      </c>
    </row>
    <row r="802" spans="1:12" x14ac:dyDescent="0.25">
      <c r="A802" s="17">
        <v>46059</v>
      </c>
      <c r="B802" s="16">
        <v>2</v>
      </c>
      <c r="C802" s="16" t="s">
        <v>41</v>
      </c>
      <c r="D802" s="19">
        <v>1</v>
      </c>
      <c r="E802" s="19">
        <v>3</v>
      </c>
      <c r="F802" s="19">
        <v>0</v>
      </c>
      <c r="G802" s="19">
        <v>0</v>
      </c>
      <c r="H802" s="19">
        <v>0</v>
      </c>
      <c r="I802" s="19">
        <v>0</v>
      </c>
      <c r="J802" s="16">
        <v>7</v>
      </c>
      <c r="K802" s="16">
        <v>5</v>
      </c>
      <c r="L802" s="18">
        <v>46128.348078703704</v>
      </c>
    </row>
    <row r="803" spans="1:12" x14ac:dyDescent="0.25">
      <c r="A803" s="17">
        <v>46060</v>
      </c>
      <c r="B803" s="16">
        <v>2</v>
      </c>
      <c r="C803" s="16" t="s">
        <v>41</v>
      </c>
      <c r="D803" s="19">
        <v>3</v>
      </c>
      <c r="E803" s="19">
        <v>0</v>
      </c>
      <c r="F803" s="19">
        <v>0</v>
      </c>
      <c r="G803" s="19">
        <v>0</v>
      </c>
      <c r="H803" s="19">
        <v>0</v>
      </c>
      <c r="I803" s="19">
        <v>0</v>
      </c>
      <c r="J803" s="16">
        <v>5</v>
      </c>
      <c r="K803" s="16">
        <v>8</v>
      </c>
      <c r="L803" s="18">
        <v>46128.348078703704</v>
      </c>
    </row>
    <row r="804" spans="1:12" x14ac:dyDescent="0.25">
      <c r="A804" s="17">
        <v>46061</v>
      </c>
      <c r="B804" s="16">
        <v>2</v>
      </c>
      <c r="C804" s="16" t="s">
        <v>41</v>
      </c>
      <c r="D804" s="19">
        <v>1</v>
      </c>
      <c r="E804" s="19">
        <v>0</v>
      </c>
      <c r="F804" s="19">
        <v>0</v>
      </c>
      <c r="G804" s="19">
        <v>0</v>
      </c>
      <c r="H804" s="19">
        <v>0</v>
      </c>
      <c r="I804" s="19">
        <v>0</v>
      </c>
      <c r="J804" s="16">
        <v>8</v>
      </c>
      <c r="K804" s="16">
        <v>9</v>
      </c>
      <c r="L804" s="18">
        <v>46128.348078703704</v>
      </c>
    </row>
    <row r="805" spans="1:12" x14ac:dyDescent="0.25">
      <c r="A805" s="17">
        <v>46062</v>
      </c>
      <c r="B805" s="16">
        <v>2</v>
      </c>
      <c r="C805" s="16" t="s">
        <v>41</v>
      </c>
      <c r="D805" s="19">
        <v>3</v>
      </c>
      <c r="E805" s="19">
        <v>0</v>
      </c>
      <c r="F805" s="19">
        <v>0</v>
      </c>
      <c r="G805" s="19">
        <v>0</v>
      </c>
      <c r="H805" s="19">
        <v>0</v>
      </c>
      <c r="I805" s="19">
        <v>0</v>
      </c>
      <c r="J805" s="16">
        <v>9</v>
      </c>
      <c r="K805" s="16">
        <v>12</v>
      </c>
      <c r="L805" s="18">
        <v>46128.348078703704</v>
      </c>
    </row>
    <row r="806" spans="1:12" x14ac:dyDescent="0.25">
      <c r="A806" s="17">
        <v>46063</v>
      </c>
      <c r="B806" s="16">
        <v>2</v>
      </c>
      <c r="C806" s="16" t="s">
        <v>41</v>
      </c>
      <c r="D806" s="19">
        <v>4</v>
      </c>
      <c r="E806" s="19">
        <v>2</v>
      </c>
      <c r="F806" s="19">
        <v>0</v>
      </c>
      <c r="G806" s="19">
        <v>0</v>
      </c>
      <c r="H806" s="19">
        <v>0</v>
      </c>
      <c r="I806" s="19">
        <v>0</v>
      </c>
      <c r="J806" s="16">
        <v>12</v>
      </c>
      <c r="K806" s="16">
        <v>14</v>
      </c>
      <c r="L806" s="18">
        <v>46128.348078703704</v>
      </c>
    </row>
    <row r="807" spans="1:12" x14ac:dyDescent="0.25">
      <c r="A807" s="17">
        <v>46064</v>
      </c>
      <c r="B807" s="16">
        <v>2</v>
      </c>
      <c r="C807" s="16" t="s">
        <v>41</v>
      </c>
      <c r="D807" s="19">
        <v>0</v>
      </c>
      <c r="E807" s="19">
        <v>0</v>
      </c>
      <c r="F807" s="19">
        <v>1</v>
      </c>
      <c r="G807" s="19">
        <v>0</v>
      </c>
      <c r="H807" s="19">
        <v>0</v>
      </c>
      <c r="I807" s="19">
        <v>0</v>
      </c>
      <c r="J807" s="16">
        <v>14</v>
      </c>
      <c r="K807" s="16">
        <v>13</v>
      </c>
      <c r="L807" s="18">
        <v>46128.348078703704</v>
      </c>
    </row>
    <row r="808" spans="1:12" x14ac:dyDescent="0.25">
      <c r="A808" s="17">
        <v>46065</v>
      </c>
      <c r="B808" s="16">
        <v>2</v>
      </c>
      <c r="C808" s="16" t="s">
        <v>41</v>
      </c>
      <c r="D808" s="19">
        <v>4</v>
      </c>
      <c r="E808" s="19">
        <v>2</v>
      </c>
      <c r="F808" s="19">
        <v>0</v>
      </c>
      <c r="G808" s="19">
        <v>0</v>
      </c>
      <c r="H808" s="19">
        <v>0</v>
      </c>
      <c r="I808" s="19">
        <v>0</v>
      </c>
      <c r="J808" s="16">
        <v>13</v>
      </c>
      <c r="K808" s="16">
        <v>15</v>
      </c>
      <c r="L808" s="18">
        <v>46128.348078703704</v>
      </c>
    </row>
    <row r="809" spans="1:12" x14ac:dyDescent="0.25">
      <c r="A809" s="17">
        <v>46066</v>
      </c>
      <c r="B809" s="16">
        <v>2</v>
      </c>
      <c r="C809" s="16" t="s">
        <v>41</v>
      </c>
      <c r="D809" s="19">
        <v>1</v>
      </c>
      <c r="E809" s="19">
        <v>1</v>
      </c>
      <c r="F809" s="19">
        <v>1</v>
      </c>
      <c r="G809" s="19">
        <v>0</v>
      </c>
      <c r="H809" s="19">
        <v>0</v>
      </c>
      <c r="I809" s="19">
        <v>0</v>
      </c>
      <c r="J809" s="16">
        <v>15</v>
      </c>
      <c r="K809" s="16">
        <v>14</v>
      </c>
      <c r="L809" s="18">
        <v>46128.348078703704</v>
      </c>
    </row>
    <row r="810" spans="1:12" x14ac:dyDescent="0.25">
      <c r="A810" s="17">
        <v>46067</v>
      </c>
      <c r="B810" s="16">
        <v>2</v>
      </c>
      <c r="C810" s="16" t="s">
        <v>41</v>
      </c>
      <c r="D810" s="19">
        <v>1</v>
      </c>
      <c r="E810" s="19">
        <v>2</v>
      </c>
      <c r="F810" s="19">
        <v>0</v>
      </c>
      <c r="G810" s="19">
        <v>0</v>
      </c>
      <c r="H810" s="19">
        <v>0</v>
      </c>
      <c r="I810" s="19">
        <v>0</v>
      </c>
      <c r="J810" s="16">
        <v>14</v>
      </c>
      <c r="K810" s="16">
        <v>13</v>
      </c>
      <c r="L810" s="18">
        <v>46128.348078703704</v>
      </c>
    </row>
    <row r="811" spans="1:12" x14ac:dyDescent="0.25">
      <c r="A811" s="17">
        <v>46068</v>
      </c>
      <c r="B811" s="16">
        <v>2</v>
      </c>
      <c r="C811" s="16" t="s">
        <v>41</v>
      </c>
      <c r="D811" s="19">
        <v>2</v>
      </c>
      <c r="E811" s="19">
        <v>0</v>
      </c>
      <c r="F811" s="19">
        <v>0</v>
      </c>
      <c r="G811" s="19">
        <v>0</v>
      </c>
      <c r="H811" s="19">
        <v>0</v>
      </c>
      <c r="I811" s="19">
        <v>0</v>
      </c>
      <c r="J811" s="16">
        <v>13</v>
      </c>
      <c r="K811" s="16">
        <v>15</v>
      </c>
      <c r="L811" s="18">
        <v>46128.348078703704</v>
      </c>
    </row>
    <row r="812" spans="1:12" x14ac:dyDescent="0.25">
      <c r="A812" s="17">
        <v>46069</v>
      </c>
      <c r="B812" s="16">
        <v>2</v>
      </c>
      <c r="C812" s="16" t="s">
        <v>41</v>
      </c>
      <c r="D812" s="19">
        <v>4</v>
      </c>
      <c r="E812" s="19">
        <v>1</v>
      </c>
      <c r="F812" s="19">
        <v>0</v>
      </c>
      <c r="G812" s="19">
        <v>0</v>
      </c>
      <c r="H812" s="19">
        <v>0</v>
      </c>
      <c r="I812" s="19">
        <v>0</v>
      </c>
      <c r="J812" s="16">
        <v>15</v>
      </c>
      <c r="K812" s="16">
        <v>18</v>
      </c>
      <c r="L812" s="18">
        <v>46128.348078703704</v>
      </c>
    </row>
    <row r="813" spans="1:12" x14ac:dyDescent="0.25">
      <c r="A813" s="17">
        <v>46070</v>
      </c>
      <c r="B813" s="16">
        <v>2</v>
      </c>
      <c r="C813" s="16" t="s">
        <v>41</v>
      </c>
      <c r="D813" s="19">
        <v>1</v>
      </c>
      <c r="E813" s="19">
        <v>2</v>
      </c>
      <c r="F813" s="19">
        <v>0</v>
      </c>
      <c r="G813" s="19">
        <v>0</v>
      </c>
      <c r="H813" s="19">
        <v>0</v>
      </c>
      <c r="I813" s="19">
        <v>0</v>
      </c>
      <c r="J813" s="16">
        <v>18</v>
      </c>
      <c r="K813" s="16">
        <v>17</v>
      </c>
      <c r="L813" s="18">
        <v>46128.348078703704</v>
      </c>
    </row>
    <row r="814" spans="1:12" x14ac:dyDescent="0.25">
      <c r="A814" s="17">
        <v>46071</v>
      </c>
      <c r="B814" s="16">
        <v>2</v>
      </c>
      <c r="C814" s="16" t="s">
        <v>41</v>
      </c>
      <c r="D814" s="19">
        <v>0</v>
      </c>
      <c r="E814" s="19">
        <v>2</v>
      </c>
      <c r="F814" s="19">
        <v>0</v>
      </c>
      <c r="G814" s="19">
        <v>0</v>
      </c>
      <c r="H814" s="19">
        <v>0</v>
      </c>
      <c r="I814" s="19">
        <v>0</v>
      </c>
      <c r="J814" s="16">
        <v>17</v>
      </c>
      <c r="K814" s="16">
        <v>15</v>
      </c>
      <c r="L814" s="18">
        <v>46128.348078703704</v>
      </c>
    </row>
    <row r="815" spans="1:12" x14ac:dyDescent="0.25">
      <c r="A815" s="17">
        <v>46072</v>
      </c>
      <c r="B815" s="16">
        <v>2</v>
      </c>
      <c r="C815" s="16" t="s">
        <v>41</v>
      </c>
      <c r="D815" s="19">
        <v>3</v>
      </c>
      <c r="E815" s="19">
        <v>4</v>
      </c>
      <c r="F815" s="19">
        <v>0</v>
      </c>
      <c r="G815" s="19">
        <v>0</v>
      </c>
      <c r="H815" s="19">
        <v>0</v>
      </c>
      <c r="I815" s="19">
        <v>0</v>
      </c>
      <c r="J815" s="16">
        <v>15</v>
      </c>
      <c r="K815" s="16">
        <v>14</v>
      </c>
      <c r="L815" s="18">
        <v>46128.348078703704</v>
      </c>
    </row>
    <row r="816" spans="1:12" x14ac:dyDescent="0.25">
      <c r="A816" s="17">
        <v>46073</v>
      </c>
      <c r="B816" s="16">
        <v>2</v>
      </c>
      <c r="C816" s="16" t="s">
        <v>41</v>
      </c>
      <c r="D816" s="19">
        <v>3</v>
      </c>
      <c r="E816" s="19">
        <v>2</v>
      </c>
      <c r="F816" s="19">
        <v>0</v>
      </c>
      <c r="G816" s="19">
        <v>0</v>
      </c>
      <c r="H816" s="19">
        <v>0</v>
      </c>
      <c r="I816" s="19">
        <v>0</v>
      </c>
      <c r="J816" s="16">
        <v>14</v>
      </c>
      <c r="K816" s="16">
        <v>15</v>
      </c>
      <c r="L816" s="18">
        <v>46128.348078703704</v>
      </c>
    </row>
    <row r="817" spans="1:12" x14ac:dyDescent="0.25">
      <c r="A817" s="17">
        <v>46074</v>
      </c>
      <c r="B817" s="16">
        <v>2</v>
      </c>
      <c r="C817" s="16" t="s">
        <v>41</v>
      </c>
      <c r="D817" s="19">
        <v>2</v>
      </c>
      <c r="E817" s="19">
        <v>0</v>
      </c>
      <c r="F817" s="19">
        <v>1</v>
      </c>
      <c r="G817" s="19">
        <v>0</v>
      </c>
      <c r="H817" s="19">
        <v>0</v>
      </c>
      <c r="I817" s="19">
        <v>0</v>
      </c>
      <c r="J817" s="16">
        <v>15</v>
      </c>
      <c r="K817" s="16">
        <v>16</v>
      </c>
      <c r="L817" s="18">
        <v>46128.348078703704</v>
      </c>
    </row>
    <row r="818" spans="1:12" x14ac:dyDescent="0.25">
      <c r="A818" s="17">
        <v>46075</v>
      </c>
      <c r="B818" s="16">
        <v>2</v>
      </c>
      <c r="C818" s="16" t="s">
        <v>41</v>
      </c>
      <c r="D818" s="19">
        <v>0</v>
      </c>
      <c r="E818" s="19">
        <v>1</v>
      </c>
      <c r="F818" s="19">
        <v>0</v>
      </c>
      <c r="G818" s="19">
        <v>0</v>
      </c>
      <c r="H818" s="19">
        <v>0</v>
      </c>
      <c r="I818" s="19">
        <v>0</v>
      </c>
      <c r="J818" s="16">
        <v>16</v>
      </c>
      <c r="K818" s="16">
        <v>15</v>
      </c>
      <c r="L818" s="18">
        <v>46128.348078703704</v>
      </c>
    </row>
    <row r="819" spans="1:12" x14ac:dyDescent="0.25">
      <c r="A819" s="17">
        <v>46076</v>
      </c>
      <c r="B819" s="16">
        <v>2</v>
      </c>
      <c r="C819" s="16" t="s">
        <v>41</v>
      </c>
      <c r="D819" s="19">
        <v>4</v>
      </c>
      <c r="E819" s="19">
        <v>1</v>
      </c>
      <c r="F819" s="19">
        <v>0</v>
      </c>
      <c r="G819" s="19">
        <v>0</v>
      </c>
      <c r="H819" s="19">
        <v>0</v>
      </c>
      <c r="I819" s="19">
        <v>0</v>
      </c>
      <c r="J819" s="16">
        <v>15</v>
      </c>
      <c r="K819" s="16">
        <v>18</v>
      </c>
      <c r="L819" s="18">
        <v>46128.348078703704</v>
      </c>
    </row>
    <row r="820" spans="1:12" x14ac:dyDescent="0.25">
      <c r="A820" s="17">
        <v>46077</v>
      </c>
      <c r="B820" s="16">
        <v>2</v>
      </c>
      <c r="C820" s="16" t="s">
        <v>41</v>
      </c>
      <c r="D820" s="19">
        <v>0</v>
      </c>
      <c r="E820" s="19">
        <v>5</v>
      </c>
      <c r="F820" s="19">
        <v>0</v>
      </c>
      <c r="G820" s="19">
        <v>0</v>
      </c>
      <c r="H820" s="19">
        <v>0</v>
      </c>
      <c r="I820" s="19">
        <v>0</v>
      </c>
      <c r="J820" s="16">
        <v>18</v>
      </c>
      <c r="K820" s="16">
        <v>13</v>
      </c>
      <c r="L820" s="18">
        <v>46128.348078703704</v>
      </c>
    </row>
    <row r="821" spans="1:12" x14ac:dyDescent="0.25">
      <c r="A821" s="17">
        <v>46078</v>
      </c>
      <c r="B821" s="16">
        <v>2</v>
      </c>
      <c r="C821" s="16" t="s">
        <v>41</v>
      </c>
      <c r="D821" s="19">
        <v>4</v>
      </c>
      <c r="E821" s="19">
        <v>1</v>
      </c>
      <c r="F821" s="19">
        <v>0</v>
      </c>
      <c r="G821" s="19">
        <v>0</v>
      </c>
      <c r="H821" s="19">
        <v>0</v>
      </c>
      <c r="I821" s="19">
        <v>0</v>
      </c>
      <c r="J821" s="16">
        <v>13</v>
      </c>
      <c r="K821" s="16">
        <v>16</v>
      </c>
      <c r="L821" s="18">
        <v>46128.348078703704</v>
      </c>
    </row>
    <row r="822" spans="1:12" x14ac:dyDescent="0.25">
      <c r="A822" s="17">
        <v>46079</v>
      </c>
      <c r="B822" s="16">
        <v>2</v>
      </c>
      <c r="C822" s="16" t="s">
        <v>41</v>
      </c>
      <c r="D822" s="19">
        <v>2</v>
      </c>
      <c r="E822" s="19">
        <v>3</v>
      </c>
      <c r="F822" s="19">
        <v>0</v>
      </c>
      <c r="G822" s="19">
        <v>0</v>
      </c>
      <c r="H822" s="19">
        <v>0</v>
      </c>
      <c r="I822" s="19">
        <v>0</v>
      </c>
      <c r="J822" s="16">
        <v>16</v>
      </c>
      <c r="K822" s="16">
        <v>15</v>
      </c>
      <c r="L822" s="18">
        <v>46128.348078703704</v>
      </c>
    </row>
    <row r="823" spans="1:12" x14ac:dyDescent="0.25">
      <c r="A823" s="17">
        <v>46080</v>
      </c>
      <c r="B823" s="16">
        <v>2</v>
      </c>
      <c r="C823" s="16" t="s">
        <v>41</v>
      </c>
      <c r="D823" s="19">
        <v>3</v>
      </c>
      <c r="E823" s="19">
        <v>0</v>
      </c>
      <c r="F823" s="19">
        <v>0</v>
      </c>
      <c r="G823" s="19">
        <v>0</v>
      </c>
      <c r="H823" s="19">
        <v>0</v>
      </c>
      <c r="I823" s="19">
        <v>0</v>
      </c>
      <c r="J823" s="16">
        <v>15</v>
      </c>
      <c r="K823" s="16">
        <v>18</v>
      </c>
      <c r="L823" s="18">
        <v>46128.348078703704</v>
      </c>
    </row>
    <row r="824" spans="1:12" x14ac:dyDescent="0.25">
      <c r="A824" s="17">
        <v>46081</v>
      </c>
      <c r="B824" s="16">
        <v>2</v>
      </c>
      <c r="C824" s="16" t="s">
        <v>41</v>
      </c>
      <c r="D824" s="19">
        <v>1</v>
      </c>
      <c r="E824" s="19">
        <v>1</v>
      </c>
      <c r="F824" s="19">
        <v>0</v>
      </c>
      <c r="G824" s="19">
        <v>0</v>
      </c>
      <c r="H824" s="19">
        <v>0</v>
      </c>
      <c r="I824" s="19">
        <v>0</v>
      </c>
      <c r="J824" s="16">
        <v>18</v>
      </c>
      <c r="K824" s="16">
        <v>18</v>
      </c>
      <c r="L824" s="18">
        <v>46128.348078703704</v>
      </c>
    </row>
    <row r="825" spans="1:12" x14ac:dyDescent="0.25">
      <c r="A825" s="17">
        <v>46082</v>
      </c>
      <c r="B825" s="16">
        <v>3</v>
      </c>
      <c r="C825" s="16" t="s">
        <v>41</v>
      </c>
      <c r="D825" s="19">
        <v>1</v>
      </c>
      <c r="E825" s="19">
        <v>6</v>
      </c>
      <c r="F825" s="19">
        <v>0</v>
      </c>
      <c r="G825" s="19">
        <v>0</v>
      </c>
      <c r="H825" s="19">
        <v>0</v>
      </c>
      <c r="I825" s="19">
        <v>0</v>
      </c>
      <c r="J825" s="16">
        <v>18</v>
      </c>
      <c r="K825" s="16">
        <v>13</v>
      </c>
      <c r="L825" s="18">
        <v>46128.348078703704</v>
      </c>
    </row>
    <row r="826" spans="1:12" x14ac:dyDescent="0.25">
      <c r="A826" s="17">
        <v>46083</v>
      </c>
      <c r="B826" s="16">
        <v>3</v>
      </c>
      <c r="C826" s="16" t="s">
        <v>41</v>
      </c>
      <c r="D826" s="19">
        <v>3</v>
      </c>
      <c r="E826" s="19">
        <v>0</v>
      </c>
      <c r="F826" s="19">
        <v>0</v>
      </c>
      <c r="G826" s="19">
        <v>0</v>
      </c>
      <c r="H826" s="19">
        <v>0</v>
      </c>
      <c r="I826" s="19">
        <v>0</v>
      </c>
      <c r="J826" s="16">
        <v>13</v>
      </c>
      <c r="K826" s="16">
        <v>16</v>
      </c>
      <c r="L826" s="18">
        <v>46128.348078703704</v>
      </c>
    </row>
    <row r="827" spans="1:12" x14ac:dyDescent="0.25">
      <c r="A827" s="17">
        <v>46084</v>
      </c>
      <c r="B827" s="16">
        <v>3</v>
      </c>
      <c r="C827" s="16" t="s">
        <v>41</v>
      </c>
      <c r="D827" s="19">
        <v>1</v>
      </c>
      <c r="E827" s="19">
        <v>3</v>
      </c>
      <c r="F827" s="19">
        <v>0</v>
      </c>
      <c r="G827" s="19">
        <v>0</v>
      </c>
      <c r="H827" s="19">
        <v>0</v>
      </c>
      <c r="I827" s="19">
        <v>0</v>
      </c>
      <c r="J827" s="16">
        <v>16</v>
      </c>
      <c r="K827" s="16">
        <v>14</v>
      </c>
      <c r="L827" s="18">
        <v>46128.348078703704</v>
      </c>
    </row>
    <row r="828" spans="1:12" x14ac:dyDescent="0.25">
      <c r="A828" s="17">
        <v>46085</v>
      </c>
      <c r="B828" s="16">
        <v>3</v>
      </c>
      <c r="C828" s="16" t="s">
        <v>41</v>
      </c>
      <c r="D828" s="19">
        <v>2</v>
      </c>
      <c r="E828" s="19">
        <v>0</v>
      </c>
      <c r="F828" s="19">
        <v>0</v>
      </c>
      <c r="G828" s="19">
        <v>0</v>
      </c>
      <c r="H828" s="19">
        <v>0</v>
      </c>
      <c r="I828" s="19">
        <v>0</v>
      </c>
      <c r="J828" s="16">
        <v>14</v>
      </c>
      <c r="K828" s="16">
        <v>16</v>
      </c>
      <c r="L828" s="18">
        <v>46128.348078703704</v>
      </c>
    </row>
    <row r="829" spans="1:12" x14ac:dyDescent="0.25">
      <c r="A829" s="17">
        <v>46086</v>
      </c>
      <c r="B829" s="16">
        <v>3</v>
      </c>
      <c r="C829" s="16" t="s">
        <v>41</v>
      </c>
      <c r="D829" s="19">
        <v>2</v>
      </c>
      <c r="E829" s="19">
        <v>3</v>
      </c>
      <c r="F829" s="19">
        <v>0</v>
      </c>
      <c r="G829" s="19">
        <v>0</v>
      </c>
      <c r="H829" s="19">
        <v>0</v>
      </c>
      <c r="I829" s="19">
        <v>0</v>
      </c>
      <c r="J829" s="16">
        <v>16</v>
      </c>
      <c r="K829" s="16">
        <v>15</v>
      </c>
      <c r="L829" s="18">
        <v>46128.348078703704</v>
      </c>
    </row>
    <row r="830" spans="1:12" x14ac:dyDescent="0.25">
      <c r="A830" s="17">
        <v>46087</v>
      </c>
      <c r="B830" s="16">
        <v>3</v>
      </c>
      <c r="C830" s="16" t="s">
        <v>41</v>
      </c>
      <c r="D830" s="19">
        <v>6</v>
      </c>
      <c r="E830" s="19">
        <v>1</v>
      </c>
      <c r="F830" s="19">
        <v>0</v>
      </c>
      <c r="G830" s="19">
        <v>0</v>
      </c>
      <c r="H830" s="19">
        <v>0</v>
      </c>
      <c r="I830" s="19">
        <v>0</v>
      </c>
      <c r="J830" s="16">
        <v>15</v>
      </c>
      <c r="K830" s="16">
        <v>20</v>
      </c>
      <c r="L830" s="18">
        <v>46128.348078703704</v>
      </c>
    </row>
    <row r="831" spans="1:12" x14ac:dyDescent="0.25">
      <c r="A831" s="17">
        <v>46088</v>
      </c>
      <c r="B831" s="16">
        <v>3</v>
      </c>
      <c r="C831" s="16" t="s">
        <v>41</v>
      </c>
      <c r="D831" s="19">
        <v>0</v>
      </c>
      <c r="E831" s="19">
        <v>2</v>
      </c>
      <c r="F831" s="19">
        <v>0</v>
      </c>
      <c r="G831" s="19">
        <v>0</v>
      </c>
      <c r="H831" s="19">
        <v>0</v>
      </c>
      <c r="I831" s="19">
        <v>0</v>
      </c>
      <c r="J831" s="16">
        <v>20</v>
      </c>
      <c r="K831" s="16">
        <v>18</v>
      </c>
      <c r="L831" s="18">
        <v>46128.348078703704</v>
      </c>
    </row>
    <row r="832" spans="1:12" x14ac:dyDescent="0.25">
      <c r="A832" s="17">
        <v>46089</v>
      </c>
      <c r="B832" s="16">
        <v>3</v>
      </c>
      <c r="C832" s="16" t="s">
        <v>41</v>
      </c>
      <c r="D832" s="19">
        <v>2</v>
      </c>
      <c r="E832" s="19">
        <v>3</v>
      </c>
      <c r="F832" s="19">
        <v>0</v>
      </c>
      <c r="G832" s="19">
        <v>0</v>
      </c>
      <c r="H832" s="19">
        <v>0</v>
      </c>
      <c r="I832" s="19">
        <v>0</v>
      </c>
      <c r="J832" s="16">
        <v>18</v>
      </c>
      <c r="K832" s="16">
        <v>17</v>
      </c>
      <c r="L832" s="18">
        <v>46128.348078703704</v>
      </c>
    </row>
    <row r="833" spans="1:12" x14ac:dyDescent="0.25">
      <c r="A833" s="17">
        <v>46090</v>
      </c>
      <c r="B833" s="16">
        <v>3</v>
      </c>
      <c r="C833" s="16" t="s">
        <v>41</v>
      </c>
      <c r="D833" s="19">
        <v>2</v>
      </c>
      <c r="E833" s="19">
        <v>0</v>
      </c>
      <c r="F833" s="19">
        <v>0</v>
      </c>
      <c r="G833" s="19">
        <v>0</v>
      </c>
      <c r="H833" s="19">
        <v>0</v>
      </c>
      <c r="I833" s="19">
        <v>0</v>
      </c>
      <c r="J833" s="16">
        <v>17</v>
      </c>
      <c r="K833" s="16">
        <v>19</v>
      </c>
      <c r="L833" s="18">
        <v>46128.348078703704</v>
      </c>
    </row>
    <row r="834" spans="1:12" x14ac:dyDescent="0.25">
      <c r="A834" s="17">
        <v>46091</v>
      </c>
      <c r="B834" s="16">
        <v>3</v>
      </c>
      <c r="C834" s="16" t="s">
        <v>41</v>
      </c>
      <c r="D834" s="19">
        <v>4</v>
      </c>
      <c r="E834" s="19">
        <v>2</v>
      </c>
      <c r="F834" s="19">
        <v>0</v>
      </c>
      <c r="G834" s="19">
        <v>0</v>
      </c>
      <c r="H834" s="19">
        <v>0</v>
      </c>
      <c r="I834" s="19">
        <v>0</v>
      </c>
      <c r="J834" s="16">
        <v>19</v>
      </c>
      <c r="K834" s="16">
        <v>21</v>
      </c>
      <c r="L834" s="18">
        <v>46128.348078703704</v>
      </c>
    </row>
    <row r="835" spans="1:12" x14ac:dyDescent="0.25">
      <c r="A835" s="17">
        <v>46092</v>
      </c>
      <c r="B835" s="16">
        <v>3</v>
      </c>
      <c r="C835" s="16" t="s">
        <v>41</v>
      </c>
      <c r="D835" s="19">
        <v>1</v>
      </c>
      <c r="E835" s="19">
        <v>7</v>
      </c>
      <c r="F835" s="19">
        <v>0</v>
      </c>
      <c r="G835" s="19">
        <v>0</v>
      </c>
      <c r="H835" s="19">
        <v>0</v>
      </c>
      <c r="I835" s="19">
        <v>0</v>
      </c>
      <c r="J835" s="16">
        <v>21</v>
      </c>
      <c r="K835" s="16">
        <v>15</v>
      </c>
      <c r="L835" s="18">
        <v>46128.348078703704</v>
      </c>
    </row>
    <row r="836" spans="1:12" x14ac:dyDescent="0.25">
      <c r="A836" s="17">
        <v>46093</v>
      </c>
      <c r="B836" s="16">
        <v>3</v>
      </c>
      <c r="C836" s="16" t="s">
        <v>41</v>
      </c>
      <c r="D836" s="19">
        <v>2</v>
      </c>
      <c r="E836" s="19">
        <v>3</v>
      </c>
      <c r="F836" s="19">
        <v>1</v>
      </c>
      <c r="G836" s="19">
        <v>0</v>
      </c>
      <c r="H836" s="19">
        <v>0</v>
      </c>
      <c r="I836" s="19">
        <v>0</v>
      </c>
      <c r="J836" s="16">
        <v>15</v>
      </c>
      <c r="K836" s="16">
        <v>13</v>
      </c>
      <c r="L836" s="18">
        <v>46128.348078703704</v>
      </c>
    </row>
    <row r="837" spans="1:12" x14ac:dyDescent="0.25">
      <c r="A837" s="17">
        <v>46094</v>
      </c>
      <c r="B837" s="16">
        <v>3</v>
      </c>
      <c r="C837" s="16" t="s">
        <v>41</v>
      </c>
      <c r="D837" s="19">
        <v>2</v>
      </c>
      <c r="E837" s="19">
        <v>2</v>
      </c>
      <c r="F837" s="19">
        <v>1</v>
      </c>
      <c r="G837" s="19">
        <v>0</v>
      </c>
      <c r="H837" s="19">
        <v>0</v>
      </c>
      <c r="I837" s="19">
        <v>0</v>
      </c>
      <c r="J837" s="16">
        <v>13</v>
      </c>
      <c r="K837" s="16">
        <v>12</v>
      </c>
      <c r="L837" s="18">
        <v>46128.348078703704</v>
      </c>
    </row>
    <row r="838" spans="1:12" x14ac:dyDescent="0.25">
      <c r="A838" s="17">
        <v>46095</v>
      </c>
      <c r="B838" s="16">
        <v>3</v>
      </c>
      <c r="C838" s="16" t="s">
        <v>41</v>
      </c>
      <c r="D838" s="19">
        <v>1</v>
      </c>
      <c r="E838" s="19">
        <v>0</v>
      </c>
      <c r="F838" s="19">
        <v>0</v>
      </c>
      <c r="G838" s="19">
        <v>0</v>
      </c>
      <c r="H838" s="19">
        <v>0</v>
      </c>
      <c r="I838" s="19">
        <v>0</v>
      </c>
      <c r="J838" s="16">
        <v>12</v>
      </c>
      <c r="K838" s="16">
        <v>13</v>
      </c>
      <c r="L838" s="18">
        <v>46128.348078703704</v>
      </c>
    </row>
    <row r="839" spans="1:12" x14ac:dyDescent="0.25">
      <c r="A839" s="17">
        <v>46096</v>
      </c>
      <c r="B839" s="16">
        <v>3</v>
      </c>
      <c r="C839" s="16" t="s">
        <v>41</v>
      </c>
      <c r="D839" s="19">
        <v>3</v>
      </c>
      <c r="E839" s="19">
        <v>0</v>
      </c>
      <c r="F839" s="19">
        <v>0</v>
      </c>
      <c r="G839" s="19">
        <v>0</v>
      </c>
      <c r="H839" s="19">
        <v>0</v>
      </c>
      <c r="I839" s="19">
        <v>0</v>
      </c>
      <c r="J839" s="16">
        <v>13</v>
      </c>
      <c r="K839" s="16">
        <v>16</v>
      </c>
      <c r="L839" s="18">
        <v>46128.348078703704</v>
      </c>
    </row>
    <row r="840" spans="1:12" x14ac:dyDescent="0.25">
      <c r="A840" s="17">
        <v>46097</v>
      </c>
      <c r="B840" s="16">
        <v>3</v>
      </c>
      <c r="C840" s="16" t="s">
        <v>41</v>
      </c>
      <c r="D840" s="19">
        <v>2</v>
      </c>
      <c r="E840" s="19">
        <v>0</v>
      </c>
      <c r="F840" s="19">
        <v>0</v>
      </c>
      <c r="G840" s="19">
        <v>0</v>
      </c>
      <c r="H840" s="19">
        <v>0</v>
      </c>
      <c r="I840" s="19">
        <v>0</v>
      </c>
      <c r="J840" s="16">
        <v>16</v>
      </c>
      <c r="K840" s="16">
        <v>18</v>
      </c>
      <c r="L840" s="18">
        <v>46128.348078703704</v>
      </c>
    </row>
    <row r="841" spans="1:12" x14ac:dyDescent="0.25">
      <c r="A841" s="17">
        <v>46098</v>
      </c>
      <c r="B841" s="16">
        <v>3</v>
      </c>
      <c r="C841" s="16" t="s">
        <v>41</v>
      </c>
      <c r="D841" s="19">
        <v>4</v>
      </c>
      <c r="E841" s="19">
        <v>3</v>
      </c>
      <c r="F841" s="19">
        <v>0</v>
      </c>
      <c r="G841" s="19">
        <v>0</v>
      </c>
      <c r="H841" s="19">
        <v>0</v>
      </c>
      <c r="I841" s="19">
        <v>0</v>
      </c>
      <c r="J841" s="16">
        <v>18</v>
      </c>
      <c r="K841" s="16">
        <v>19</v>
      </c>
      <c r="L841" s="18">
        <v>46128.348078703704</v>
      </c>
    </row>
    <row r="842" spans="1:12" x14ac:dyDescent="0.25">
      <c r="A842" s="17">
        <v>46099</v>
      </c>
      <c r="B842" s="16">
        <v>3</v>
      </c>
      <c r="C842" s="16" t="s">
        <v>41</v>
      </c>
      <c r="D842" s="19">
        <v>0</v>
      </c>
      <c r="E842" s="19">
        <v>2</v>
      </c>
      <c r="F842" s="19">
        <v>0</v>
      </c>
      <c r="G842" s="19">
        <v>0</v>
      </c>
      <c r="H842" s="19">
        <v>0</v>
      </c>
      <c r="I842" s="19">
        <v>0</v>
      </c>
      <c r="J842" s="16">
        <v>19</v>
      </c>
      <c r="K842" s="16">
        <v>17</v>
      </c>
      <c r="L842" s="18">
        <v>46128.348078703704</v>
      </c>
    </row>
    <row r="843" spans="1:12" x14ac:dyDescent="0.25">
      <c r="A843" s="17">
        <v>46100</v>
      </c>
      <c r="B843" s="16">
        <v>3</v>
      </c>
      <c r="C843" s="16" t="s">
        <v>41</v>
      </c>
      <c r="D843" s="19">
        <v>1</v>
      </c>
      <c r="E843" s="19">
        <v>4</v>
      </c>
      <c r="F843" s="19">
        <v>0</v>
      </c>
      <c r="G843" s="19">
        <v>0</v>
      </c>
      <c r="H843" s="19">
        <v>0</v>
      </c>
      <c r="I843" s="19">
        <v>0</v>
      </c>
      <c r="J843" s="16">
        <v>17</v>
      </c>
      <c r="K843" s="16">
        <v>14</v>
      </c>
      <c r="L843" s="18">
        <v>46128.348078703704</v>
      </c>
    </row>
    <row r="844" spans="1:12" x14ac:dyDescent="0.25">
      <c r="A844" s="17">
        <v>46101</v>
      </c>
      <c r="B844" s="16">
        <v>3</v>
      </c>
      <c r="C844" s="16" t="s">
        <v>41</v>
      </c>
      <c r="D844" s="19">
        <v>1</v>
      </c>
      <c r="E844" s="19">
        <v>3</v>
      </c>
      <c r="F844" s="19">
        <v>0</v>
      </c>
      <c r="G844" s="19">
        <v>0</v>
      </c>
      <c r="H844" s="19">
        <v>0</v>
      </c>
      <c r="I844" s="19">
        <v>0</v>
      </c>
      <c r="J844" s="16">
        <v>14</v>
      </c>
      <c r="K844" s="16">
        <v>12</v>
      </c>
      <c r="L844" s="18">
        <v>46128.348078703704</v>
      </c>
    </row>
    <row r="845" spans="1:12" x14ac:dyDescent="0.25">
      <c r="A845" s="17">
        <v>46102</v>
      </c>
      <c r="B845" s="16">
        <v>3</v>
      </c>
      <c r="C845" s="16" t="s">
        <v>41</v>
      </c>
      <c r="D845" s="19">
        <v>0</v>
      </c>
      <c r="E845" s="19">
        <v>0</v>
      </c>
      <c r="F845" s="19">
        <v>1</v>
      </c>
      <c r="G845" s="19">
        <v>0</v>
      </c>
      <c r="H845" s="19">
        <v>0</v>
      </c>
      <c r="I845" s="19">
        <v>0</v>
      </c>
      <c r="J845" s="16">
        <v>12</v>
      </c>
      <c r="K845" s="16">
        <v>11</v>
      </c>
      <c r="L845" s="18">
        <v>46128.348078703704</v>
      </c>
    </row>
    <row r="846" spans="1:12" x14ac:dyDescent="0.25">
      <c r="A846" s="17">
        <v>46103</v>
      </c>
      <c r="B846" s="16">
        <v>3</v>
      </c>
      <c r="C846" s="16" t="s">
        <v>41</v>
      </c>
      <c r="D846" s="19">
        <v>1</v>
      </c>
      <c r="E846" s="19">
        <v>4</v>
      </c>
      <c r="F846" s="19">
        <v>0</v>
      </c>
      <c r="G846" s="19">
        <v>0</v>
      </c>
      <c r="H846" s="19">
        <v>0</v>
      </c>
      <c r="I846" s="19">
        <v>0</v>
      </c>
      <c r="J846" s="16">
        <v>11</v>
      </c>
      <c r="K846" s="16">
        <v>8</v>
      </c>
      <c r="L846" s="18">
        <v>46128.348078703704</v>
      </c>
    </row>
    <row r="847" spans="1:12" x14ac:dyDescent="0.25">
      <c r="A847" s="17">
        <v>46104</v>
      </c>
      <c r="B847" s="16">
        <v>3</v>
      </c>
      <c r="C847" s="16" t="s">
        <v>41</v>
      </c>
      <c r="D847" s="19">
        <v>4</v>
      </c>
      <c r="E847" s="19">
        <v>0</v>
      </c>
      <c r="F847" s="19">
        <v>0</v>
      </c>
      <c r="G847" s="19">
        <v>0</v>
      </c>
      <c r="H847" s="19">
        <v>0</v>
      </c>
      <c r="I847" s="19">
        <v>0</v>
      </c>
      <c r="J847" s="16">
        <v>8</v>
      </c>
      <c r="K847" s="16">
        <v>12</v>
      </c>
      <c r="L847" s="18">
        <v>46128.348078703704</v>
      </c>
    </row>
    <row r="848" spans="1:12" x14ac:dyDescent="0.25">
      <c r="A848" s="17">
        <v>46105</v>
      </c>
      <c r="B848" s="16">
        <v>3</v>
      </c>
      <c r="C848" s="16" t="s">
        <v>41</v>
      </c>
      <c r="D848" s="19">
        <v>1</v>
      </c>
      <c r="E848" s="19">
        <v>3</v>
      </c>
      <c r="F848" s="19">
        <v>0</v>
      </c>
      <c r="G848" s="19">
        <v>0</v>
      </c>
      <c r="H848" s="19">
        <v>0</v>
      </c>
      <c r="I848" s="19">
        <v>0</v>
      </c>
      <c r="J848" s="16">
        <v>12</v>
      </c>
      <c r="K848" s="16">
        <v>10</v>
      </c>
      <c r="L848" s="18">
        <v>46128.348078703704</v>
      </c>
    </row>
    <row r="849" spans="1:12" x14ac:dyDescent="0.25">
      <c r="A849" s="17">
        <v>46106</v>
      </c>
      <c r="B849" s="16">
        <v>3</v>
      </c>
      <c r="C849" s="16" t="s">
        <v>41</v>
      </c>
      <c r="D849" s="19">
        <v>2</v>
      </c>
      <c r="E849" s="19">
        <v>0</v>
      </c>
      <c r="F849" s="19">
        <v>0</v>
      </c>
      <c r="G849" s="19">
        <v>0</v>
      </c>
      <c r="H849" s="19">
        <v>0</v>
      </c>
      <c r="I849" s="19">
        <v>0</v>
      </c>
      <c r="J849" s="16">
        <v>10</v>
      </c>
      <c r="K849" s="16">
        <v>12</v>
      </c>
      <c r="L849" s="18">
        <v>46128.348078703704</v>
      </c>
    </row>
    <row r="850" spans="1:12" x14ac:dyDescent="0.25">
      <c r="A850" s="17">
        <v>46107</v>
      </c>
      <c r="B850" s="16">
        <v>3</v>
      </c>
      <c r="C850" s="16" t="s">
        <v>41</v>
      </c>
      <c r="D850" s="19">
        <v>2</v>
      </c>
      <c r="E850" s="19">
        <v>0</v>
      </c>
      <c r="F850" s="19">
        <v>0</v>
      </c>
      <c r="G850" s="19">
        <v>0</v>
      </c>
      <c r="H850" s="19">
        <v>0</v>
      </c>
      <c r="I850" s="19">
        <v>0</v>
      </c>
      <c r="J850" s="16">
        <v>12</v>
      </c>
      <c r="K850" s="16">
        <v>14</v>
      </c>
      <c r="L850" s="18">
        <v>46128.348078703704</v>
      </c>
    </row>
    <row r="851" spans="1:12" x14ac:dyDescent="0.25">
      <c r="A851" s="17">
        <v>46108</v>
      </c>
      <c r="B851" s="16">
        <v>3</v>
      </c>
      <c r="C851" s="16" t="s">
        <v>41</v>
      </c>
      <c r="D851" s="19">
        <v>0</v>
      </c>
      <c r="E851" s="19">
        <v>2</v>
      </c>
      <c r="F851" s="19">
        <v>0</v>
      </c>
      <c r="G851" s="19">
        <v>0</v>
      </c>
      <c r="H851" s="19">
        <v>0</v>
      </c>
      <c r="I851" s="19">
        <v>0</v>
      </c>
      <c r="J851" s="16">
        <v>14</v>
      </c>
      <c r="K851" s="16">
        <v>12</v>
      </c>
      <c r="L851" s="18">
        <v>46128.348078703704</v>
      </c>
    </row>
    <row r="852" spans="1:12" x14ac:dyDescent="0.25">
      <c r="A852" s="17">
        <v>46109</v>
      </c>
      <c r="B852" s="16">
        <v>3</v>
      </c>
      <c r="C852" s="16" t="s">
        <v>41</v>
      </c>
      <c r="D852" s="19">
        <v>2</v>
      </c>
      <c r="E852" s="19">
        <v>0</v>
      </c>
      <c r="F852" s="19">
        <v>0</v>
      </c>
      <c r="G852" s="19">
        <v>0</v>
      </c>
      <c r="H852" s="19">
        <v>0</v>
      </c>
      <c r="I852" s="19">
        <v>0</v>
      </c>
      <c r="J852" s="16">
        <v>12</v>
      </c>
      <c r="K852" s="16">
        <v>14</v>
      </c>
      <c r="L852" s="18">
        <v>46128.348078703704</v>
      </c>
    </row>
    <row r="853" spans="1:12" x14ac:dyDescent="0.25">
      <c r="A853" s="17">
        <v>46110</v>
      </c>
      <c r="B853" s="16">
        <v>3</v>
      </c>
      <c r="C853" s="16" t="s">
        <v>41</v>
      </c>
      <c r="D853" s="19">
        <v>1</v>
      </c>
      <c r="E853" s="19">
        <v>1</v>
      </c>
      <c r="F853" s="19">
        <v>0</v>
      </c>
      <c r="G853" s="19">
        <v>0</v>
      </c>
      <c r="H853" s="19">
        <v>0</v>
      </c>
      <c r="I853" s="19">
        <v>0</v>
      </c>
      <c r="J853" s="16">
        <v>14</v>
      </c>
      <c r="K853" s="16">
        <v>14</v>
      </c>
      <c r="L853" s="18">
        <v>46128.348078703704</v>
      </c>
    </row>
    <row r="854" spans="1:12" x14ac:dyDescent="0.25">
      <c r="A854" s="17">
        <v>46111</v>
      </c>
      <c r="B854" s="16">
        <v>3</v>
      </c>
      <c r="C854" s="16" t="s">
        <v>41</v>
      </c>
      <c r="D854" s="19">
        <v>1</v>
      </c>
      <c r="E854" s="19">
        <v>2</v>
      </c>
      <c r="F854" s="19">
        <v>0</v>
      </c>
      <c r="G854" s="19">
        <v>0</v>
      </c>
      <c r="H854" s="19">
        <v>0</v>
      </c>
      <c r="I854" s="19">
        <v>0</v>
      </c>
      <c r="J854" s="16">
        <v>14</v>
      </c>
      <c r="K854" s="16">
        <v>13</v>
      </c>
      <c r="L854" s="18">
        <v>46128.348078703704</v>
      </c>
    </row>
    <row r="855" spans="1:12" x14ac:dyDescent="0.25">
      <c r="A855" s="17">
        <v>46112</v>
      </c>
      <c r="B855" s="16">
        <v>3</v>
      </c>
      <c r="C855" s="16" t="s">
        <v>41</v>
      </c>
      <c r="D855" s="19">
        <v>0</v>
      </c>
      <c r="E855" s="19">
        <v>4</v>
      </c>
      <c r="F855" s="19">
        <v>1</v>
      </c>
      <c r="G855" s="19">
        <v>0</v>
      </c>
      <c r="H855" s="19">
        <v>0</v>
      </c>
      <c r="I855" s="19">
        <v>0</v>
      </c>
      <c r="J855" s="16">
        <v>13</v>
      </c>
      <c r="K855" s="16">
        <v>8</v>
      </c>
      <c r="L855" s="18">
        <v>46128.348078703704</v>
      </c>
    </row>
    <row r="856" spans="1:12" x14ac:dyDescent="0.25">
      <c r="A856" s="17">
        <v>46113</v>
      </c>
      <c r="B856" s="16">
        <v>4</v>
      </c>
      <c r="C856" s="16" t="s">
        <v>41</v>
      </c>
      <c r="D856" s="19">
        <v>1</v>
      </c>
      <c r="E856" s="19">
        <v>2</v>
      </c>
      <c r="F856" s="19">
        <v>0</v>
      </c>
      <c r="G856" s="19">
        <v>0</v>
      </c>
      <c r="H856" s="19">
        <v>0</v>
      </c>
      <c r="I856" s="19">
        <v>0</v>
      </c>
      <c r="J856" s="16">
        <v>8</v>
      </c>
      <c r="K856" s="16">
        <v>7</v>
      </c>
      <c r="L856" s="18">
        <v>46128.348078703704</v>
      </c>
    </row>
    <row r="857" spans="1:12" x14ac:dyDescent="0.25">
      <c r="A857" s="17">
        <v>46114</v>
      </c>
      <c r="B857" s="16">
        <v>4</v>
      </c>
      <c r="C857" s="16" t="s">
        <v>41</v>
      </c>
      <c r="D857" s="19">
        <v>3</v>
      </c>
      <c r="E857" s="19">
        <v>2</v>
      </c>
      <c r="F857" s="19">
        <v>0</v>
      </c>
      <c r="G857" s="19">
        <v>0</v>
      </c>
      <c r="H857" s="19">
        <v>0</v>
      </c>
      <c r="I857" s="19">
        <v>0</v>
      </c>
      <c r="J857" s="16">
        <v>7</v>
      </c>
      <c r="K857" s="16">
        <v>8</v>
      </c>
      <c r="L857" s="18">
        <v>46128.348078703704</v>
      </c>
    </row>
    <row r="858" spans="1:12" x14ac:dyDescent="0.25">
      <c r="A858" s="17">
        <v>46115</v>
      </c>
      <c r="B858" s="16">
        <v>4</v>
      </c>
      <c r="C858" s="16" t="s">
        <v>41</v>
      </c>
      <c r="D858" s="19">
        <v>0</v>
      </c>
      <c r="E858" s="19">
        <v>2</v>
      </c>
      <c r="F858" s="19">
        <v>0</v>
      </c>
      <c r="G858" s="19">
        <v>0</v>
      </c>
      <c r="H858" s="19">
        <v>0</v>
      </c>
      <c r="I858" s="19">
        <v>0</v>
      </c>
      <c r="J858" s="16">
        <v>8</v>
      </c>
      <c r="K858" s="16">
        <v>6</v>
      </c>
      <c r="L858" s="18">
        <v>46128.348078703704</v>
      </c>
    </row>
    <row r="859" spans="1:12" x14ac:dyDescent="0.25">
      <c r="A859" s="17">
        <v>46116</v>
      </c>
      <c r="B859" s="16">
        <v>4</v>
      </c>
      <c r="C859" s="16" t="s">
        <v>41</v>
      </c>
      <c r="D859" s="19">
        <v>0</v>
      </c>
      <c r="E859" s="19">
        <v>1</v>
      </c>
      <c r="F859" s="19">
        <v>0</v>
      </c>
      <c r="G859" s="19">
        <v>0</v>
      </c>
      <c r="H859" s="19">
        <v>0</v>
      </c>
      <c r="I859" s="19">
        <v>0</v>
      </c>
      <c r="J859" s="16">
        <v>6</v>
      </c>
      <c r="K859" s="16">
        <v>5</v>
      </c>
      <c r="L859" s="18">
        <v>46128.348078703704</v>
      </c>
    </row>
    <row r="860" spans="1:12" x14ac:dyDescent="0.25">
      <c r="A860" s="17">
        <v>46117</v>
      </c>
      <c r="B860" s="16">
        <v>4</v>
      </c>
      <c r="C860" s="16" t="s">
        <v>41</v>
      </c>
      <c r="D860" s="19">
        <v>1</v>
      </c>
      <c r="E860" s="19">
        <v>0</v>
      </c>
      <c r="F860" s="19">
        <v>0</v>
      </c>
      <c r="G860" s="19">
        <v>0</v>
      </c>
      <c r="H860" s="19">
        <v>0</v>
      </c>
      <c r="I860" s="19">
        <v>0</v>
      </c>
      <c r="J860" s="16">
        <v>5</v>
      </c>
      <c r="K860" s="16">
        <v>6</v>
      </c>
      <c r="L860" s="18">
        <v>46128.348078703704</v>
      </c>
    </row>
    <row r="861" spans="1:12" x14ac:dyDescent="0.25">
      <c r="A861" s="17">
        <v>46118</v>
      </c>
      <c r="B861" s="16">
        <v>4</v>
      </c>
      <c r="C861" s="16" t="s">
        <v>41</v>
      </c>
      <c r="D861" s="19">
        <v>2</v>
      </c>
      <c r="E861" s="19">
        <v>1</v>
      </c>
      <c r="F861" s="19">
        <v>0</v>
      </c>
      <c r="G861" s="19">
        <v>0</v>
      </c>
      <c r="H861" s="19">
        <v>0</v>
      </c>
      <c r="I861" s="19">
        <v>0</v>
      </c>
      <c r="J861" s="16">
        <v>6</v>
      </c>
      <c r="K861" s="16">
        <v>7</v>
      </c>
      <c r="L861" s="18">
        <v>46128.348078703704</v>
      </c>
    </row>
  </sheetData>
  <sheetProtection sheet="1"/>
  <sortState xmlns:xlrd2="http://schemas.microsoft.com/office/spreadsheetml/2017/richdata2" ref="A2:L861">
    <sortCondition ref="C2:C861"/>
    <sortCondition ref="A2:A861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2031"/>
  <sheetViews>
    <sheetView workbookViewId="0"/>
  </sheetViews>
  <sheetFormatPr defaultRowHeight="15" x14ac:dyDescent="0.25"/>
  <cols>
    <col min="1" max="1" width="14" style="16" customWidth="1"/>
    <col min="2" max="2" width="14" style="19" customWidth="1"/>
    <col min="3" max="3" width="8" style="16" customWidth="1"/>
    <col min="4" max="4" width="12" style="19" customWidth="1"/>
    <col min="5" max="5" width="14" style="19" customWidth="1"/>
    <col min="6" max="6" width="25" style="19" customWidth="1"/>
    <col min="7" max="7" width="8" style="19" customWidth="1"/>
    <col min="8" max="8" width="10" style="19" customWidth="1"/>
    <col min="9" max="9" width="6" style="19" customWidth="1"/>
    <col min="10" max="10" width="14" style="19" customWidth="1"/>
    <col min="11" max="11" width="18" style="16" customWidth="1"/>
    <col min="12" max="16384" width="9.140625" style="19"/>
  </cols>
  <sheetData>
    <row r="1" spans="1:11" x14ac:dyDescent="0.25">
      <c r="A1" s="16" t="s">
        <v>86</v>
      </c>
      <c r="B1" s="19" t="s">
        <v>87</v>
      </c>
      <c r="C1" s="16" t="s">
        <v>76</v>
      </c>
      <c r="D1" s="19" t="s">
        <v>23</v>
      </c>
      <c r="E1" s="19" t="s">
        <v>88</v>
      </c>
      <c r="F1" s="19" t="s">
        <v>89</v>
      </c>
      <c r="G1" s="19" t="s">
        <v>90</v>
      </c>
      <c r="H1" s="19" t="s">
        <v>91</v>
      </c>
      <c r="I1" s="19" t="s">
        <v>92</v>
      </c>
      <c r="J1" s="19" t="s">
        <v>93</v>
      </c>
      <c r="K1" s="16" t="s">
        <v>85</v>
      </c>
    </row>
    <row r="2" spans="1:11" x14ac:dyDescent="0.25">
      <c r="A2" s="16" t="s">
        <v>452</v>
      </c>
      <c r="B2" s="20">
        <v>46023</v>
      </c>
      <c r="C2" s="16">
        <v>1</v>
      </c>
      <c r="D2" s="19" t="s">
        <v>37</v>
      </c>
      <c r="E2" s="19" t="s">
        <v>453</v>
      </c>
      <c r="G2" s="19">
        <v>16</v>
      </c>
      <c r="H2" s="19" t="s">
        <v>215</v>
      </c>
      <c r="I2" s="19" t="s">
        <v>216</v>
      </c>
      <c r="J2" s="19" t="s">
        <v>217</v>
      </c>
      <c r="K2" s="18">
        <v>46070.431875000002</v>
      </c>
    </row>
    <row r="3" spans="1:11" x14ac:dyDescent="0.25">
      <c r="A3" s="16" t="s">
        <v>454</v>
      </c>
      <c r="B3" s="20">
        <v>46023</v>
      </c>
      <c r="C3" s="16">
        <v>1</v>
      </c>
      <c r="D3" s="19" t="s">
        <v>37</v>
      </c>
      <c r="E3" s="19" t="s">
        <v>453</v>
      </c>
      <c r="G3" s="19">
        <v>41</v>
      </c>
      <c r="H3" s="19" t="s">
        <v>215</v>
      </c>
      <c r="I3" s="19" t="s">
        <v>216</v>
      </c>
      <c r="J3" s="19" t="s">
        <v>217</v>
      </c>
      <c r="K3" s="18">
        <v>46070.431967592594</v>
      </c>
    </row>
    <row r="4" spans="1:11" x14ac:dyDescent="0.25">
      <c r="A4" s="16" t="s">
        <v>455</v>
      </c>
      <c r="B4" s="20">
        <v>46023</v>
      </c>
      <c r="C4" s="16">
        <v>1</v>
      </c>
      <c r="D4" s="19" t="s">
        <v>37</v>
      </c>
      <c r="E4" s="19" t="s">
        <v>453</v>
      </c>
      <c r="G4" s="19">
        <v>31</v>
      </c>
      <c r="H4" s="19" t="s">
        <v>215</v>
      </c>
      <c r="I4" s="19" t="s">
        <v>216</v>
      </c>
      <c r="J4" s="19" t="s">
        <v>217</v>
      </c>
      <c r="K4" s="18">
        <v>46070.431979166664</v>
      </c>
    </row>
    <row r="5" spans="1:11" x14ac:dyDescent="0.25">
      <c r="A5" s="16" t="s">
        <v>456</v>
      </c>
      <c r="B5" s="20">
        <v>46023</v>
      </c>
      <c r="C5" s="16">
        <v>1</v>
      </c>
      <c r="D5" s="19" t="s">
        <v>37</v>
      </c>
      <c r="E5" s="19" t="s">
        <v>453</v>
      </c>
      <c r="G5" s="19">
        <v>27</v>
      </c>
      <c r="H5" s="19" t="s">
        <v>215</v>
      </c>
      <c r="I5" s="19" t="s">
        <v>216</v>
      </c>
      <c r="J5" s="19" t="s">
        <v>217</v>
      </c>
      <c r="K5" s="18">
        <v>46070.432025462964</v>
      </c>
    </row>
    <row r="6" spans="1:11" x14ac:dyDescent="0.25">
      <c r="A6" s="16" t="s">
        <v>457</v>
      </c>
      <c r="B6" s="20">
        <v>46024</v>
      </c>
      <c r="C6" s="16">
        <v>1</v>
      </c>
      <c r="D6" s="19" t="s">
        <v>37</v>
      </c>
      <c r="E6" s="19" t="s">
        <v>453</v>
      </c>
      <c r="G6" s="19">
        <v>37</v>
      </c>
      <c r="H6" s="19" t="s">
        <v>215</v>
      </c>
      <c r="I6" s="19" t="s">
        <v>216</v>
      </c>
      <c r="J6" s="19" t="s">
        <v>217</v>
      </c>
      <c r="K6" s="18">
        <v>46070.432534722226</v>
      </c>
    </row>
    <row r="7" spans="1:11" x14ac:dyDescent="0.25">
      <c r="A7" s="16" t="s">
        <v>458</v>
      </c>
      <c r="B7" s="20">
        <v>46024</v>
      </c>
      <c r="C7" s="16">
        <v>1</v>
      </c>
      <c r="D7" s="19" t="s">
        <v>37</v>
      </c>
      <c r="E7" s="19" t="s">
        <v>453</v>
      </c>
      <c r="G7" s="19">
        <v>14</v>
      </c>
      <c r="H7" s="19" t="s">
        <v>215</v>
      </c>
      <c r="I7" s="19" t="s">
        <v>216</v>
      </c>
      <c r="J7" s="19" t="s">
        <v>217</v>
      </c>
      <c r="K7" s="18">
        <v>46070.432569444441</v>
      </c>
    </row>
    <row r="8" spans="1:11" x14ac:dyDescent="0.25">
      <c r="A8" s="16" t="s">
        <v>459</v>
      </c>
      <c r="B8" s="20">
        <v>46024</v>
      </c>
      <c r="C8" s="16">
        <v>1</v>
      </c>
      <c r="D8" s="19" t="s">
        <v>37</v>
      </c>
      <c r="E8" s="19" t="s">
        <v>453</v>
      </c>
      <c r="G8" s="19">
        <v>22</v>
      </c>
      <c r="H8" s="19" t="s">
        <v>215</v>
      </c>
      <c r="I8" s="19" t="s">
        <v>216</v>
      </c>
      <c r="J8" s="19" t="s">
        <v>217</v>
      </c>
      <c r="K8" s="18">
        <v>46070.432581018518</v>
      </c>
    </row>
    <row r="9" spans="1:11" x14ac:dyDescent="0.25">
      <c r="A9" s="16" t="s">
        <v>460</v>
      </c>
      <c r="B9" s="20">
        <v>46024</v>
      </c>
      <c r="C9" s="16">
        <v>1</v>
      </c>
      <c r="D9" s="19" t="s">
        <v>37</v>
      </c>
      <c r="E9" s="19" t="s">
        <v>453</v>
      </c>
      <c r="G9" s="19">
        <v>33</v>
      </c>
      <c r="H9" s="19" t="s">
        <v>215</v>
      </c>
      <c r="I9" s="19" t="s">
        <v>216</v>
      </c>
      <c r="J9" s="19" t="s">
        <v>217</v>
      </c>
      <c r="K9" s="18">
        <v>46070.432592592595</v>
      </c>
    </row>
    <row r="10" spans="1:11" x14ac:dyDescent="0.25">
      <c r="A10" s="16" t="s">
        <v>461</v>
      </c>
      <c r="B10" s="20">
        <v>46025</v>
      </c>
      <c r="C10" s="16">
        <v>1</v>
      </c>
      <c r="D10" s="19" t="s">
        <v>37</v>
      </c>
      <c r="E10" s="19" t="s">
        <v>453</v>
      </c>
      <c r="G10" s="19">
        <v>15</v>
      </c>
      <c r="H10" s="19" t="s">
        <v>215</v>
      </c>
      <c r="I10" s="19" t="s">
        <v>216</v>
      </c>
      <c r="J10" s="19" t="s">
        <v>217</v>
      </c>
      <c r="K10" s="18">
        <v>46070.492245370369</v>
      </c>
    </row>
    <row r="11" spans="1:11" x14ac:dyDescent="0.25">
      <c r="A11" s="16" t="s">
        <v>462</v>
      </c>
      <c r="B11" s="20">
        <v>46025</v>
      </c>
      <c r="C11" s="16">
        <v>1</v>
      </c>
      <c r="D11" s="19" t="s">
        <v>37</v>
      </c>
      <c r="E11" s="19" t="s">
        <v>453</v>
      </c>
      <c r="G11" s="19">
        <v>29</v>
      </c>
      <c r="H11" s="19" t="s">
        <v>215</v>
      </c>
      <c r="I11" s="19" t="s">
        <v>216</v>
      </c>
      <c r="J11" s="19" t="s">
        <v>217</v>
      </c>
      <c r="K11" s="18">
        <v>46070.445023148146</v>
      </c>
    </row>
    <row r="12" spans="1:11" x14ac:dyDescent="0.25">
      <c r="A12" s="16" t="s">
        <v>463</v>
      </c>
      <c r="B12" s="20">
        <v>46025</v>
      </c>
      <c r="C12" s="16">
        <v>1</v>
      </c>
      <c r="D12" s="19" t="s">
        <v>37</v>
      </c>
      <c r="E12" s="19" t="s">
        <v>453</v>
      </c>
      <c r="G12" s="19">
        <v>22</v>
      </c>
      <c r="H12" s="19" t="s">
        <v>215</v>
      </c>
      <c r="I12" s="19" t="s">
        <v>216</v>
      </c>
      <c r="J12" s="19" t="s">
        <v>217</v>
      </c>
      <c r="K12" s="18">
        <v>46070.445081018515</v>
      </c>
    </row>
    <row r="13" spans="1:11" x14ac:dyDescent="0.25">
      <c r="A13" s="16" t="s">
        <v>464</v>
      </c>
      <c r="B13" s="20">
        <v>46026</v>
      </c>
      <c r="C13" s="16">
        <v>1</v>
      </c>
      <c r="D13" s="19" t="s">
        <v>37</v>
      </c>
      <c r="E13" s="19" t="s">
        <v>453</v>
      </c>
      <c r="G13" s="19">
        <v>27</v>
      </c>
      <c r="H13" s="19" t="s">
        <v>215</v>
      </c>
      <c r="I13" s="19" t="s">
        <v>216</v>
      </c>
      <c r="J13" s="19" t="s">
        <v>217</v>
      </c>
      <c r="K13" s="18">
        <v>46070.445636574077</v>
      </c>
    </row>
    <row r="14" spans="1:11" x14ac:dyDescent="0.25">
      <c r="A14" s="16" t="s">
        <v>465</v>
      </c>
      <c r="B14" s="20">
        <v>46026</v>
      </c>
      <c r="C14" s="16">
        <v>1</v>
      </c>
      <c r="D14" s="19" t="s">
        <v>37</v>
      </c>
      <c r="E14" s="19" t="s">
        <v>453</v>
      </c>
      <c r="G14" s="19">
        <v>36</v>
      </c>
      <c r="H14" s="19" t="s">
        <v>215</v>
      </c>
      <c r="I14" s="19" t="s">
        <v>216</v>
      </c>
      <c r="J14" s="19" t="s">
        <v>217</v>
      </c>
      <c r="K14" s="18">
        <v>46070.445659722223</v>
      </c>
    </row>
    <row r="15" spans="1:11" x14ac:dyDescent="0.25">
      <c r="A15" s="16" t="s">
        <v>466</v>
      </c>
      <c r="B15" s="20">
        <v>46026</v>
      </c>
      <c r="C15" s="16">
        <v>1</v>
      </c>
      <c r="D15" s="19" t="s">
        <v>37</v>
      </c>
      <c r="E15" s="19" t="s">
        <v>453</v>
      </c>
      <c r="G15" s="19">
        <v>31</v>
      </c>
      <c r="H15" s="19" t="s">
        <v>215</v>
      </c>
      <c r="I15" s="19" t="s">
        <v>216</v>
      </c>
      <c r="J15" s="19" t="s">
        <v>217</v>
      </c>
      <c r="K15" s="18">
        <v>46070.445671296293</v>
      </c>
    </row>
    <row r="16" spans="1:11" x14ac:dyDescent="0.25">
      <c r="A16" s="16" t="s">
        <v>467</v>
      </c>
      <c r="B16" s="20">
        <v>46026</v>
      </c>
      <c r="C16" s="16">
        <v>1</v>
      </c>
      <c r="D16" s="19" t="s">
        <v>37</v>
      </c>
      <c r="E16" s="19" t="s">
        <v>453</v>
      </c>
      <c r="G16" s="19">
        <v>36</v>
      </c>
      <c r="H16" s="19" t="s">
        <v>215</v>
      </c>
      <c r="I16" s="19" t="s">
        <v>216</v>
      </c>
      <c r="J16" s="19" t="s">
        <v>217</v>
      </c>
      <c r="K16" s="18">
        <v>46070.445694444446</v>
      </c>
    </row>
    <row r="17" spans="1:11" x14ac:dyDescent="0.25">
      <c r="A17" s="16" t="s">
        <v>468</v>
      </c>
      <c r="B17" s="20">
        <v>46026</v>
      </c>
      <c r="C17" s="16">
        <v>1</v>
      </c>
      <c r="D17" s="19" t="s">
        <v>37</v>
      </c>
      <c r="E17" s="19" t="s">
        <v>453</v>
      </c>
      <c r="G17" s="19">
        <v>16</v>
      </c>
      <c r="H17" s="19" t="s">
        <v>215</v>
      </c>
      <c r="I17" s="19" t="s">
        <v>216</v>
      </c>
      <c r="J17" s="19" t="s">
        <v>217</v>
      </c>
      <c r="K17" s="18">
        <v>46070.445856481485</v>
      </c>
    </row>
    <row r="18" spans="1:11" x14ac:dyDescent="0.25">
      <c r="A18" s="16" t="s">
        <v>469</v>
      </c>
      <c r="B18" s="20">
        <v>46026</v>
      </c>
      <c r="C18" s="16">
        <v>1</v>
      </c>
      <c r="D18" s="19" t="s">
        <v>37</v>
      </c>
      <c r="E18" s="19" t="s">
        <v>453</v>
      </c>
      <c r="G18" s="19">
        <v>27</v>
      </c>
      <c r="H18" s="19" t="s">
        <v>215</v>
      </c>
      <c r="I18" s="19" t="s">
        <v>216</v>
      </c>
      <c r="J18" s="19" t="s">
        <v>217</v>
      </c>
      <c r="K18" s="18">
        <v>46070.445868055554</v>
      </c>
    </row>
    <row r="19" spans="1:11" x14ac:dyDescent="0.25">
      <c r="A19" s="16" t="s">
        <v>470</v>
      </c>
      <c r="B19" s="20">
        <v>46026</v>
      </c>
      <c r="C19" s="16">
        <v>1</v>
      </c>
      <c r="D19" s="19" t="s">
        <v>37</v>
      </c>
      <c r="E19" s="19" t="s">
        <v>453</v>
      </c>
      <c r="G19" s="19">
        <v>26</v>
      </c>
      <c r="H19" s="19" t="s">
        <v>215</v>
      </c>
      <c r="I19" s="19" t="s">
        <v>216</v>
      </c>
      <c r="J19" s="19" t="s">
        <v>217</v>
      </c>
      <c r="K19" s="18">
        <v>46070.445879629631</v>
      </c>
    </row>
    <row r="20" spans="1:11" x14ac:dyDescent="0.25">
      <c r="A20" s="16" t="s">
        <v>471</v>
      </c>
      <c r="B20" s="20">
        <v>46027</v>
      </c>
      <c r="C20" s="16">
        <v>1</v>
      </c>
      <c r="D20" s="19" t="s">
        <v>37</v>
      </c>
      <c r="E20" s="19" t="s">
        <v>453</v>
      </c>
      <c r="G20" s="19">
        <v>14</v>
      </c>
      <c r="H20" s="19" t="s">
        <v>215</v>
      </c>
      <c r="I20" s="19" t="s">
        <v>216</v>
      </c>
      <c r="J20" s="19" t="s">
        <v>217</v>
      </c>
      <c r="K20" s="18">
        <v>46070.446018518516</v>
      </c>
    </row>
    <row r="21" spans="1:11" x14ac:dyDescent="0.25">
      <c r="A21" s="16" t="s">
        <v>472</v>
      </c>
      <c r="B21" s="20">
        <v>46027</v>
      </c>
      <c r="C21" s="16">
        <v>1</v>
      </c>
      <c r="D21" s="19" t="s">
        <v>37</v>
      </c>
      <c r="E21" s="19" t="s">
        <v>453</v>
      </c>
      <c r="G21" s="19">
        <v>21</v>
      </c>
      <c r="H21" s="19" t="s">
        <v>215</v>
      </c>
      <c r="I21" s="19" t="s">
        <v>216</v>
      </c>
      <c r="J21" s="19" t="s">
        <v>217</v>
      </c>
      <c r="K21" s="18">
        <v>46070.446030092593</v>
      </c>
    </row>
    <row r="22" spans="1:11" x14ac:dyDescent="0.25">
      <c r="A22" s="16" t="s">
        <v>473</v>
      </c>
      <c r="B22" s="20">
        <v>46027</v>
      </c>
      <c r="C22" s="16">
        <v>1</v>
      </c>
      <c r="D22" s="19" t="s">
        <v>37</v>
      </c>
      <c r="E22" s="19" t="s">
        <v>453</v>
      </c>
      <c r="G22" s="19">
        <v>45</v>
      </c>
      <c r="H22" s="19" t="s">
        <v>215</v>
      </c>
      <c r="I22" s="19" t="s">
        <v>216</v>
      </c>
      <c r="J22" s="19" t="s">
        <v>217</v>
      </c>
      <c r="K22" s="18">
        <v>46070.446273148147</v>
      </c>
    </row>
    <row r="23" spans="1:11" x14ac:dyDescent="0.25">
      <c r="A23" s="16" t="s">
        <v>474</v>
      </c>
      <c r="B23" s="20">
        <v>46027</v>
      </c>
      <c r="C23" s="16">
        <v>1</v>
      </c>
      <c r="D23" s="19" t="s">
        <v>37</v>
      </c>
      <c r="E23" s="19" t="s">
        <v>453</v>
      </c>
      <c r="G23" s="19">
        <v>37</v>
      </c>
      <c r="H23" s="19" t="s">
        <v>215</v>
      </c>
      <c r="I23" s="19" t="s">
        <v>216</v>
      </c>
      <c r="J23" s="19" t="s">
        <v>217</v>
      </c>
      <c r="K23" s="18">
        <v>46070.44630787037</v>
      </c>
    </row>
    <row r="24" spans="1:11" x14ac:dyDescent="0.25">
      <c r="A24" s="16" t="s">
        <v>475</v>
      </c>
      <c r="B24" s="20">
        <v>46027</v>
      </c>
      <c r="C24" s="16">
        <v>1</v>
      </c>
      <c r="D24" s="19" t="s">
        <v>37</v>
      </c>
      <c r="E24" s="19" t="s">
        <v>453</v>
      </c>
      <c r="G24" s="19">
        <v>19</v>
      </c>
      <c r="H24" s="19" t="s">
        <v>215</v>
      </c>
      <c r="I24" s="19" t="s">
        <v>216</v>
      </c>
      <c r="J24" s="19" t="s">
        <v>217</v>
      </c>
      <c r="K24" s="18">
        <v>46070.446331018517</v>
      </c>
    </row>
    <row r="25" spans="1:11" x14ac:dyDescent="0.25">
      <c r="A25" s="16" t="s">
        <v>476</v>
      </c>
      <c r="B25" s="20">
        <v>46028</v>
      </c>
      <c r="C25" s="16">
        <v>1</v>
      </c>
      <c r="D25" s="19" t="s">
        <v>37</v>
      </c>
      <c r="E25" s="19" t="s">
        <v>453</v>
      </c>
      <c r="G25" s="19">
        <v>20</v>
      </c>
      <c r="H25" s="19" t="s">
        <v>215</v>
      </c>
      <c r="I25" s="19" t="s">
        <v>216</v>
      </c>
      <c r="J25" s="19" t="s">
        <v>217</v>
      </c>
      <c r="K25" s="18">
        <v>46070.446458333332</v>
      </c>
    </row>
    <row r="26" spans="1:11" x14ac:dyDescent="0.25">
      <c r="A26" s="16" t="s">
        <v>477</v>
      </c>
      <c r="B26" s="20">
        <v>46028</v>
      </c>
      <c r="C26" s="16">
        <v>1</v>
      </c>
      <c r="D26" s="19" t="s">
        <v>37</v>
      </c>
      <c r="E26" s="19" t="s">
        <v>453</v>
      </c>
      <c r="G26" s="19">
        <v>33</v>
      </c>
      <c r="H26" s="19" t="s">
        <v>215</v>
      </c>
      <c r="I26" s="19" t="s">
        <v>216</v>
      </c>
      <c r="J26" s="19" t="s">
        <v>217</v>
      </c>
      <c r="K26" s="18">
        <v>46070.446469907409</v>
      </c>
    </row>
    <row r="27" spans="1:11" x14ac:dyDescent="0.25">
      <c r="A27" s="16" t="s">
        <v>478</v>
      </c>
      <c r="B27" s="20">
        <v>46028</v>
      </c>
      <c r="C27" s="16">
        <v>1</v>
      </c>
      <c r="D27" s="19" t="s">
        <v>37</v>
      </c>
      <c r="E27" s="19" t="s">
        <v>453</v>
      </c>
      <c r="G27" s="19">
        <v>21</v>
      </c>
      <c r="H27" s="19" t="s">
        <v>215</v>
      </c>
      <c r="I27" s="19" t="s">
        <v>216</v>
      </c>
      <c r="J27" s="19" t="s">
        <v>217</v>
      </c>
      <c r="K27" s="18">
        <v>46070.446481481478</v>
      </c>
    </row>
    <row r="28" spans="1:11" x14ac:dyDescent="0.25">
      <c r="A28" s="16" t="s">
        <v>479</v>
      </c>
      <c r="B28" s="20">
        <v>46028</v>
      </c>
      <c r="C28" s="16">
        <v>1</v>
      </c>
      <c r="D28" s="19" t="s">
        <v>37</v>
      </c>
      <c r="E28" s="19" t="s">
        <v>453</v>
      </c>
      <c r="G28" s="19">
        <v>37</v>
      </c>
      <c r="H28" s="19" t="s">
        <v>215</v>
      </c>
      <c r="I28" s="19" t="s">
        <v>216</v>
      </c>
      <c r="J28" s="19" t="s">
        <v>217</v>
      </c>
      <c r="K28" s="18">
        <v>46070.446504629632</v>
      </c>
    </row>
    <row r="29" spans="1:11" x14ac:dyDescent="0.25">
      <c r="A29" s="16" t="s">
        <v>480</v>
      </c>
      <c r="B29" s="20">
        <v>46028</v>
      </c>
      <c r="C29" s="16">
        <v>1</v>
      </c>
      <c r="D29" s="19" t="s">
        <v>37</v>
      </c>
      <c r="E29" s="19" t="s">
        <v>453</v>
      </c>
      <c r="G29" s="19">
        <v>31</v>
      </c>
      <c r="H29" s="19" t="s">
        <v>215</v>
      </c>
      <c r="I29" s="19" t="s">
        <v>216</v>
      </c>
      <c r="J29" s="19" t="s">
        <v>217</v>
      </c>
      <c r="K29" s="18">
        <v>46070.446562500001</v>
      </c>
    </row>
    <row r="30" spans="1:11" x14ac:dyDescent="0.25">
      <c r="A30" s="16" t="s">
        <v>481</v>
      </c>
      <c r="B30" s="20">
        <v>46028</v>
      </c>
      <c r="C30" s="16">
        <v>1</v>
      </c>
      <c r="D30" s="19" t="s">
        <v>37</v>
      </c>
      <c r="E30" s="19" t="s">
        <v>453</v>
      </c>
      <c r="G30" s="19">
        <v>37</v>
      </c>
      <c r="H30" s="19" t="s">
        <v>215</v>
      </c>
      <c r="I30" s="19" t="s">
        <v>216</v>
      </c>
      <c r="J30" s="19" t="s">
        <v>217</v>
      </c>
      <c r="K30" s="18">
        <v>46070.446631944447</v>
      </c>
    </row>
    <row r="31" spans="1:11" x14ac:dyDescent="0.25">
      <c r="A31" s="16" t="s">
        <v>482</v>
      </c>
      <c r="B31" s="20">
        <v>46029</v>
      </c>
      <c r="C31" s="16">
        <v>1</v>
      </c>
      <c r="D31" s="19" t="s">
        <v>37</v>
      </c>
      <c r="E31" s="19" t="s">
        <v>453</v>
      </c>
      <c r="G31" s="19">
        <v>33</v>
      </c>
      <c r="H31" s="19" t="s">
        <v>215</v>
      </c>
      <c r="I31" s="19" t="s">
        <v>216</v>
      </c>
      <c r="J31" s="19" t="s">
        <v>217</v>
      </c>
      <c r="K31" s="18">
        <v>46070.446770833332</v>
      </c>
    </row>
    <row r="32" spans="1:11" x14ac:dyDescent="0.25">
      <c r="A32" s="16" t="s">
        <v>483</v>
      </c>
      <c r="B32" s="20">
        <v>46029</v>
      </c>
      <c r="C32" s="16">
        <v>1</v>
      </c>
      <c r="D32" s="19" t="s">
        <v>37</v>
      </c>
      <c r="E32" s="19" t="s">
        <v>453</v>
      </c>
      <c r="G32" s="19">
        <v>24</v>
      </c>
      <c r="H32" s="19" t="s">
        <v>215</v>
      </c>
      <c r="I32" s="19" t="s">
        <v>216</v>
      </c>
      <c r="J32" s="19" t="s">
        <v>217</v>
      </c>
      <c r="K32" s="18">
        <v>46070.446805555555</v>
      </c>
    </row>
    <row r="33" spans="1:11" x14ac:dyDescent="0.25">
      <c r="A33" s="16" t="s">
        <v>484</v>
      </c>
      <c r="B33" s="20">
        <v>46029</v>
      </c>
      <c r="C33" s="16">
        <v>1</v>
      </c>
      <c r="D33" s="19" t="s">
        <v>37</v>
      </c>
      <c r="E33" s="19" t="s">
        <v>453</v>
      </c>
      <c r="G33" s="19">
        <v>34</v>
      </c>
      <c r="H33" s="19" t="s">
        <v>215</v>
      </c>
      <c r="I33" s="19" t="s">
        <v>216</v>
      </c>
      <c r="J33" s="19" t="s">
        <v>217</v>
      </c>
      <c r="K33" s="18">
        <v>46070.446828703702</v>
      </c>
    </row>
    <row r="34" spans="1:11" x14ac:dyDescent="0.25">
      <c r="A34" s="16" t="s">
        <v>485</v>
      </c>
      <c r="B34" s="20">
        <v>46030</v>
      </c>
      <c r="C34" s="16">
        <v>1</v>
      </c>
      <c r="D34" s="19" t="s">
        <v>37</v>
      </c>
      <c r="E34" s="19" t="s">
        <v>453</v>
      </c>
      <c r="G34" s="19">
        <v>32</v>
      </c>
      <c r="H34" s="19" t="s">
        <v>215</v>
      </c>
      <c r="I34" s="19" t="s">
        <v>216</v>
      </c>
      <c r="J34" s="19" t="s">
        <v>217</v>
      </c>
      <c r="K34" s="18">
        <v>46070.446944444448</v>
      </c>
    </row>
    <row r="35" spans="1:11" x14ac:dyDescent="0.25">
      <c r="A35" s="16" t="s">
        <v>486</v>
      </c>
      <c r="B35" s="20">
        <v>46030</v>
      </c>
      <c r="C35" s="16">
        <v>1</v>
      </c>
      <c r="D35" s="19" t="s">
        <v>37</v>
      </c>
      <c r="E35" s="19" t="s">
        <v>453</v>
      </c>
      <c r="G35" s="19">
        <v>22</v>
      </c>
      <c r="H35" s="19" t="s">
        <v>215</v>
      </c>
      <c r="I35" s="19" t="s">
        <v>216</v>
      </c>
      <c r="J35" s="19" t="s">
        <v>217</v>
      </c>
      <c r="K35" s="18">
        <v>46070.446979166663</v>
      </c>
    </row>
    <row r="36" spans="1:11" x14ac:dyDescent="0.25">
      <c r="A36" s="16" t="s">
        <v>487</v>
      </c>
      <c r="B36" s="20">
        <v>46030</v>
      </c>
      <c r="C36" s="16">
        <v>1</v>
      </c>
      <c r="D36" s="19" t="s">
        <v>37</v>
      </c>
      <c r="E36" s="19" t="s">
        <v>453</v>
      </c>
      <c r="G36" s="19">
        <v>25</v>
      </c>
      <c r="H36" s="19" t="s">
        <v>215</v>
      </c>
      <c r="I36" s="19" t="s">
        <v>216</v>
      </c>
      <c r="J36" s="19" t="s">
        <v>217</v>
      </c>
      <c r="K36" s="18">
        <v>46070.447002314817</v>
      </c>
    </row>
    <row r="37" spans="1:11" x14ac:dyDescent="0.25">
      <c r="A37" s="16" t="s">
        <v>488</v>
      </c>
      <c r="B37" s="20">
        <v>46030</v>
      </c>
      <c r="C37" s="16">
        <v>1</v>
      </c>
      <c r="D37" s="19" t="s">
        <v>37</v>
      </c>
      <c r="E37" s="19" t="s">
        <v>453</v>
      </c>
      <c r="G37" s="19">
        <v>24</v>
      </c>
      <c r="H37" s="19" t="s">
        <v>215</v>
      </c>
      <c r="I37" s="19" t="s">
        <v>216</v>
      </c>
      <c r="J37" s="19" t="s">
        <v>217</v>
      </c>
      <c r="K37" s="18">
        <v>46070.447013888886</v>
      </c>
    </row>
    <row r="38" spans="1:11" x14ac:dyDescent="0.25">
      <c r="A38" s="16" t="s">
        <v>489</v>
      </c>
      <c r="B38" s="20">
        <v>46030</v>
      </c>
      <c r="C38" s="16">
        <v>1</v>
      </c>
      <c r="D38" s="19" t="s">
        <v>37</v>
      </c>
      <c r="E38" s="19" t="s">
        <v>453</v>
      </c>
      <c r="G38" s="19">
        <v>19</v>
      </c>
      <c r="H38" s="19" t="s">
        <v>215</v>
      </c>
      <c r="I38" s="19" t="s">
        <v>216</v>
      </c>
      <c r="J38" s="19" t="s">
        <v>217</v>
      </c>
      <c r="K38" s="18">
        <v>46070.44703703704</v>
      </c>
    </row>
    <row r="39" spans="1:11" x14ac:dyDescent="0.25">
      <c r="A39" s="16" t="s">
        <v>490</v>
      </c>
      <c r="B39" s="20">
        <v>46030</v>
      </c>
      <c r="C39" s="16">
        <v>1</v>
      </c>
      <c r="D39" s="19" t="s">
        <v>37</v>
      </c>
      <c r="E39" s="19" t="s">
        <v>453</v>
      </c>
      <c r="G39" s="19">
        <v>32</v>
      </c>
      <c r="H39" s="19" t="s">
        <v>215</v>
      </c>
      <c r="I39" s="19" t="s">
        <v>216</v>
      </c>
      <c r="J39" s="19" t="s">
        <v>217</v>
      </c>
      <c r="K39" s="18">
        <v>46070.447071759256</v>
      </c>
    </row>
    <row r="40" spans="1:11" x14ac:dyDescent="0.25">
      <c r="A40" s="16" t="s">
        <v>491</v>
      </c>
      <c r="B40" s="20">
        <v>46030</v>
      </c>
      <c r="C40" s="16">
        <v>1</v>
      </c>
      <c r="D40" s="19" t="s">
        <v>37</v>
      </c>
      <c r="E40" s="19" t="s">
        <v>453</v>
      </c>
      <c r="G40" s="19">
        <v>30</v>
      </c>
      <c r="H40" s="19" t="s">
        <v>215</v>
      </c>
      <c r="I40" s="19" t="s">
        <v>216</v>
      </c>
      <c r="J40" s="19" t="s">
        <v>217</v>
      </c>
      <c r="K40" s="18">
        <v>46070.447094907409</v>
      </c>
    </row>
    <row r="41" spans="1:11" x14ac:dyDescent="0.25">
      <c r="A41" s="16" t="s">
        <v>492</v>
      </c>
      <c r="B41" s="20">
        <v>46031</v>
      </c>
      <c r="C41" s="16">
        <v>1</v>
      </c>
      <c r="D41" s="19" t="s">
        <v>37</v>
      </c>
      <c r="E41" s="19" t="s">
        <v>453</v>
      </c>
      <c r="G41" s="19">
        <v>17</v>
      </c>
      <c r="H41" s="19" t="s">
        <v>215</v>
      </c>
      <c r="I41" s="19" t="s">
        <v>216</v>
      </c>
      <c r="J41" s="19" t="s">
        <v>217</v>
      </c>
      <c r="K41" s="18">
        <v>46070.447384259256</v>
      </c>
    </row>
    <row r="42" spans="1:11" x14ac:dyDescent="0.25">
      <c r="A42" s="16" t="s">
        <v>493</v>
      </c>
      <c r="B42" s="20">
        <v>46031</v>
      </c>
      <c r="C42" s="16">
        <v>1</v>
      </c>
      <c r="D42" s="19" t="s">
        <v>37</v>
      </c>
      <c r="E42" s="19" t="s">
        <v>453</v>
      </c>
      <c r="G42" s="19">
        <v>23</v>
      </c>
      <c r="H42" s="19" t="s">
        <v>215</v>
      </c>
      <c r="I42" s="19" t="s">
        <v>216</v>
      </c>
      <c r="J42" s="19" t="s">
        <v>217</v>
      </c>
      <c r="K42" s="18">
        <v>46070.44740740741</v>
      </c>
    </row>
    <row r="43" spans="1:11" x14ac:dyDescent="0.25">
      <c r="A43" s="16" t="s">
        <v>494</v>
      </c>
      <c r="B43" s="20">
        <v>46031</v>
      </c>
      <c r="C43" s="16">
        <v>1</v>
      </c>
      <c r="D43" s="19" t="s">
        <v>37</v>
      </c>
      <c r="E43" s="19" t="s">
        <v>453</v>
      </c>
      <c r="G43" s="19">
        <v>28</v>
      </c>
      <c r="H43" s="19" t="s">
        <v>215</v>
      </c>
      <c r="I43" s="19" t="s">
        <v>216</v>
      </c>
      <c r="J43" s="19" t="s">
        <v>217</v>
      </c>
      <c r="K43" s="18">
        <v>46070.447430555556</v>
      </c>
    </row>
    <row r="44" spans="1:11" x14ac:dyDescent="0.25">
      <c r="A44" s="16" t="s">
        <v>495</v>
      </c>
      <c r="B44" s="20">
        <v>46032</v>
      </c>
      <c r="C44" s="16">
        <v>1</v>
      </c>
      <c r="D44" s="19" t="s">
        <v>37</v>
      </c>
      <c r="E44" s="19" t="s">
        <v>453</v>
      </c>
      <c r="G44" s="19">
        <v>23</v>
      </c>
      <c r="H44" s="19" t="s">
        <v>215</v>
      </c>
      <c r="I44" s="19" t="s">
        <v>216</v>
      </c>
      <c r="J44" s="19" t="s">
        <v>217</v>
      </c>
      <c r="K44" s="18">
        <v>46070.447511574072</v>
      </c>
    </row>
    <row r="45" spans="1:11" x14ac:dyDescent="0.25">
      <c r="A45" s="16" t="s">
        <v>496</v>
      </c>
      <c r="B45" s="20">
        <v>46032</v>
      </c>
      <c r="C45" s="16">
        <v>1</v>
      </c>
      <c r="D45" s="19" t="s">
        <v>37</v>
      </c>
      <c r="E45" s="19" t="s">
        <v>453</v>
      </c>
      <c r="G45" s="19">
        <v>16</v>
      </c>
      <c r="H45" s="19" t="s">
        <v>215</v>
      </c>
      <c r="I45" s="19" t="s">
        <v>216</v>
      </c>
      <c r="J45" s="19" t="s">
        <v>217</v>
      </c>
      <c r="K45" s="18">
        <v>46070.447523148148</v>
      </c>
    </row>
    <row r="46" spans="1:11" x14ac:dyDescent="0.25">
      <c r="A46" s="16" t="s">
        <v>497</v>
      </c>
      <c r="B46" s="20">
        <v>46032</v>
      </c>
      <c r="C46" s="16">
        <v>1</v>
      </c>
      <c r="D46" s="19" t="s">
        <v>37</v>
      </c>
      <c r="E46" s="19" t="s">
        <v>453</v>
      </c>
      <c r="G46" s="19">
        <v>37</v>
      </c>
      <c r="H46" s="19" t="s">
        <v>215</v>
      </c>
      <c r="I46" s="19" t="s">
        <v>216</v>
      </c>
      <c r="J46" s="19" t="s">
        <v>217</v>
      </c>
      <c r="K46" s="18">
        <v>46070.447546296295</v>
      </c>
    </row>
    <row r="47" spans="1:11" x14ac:dyDescent="0.25">
      <c r="A47" s="16" t="s">
        <v>498</v>
      </c>
      <c r="B47" s="20">
        <v>46032</v>
      </c>
      <c r="C47" s="16">
        <v>1</v>
      </c>
      <c r="D47" s="19" t="s">
        <v>37</v>
      </c>
      <c r="E47" s="19" t="s">
        <v>453</v>
      </c>
      <c r="G47" s="19">
        <v>31</v>
      </c>
      <c r="H47" s="19" t="s">
        <v>215</v>
      </c>
      <c r="I47" s="19" t="s">
        <v>216</v>
      </c>
      <c r="J47" s="19" t="s">
        <v>217</v>
      </c>
      <c r="K47" s="18">
        <v>46070.447592592594</v>
      </c>
    </row>
    <row r="48" spans="1:11" x14ac:dyDescent="0.25">
      <c r="A48" s="16" t="s">
        <v>499</v>
      </c>
      <c r="B48" s="20">
        <v>46033</v>
      </c>
      <c r="C48" s="16">
        <v>1</v>
      </c>
      <c r="D48" s="19" t="s">
        <v>37</v>
      </c>
      <c r="E48" s="19" t="s">
        <v>453</v>
      </c>
      <c r="G48" s="19">
        <v>25</v>
      </c>
      <c r="H48" s="19" t="s">
        <v>215</v>
      </c>
      <c r="I48" s="19" t="s">
        <v>216</v>
      </c>
      <c r="J48" s="19" t="s">
        <v>217</v>
      </c>
      <c r="K48" s="18">
        <v>46070.451261574075</v>
      </c>
    </row>
    <row r="49" spans="1:11" x14ac:dyDescent="0.25">
      <c r="A49" s="16" t="s">
        <v>500</v>
      </c>
      <c r="B49" s="20">
        <v>46033</v>
      </c>
      <c r="C49" s="16">
        <v>1</v>
      </c>
      <c r="D49" s="19" t="s">
        <v>37</v>
      </c>
      <c r="E49" s="19" t="s">
        <v>453</v>
      </c>
      <c r="G49" s="19">
        <v>26</v>
      </c>
      <c r="H49" s="19" t="s">
        <v>215</v>
      </c>
      <c r="I49" s="19" t="s">
        <v>216</v>
      </c>
      <c r="J49" s="19" t="s">
        <v>217</v>
      </c>
      <c r="K49" s="18">
        <v>46070.451296296298</v>
      </c>
    </row>
    <row r="50" spans="1:11" x14ac:dyDescent="0.25">
      <c r="A50" s="16" t="s">
        <v>501</v>
      </c>
      <c r="B50" s="20">
        <v>46033</v>
      </c>
      <c r="C50" s="16">
        <v>1</v>
      </c>
      <c r="D50" s="19" t="s">
        <v>37</v>
      </c>
      <c r="E50" s="19" t="s">
        <v>453</v>
      </c>
      <c r="G50" s="19">
        <v>32</v>
      </c>
      <c r="H50" s="19" t="s">
        <v>215</v>
      </c>
      <c r="I50" s="19" t="s">
        <v>216</v>
      </c>
      <c r="J50" s="19" t="s">
        <v>217</v>
      </c>
      <c r="K50" s="18">
        <v>46070.451307870368</v>
      </c>
    </row>
    <row r="51" spans="1:11" x14ac:dyDescent="0.25">
      <c r="A51" s="16" t="s">
        <v>502</v>
      </c>
      <c r="B51" s="20">
        <v>46033</v>
      </c>
      <c r="C51" s="16">
        <v>1</v>
      </c>
      <c r="D51" s="19" t="s">
        <v>37</v>
      </c>
      <c r="E51" s="19" t="s">
        <v>453</v>
      </c>
      <c r="G51" s="19">
        <v>26</v>
      </c>
      <c r="H51" s="19" t="s">
        <v>215</v>
      </c>
      <c r="I51" s="19" t="s">
        <v>216</v>
      </c>
      <c r="J51" s="19" t="s">
        <v>217</v>
      </c>
      <c r="K51" s="18">
        <v>46070.451319444444</v>
      </c>
    </row>
    <row r="52" spans="1:11" x14ac:dyDescent="0.25">
      <c r="A52" s="16" t="s">
        <v>503</v>
      </c>
      <c r="B52" s="20">
        <v>46033</v>
      </c>
      <c r="C52" s="16">
        <v>1</v>
      </c>
      <c r="D52" s="19" t="s">
        <v>37</v>
      </c>
      <c r="E52" s="19" t="s">
        <v>453</v>
      </c>
      <c r="G52" s="19">
        <v>31</v>
      </c>
      <c r="H52" s="19" t="s">
        <v>215</v>
      </c>
      <c r="I52" s="19" t="s">
        <v>216</v>
      </c>
      <c r="J52" s="19" t="s">
        <v>217</v>
      </c>
      <c r="K52" s="18">
        <v>46070.451342592591</v>
      </c>
    </row>
    <row r="53" spans="1:11" x14ac:dyDescent="0.25">
      <c r="A53" s="16" t="s">
        <v>504</v>
      </c>
      <c r="B53" s="20">
        <v>46033</v>
      </c>
      <c r="C53" s="16">
        <v>1</v>
      </c>
      <c r="D53" s="19" t="s">
        <v>37</v>
      </c>
      <c r="E53" s="19" t="s">
        <v>453</v>
      </c>
      <c r="G53" s="19">
        <v>23</v>
      </c>
      <c r="H53" s="19" t="s">
        <v>215</v>
      </c>
      <c r="I53" s="19" t="s">
        <v>216</v>
      </c>
      <c r="J53" s="19" t="s">
        <v>217</v>
      </c>
      <c r="K53" s="18">
        <v>46070.451354166667</v>
      </c>
    </row>
    <row r="54" spans="1:11" x14ac:dyDescent="0.25">
      <c r="A54" s="16" t="s">
        <v>505</v>
      </c>
      <c r="B54" s="20">
        <v>46034</v>
      </c>
      <c r="C54" s="16">
        <v>1</v>
      </c>
      <c r="D54" s="19" t="s">
        <v>37</v>
      </c>
      <c r="E54" s="19" t="s">
        <v>453</v>
      </c>
      <c r="G54" s="19">
        <v>31</v>
      </c>
      <c r="H54" s="19" t="s">
        <v>215</v>
      </c>
      <c r="I54" s="19" t="s">
        <v>216</v>
      </c>
      <c r="J54" s="19" t="s">
        <v>217</v>
      </c>
      <c r="K54" s="18">
        <v>46070.451527777775</v>
      </c>
    </row>
    <row r="55" spans="1:11" x14ac:dyDescent="0.25">
      <c r="A55" s="16" t="s">
        <v>506</v>
      </c>
      <c r="B55" s="20">
        <v>46034</v>
      </c>
      <c r="C55" s="16">
        <v>1</v>
      </c>
      <c r="D55" s="19" t="s">
        <v>37</v>
      </c>
      <c r="E55" s="19" t="s">
        <v>453</v>
      </c>
      <c r="G55" s="19">
        <v>20</v>
      </c>
      <c r="H55" s="19" t="s">
        <v>215</v>
      </c>
      <c r="I55" s="19" t="s">
        <v>216</v>
      </c>
      <c r="J55" s="19" t="s">
        <v>217</v>
      </c>
      <c r="K55" s="18">
        <v>46070.451539351852</v>
      </c>
    </row>
    <row r="56" spans="1:11" x14ac:dyDescent="0.25">
      <c r="A56" s="16" t="s">
        <v>507</v>
      </c>
      <c r="B56" s="20">
        <v>46034</v>
      </c>
      <c r="C56" s="16">
        <v>1</v>
      </c>
      <c r="D56" s="19" t="s">
        <v>37</v>
      </c>
      <c r="E56" s="19" t="s">
        <v>453</v>
      </c>
      <c r="G56" s="19">
        <v>36</v>
      </c>
      <c r="H56" s="19" t="s">
        <v>215</v>
      </c>
      <c r="I56" s="19" t="s">
        <v>216</v>
      </c>
      <c r="J56" s="19" t="s">
        <v>217</v>
      </c>
      <c r="K56" s="18">
        <v>46070.451562499999</v>
      </c>
    </row>
    <row r="57" spans="1:11" x14ac:dyDescent="0.25">
      <c r="A57" s="16" t="s">
        <v>508</v>
      </c>
      <c r="B57" s="20">
        <v>46034</v>
      </c>
      <c r="C57" s="16">
        <v>1</v>
      </c>
      <c r="D57" s="19" t="s">
        <v>37</v>
      </c>
      <c r="E57" s="19" t="s">
        <v>453</v>
      </c>
      <c r="G57" s="19">
        <v>29</v>
      </c>
      <c r="H57" s="19" t="s">
        <v>215</v>
      </c>
      <c r="I57" s="19" t="s">
        <v>216</v>
      </c>
      <c r="J57" s="19" t="s">
        <v>217</v>
      </c>
      <c r="K57" s="18">
        <v>46070.451585648145</v>
      </c>
    </row>
    <row r="58" spans="1:11" x14ac:dyDescent="0.25">
      <c r="A58" s="16" t="s">
        <v>509</v>
      </c>
      <c r="B58" s="20">
        <v>46034</v>
      </c>
      <c r="C58" s="16">
        <v>1</v>
      </c>
      <c r="D58" s="19" t="s">
        <v>37</v>
      </c>
      <c r="E58" s="19" t="s">
        <v>453</v>
      </c>
      <c r="G58" s="19">
        <v>32</v>
      </c>
      <c r="H58" s="19" t="s">
        <v>215</v>
      </c>
      <c r="I58" s="19" t="s">
        <v>216</v>
      </c>
      <c r="J58" s="19" t="s">
        <v>217</v>
      </c>
      <c r="K58" s="18">
        <v>46070.451597222222</v>
      </c>
    </row>
    <row r="59" spans="1:11" x14ac:dyDescent="0.25">
      <c r="A59" s="16" t="s">
        <v>510</v>
      </c>
      <c r="B59" s="20">
        <v>46034</v>
      </c>
      <c r="C59" s="16">
        <v>1</v>
      </c>
      <c r="D59" s="19" t="s">
        <v>37</v>
      </c>
      <c r="E59" s="19" t="s">
        <v>453</v>
      </c>
      <c r="G59" s="19">
        <v>40</v>
      </c>
      <c r="H59" s="19" t="s">
        <v>215</v>
      </c>
      <c r="I59" s="19" t="s">
        <v>216</v>
      </c>
      <c r="J59" s="19" t="s">
        <v>217</v>
      </c>
      <c r="K59" s="18">
        <v>46070.451608796298</v>
      </c>
    </row>
    <row r="60" spans="1:11" x14ac:dyDescent="0.25">
      <c r="A60" s="16" t="s">
        <v>511</v>
      </c>
      <c r="B60" s="20">
        <v>46034</v>
      </c>
      <c r="C60" s="16">
        <v>1</v>
      </c>
      <c r="D60" s="19" t="s">
        <v>37</v>
      </c>
      <c r="E60" s="19" t="s">
        <v>453</v>
      </c>
      <c r="G60" s="19">
        <v>34</v>
      </c>
      <c r="H60" s="19" t="s">
        <v>215</v>
      </c>
      <c r="I60" s="19" t="s">
        <v>216</v>
      </c>
      <c r="J60" s="19" t="s">
        <v>217</v>
      </c>
      <c r="K60" s="18">
        <v>46070.451631944445</v>
      </c>
    </row>
    <row r="61" spans="1:11" x14ac:dyDescent="0.25">
      <c r="A61" s="16" t="s">
        <v>512</v>
      </c>
      <c r="B61" s="20">
        <v>46034</v>
      </c>
      <c r="C61" s="16">
        <v>1</v>
      </c>
      <c r="D61" s="19" t="s">
        <v>37</v>
      </c>
      <c r="E61" s="19" t="s">
        <v>453</v>
      </c>
      <c r="G61" s="19">
        <v>30</v>
      </c>
      <c r="H61" s="19" t="s">
        <v>215</v>
      </c>
      <c r="I61" s="19" t="s">
        <v>216</v>
      </c>
      <c r="J61" s="19" t="s">
        <v>217</v>
      </c>
      <c r="K61" s="18">
        <v>46070.451643518521</v>
      </c>
    </row>
    <row r="62" spans="1:11" x14ac:dyDescent="0.25">
      <c r="A62" s="16" t="s">
        <v>513</v>
      </c>
      <c r="B62" s="20">
        <v>46035</v>
      </c>
      <c r="C62" s="16">
        <v>1</v>
      </c>
      <c r="D62" s="19" t="s">
        <v>37</v>
      </c>
      <c r="E62" s="19" t="s">
        <v>453</v>
      </c>
      <c r="G62" s="19">
        <v>29</v>
      </c>
      <c r="H62" s="19" t="s">
        <v>215</v>
      </c>
      <c r="I62" s="19" t="s">
        <v>216</v>
      </c>
      <c r="J62" s="19" t="s">
        <v>217</v>
      </c>
      <c r="K62" s="18">
        <v>46070.451863425929</v>
      </c>
    </row>
    <row r="63" spans="1:11" x14ac:dyDescent="0.25">
      <c r="A63" s="16" t="s">
        <v>514</v>
      </c>
      <c r="B63" s="20">
        <v>46035</v>
      </c>
      <c r="C63" s="16">
        <v>1</v>
      </c>
      <c r="D63" s="19" t="s">
        <v>37</v>
      </c>
      <c r="E63" s="19" t="s">
        <v>453</v>
      </c>
      <c r="G63" s="19">
        <v>23</v>
      </c>
      <c r="H63" s="19" t="s">
        <v>215</v>
      </c>
      <c r="I63" s="19" t="s">
        <v>216</v>
      </c>
      <c r="J63" s="19" t="s">
        <v>217</v>
      </c>
      <c r="K63" s="18">
        <v>46070.451886574076</v>
      </c>
    </row>
    <row r="64" spans="1:11" x14ac:dyDescent="0.25">
      <c r="A64" s="16" t="s">
        <v>515</v>
      </c>
      <c r="B64" s="20">
        <v>46035</v>
      </c>
      <c r="C64" s="16">
        <v>1</v>
      </c>
      <c r="D64" s="19" t="s">
        <v>37</v>
      </c>
      <c r="E64" s="19" t="s">
        <v>453</v>
      </c>
      <c r="G64" s="19">
        <v>24</v>
      </c>
      <c r="H64" s="19" t="s">
        <v>215</v>
      </c>
      <c r="I64" s="19" t="s">
        <v>216</v>
      </c>
      <c r="J64" s="19" t="s">
        <v>217</v>
      </c>
      <c r="K64" s="18">
        <v>46070.451909722222</v>
      </c>
    </row>
    <row r="65" spans="1:11" x14ac:dyDescent="0.25">
      <c r="A65" s="16" t="s">
        <v>516</v>
      </c>
      <c r="B65" s="20">
        <v>46035</v>
      </c>
      <c r="C65" s="16">
        <v>1</v>
      </c>
      <c r="D65" s="19" t="s">
        <v>37</v>
      </c>
      <c r="E65" s="19" t="s">
        <v>453</v>
      </c>
      <c r="G65" s="19">
        <v>3</v>
      </c>
      <c r="H65" s="19" t="s">
        <v>215</v>
      </c>
      <c r="I65" s="19" t="s">
        <v>216</v>
      </c>
      <c r="J65" s="19" t="s">
        <v>217</v>
      </c>
      <c r="K65" s="18">
        <v>46070.451932870368</v>
      </c>
    </row>
    <row r="66" spans="1:11" x14ac:dyDescent="0.25">
      <c r="A66" s="16" t="s">
        <v>517</v>
      </c>
      <c r="B66" s="20">
        <v>46035</v>
      </c>
      <c r="C66" s="16">
        <v>1</v>
      </c>
      <c r="D66" s="19" t="s">
        <v>37</v>
      </c>
      <c r="E66" s="19" t="s">
        <v>453</v>
      </c>
      <c r="G66" s="19">
        <v>26</v>
      </c>
      <c r="H66" s="19" t="s">
        <v>215</v>
      </c>
      <c r="I66" s="19" t="s">
        <v>216</v>
      </c>
      <c r="J66" s="19" t="s">
        <v>217</v>
      </c>
      <c r="K66" s="18">
        <v>46070.451944444445</v>
      </c>
    </row>
    <row r="67" spans="1:11" x14ac:dyDescent="0.25">
      <c r="A67" s="16" t="s">
        <v>518</v>
      </c>
      <c r="B67" s="20">
        <v>46036</v>
      </c>
      <c r="C67" s="16">
        <v>1</v>
      </c>
      <c r="D67" s="19" t="s">
        <v>37</v>
      </c>
      <c r="E67" s="19" t="s">
        <v>453</v>
      </c>
      <c r="G67" s="19">
        <v>39</v>
      </c>
      <c r="H67" s="19" t="s">
        <v>215</v>
      </c>
      <c r="I67" s="19" t="s">
        <v>216</v>
      </c>
      <c r="J67" s="19" t="s">
        <v>217</v>
      </c>
      <c r="K67" s="18">
        <v>46070.452557870369</v>
      </c>
    </row>
    <row r="68" spans="1:11" x14ac:dyDescent="0.25">
      <c r="A68" s="16" t="s">
        <v>519</v>
      </c>
      <c r="B68" s="20">
        <v>46036</v>
      </c>
      <c r="C68" s="16">
        <v>1</v>
      </c>
      <c r="D68" s="19" t="s">
        <v>37</v>
      </c>
      <c r="E68" s="19" t="s">
        <v>453</v>
      </c>
      <c r="G68" s="19">
        <v>35</v>
      </c>
      <c r="H68" s="19" t="s">
        <v>215</v>
      </c>
      <c r="I68" s="19" t="s">
        <v>216</v>
      </c>
      <c r="J68" s="19" t="s">
        <v>217</v>
      </c>
      <c r="K68" s="18">
        <v>46070.452581018515</v>
      </c>
    </row>
    <row r="69" spans="1:11" x14ac:dyDescent="0.25">
      <c r="A69" s="16" t="s">
        <v>520</v>
      </c>
      <c r="B69" s="20">
        <v>46036</v>
      </c>
      <c r="C69" s="16">
        <v>1</v>
      </c>
      <c r="D69" s="19" t="s">
        <v>37</v>
      </c>
      <c r="E69" s="19" t="s">
        <v>453</v>
      </c>
      <c r="G69" s="19">
        <v>37</v>
      </c>
      <c r="H69" s="19" t="s">
        <v>215</v>
      </c>
      <c r="I69" s="19" t="s">
        <v>216</v>
      </c>
      <c r="J69" s="19" t="s">
        <v>217</v>
      </c>
      <c r="K69" s="18">
        <v>46070.452627314815</v>
      </c>
    </row>
    <row r="70" spans="1:11" x14ac:dyDescent="0.25">
      <c r="A70" s="16" t="s">
        <v>521</v>
      </c>
      <c r="B70" s="20">
        <v>46036</v>
      </c>
      <c r="C70" s="16">
        <v>1</v>
      </c>
      <c r="D70" s="19" t="s">
        <v>37</v>
      </c>
      <c r="E70" s="19" t="s">
        <v>453</v>
      </c>
      <c r="G70" s="19">
        <v>29</v>
      </c>
      <c r="H70" s="19" t="s">
        <v>215</v>
      </c>
      <c r="I70" s="19" t="s">
        <v>216</v>
      </c>
      <c r="J70" s="19" t="s">
        <v>217</v>
      </c>
      <c r="K70" s="18">
        <v>46070.452638888892</v>
      </c>
    </row>
    <row r="71" spans="1:11" x14ac:dyDescent="0.25">
      <c r="A71" s="16" t="s">
        <v>522</v>
      </c>
      <c r="B71" s="20">
        <v>46036</v>
      </c>
      <c r="C71" s="16">
        <v>1</v>
      </c>
      <c r="D71" s="19" t="s">
        <v>37</v>
      </c>
      <c r="E71" s="19" t="s">
        <v>453</v>
      </c>
      <c r="G71" s="19">
        <v>24</v>
      </c>
      <c r="H71" s="19" t="s">
        <v>215</v>
      </c>
      <c r="I71" s="19" t="s">
        <v>216</v>
      </c>
      <c r="J71" s="19" t="s">
        <v>217</v>
      </c>
      <c r="K71" s="18">
        <v>46070.452650462961</v>
      </c>
    </row>
    <row r="72" spans="1:11" x14ac:dyDescent="0.25">
      <c r="A72" s="16" t="s">
        <v>523</v>
      </c>
      <c r="B72" s="20">
        <v>46037</v>
      </c>
      <c r="C72" s="16">
        <v>1</v>
      </c>
      <c r="D72" s="19" t="s">
        <v>37</v>
      </c>
      <c r="E72" s="19" t="s">
        <v>453</v>
      </c>
      <c r="G72" s="19">
        <v>41</v>
      </c>
      <c r="H72" s="19" t="s">
        <v>215</v>
      </c>
      <c r="I72" s="19" t="s">
        <v>216</v>
      </c>
      <c r="J72" s="19" t="s">
        <v>217</v>
      </c>
      <c r="K72" s="18">
        <v>46070.452777777777</v>
      </c>
    </row>
    <row r="73" spans="1:11" x14ac:dyDescent="0.25">
      <c r="A73" s="16" t="s">
        <v>524</v>
      </c>
      <c r="B73" s="20">
        <v>46037</v>
      </c>
      <c r="C73" s="16">
        <v>1</v>
      </c>
      <c r="D73" s="19" t="s">
        <v>37</v>
      </c>
      <c r="E73" s="19" t="s">
        <v>453</v>
      </c>
      <c r="G73" s="19">
        <v>37</v>
      </c>
      <c r="H73" s="19" t="s">
        <v>215</v>
      </c>
      <c r="I73" s="19" t="s">
        <v>216</v>
      </c>
      <c r="J73" s="19" t="s">
        <v>217</v>
      </c>
      <c r="K73" s="18">
        <v>46070.452789351853</v>
      </c>
    </row>
    <row r="74" spans="1:11" x14ac:dyDescent="0.25">
      <c r="A74" s="16" t="s">
        <v>525</v>
      </c>
      <c r="B74" s="20">
        <v>46037</v>
      </c>
      <c r="C74" s="16">
        <v>1</v>
      </c>
      <c r="D74" s="19" t="s">
        <v>37</v>
      </c>
      <c r="E74" s="19" t="s">
        <v>453</v>
      </c>
      <c r="G74" s="19">
        <v>29</v>
      </c>
      <c r="H74" s="19" t="s">
        <v>215</v>
      </c>
      <c r="I74" s="19" t="s">
        <v>216</v>
      </c>
      <c r="J74" s="19" t="s">
        <v>217</v>
      </c>
      <c r="K74" s="18">
        <v>46070.452800925923</v>
      </c>
    </row>
    <row r="75" spans="1:11" x14ac:dyDescent="0.25">
      <c r="A75" s="16" t="s">
        <v>526</v>
      </c>
      <c r="B75" s="20">
        <v>46037</v>
      </c>
      <c r="C75" s="16">
        <v>1</v>
      </c>
      <c r="D75" s="19" t="s">
        <v>37</v>
      </c>
      <c r="E75" s="19" t="s">
        <v>453</v>
      </c>
      <c r="G75" s="19">
        <v>29</v>
      </c>
      <c r="H75" s="19" t="s">
        <v>215</v>
      </c>
      <c r="I75" s="19" t="s">
        <v>216</v>
      </c>
      <c r="J75" s="19" t="s">
        <v>217</v>
      </c>
      <c r="K75" s="18">
        <v>46070.452824074076</v>
      </c>
    </row>
    <row r="76" spans="1:11" x14ac:dyDescent="0.25">
      <c r="A76" s="16" t="s">
        <v>527</v>
      </c>
      <c r="B76" s="20">
        <v>46038</v>
      </c>
      <c r="C76" s="16">
        <v>1</v>
      </c>
      <c r="D76" s="19" t="s">
        <v>37</v>
      </c>
      <c r="E76" s="19" t="s">
        <v>453</v>
      </c>
      <c r="G76" s="19">
        <v>35</v>
      </c>
      <c r="H76" s="19" t="s">
        <v>215</v>
      </c>
      <c r="I76" s="19" t="s">
        <v>216</v>
      </c>
      <c r="J76" s="19" t="s">
        <v>217</v>
      </c>
      <c r="K76" s="18">
        <v>46070.452951388892</v>
      </c>
    </row>
    <row r="77" spans="1:11" x14ac:dyDescent="0.25">
      <c r="A77" s="16" t="s">
        <v>528</v>
      </c>
      <c r="B77" s="20">
        <v>46038</v>
      </c>
      <c r="C77" s="16">
        <v>1</v>
      </c>
      <c r="D77" s="19" t="s">
        <v>37</v>
      </c>
      <c r="E77" s="19" t="s">
        <v>453</v>
      </c>
      <c r="G77" s="19">
        <v>19</v>
      </c>
      <c r="H77" s="19" t="s">
        <v>215</v>
      </c>
      <c r="I77" s="19" t="s">
        <v>216</v>
      </c>
      <c r="J77" s="19" t="s">
        <v>217</v>
      </c>
      <c r="K77" s="18">
        <v>46070.452962962961</v>
      </c>
    </row>
    <row r="78" spans="1:11" x14ac:dyDescent="0.25">
      <c r="A78" s="16" t="s">
        <v>529</v>
      </c>
      <c r="B78" s="20">
        <v>46039</v>
      </c>
      <c r="C78" s="16">
        <v>1</v>
      </c>
      <c r="D78" s="19" t="s">
        <v>37</v>
      </c>
      <c r="E78" s="19" t="s">
        <v>453</v>
      </c>
      <c r="G78" s="19">
        <v>20</v>
      </c>
      <c r="H78" s="19" t="s">
        <v>215</v>
      </c>
      <c r="I78" s="19" t="s">
        <v>216</v>
      </c>
      <c r="J78" s="19" t="s">
        <v>217</v>
      </c>
      <c r="K78" s="18">
        <v>46070.453090277777</v>
      </c>
    </row>
    <row r="79" spans="1:11" x14ac:dyDescent="0.25">
      <c r="A79" s="16" t="s">
        <v>530</v>
      </c>
      <c r="B79" s="20">
        <v>46039</v>
      </c>
      <c r="C79" s="16">
        <v>1</v>
      </c>
      <c r="D79" s="19" t="s">
        <v>37</v>
      </c>
      <c r="E79" s="19" t="s">
        <v>453</v>
      </c>
      <c r="G79" s="19">
        <v>39</v>
      </c>
      <c r="H79" s="19" t="s">
        <v>215</v>
      </c>
      <c r="I79" s="19" t="s">
        <v>216</v>
      </c>
      <c r="J79" s="19" t="s">
        <v>217</v>
      </c>
      <c r="K79" s="18">
        <v>46070.453101851854</v>
      </c>
    </row>
    <row r="80" spans="1:11" x14ac:dyDescent="0.25">
      <c r="A80" s="16" t="s">
        <v>531</v>
      </c>
      <c r="B80" s="20">
        <v>46039</v>
      </c>
      <c r="C80" s="16">
        <v>1</v>
      </c>
      <c r="D80" s="19" t="s">
        <v>37</v>
      </c>
      <c r="E80" s="19" t="s">
        <v>453</v>
      </c>
      <c r="G80" s="19">
        <v>19</v>
      </c>
      <c r="H80" s="19" t="s">
        <v>215</v>
      </c>
      <c r="I80" s="19" t="s">
        <v>216</v>
      </c>
      <c r="J80" s="19" t="s">
        <v>217</v>
      </c>
      <c r="K80" s="18">
        <v>46070.453125</v>
      </c>
    </row>
    <row r="81" spans="1:11" x14ac:dyDescent="0.25">
      <c r="A81" s="16" t="s">
        <v>532</v>
      </c>
      <c r="B81" s="20">
        <v>46039</v>
      </c>
      <c r="C81" s="16">
        <v>1</v>
      </c>
      <c r="D81" s="19" t="s">
        <v>37</v>
      </c>
      <c r="E81" s="19" t="s">
        <v>453</v>
      </c>
      <c r="G81" s="19">
        <v>17</v>
      </c>
      <c r="H81" s="19" t="s">
        <v>215</v>
      </c>
      <c r="I81" s="19" t="s">
        <v>216</v>
      </c>
      <c r="J81" s="19" t="s">
        <v>217</v>
      </c>
      <c r="K81" s="18">
        <v>46070.453136574077</v>
      </c>
    </row>
    <row r="82" spans="1:11" x14ac:dyDescent="0.25">
      <c r="A82" s="16" t="s">
        <v>533</v>
      </c>
      <c r="B82" s="20">
        <v>46040</v>
      </c>
      <c r="C82" s="16">
        <v>1</v>
      </c>
      <c r="D82" s="19" t="s">
        <v>37</v>
      </c>
      <c r="E82" s="19" t="s">
        <v>453</v>
      </c>
      <c r="G82" s="19">
        <v>39</v>
      </c>
      <c r="H82" s="19" t="s">
        <v>215</v>
      </c>
      <c r="I82" s="19" t="s">
        <v>216</v>
      </c>
      <c r="J82" s="19" t="s">
        <v>217</v>
      </c>
      <c r="K82" s="18">
        <v>46070.453252314815</v>
      </c>
    </row>
    <row r="83" spans="1:11" x14ac:dyDescent="0.25">
      <c r="A83" s="16" t="s">
        <v>534</v>
      </c>
      <c r="B83" s="20">
        <v>46041</v>
      </c>
      <c r="C83" s="16">
        <v>1</v>
      </c>
      <c r="D83" s="19" t="s">
        <v>37</v>
      </c>
      <c r="E83" s="19" t="s">
        <v>453</v>
      </c>
      <c r="G83" s="19">
        <v>37</v>
      </c>
      <c r="H83" s="19" t="s">
        <v>215</v>
      </c>
      <c r="I83" s="19" t="s">
        <v>216</v>
      </c>
      <c r="J83" s="19" t="s">
        <v>217</v>
      </c>
      <c r="K83" s="18">
        <v>46070.453449074077</v>
      </c>
    </row>
    <row r="84" spans="1:11" x14ac:dyDescent="0.25">
      <c r="A84" s="16" t="s">
        <v>535</v>
      </c>
      <c r="B84" s="20">
        <v>46041</v>
      </c>
      <c r="C84" s="16">
        <v>1</v>
      </c>
      <c r="D84" s="19" t="s">
        <v>37</v>
      </c>
      <c r="E84" s="19" t="s">
        <v>453</v>
      </c>
      <c r="G84" s="19">
        <v>25</v>
      </c>
      <c r="H84" s="19" t="s">
        <v>215</v>
      </c>
      <c r="I84" s="19" t="s">
        <v>216</v>
      </c>
      <c r="J84" s="19" t="s">
        <v>217</v>
      </c>
      <c r="K84" s="18">
        <v>46070.453460648147</v>
      </c>
    </row>
    <row r="85" spans="1:11" x14ac:dyDescent="0.25">
      <c r="A85" s="16" t="s">
        <v>536</v>
      </c>
      <c r="B85" s="20">
        <v>46041</v>
      </c>
      <c r="C85" s="16">
        <v>1</v>
      </c>
      <c r="D85" s="19" t="s">
        <v>37</v>
      </c>
      <c r="E85" s="19" t="s">
        <v>453</v>
      </c>
      <c r="G85" s="19">
        <v>39</v>
      </c>
      <c r="H85" s="19" t="s">
        <v>215</v>
      </c>
      <c r="I85" s="19" t="s">
        <v>216</v>
      </c>
      <c r="J85" s="19" t="s">
        <v>217</v>
      </c>
      <c r="K85" s="18">
        <v>46070.453472222223</v>
      </c>
    </row>
    <row r="86" spans="1:11" x14ac:dyDescent="0.25">
      <c r="A86" s="16" t="s">
        <v>537</v>
      </c>
      <c r="B86" s="20">
        <v>46041</v>
      </c>
      <c r="C86" s="16">
        <v>1</v>
      </c>
      <c r="D86" s="19" t="s">
        <v>37</v>
      </c>
      <c r="E86" s="19" t="s">
        <v>453</v>
      </c>
      <c r="G86" s="19">
        <v>21</v>
      </c>
      <c r="H86" s="19" t="s">
        <v>215</v>
      </c>
      <c r="I86" s="19" t="s">
        <v>216</v>
      </c>
      <c r="J86" s="19" t="s">
        <v>217</v>
      </c>
      <c r="K86" s="18">
        <v>46070.453483796293</v>
      </c>
    </row>
    <row r="87" spans="1:11" x14ac:dyDescent="0.25">
      <c r="A87" s="16" t="s">
        <v>538</v>
      </c>
      <c r="B87" s="20">
        <v>46042</v>
      </c>
      <c r="C87" s="16">
        <v>1</v>
      </c>
      <c r="D87" s="19" t="s">
        <v>37</v>
      </c>
      <c r="E87" s="19" t="s">
        <v>453</v>
      </c>
      <c r="G87" s="19">
        <v>27</v>
      </c>
      <c r="H87" s="19" t="s">
        <v>215</v>
      </c>
      <c r="I87" s="19" t="s">
        <v>216</v>
      </c>
      <c r="J87" s="19" t="s">
        <v>217</v>
      </c>
      <c r="K87" s="18">
        <v>46070.453703703701</v>
      </c>
    </row>
    <row r="88" spans="1:11" x14ac:dyDescent="0.25">
      <c r="A88" s="16" t="s">
        <v>539</v>
      </c>
      <c r="B88" s="20">
        <v>46042</v>
      </c>
      <c r="C88" s="16">
        <v>1</v>
      </c>
      <c r="D88" s="19" t="s">
        <v>37</v>
      </c>
      <c r="E88" s="19" t="s">
        <v>453</v>
      </c>
      <c r="G88" s="19">
        <v>22</v>
      </c>
      <c r="H88" s="19" t="s">
        <v>215</v>
      </c>
      <c r="I88" s="19" t="s">
        <v>216</v>
      </c>
      <c r="J88" s="19" t="s">
        <v>217</v>
      </c>
      <c r="K88" s="18">
        <v>46070.453715277778</v>
      </c>
    </row>
    <row r="89" spans="1:11" x14ac:dyDescent="0.25">
      <c r="A89" s="16" t="s">
        <v>540</v>
      </c>
      <c r="B89" s="20">
        <v>46042</v>
      </c>
      <c r="C89" s="16">
        <v>1</v>
      </c>
      <c r="D89" s="19" t="s">
        <v>37</v>
      </c>
      <c r="E89" s="19" t="s">
        <v>453</v>
      </c>
      <c r="G89" s="19">
        <v>25</v>
      </c>
      <c r="H89" s="19" t="s">
        <v>215</v>
      </c>
      <c r="I89" s="19" t="s">
        <v>216</v>
      </c>
      <c r="J89" s="19" t="s">
        <v>217</v>
      </c>
      <c r="K89" s="18">
        <v>46070.453726851854</v>
      </c>
    </row>
    <row r="90" spans="1:11" x14ac:dyDescent="0.25">
      <c r="A90" s="16" t="s">
        <v>541</v>
      </c>
      <c r="B90" s="20">
        <v>46042</v>
      </c>
      <c r="C90" s="16">
        <v>1</v>
      </c>
      <c r="D90" s="19" t="s">
        <v>37</v>
      </c>
      <c r="E90" s="19" t="s">
        <v>453</v>
      </c>
      <c r="G90" s="19">
        <v>38</v>
      </c>
      <c r="H90" s="19" t="s">
        <v>215</v>
      </c>
      <c r="I90" s="19" t="s">
        <v>216</v>
      </c>
      <c r="J90" s="19" t="s">
        <v>217</v>
      </c>
      <c r="K90" s="18">
        <v>46070.453773148147</v>
      </c>
    </row>
    <row r="91" spans="1:11" x14ac:dyDescent="0.25">
      <c r="A91" s="16" t="s">
        <v>542</v>
      </c>
      <c r="B91" s="20">
        <v>46043</v>
      </c>
      <c r="C91" s="16">
        <v>1</v>
      </c>
      <c r="D91" s="19" t="s">
        <v>37</v>
      </c>
      <c r="E91" s="19" t="s">
        <v>453</v>
      </c>
      <c r="G91" s="19">
        <v>35</v>
      </c>
      <c r="H91" s="19" t="s">
        <v>215</v>
      </c>
      <c r="I91" s="19" t="s">
        <v>216</v>
      </c>
      <c r="J91" s="19" t="s">
        <v>217</v>
      </c>
      <c r="K91" s="18">
        <v>46070.453969907408</v>
      </c>
    </row>
    <row r="92" spans="1:11" x14ac:dyDescent="0.25">
      <c r="A92" s="16" t="s">
        <v>543</v>
      </c>
      <c r="B92" s="20">
        <v>46043</v>
      </c>
      <c r="C92" s="16">
        <v>1</v>
      </c>
      <c r="D92" s="19" t="s">
        <v>37</v>
      </c>
      <c r="E92" s="19" t="s">
        <v>453</v>
      </c>
      <c r="G92" s="19">
        <v>26</v>
      </c>
      <c r="H92" s="19" t="s">
        <v>215</v>
      </c>
      <c r="I92" s="19" t="s">
        <v>216</v>
      </c>
      <c r="J92" s="19" t="s">
        <v>217</v>
      </c>
      <c r="K92" s="18">
        <v>46070.454004629632</v>
      </c>
    </row>
    <row r="93" spans="1:11" x14ac:dyDescent="0.25">
      <c r="A93" s="16" t="s">
        <v>544</v>
      </c>
      <c r="B93" s="20">
        <v>46044</v>
      </c>
      <c r="C93" s="16">
        <v>1</v>
      </c>
      <c r="D93" s="19" t="s">
        <v>37</v>
      </c>
      <c r="E93" s="19" t="s">
        <v>453</v>
      </c>
      <c r="G93" s="19">
        <v>36</v>
      </c>
      <c r="H93" s="19" t="s">
        <v>215</v>
      </c>
      <c r="I93" s="19" t="s">
        <v>216</v>
      </c>
      <c r="J93" s="19" t="s">
        <v>217</v>
      </c>
      <c r="K93" s="18">
        <v>46070.454108796293</v>
      </c>
    </row>
    <row r="94" spans="1:11" x14ac:dyDescent="0.25">
      <c r="A94" s="16" t="s">
        <v>545</v>
      </c>
      <c r="B94" s="20">
        <v>46044</v>
      </c>
      <c r="C94" s="16">
        <v>1</v>
      </c>
      <c r="D94" s="19" t="s">
        <v>37</v>
      </c>
      <c r="E94" s="19" t="s">
        <v>453</v>
      </c>
      <c r="G94" s="19">
        <v>31</v>
      </c>
      <c r="H94" s="19" t="s">
        <v>215</v>
      </c>
      <c r="I94" s="19" t="s">
        <v>216</v>
      </c>
      <c r="J94" s="19" t="s">
        <v>217</v>
      </c>
      <c r="K94" s="18">
        <v>46070.45412037037</v>
      </c>
    </row>
    <row r="95" spans="1:11" x14ac:dyDescent="0.25">
      <c r="A95" s="16" t="s">
        <v>546</v>
      </c>
      <c r="B95" s="20">
        <v>46044</v>
      </c>
      <c r="C95" s="16">
        <v>1</v>
      </c>
      <c r="D95" s="19" t="s">
        <v>37</v>
      </c>
      <c r="E95" s="19" t="s">
        <v>453</v>
      </c>
      <c r="G95" s="19">
        <v>23</v>
      </c>
      <c r="H95" s="19" t="s">
        <v>215</v>
      </c>
      <c r="I95" s="19" t="s">
        <v>216</v>
      </c>
      <c r="J95" s="19" t="s">
        <v>217</v>
      </c>
      <c r="K95" s="18">
        <v>46070.454363425924</v>
      </c>
    </row>
    <row r="96" spans="1:11" x14ac:dyDescent="0.25">
      <c r="A96" s="16" t="s">
        <v>547</v>
      </c>
      <c r="B96" s="20">
        <v>46044</v>
      </c>
      <c r="C96" s="16">
        <v>1</v>
      </c>
      <c r="D96" s="19" t="s">
        <v>37</v>
      </c>
      <c r="E96" s="19" t="s">
        <v>453</v>
      </c>
      <c r="G96" s="19">
        <v>36</v>
      </c>
      <c r="H96" s="19" t="s">
        <v>215</v>
      </c>
      <c r="I96" s="19" t="s">
        <v>216</v>
      </c>
      <c r="J96" s="19" t="s">
        <v>217</v>
      </c>
      <c r="K96" s="18">
        <v>46070.454421296294</v>
      </c>
    </row>
    <row r="97" spans="1:11" x14ac:dyDescent="0.25">
      <c r="A97" s="16" t="s">
        <v>548</v>
      </c>
      <c r="B97" s="20">
        <v>46044</v>
      </c>
      <c r="C97" s="16">
        <v>1</v>
      </c>
      <c r="D97" s="19" t="s">
        <v>37</v>
      </c>
      <c r="E97" s="19" t="s">
        <v>453</v>
      </c>
      <c r="G97" s="19">
        <v>22</v>
      </c>
      <c r="H97" s="19" t="s">
        <v>215</v>
      </c>
      <c r="I97" s="19" t="s">
        <v>216</v>
      </c>
      <c r="J97" s="19" t="s">
        <v>217</v>
      </c>
      <c r="K97" s="18">
        <v>46070.454432870371</v>
      </c>
    </row>
    <row r="98" spans="1:11" x14ac:dyDescent="0.25">
      <c r="A98" s="16" t="s">
        <v>549</v>
      </c>
      <c r="B98" s="20">
        <v>46044</v>
      </c>
      <c r="C98" s="16">
        <v>1</v>
      </c>
      <c r="D98" s="19" t="s">
        <v>37</v>
      </c>
      <c r="E98" s="19" t="s">
        <v>453</v>
      </c>
      <c r="G98" s="19">
        <v>24</v>
      </c>
      <c r="H98" s="19" t="s">
        <v>215</v>
      </c>
      <c r="I98" s="19" t="s">
        <v>216</v>
      </c>
      <c r="J98" s="19" t="s">
        <v>217</v>
      </c>
      <c r="K98" s="18">
        <v>46070.454444444447</v>
      </c>
    </row>
    <row r="99" spans="1:11" x14ac:dyDescent="0.25">
      <c r="A99" s="16" t="s">
        <v>550</v>
      </c>
      <c r="B99" s="20">
        <v>46045</v>
      </c>
      <c r="C99" s="16">
        <v>1</v>
      </c>
      <c r="D99" s="19" t="s">
        <v>37</v>
      </c>
      <c r="E99" s="19" t="s">
        <v>453</v>
      </c>
      <c r="G99" s="19">
        <v>34</v>
      </c>
      <c r="H99" s="19" t="s">
        <v>215</v>
      </c>
      <c r="I99" s="19" t="s">
        <v>216</v>
      </c>
      <c r="J99" s="19" t="s">
        <v>217</v>
      </c>
      <c r="K99" s="18">
        <v>46070.454560185186</v>
      </c>
    </row>
    <row r="100" spans="1:11" x14ac:dyDescent="0.25">
      <c r="A100" s="16" t="s">
        <v>551</v>
      </c>
      <c r="B100" s="20">
        <v>46045</v>
      </c>
      <c r="C100" s="16">
        <v>1</v>
      </c>
      <c r="D100" s="19" t="s">
        <v>37</v>
      </c>
      <c r="E100" s="19" t="s">
        <v>453</v>
      </c>
      <c r="G100" s="19">
        <v>23</v>
      </c>
      <c r="H100" s="19" t="s">
        <v>215</v>
      </c>
      <c r="I100" s="19" t="s">
        <v>216</v>
      </c>
      <c r="J100" s="19" t="s">
        <v>217</v>
      </c>
      <c r="K100" s="18">
        <v>46070.454618055555</v>
      </c>
    </row>
    <row r="101" spans="1:11" x14ac:dyDescent="0.25">
      <c r="A101" s="16" t="s">
        <v>552</v>
      </c>
      <c r="B101" s="20">
        <v>46045</v>
      </c>
      <c r="C101" s="16">
        <v>1</v>
      </c>
      <c r="D101" s="19" t="s">
        <v>37</v>
      </c>
      <c r="E101" s="19" t="s">
        <v>453</v>
      </c>
      <c r="G101" s="19">
        <v>40</v>
      </c>
      <c r="H101" s="19" t="s">
        <v>215</v>
      </c>
      <c r="I101" s="19" t="s">
        <v>216</v>
      </c>
      <c r="J101" s="19" t="s">
        <v>217</v>
      </c>
      <c r="K101" s="18">
        <v>46070.454641203702</v>
      </c>
    </row>
    <row r="102" spans="1:11" x14ac:dyDescent="0.25">
      <c r="A102" s="16" t="s">
        <v>553</v>
      </c>
      <c r="B102" s="20">
        <v>46045</v>
      </c>
      <c r="C102" s="16">
        <v>1</v>
      </c>
      <c r="D102" s="19" t="s">
        <v>37</v>
      </c>
      <c r="E102" s="19" t="s">
        <v>453</v>
      </c>
      <c r="G102" s="19">
        <v>23</v>
      </c>
      <c r="H102" s="19" t="s">
        <v>215</v>
      </c>
      <c r="I102" s="19" t="s">
        <v>216</v>
      </c>
      <c r="J102" s="19" t="s">
        <v>217</v>
      </c>
      <c r="K102" s="18">
        <v>46070.454652777778</v>
      </c>
    </row>
    <row r="103" spans="1:11" x14ac:dyDescent="0.25">
      <c r="A103" s="16" t="s">
        <v>554</v>
      </c>
      <c r="B103" s="20">
        <v>46047</v>
      </c>
      <c r="C103" s="16">
        <v>1</v>
      </c>
      <c r="D103" s="19" t="s">
        <v>37</v>
      </c>
      <c r="E103" s="19" t="s">
        <v>453</v>
      </c>
      <c r="G103" s="19">
        <v>28</v>
      </c>
      <c r="H103" s="19" t="s">
        <v>215</v>
      </c>
      <c r="I103" s="19" t="s">
        <v>216</v>
      </c>
      <c r="J103" s="19" t="s">
        <v>217</v>
      </c>
      <c r="K103" s="18">
        <v>46070.454826388886</v>
      </c>
    </row>
    <row r="104" spans="1:11" x14ac:dyDescent="0.25">
      <c r="A104" s="16" t="s">
        <v>555</v>
      </c>
      <c r="B104" s="20">
        <v>46047</v>
      </c>
      <c r="C104" s="16">
        <v>1</v>
      </c>
      <c r="D104" s="19" t="s">
        <v>37</v>
      </c>
      <c r="E104" s="19" t="s">
        <v>453</v>
      </c>
      <c r="G104" s="19">
        <v>32</v>
      </c>
      <c r="H104" s="19" t="s">
        <v>215</v>
      </c>
      <c r="I104" s="19" t="s">
        <v>216</v>
      </c>
      <c r="J104" s="19" t="s">
        <v>217</v>
      </c>
      <c r="K104" s="18">
        <v>46070.45484953704</v>
      </c>
    </row>
    <row r="105" spans="1:11" x14ac:dyDescent="0.25">
      <c r="A105" s="16" t="s">
        <v>556</v>
      </c>
      <c r="B105" s="20">
        <v>46048</v>
      </c>
      <c r="C105" s="16">
        <v>1</v>
      </c>
      <c r="D105" s="19" t="s">
        <v>37</v>
      </c>
      <c r="E105" s="19" t="s">
        <v>453</v>
      </c>
      <c r="G105" s="19">
        <v>28</v>
      </c>
      <c r="H105" s="19" t="s">
        <v>215</v>
      </c>
      <c r="I105" s="19" t="s">
        <v>216</v>
      </c>
      <c r="J105" s="19" t="s">
        <v>217</v>
      </c>
      <c r="K105" s="18">
        <v>46070.455011574071</v>
      </c>
    </row>
    <row r="106" spans="1:11" x14ac:dyDescent="0.25">
      <c r="A106" s="16" t="s">
        <v>557</v>
      </c>
      <c r="B106" s="20">
        <v>46049</v>
      </c>
      <c r="C106" s="16">
        <v>1</v>
      </c>
      <c r="D106" s="19" t="s">
        <v>37</v>
      </c>
      <c r="E106" s="19" t="s">
        <v>453</v>
      </c>
      <c r="G106" s="19">
        <v>32</v>
      </c>
      <c r="H106" s="19" t="s">
        <v>215</v>
      </c>
      <c r="I106" s="19" t="s">
        <v>216</v>
      </c>
      <c r="J106" s="19" t="s">
        <v>217</v>
      </c>
      <c r="K106" s="18">
        <v>46070.455127314817</v>
      </c>
    </row>
    <row r="107" spans="1:11" x14ac:dyDescent="0.25">
      <c r="A107" s="16" t="s">
        <v>558</v>
      </c>
      <c r="B107" s="20">
        <v>46049</v>
      </c>
      <c r="C107" s="16">
        <v>1</v>
      </c>
      <c r="D107" s="19" t="s">
        <v>37</v>
      </c>
      <c r="E107" s="19" t="s">
        <v>453</v>
      </c>
      <c r="G107" s="19">
        <v>19</v>
      </c>
      <c r="H107" s="19" t="s">
        <v>215</v>
      </c>
      <c r="I107" s="19" t="s">
        <v>216</v>
      </c>
      <c r="J107" s="19" t="s">
        <v>217</v>
      </c>
      <c r="K107" s="18">
        <v>46070.455138888887</v>
      </c>
    </row>
    <row r="108" spans="1:11" x14ac:dyDescent="0.25">
      <c r="A108" s="16" t="s">
        <v>559</v>
      </c>
      <c r="B108" s="20">
        <v>46049</v>
      </c>
      <c r="C108" s="16">
        <v>1</v>
      </c>
      <c r="D108" s="19" t="s">
        <v>37</v>
      </c>
      <c r="E108" s="19" t="s">
        <v>453</v>
      </c>
      <c r="G108" s="19">
        <v>38</v>
      </c>
      <c r="H108" s="19" t="s">
        <v>215</v>
      </c>
      <c r="I108" s="19" t="s">
        <v>216</v>
      </c>
      <c r="J108" s="19" t="s">
        <v>217</v>
      </c>
      <c r="K108" s="18">
        <v>46070.45516203704</v>
      </c>
    </row>
    <row r="109" spans="1:11" x14ac:dyDescent="0.25">
      <c r="A109" s="16" t="s">
        <v>560</v>
      </c>
      <c r="B109" s="20">
        <v>46049</v>
      </c>
      <c r="C109" s="16">
        <v>1</v>
      </c>
      <c r="D109" s="19" t="s">
        <v>37</v>
      </c>
      <c r="E109" s="19" t="s">
        <v>453</v>
      </c>
      <c r="G109" s="19">
        <v>19</v>
      </c>
      <c r="H109" s="19" t="s">
        <v>215</v>
      </c>
      <c r="I109" s="19" t="s">
        <v>216</v>
      </c>
      <c r="J109" s="19" t="s">
        <v>217</v>
      </c>
      <c r="K109" s="18">
        <v>46070.45517361111</v>
      </c>
    </row>
    <row r="110" spans="1:11" x14ac:dyDescent="0.25">
      <c r="A110" s="16" t="s">
        <v>561</v>
      </c>
      <c r="B110" s="20">
        <v>46049</v>
      </c>
      <c r="C110" s="16">
        <v>1</v>
      </c>
      <c r="D110" s="19" t="s">
        <v>37</v>
      </c>
      <c r="E110" s="19" t="s">
        <v>453</v>
      </c>
      <c r="G110" s="19">
        <v>24</v>
      </c>
      <c r="H110" s="19" t="s">
        <v>215</v>
      </c>
      <c r="I110" s="19" t="s">
        <v>216</v>
      </c>
      <c r="J110" s="19" t="s">
        <v>217</v>
      </c>
      <c r="K110" s="18">
        <v>46070.455185185187</v>
      </c>
    </row>
    <row r="111" spans="1:11" x14ac:dyDescent="0.25">
      <c r="A111" s="16" t="s">
        <v>562</v>
      </c>
      <c r="B111" s="20">
        <v>46050</v>
      </c>
      <c r="C111" s="16">
        <v>1</v>
      </c>
      <c r="D111" s="19" t="s">
        <v>37</v>
      </c>
      <c r="E111" s="19" t="s">
        <v>453</v>
      </c>
      <c r="G111" s="19">
        <v>33</v>
      </c>
      <c r="H111" s="19" t="s">
        <v>215</v>
      </c>
      <c r="I111" s="19" t="s">
        <v>216</v>
      </c>
      <c r="J111" s="19" t="s">
        <v>217</v>
      </c>
      <c r="K111" s="18">
        <v>46070.455300925925</v>
      </c>
    </row>
    <row r="112" spans="1:11" x14ac:dyDescent="0.25">
      <c r="A112" s="16" t="s">
        <v>563</v>
      </c>
      <c r="B112" s="20">
        <v>46050</v>
      </c>
      <c r="C112" s="16">
        <v>1</v>
      </c>
      <c r="D112" s="19" t="s">
        <v>37</v>
      </c>
      <c r="E112" s="19" t="s">
        <v>453</v>
      </c>
      <c r="G112" s="19">
        <v>39</v>
      </c>
      <c r="H112" s="19" t="s">
        <v>215</v>
      </c>
      <c r="I112" s="19" t="s">
        <v>216</v>
      </c>
      <c r="J112" s="19" t="s">
        <v>217</v>
      </c>
      <c r="K112" s="18">
        <v>46070.455312500002</v>
      </c>
    </row>
    <row r="113" spans="1:11" x14ac:dyDescent="0.25">
      <c r="A113" s="16" t="s">
        <v>564</v>
      </c>
      <c r="B113" s="20">
        <v>46050</v>
      </c>
      <c r="C113" s="16">
        <v>1</v>
      </c>
      <c r="D113" s="19" t="s">
        <v>37</v>
      </c>
      <c r="E113" s="19" t="s">
        <v>453</v>
      </c>
      <c r="G113" s="19">
        <v>37</v>
      </c>
      <c r="H113" s="19" t="s">
        <v>215</v>
      </c>
      <c r="I113" s="19" t="s">
        <v>216</v>
      </c>
      <c r="J113" s="19" t="s">
        <v>217</v>
      </c>
      <c r="K113" s="18">
        <v>46070.455335648148</v>
      </c>
    </row>
    <row r="114" spans="1:11" x14ac:dyDescent="0.25">
      <c r="A114" s="16" t="s">
        <v>565</v>
      </c>
      <c r="B114" s="20">
        <v>46050</v>
      </c>
      <c r="C114" s="16">
        <v>1</v>
      </c>
      <c r="D114" s="19" t="s">
        <v>37</v>
      </c>
      <c r="E114" s="19" t="s">
        <v>453</v>
      </c>
      <c r="G114" s="19">
        <v>31</v>
      </c>
      <c r="H114" s="19" t="s">
        <v>215</v>
      </c>
      <c r="I114" s="19" t="s">
        <v>216</v>
      </c>
      <c r="J114" s="19" t="s">
        <v>217</v>
      </c>
      <c r="K114" s="18">
        <v>46070.455347222225</v>
      </c>
    </row>
    <row r="115" spans="1:11" x14ac:dyDescent="0.25">
      <c r="A115" s="16" t="s">
        <v>566</v>
      </c>
      <c r="B115" s="20">
        <v>46050</v>
      </c>
      <c r="C115" s="16">
        <v>1</v>
      </c>
      <c r="D115" s="19" t="s">
        <v>37</v>
      </c>
      <c r="E115" s="19" t="s">
        <v>453</v>
      </c>
      <c r="G115" s="19">
        <v>41</v>
      </c>
      <c r="H115" s="19" t="s">
        <v>215</v>
      </c>
      <c r="I115" s="19" t="s">
        <v>216</v>
      </c>
      <c r="J115" s="19" t="s">
        <v>217</v>
      </c>
      <c r="K115" s="18">
        <v>46070.455358796295</v>
      </c>
    </row>
    <row r="116" spans="1:11" x14ac:dyDescent="0.25">
      <c r="A116" s="16" t="s">
        <v>567</v>
      </c>
      <c r="B116" s="20">
        <v>46051</v>
      </c>
      <c r="C116" s="16">
        <v>1</v>
      </c>
      <c r="D116" s="19" t="s">
        <v>37</v>
      </c>
      <c r="E116" s="19" t="s">
        <v>453</v>
      </c>
      <c r="G116" s="19">
        <v>35</v>
      </c>
      <c r="H116" s="19" t="s">
        <v>215</v>
      </c>
      <c r="I116" s="19" t="s">
        <v>216</v>
      </c>
      <c r="J116" s="19" t="s">
        <v>217</v>
      </c>
      <c r="K116" s="18">
        <v>46070.455613425926</v>
      </c>
    </row>
    <row r="117" spans="1:11" x14ac:dyDescent="0.25">
      <c r="A117" s="16" t="s">
        <v>568</v>
      </c>
      <c r="B117" s="20">
        <v>46051</v>
      </c>
      <c r="C117" s="16">
        <v>1</v>
      </c>
      <c r="D117" s="19" t="s">
        <v>37</v>
      </c>
      <c r="E117" s="19" t="s">
        <v>453</v>
      </c>
      <c r="G117" s="19">
        <v>34</v>
      </c>
      <c r="H117" s="19" t="s">
        <v>215</v>
      </c>
      <c r="I117" s="19" t="s">
        <v>216</v>
      </c>
      <c r="J117" s="19" t="s">
        <v>217</v>
      </c>
      <c r="K117" s="18">
        <v>46070.455636574072</v>
      </c>
    </row>
    <row r="118" spans="1:11" x14ac:dyDescent="0.25">
      <c r="A118" s="16" t="s">
        <v>569</v>
      </c>
      <c r="B118" s="20">
        <v>46051</v>
      </c>
      <c r="C118" s="16">
        <v>1</v>
      </c>
      <c r="D118" s="19" t="s">
        <v>37</v>
      </c>
      <c r="E118" s="19" t="s">
        <v>453</v>
      </c>
      <c r="G118" s="19">
        <v>29</v>
      </c>
      <c r="H118" s="19" t="s">
        <v>215</v>
      </c>
      <c r="I118" s="19" t="s">
        <v>216</v>
      </c>
      <c r="J118" s="19" t="s">
        <v>217</v>
      </c>
      <c r="K118" s="18">
        <v>46070.455659722225</v>
      </c>
    </row>
    <row r="119" spans="1:11" x14ac:dyDescent="0.25">
      <c r="A119" s="16" t="s">
        <v>570</v>
      </c>
      <c r="B119" s="20">
        <v>46051</v>
      </c>
      <c r="C119" s="16">
        <v>1</v>
      </c>
      <c r="D119" s="19" t="s">
        <v>37</v>
      </c>
      <c r="E119" s="19" t="s">
        <v>453</v>
      </c>
      <c r="G119" s="19">
        <v>45</v>
      </c>
      <c r="H119" s="19" t="s">
        <v>215</v>
      </c>
      <c r="I119" s="19" t="s">
        <v>216</v>
      </c>
      <c r="J119" s="19" t="s">
        <v>217</v>
      </c>
      <c r="K119" s="18">
        <v>46070.455671296295</v>
      </c>
    </row>
    <row r="120" spans="1:11" x14ac:dyDescent="0.25">
      <c r="A120" s="16" t="s">
        <v>571</v>
      </c>
      <c r="B120" s="20">
        <v>46052</v>
      </c>
      <c r="C120" s="16">
        <v>1</v>
      </c>
      <c r="D120" s="19" t="s">
        <v>37</v>
      </c>
      <c r="E120" s="19" t="s">
        <v>453</v>
      </c>
      <c r="G120" s="19">
        <v>30</v>
      </c>
      <c r="H120" s="19" t="s">
        <v>215</v>
      </c>
      <c r="I120" s="19" t="s">
        <v>216</v>
      </c>
      <c r="J120" s="19" t="s">
        <v>217</v>
      </c>
      <c r="K120" s="18">
        <v>46070.45579861111</v>
      </c>
    </row>
    <row r="121" spans="1:11" x14ac:dyDescent="0.25">
      <c r="A121" s="16" t="s">
        <v>572</v>
      </c>
      <c r="B121" s="20">
        <v>46052</v>
      </c>
      <c r="C121" s="16">
        <v>1</v>
      </c>
      <c r="D121" s="19" t="s">
        <v>37</v>
      </c>
      <c r="E121" s="19" t="s">
        <v>453</v>
      </c>
      <c r="G121" s="19">
        <v>19</v>
      </c>
      <c r="H121" s="19" t="s">
        <v>215</v>
      </c>
      <c r="I121" s="19" t="s">
        <v>216</v>
      </c>
      <c r="J121" s="19" t="s">
        <v>217</v>
      </c>
      <c r="K121" s="18">
        <v>46070.45585648148</v>
      </c>
    </row>
    <row r="122" spans="1:11" x14ac:dyDescent="0.25">
      <c r="A122" s="16" t="s">
        <v>573</v>
      </c>
      <c r="B122" s="20">
        <v>46053</v>
      </c>
      <c r="C122" s="16">
        <v>1</v>
      </c>
      <c r="D122" s="19" t="s">
        <v>37</v>
      </c>
      <c r="E122" s="19" t="s">
        <v>453</v>
      </c>
      <c r="G122" s="19">
        <v>22</v>
      </c>
      <c r="H122" s="19" t="s">
        <v>215</v>
      </c>
      <c r="I122" s="19" t="s">
        <v>216</v>
      </c>
      <c r="J122" s="19" t="s">
        <v>217</v>
      </c>
      <c r="K122" s="18">
        <v>46070.455995370372</v>
      </c>
    </row>
    <row r="123" spans="1:11" x14ac:dyDescent="0.25">
      <c r="A123" s="16" t="s">
        <v>574</v>
      </c>
      <c r="B123" s="20">
        <v>46053</v>
      </c>
      <c r="C123" s="16">
        <v>1</v>
      </c>
      <c r="D123" s="19" t="s">
        <v>37</v>
      </c>
      <c r="E123" s="19" t="s">
        <v>453</v>
      </c>
      <c r="G123" s="19">
        <v>20</v>
      </c>
      <c r="H123" s="19" t="s">
        <v>215</v>
      </c>
      <c r="I123" s="19" t="s">
        <v>216</v>
      </c>
      <c r="J123" s="19" t="s">
        <v>217</v>
      </c>
      <c r="K123" s="18">
        <v>46070.456030092595</v>
      </c>
    </row>
    <row r="124" spans="1:11" x14ac:dyDescent="0.25">
      <c r="A124" s="16" t="s">
        <v>575</v>
      </c>
      <c r="B124" s="20">
        <v>46053</v>
      </c>
      <c r="C124" s="16">
        <v>1</v>
      </c>
      <c r="D124" s="19" t="s">
        <v>37</v>
      </c>
      <c r="E124" s="19" t="s">
        <v>453</v>
      </c>
      <c r="G124" s="19">
        <v>27</v>
      </c>
      <c r="H124" s="19" t="s">
        <v>215</v>
      </c>
      <c r="I124" s="19" t="s">
        <v>216</v>
      </c>
      <c r="J124" s="19" t="s">
        <v>217</v>
      </c>
      <c r="K124" s="18">
        <v>46070.456041666665</v>
      </c>
    </row>
    <row r="125" spans="1:11" x14ac:dyDescent="0.25">
      <c r="A125" s="16" t="s">
        <v>576</v>
      </c>
      <c r="B125" s="20">
        <v>46053</v>
      </c>
      <c r="C125" s="16">
        <v>1</v>
      </c>
      <c r="D125" s="19" t="s">
        <v>37</v>
      </c>
      <c r="E125" s="19" t="s">
        <v>453</v>
      </c>
      <c r="G125" s="19">
        <v>32</v>
      </c>
      <c r="H125" s="19" t="s">
        <v>215</v>
      </c>
      <c r="I125" s="19" t="s">
        <v>216</v>
      </c>
      <c r="J125" s="19" t="s">
        <v>217</v>
      </c>
      <c r="K125" s="18">
        <v>46070.456064814818</v>
      </c>
    </row>
    <row r="126" spans="1:11" x14ac:dyDescent="0.25">
      <c r="A126" s="16" t="s">
        <v>577</v>
      </c>
      <c r="B126" s="20">
        <v>46053</v>
      </c>
      <c r="C126" s="16">
        <v>1</v>
      </c>
      <c r="D126" s="19" t="s">
        <v>37</v>
      </c>
      <c r="E126" s="19" t="s">
        <v>453</v>
      </c>
      <c r="G126" s="19">
        <v>26</v>
      </c>
      <c r="H126" s="19" t="s">
        <v>215</v>
      </c>
      <c r="I126" s="19" t="s">
        <v>216</v>
      </c>
      <c r="J126" s="19" t="s">
        <v>217</v>
      </c>
      <c r="K126" s="18">
        <v>46070.456076388888</v>
      </c>
    </row>
    <row r="127" spans="1:11" x14ac:dyDescent="0.25">
      <c r="A127" s="16" t="s">
        <v>578</v>
      </c>
      <c r="B127" s="20">
        <v>46023</v>
      </c>
      <c r="C127" s="16">
        <v>1</v>
      </c>
      <c r="D127" s="19" t="s">
        <v>39</v>
      </c>
      <c r="E127" s="19" t="s">
        <v>453</v>
      </c>
      <c r="G127" s="19">
        <v>19</v>
      </c>
      <c r="H127" s="19" t="s">
        <v>215</v>
      </c>
      <c r="I127" s="19" t="s">
        <v>216</v>
      </c>
      <c r="J127" s="19" t="s">
        <v>217</v>
      </c>
      <c r="K127" s="18">
        <v>46070.45685185185</v>
      </c>
    </row>
    <row r="128" spans="1:11" x14ac:dyDescent="0.25">
      <c r="A128" s="16" t="s">
        <v>579</v>
      </c>
      <c r="B128" s="20">
        <v>46023</v>
      </c>
      <c r="C128" s="16">
        <v>1</v>
      </c>
      <c r="D128" s="19" t="s">
        <v>39</v>
      </c>
      <c r="E128" s="19" t="s">
        <v>453</v>
      </c>
      <c r="G128" s="19">
        <v>43</v>
      </c>
      <c r="H128" s="19" t="s">
        <v>215</v>
      </c>
      <c r="I128" s="19" t="s">
        <v>216</v>
      </c>
      <c r="J128" s="19" t="s">
        <v>217</v>
      </c>
      <c r="K128" s="18">
        <v>46070.456875000003</v>
      </c>
    </row>
    <row r="129" spans="1:11" x14ac:dyDescent="0.25">
      <c r="A129" s="16" t="s">
        <v>580</v>
      </c>
      <c r="B129" s="20">
        <v>46023</v>
      </c>
      <c r="C129" s="16">
        <v>1</v>
      </c>
      <c r="D129" s="19" t="s">
        <v>39</v>
      </c>
      <c r="E129" s="19" t="s">
        <v>453</v>
      </c>
      <c r="G129" s="19">
        <v>21</v>
      </c>
      <c r="H129" s="19" t="s">
        <v>215</v>
      </c>
      <c r="I129" s="19" t="s">
        <v>216</v>
      </c>
      <c r="J129" s="19" t="s">
        <v>217</v>
      </c>
      <c r="K129" s="18">
        <v>46070.45689814815</v>
      </c>
    </row>
    <row r="130" spans="1:11" x14ac:dyDescent="0.25">
      <c r="A130" s="16" t="s">
        <v>581</v>
      </c>
      <c r="B130" s="20">
        <v>46024</v>
      </c>
      <c r="C130" s="16">
        <v>1</v>
      </c>
      <c r="D130" s="19" t="s">
        <v>39</v>
      </c>
      <c r="E130" s="19" t="s">
        <v>453</v>
      </c>
      <c r="G130" s="19">
        <v>24</v>
      </c>
      <c r="H130" s="19" t="s">
        <v>215</v>
      </c>
      <c r="I130" s="19" t="s">
        <v>216</v>
      </c>
      <c r="J130" s="19" t="s">
        <v>217</v>
      </c>
      <c r="K130" s="18">
        <v>46070.478159722225</v>
      </c>
    </row>
    <row r="131" spans="1:11" x14ac:dyDescent="0.25">
      <c r="A131" s="16" t="s">
        <v>582</v>
      </c>
      <c r="B131" s="20">
        <v>46024</v>
      </c>
      <c r="C131" s="16">
        <v>1</v>
      </c>
      <c r="D131" s="19" t="s">
        <v>39</v>
      </c>
      <c r="E131" s="19" t="s">
        <v>453</v>
      </c>
      <c r="G131" s="19">
        <v>30</v>
      </c>
      <c r="H131" s="19" t="s">
        <v>215</v>
      </c>
      <c r="I131" s="19" t="s">
        <v>216</v>
      </c>
      <c r="J131" s="19" t="s">
        <v>217</v>
      </c>
      <c r="K131" s="18">
        <v>46070.491307870368</v>
      </c>
    </row>
    <row r="132" spans="1:11" x14ac:dyDescent="0.25">
      <c r="A132" s="16" t="s">
        <v>583</v>
      </c>
      <c r="B132" s="20">
        <v>46024</v>
      </c>
      <c r="C132" s="16">
        <v>1</v>
      </c>
      <c r="D132" s="19" t="s">
        <v>39</v>
      </c>
      <c r="E132" s="19" t="s">
        <v>453</v>
      </c>
      <c r="G132" s="19">
        <v>32</v>
      </c>
      <c r="H132" s="19" t="s">
        <v>215</v>
      </c>
      <c r="I132" s="19" t="s">
        <v>216</v>
      </c>
      <c r="J132" s="19" t="s">
        <v>217</v>
      </c>
      <c r="K132" s="18">
        <v>46070.491319444445</v>
      </c>
    </row>
    <row r="133" spans="1:11" x14ac:dyDescent="0.25">
      <c r="A133" s="16" t="s">
        <v>584</v>
      </c>
      <c r="B133" s="20">
        <v>46024</v>
      </c>
      <c r="C133" s="16">
        <v>1</v>
      </c>
      <c r="D133" s="19" t="s">
        <v>39</v>
      </c>
      <c r="E133" s="19" t="s">
        <v>453</v>
      </c>
      <c r="G133" s="19">
        <v>35</v>
      </c>
      <c r="H133" s="19" t="s">
        <v>215</v>
      </c>
      <c r="I133" s="19" t="s">
        <v>216</v>
      </c>
      <c r="J133" s="19" t="s">
        <v>217</v>
      </c>
      <c r="K133" s="18">
        <v>46070.491342592592</v>
      </c>
    </row>
    <row r="134" spans="1:11" x14ac:dyDescent="0.25">
      <c r="A134" s="16" t="s">
        <v>585</v>
      </c>
      <c r="B134" s="20">
        <v>46024</v>
      </c>
      <c r="C134" s="16">
        <v>1</v>
      </c>
      <c r="D134" s="19" t="s">
        <v>39</v>
      </c>
      <c r="E134" s="19" t="s">
        <v>453</v>
      </c>
      <c r="G134" s="19">
        <v>21</v>
      </c>
      <c r="H134" s="19" t="s">
        <v>215</v>
      </c>
      <c r="I134" s="19" t="s">
        <v>216</v>
      </c>
      <c r="J134" s="19" t="s">
        <v>217</v>
      </c>
      <c r="K134" s="18">
        <v>46070.491365740738</v>
      </c>
    </row>
    <row r="135" spans="1:11" x14ac:dyDescent="0.25">
      <c r="A135" s="16" t="s">
        <v>586</v>
      </c>
      <c r="B135" s="20">
        <v>46025</v>
      </c>
      <c r="C135" s="16">
        <v>1</v>
      </c>
      <c r="D135" s="19" t="s">
        <v>39</v>
      </c>
      <c r="E135" s="19" t="s">
        <v>453</v>
      </c>
      <c r="G135" s="19">
        <v>19</v>
      </c>
      <c r="H135" s="19" t="s">
        <v>215</v>
      </c>
      <c r="I135" s="19" t="s">
        <v>216</v>
      </c>
      <c r="J135" s="19" t="s">
        <v>217</v>
      </c>
      <c r="K135" s="18">
        <v>46070.491944444446</v>
      </c>
    </row>
    <row r="136" spans="1:11" x14ac:dyDescent="0.25">
      <c r="A136" s="16" t="s">
        <v>587</v>
      </c>
      <c r="B136" s="20">
        <v>46025</v>
      </c>
      <c r="C136" s="16">
        <v>1</v>
      </c>
      <c r="D136" s="19" t="s">
        <v>39</v>
      </c>
      <c r="E136" s="19" t="s">
        <v>453</v>
      </c>
      <c r="G136" s="19">
        <v>34</v>
      </c>
      <c r="H136" s="19" t="s">
        <v>215</v>
      </c>
      <c r="I136" s="19" t="s">
        <v>216</v>
      </c>
      <c r="J136" s="19" t="s">
        <v>217</v>
      </c>
      <c r="K136" s="18">
        <v>46070.492349537039</v>
      </c>
    </row>
    <row r="137" spans="1:11" x14ac:dyDescent="0.25">
      <c r="A137" s="16" t="s">
        <v>588</v>
      </c>
      <c r="B137" s="20">
        <v>46025</v>
      </c>
      <c r="C137" s="16">
        <v>1</v>
      </c>
      <c r="D137" s="19" t="s">
        <v>39</v>
      </c>
      <c r="E137" s="19" t="s">
        <v>453</v>
      </c>
      <c r="G137" s="19">
        <v>25</v>
      </c>
      <c r="H137" s="19" t="s">
        <v>215</v>
      </c>
      <c r="I137" s="19" t="s">
        <v>216</v>
      </c>
      <c r="J137" s="19" t="s">
        <v>217</v>
      </c>
      <c r="K137" s="18">
        <v>46070.492384259262</v>
      </c>
    </row>
    <row r="138" spans="1:11" x14ac:dyDescent="0.25">
      <c r="A138" s="16" t="s">
        <v>589</v>
      </c>
      <c r="B138" s="20">
        <v>46026</v>
      </c>
      <c r="C138" s="16">
        <v>1</v>
      </c>
      <c r="D138" s="19" t="s">
        <v>39</v>
      </c>
      <c r="E138" s="19" t="s">
        <v>453</v>
      </c>
      <c r="G138" s="19">
        <v>35</v>
      </c>
      <c r="H138" s="19" t="s">
        <v>215</v>
      </c>
      <c r="I138" s="19" t="s">
        <v>216</v>
      </c>
      <c r="J138" s="19" t="s">
        <v>217</v>
      </c>
      <c r="K138" s="18">
        <v>46070.49454861111</v>
      </c>
    </row>
    <row r="139" spans="1:11" x14ac:dyDescent="0.25">
      <c r="A139" s="16" t="s">
        <v>590</v>
      </c>
      <c r="B139" s="20">
        <v>46027</v>
      </c>
      <c r="C139" s="16">
        <v>1</v>
      </c>
      <c r="D139" s="19" t="s">
        <v>39</v>
      </c>
      <c r="E139" s="19" t="s">
        <v>453</v>
      </c>
      <c r="G139" s="19">
        <v>31</v>
      </c>
      <c r="H139" s="19" t="s">
        <v>215</v>
      </c>
      <c r="I139" s="19" t="s">
        <v>216</v>
      </c>
      <c r="J139" s="19" t="s">
        <v>217</v>
      </c>
      <c r="K139" s="18">
        <v>46070.496400462966</v>
      </c>
    </row>
    <row r="140" spans="1:11" x14ac:dyDescent="0.25">
      <c r="A140" s="16" t="s">
        <v>591</v>
      </c>
      <c r="B140" s="20">
        <v>46027</v>
      </c>
      <c r="C140" s="16">
        <v>1</v>
      </c>
      <c r="D140" s="19" t="s">
        <v>39</v>
      </c>
      <c r="E140" s="19" t="s">
        <v>453</v>
      </c>
      <c r="G140" s="19">
        <v>35</v>
      </c>
      <c r="H140" s="19" t="s">
        <v>215</v>
      </c>
      <c r="I140" s="19" t="s">
        <v>216</v>
      </c>
      <c r="J140" s="19" t="s">
        <v>217</v>
      </c>
      <c r="K140" s="18">
        <v>46070.496469907404</v>
      </c>
    </row>
    <row r="141" spans="1:11" x14ac:dyDescent="0.25">
      <c r="A141" s="16" t="s">
        <v>592</v>
      </c>
      <c r="B141" s="20">
        <v>46027</v>
      </c>
      <c r="C141" s="16">
        <v>1</v>
      </c>
      <c r="D141" s="19" t="s">
        <v>39</v>
      </c>
      <c r="E141" s="19" t="s">
        <v>453</v>
      </c>
      <c r="G141" s="19">
        <v>39</v>
      </c>
      <c r="H141" s="19" t="s">
        <v>215</v>
      </c>
      <c r="I141" s="19" t="s">
        <v>216</v>
      </c>
      <c r="J141" s="19" t="s">
        <v>217</v>
      </c>
      <c r="K141" s="18">
        <v>46070.496504629627</v>
      </c>
    </row>
    <row r="142" spans="1:11" x14ac:dyDescent="0.25">
      <c r="A142" s="16" t="s">
        <v>593</v>
      </c>
      <c r="B142" s="20">
        <v>46027</v>
      </c>
      <c r="C142" s="16">
        <v>1</v>
      </c>
      <c r="D142" s="19" t="s">
        <v>39</v>
      </c>
      <c r="E142" s="19" t="s">
        <v>453</v>
      </c>
      <c r="G142" s="19">
        <v>33</v>
      </c>
      <c r="H142" s="19" t="s">
        <v>215</v>
      </c>
      <c r="I142" s="19" t="s">
        <v>216</v>
      </c>
      <c r="J142" s="19" t="s">
        <v>217</v>
      </c>
      <c r="K142" s="18">
        <v>46070.496516203704</v>
      </c>
    </row>
    <row r="143" spans="1:11" x14ac:dyDescent="0.25">
      <c r="A143" s="16" t="s">
        <v>594</v>
      </c>
      <c r="B143" s="20">
        <v>46027</v>
      </c>
      <c r="C143" s="16">
        <v>1</v>
      </c>
      <c r="D143" s="19" t="s">
        <v>39</v>
      </c>
      <c r="E143" s="19" t="s">
        <v>453</v>
      </c>
      <c r="G143" s="19">
        <v>26</v>
      </c>
      <c r="H143" s="19" t="s">
        <v>215</v>
      </c>
      <c r="I143" s="19" t="s">
        <v>216</v>
      </c>
      <c r="J143" s="19" t="s">
        <v>217</v>
      </c>
      <c r="K143" s="18">
        <v>46070.496527777781</v>
      </c>
    </row>
    <row r="144" spans="1:11" x14ac:dyDescent="0.25">
      <c r="A144" s="16" t="s">
        <v>595</v>
      </c>
      <c r="B144" s="20">
        <v>46028</v>
      </c>
      <c r="C144" s="16">
        <v>1</v>
      </c>
      <c r="D144" s="19" t="s">
        <v>39</v>
      </c>
      <c r="E144" s="19" t="s">
        <v>453</v>
      </c>
      <c r="G144" s="19">
        <v>33</v>
      </c>
      <c r="H144" s="19" t="s">
        <v>215</v>
      </c>
      <c r="I144" s="19" t="s">
        <v>216</v>
      </c>
      <c r="J144" s="19" t="s">
        <v>217</v>
      </c>
      <c r="K144" s="18">
        <v>46070.49863425926</v>
      </c>
    </row>
    <row r="145" spans="1:11" x14ac:dyDescent="0.25">
      <c r="A145" s="16" t="s">
        <v>596</v>
      </c>
      <c r="B145" s="20">
        <v>46028</v>
      </c>
      <c r="C145" s="16">
        <v>1</v>
      </c>
      <c r="D145" s="19" t="s">
        <v>39</v>
      </c>
      <c r="E145" s="19" t="s">
        <v>453</v>
      </c>
      <c r="G145" s="19">
        <v>32</v>
      </c>
      <c r="H145" s="19" t="s">
        <v>215</v>
      </c>
      <c r="I145" s="19" t="s">
        <v>216</v>
      </c>
      <c r="J145" s="19" t="s">
        <v>217</v>
      </c>
      <c r="K145" s="18">
        <v>46070.498668981483</v>
      </c>
    </row>
    <row r="146" spans="1:11" x14ac:dyDescent="0.25">
      <c r="A146" s="16" t="s">
        <v>597</v>
      </c>
      <c r="B146" s="20">
        <v>46029</v>
      </c>
      <c r="C146" s="16">
        <v>1</v>
      </c>
      <c r="D146" s="19" t="s">
        <v>39</v>
      </c>
      <c r="E146" s="19" t="s">
        <v>453</v>
      </c>
      <c r="G146" s="19">
        <v>33</v>
      </c>
      <c r="H146" s="19" t="s">
        <v>215</v>
      </c>
      <c r="I146" s="19" t="s">
        <v>216</v>
      </c>
      <c r="J146" s="19" t="s">
        <v>217</v>
      </c>
      <c r="K146" s="18">
        <v>46070.499641203707</v>
      </c>
    </row>
    <row r="147" spans="1:11" x14ac:dyDescent="0.25">
      <c r="A147" s="16" t="s">
        <v>598</v>
      </c>
      <c r="B147" s="20">
        <v>46029</v>
      </c>
      <c r="C147" s="16">
        <v>1</v>
      </c>
      <c r="D147" s="19" t="s">
        <v>39</v>
      </c>
      <c r="E147" s="19" t="s">
        <v>453</v>
      </c>
      <c r="G147" s="19">
        <v>35</v>
      </c>
      <c r="H147" s="19" t="s">
        <v>215</v>
      </c>
      <c r="I147" s="19" t="s">
        <v>216</v>
      </c>
      <c r="J147" s="19" t="s">
        <v>217</v>
      </c>
      <c r="K147" s="18">
        <v>46070.499664351853</v>
      </c>
    </row>
    <row r="148" spans="1:11" x14ac:dyDescent="0.25">
      <c r="A148" s="16" t="s">
        <v>599</v>
      </c>
      <c r="B148" s="20">
        <v>46029</v>
      </c>
      <c r="C148" s="16">
        <v>1</v>
      </c>
      <c r="D148" s="19" t="s">
        <v>39</v>
      </c>
      <c r="E148" s="19" t="s">
        <v>453</v>
      </c>
      <c r="G148" s="19">
        <v>26</v>
      </c>
      <c r="H148" s="19" t="s">
        <v>215</v>
      </c>
      <c r="I148" s="19" t="s">
        <v>216</v>
      </c>
      <c r="J148" s="19" t="s">
        <v>217</v>
      </c>
      <c r="K148" s="18">
        <v>46070.4996875</v>
      </c>
    </row>
    <row r="149" spans="1:11" x14ac:dyDescent="0.25">
      <c r="A149" s="16" t="s">
        <v>600</v>
      </c>
      <c r="B149" s="20">
        <v>46030</v>
      </c>
      <c r="C149" s="16">
        <v>1</v>
      </c>
      <c r="D149" s="19" t="s">
        <v>39</v>
      </c>
      <c r="E149" s="19" t="s">
        <v>453</v>
      </c>
      <c r="G149" s="19">
        <v>24</v>
      </c>
      <c r="H149" s="19" t="s">
        <v>215</v>
      </c>
      <c r="I149" s="19" t="s">
        <v>216</v>
      </c>
      <c r="J149" s="19" t="s">
        <v>217</v>
      </c>
      <c r="K149" s="18">
        <v>46070.499791666669</v>
      </c>
    </row>
    <row r="150" spans="1:11" x14ac:dyDescent="0.25">
      <c r="A150" s="16" t="s">
        <v>601</v>
      </c>
      <c r="B150" s="20">
        <v>46030</v>
      </c>
      <c r="C150" s="16">
        <v>1</v>
      </c>
      <c r="D150" s="19" t="s">
        <v>39</v>
      </c>
      <c r="E150" s="19" t="s">
        <v>453</v>
      </c>
      <c r="G150" s="19">
        <v>20</v>
      </c>
      <c r="H150" s="19" t="s">
        <v>215</v>
      </c>
      <c r="I150" s="19" t="s">
        <v>216</v>
      </c>
      <c r="J150" s="19" t="s">
        <v>217</v>
      </c>
      <c r="K150" s="18">
        <v>46070.499803240738</v>
      </c>
    </row>
    <row r="151" spans="1:11" x14ac:dyDescent="0.25">
      <c r="A151" s="16" t="s">
        <v>602</v>
      </c>
      <c r="B151" s="20">
        <v>46031</v>
      </c>
      <c r="C151" s="16">
        <v>1</v>
      </c>
      <c r="D151" s="19" t="s">
        <v>39</v>
      </c>
      <c r="E151" s="19" t="s">
        <v>453</v>
      </c>
      <c r="G151" s="19">
        <v>22</v>
      </c>
      <c r="H151" s="19" t="s">
        <v>215</v>
      </c>
      <c r="I151" s="19" t="s">
        <v>216</v>
      </c>
      <c r="J151" s="19" t="s">
        <v>217</v>
      </c>
      <c r="K151" s="18">
        <v>46070.499884259261</v>
      </c>
    </row>
    <row r="152" spans="1:11" x14ac:dyDescent="0.25">
      <c r="A152" s="16" t="s">
        <v>603</v>
      </c>
      <c r="B152" s="20">
        <v>46032</v>
      </c>
      <c r="C152" s="16">
        <v>1</v>
      </c>
      <c r="D152" s="19" t="s">
        <v>39</v>
      </c>
      <c r="E152" s="19" t="s">
        <v>453</v>
      </c>
      <c r="G152" s="19">
        <v>20</v>
      </c>
      <c r="H152" s="19" t="s">
        <v>215</v>
      </c>
      <c r="I152" s="19" t="s">
        <v>216</v>
      </c>
      <c r="J152" s="19" t="s">
        <v>217</v>
      </c>
      <c r="K152" s="18">
        <v>46070.500185185185</v>
      </c>
    </row>
    <row r="153" spans="1:11" x14ac:dyDescent="0.25">
      <c r="A153" s="16" t="s">
        <v>604</v>
      </c>
      <c r="B153" s="20">
        <v>46032</v>
      </c>
      <c r="C153" s="16">
        <v>1</v>
      </c>
      <c r="D153" s="19" t="s">
        <v>39</v>
      </c>
      <c r="E153" s="19" t="s">
        <v>453</v>
      </c>
      <c r="G153" s="19">
        <v>47</v>
      </c>
      <c r="H153" s="19" t="s">
        <v>215</v>
      </c>
      <c r="I153" s="19" t="s">
        <v>216</v>
      </c>
      <c r="J153" s="19" t="s">
        <v>217</v>
      </c>
      <c r="K153" s="18">
        <v>46070.500208333331</v>
      </c>
    </row>
    <row r="154" spans="1:11" x14ac:dyDescent="0.25">
      <c r="A154" s="16" t="s">
        <v>605</v>
      </c>
      <c r="B154" s="20">
        <v>46032</v>
      </c>
      <c r="C154" s="16">
        <v>1</v>
      </c>
      <c r="D154" s="19" t="s">
        <v>39</v>
      </c>
      <c r="E154" s="19" t="s">
        <v>453</v>
      </c>
      <c r="G154" s="19">
        <v>33</v>
      </c>
      <c r="H154" s="19" t="s">
        <v>215</v>
      </c>
      <c r="I154" s="19" t="s">
        <v>216</v>
      </c>
      <c r="J154" s="19" t="s">
        <v>217</v>
      </c>
      <c r="K154" s="18">
        <v>46070.500219907408</v>
      </c>
    </row>
    <row r="155" spans="1:11" x14ac:dyDescent="0.25">
      <c r="A155" s="16" t="s">
        <v>606</v>
      </c>
      <c r="B155" s="20">
        <v>46032</v>
      </c>
      <c r="C155" s="16">
        <v>1</v>
      </c>
      <c r="D155" s="19" t="s">
        <v>39</v>
      </c>
      <c r="E155" s="19" t="s">
        <v>453</v>
      </c>
      <c r="G155" s="19">
        <v>26</v>
      </c>
      <c r="H155" s="19" t="s">
        <v>215</v>
      </c>
      <c r="I155" s="19" t="s">
        <v>216</v>
      </c>
      <c r="J155" s="19" t="s">
        <v>217</v>
      </c>
      <c r="K155" s="18">
        <v>46070.500243055554</v>
      </c>
    </row>
    <row r="156" spans="1:11" x14ac:dyDescent="0.25">
      <c r="A156" s="16" t="s">
        <v>607</v>
      </c>
      <c r="B156" s="20">
        <v>46033</v>
      </c>
      <c r="C156" s="16">
        <v>1</v>
      </c>
      <c r="D156" s="19" t="s">
        <v>39</v>
      </c>
      <c r="E156" s="19" t="s">
        <v>453</v>
      </c>
      <c r="G156" s="19">
        <v>33</v>
      </c>
      <c r="H156" s="19" t="s">
        <v>215</v>
      </c>
      <c r="I156" s="19" t="s">
        <v>216</v>
      </c>
      <c r="J156" s="19" t="s">
        <v>217</v>
      </c>
      <c r="K156" s="18">
        <v>46070.500416666669</v>
      </c>
    </row>
    <row r="157" spans="1:11" x14ac:dyDescent="0.25">
      <c r="A157" s="16" t="s">
        <v>608</v>
      </c>
      <c r="B157" s="20">
        <v>46033</v>
      </c>
      <c r="C157" s="16">
        <v>1</v>
      </c>
      <c r="D157" s="19" t="s">
        <v>39</v>
      </c>
      <c r="E157" s="19" t="s">
        <v>453</v>
      </c>
      <c r="G157" s="19">
        <v>16</v>
      </c>
      <c r="H157" s="19" t="s">
        <v>215</v>
      </c>
      <c r="I157" s="19" t="s">
        <v>216</v>
      </c>
      <c r="J157" s="19" t="s">
        <v>217</v>
      </c>
      <c r="K157" s="18">
        <v>46070.500451388885</v>
      </c>
    </row>
    <row r="158" spans="1:11" x14ac:dyDescent="0.25">
      <c r="A158" s="16" t="s">
        <v>609</v>
      </c>
      <c r="B158" s="20">
        <v>46033</v>
      </c>
      <c r="C158" s="16">
        <v>1</v>
      </c>
      <c r="D158" s="19" t="s">
        <v>39</v>
      </c>
      <c r="E158" s="19" t="s">
        <v>453</v>
      </c>
      <c r="G158" s="19">
        <v>18</v>
      </c>
      <c r="H158" s="19" t="s">
        <v>215</v>
      </c>
      <c r="I158" s="19" t="s">
        <v>216</v>
      </c>
      <c r="J158" s="19" t="s">
        <v>217</v>
      </c>
      <c r="K158" s="18">
        <v>46070.500474537039</v>
      </c>
    </row>
    <row r="159" spans="1:11" x14ac:dyDescent="0.25">
      <c r="A159" s="16" t="s">
        <v>610</v>
      </c>
      <c r="B159" s="20">
        <v>46034</v>
      </c>
      <c r="C159" s="16">
        <v>1</v>
      </c>
      <c r="D159" s="19" t="s">
        <v>39</v>
      </c>
      <c r="E159" s="19" t="s">
        <v>453</v>
      </c>
      <c r="G159" s="19">
        <v>35</v>
      </c>
      <c r="H159" s="19" t="s">
        <v>215</v>
      </c>
      <c r="I159" s="19" t="s">
        <v>216</v>
      </c>
      <c r="J159" s="19" t="s">
        <v>217</v>
      </c>
      <c r="K159" s="18">
        <v>46070.500590277778</v>
      </c>
    </row>
    <row r="160" spans="1:11" x14ac:dyDescent="0.25">
      <c r="A160" s="16" t="s">
        <v>611</v>
      </c>
      <c r="B160" s="20">
        <v>46034</v>
      </c>
      <c r="C160" s="16">
        <v>1</v>
      </c>
      <c r="D160" s="19" t="s">
        <v>39</v>
      </c>
      <c r="E160" s="19" t="s">
        <v>453</v>
      </c>
      <c r="G160" s="19">
        <v>31</v>
      </c>
      <c r="H160" s="19" t="s">
        <v>215</v>
      </c>
      <c r="I160" s="19" t="s">
        <v>216</v>
      </c>
      <c r="J160" s="19" t="s">
        <v>217</v>
      </c>
      <c r="K160" s="18">
        <v>46070.500601851854</v>
      </c>
    </row>
    <row r="161" spans="1:11" x14ac:dyDescent="0.25">
      <c r="A161" s="16" t="s">
        <v>612</v>
      </c>
      <c r="B161" s="20">
        <v>46034</v>
      </c>
      <c r="C161" s="16">
        <v>1</v>
      </c>
      <c r="D161" s="19" t="s">
        <v>39</v>
      </c>
      <c r="E161" s="19" t="s">
        <v>453</v>
      </c>
      <c r="G161" s="19">
        <v>33</v>
      </c>
      <c r="H161" s="19" t="s">
        <v>215</v>
      </c>
      <c r="I161" s="19" t="s">
        <v>216</v>
      </c>
      <c r="J161" s="19" t="s">
        <v>217</v>
      </c>
      <c r="K161" s="18">
        <v>46070.500613425924</v>
      </c>
    </row>
    <row r="162" spans="1:11" x14ac:dyDescent="0.25">
      <c r="A162" s="16" t="s">
        <v>613</v>
      </c>
      <c r="B162" s="20">
        <v>46035</v>
      </c>
      <c r="C162" s="16">
        <v>1</v>
      </c>
      <c r="D162" s="19" t="s">
        <v>39</v>
      </c>
      <c r="E162" s="19" t="s">
        <v>453</v>
      </c>
      <c r="G162" s="19">
        <v>19</v>
      </c>
      <c r="H162" s="19" t="s">
        <v>215</v>
      </c>
      <c r="I162" s="19" t="s">
        <v>216</v>
      </c>
      <c r="J162" s="19" t="s">
        <v>217</v>
      </c>
      <c r="K162" s="18">
        <v>46070.50072916667</v>
      </c>
    </row>
    <row r="163" spans="1:11" x14ac:dyDescent="0.25">
      <c r="A163" s="16" t="s">
        <v>614</v>
      </c>
      <c r="B163" s="20">
        <v>46035</v>
      </c>
      <c r="C163" s="16">
        <v>1</v>
      </c>
      <c r="D163" s="19" t="s">
        <v>39</v>
      </c>
      <c r="E163" s="19" t="s">
        <v>453</v>
      </c>
      <c r="G163" s="19">
        <v>26</v>
      </c>
      <c r="H163" s="19" t="s">
        <v>215</v>
      </c>
      <c r="I163" s="19" t="s">
        <v>216</v>
      </c>
      <c r="J163" s="19" t="s">
        <v>217</v>
      </c>
      <c r="K163" s="18">
        <v>46070.500740740739</v>
      </c>
    </row>
    <row r="164" spans="1:11" x14ac:dyDescent="0.25">
      <c r="A164" s="16" t="s">
        <v>615</v>
      </c>
      <c r="B164" s="20">
        <v>46035</v>
      </c>
      <c r="C164" s="16">
        <v>1</v>
      </c>
      <c r="D164" s="19" t="s">
        <v>39</v>
      </c>
      <c r="E164" s="19" t="s">
        <v>453</v>
      </c>
      <c r="G164" s="19">
        <v>17</v>
      </c>
      <c r="H164" s="19" t="s">
        <v>215</v>
      </c>
      <c r="I164" s="19" t="s">
        <v>216</v>
      </c>
      <c r="J164" s="19" t="s">
        <v>217</v>
      </c>
      <c r="K164" s="18">
        <v>46070.500752314816</v>
      </c>
    </row>
    <row r="165" spans="1:11" x14ac:dyDescent="0.25">
      <c r="A165" s="16" t="s">
        <v>616</v>
      </c>
      <c r="B165" s="20">
        <v>46035</v>
      </c>
      <c r="C165" s="16">
        <v>1</v>
      </c>
      <c r="D165" s="19" t="s">
        <v>39</v>
      </c>
      <c r="E165" s="19" t="s">
        <v>453</v>
      </c>
      <c r="G165" s="19">
        <v>32</v>
      </c>
      <c r="H165" s="19" t="s">
        <v>215</v>
      </c>
      <c r="I165" s="19" t="s">
        <v>216</v>
      </c>
      <c r="J165" s="19" t="s">
        <v>217</v>
      </c>
      <c r="K165" s="18">
        <v>46070.500763888886</v>
      </c>
    </row>
    <row r="166" spans="1:11" x14ac:dyDescent="0.25">
      <c r="A166" s="16" t="s">
        <v>617</v>
      </c>
      <c r="B166" s="20">
        <v>46036</v>
      </c>
      <c r="C166" s="16">
        <v>1</v>
      </c>
      <c r="D166" s="19" t="s">
        <v>39</v>
      </c>
      <c r="E166" s="19" t="s">
        <v>453</v>
      </c>
      <c r="G166" s="19">
        <v>31</v>
      </c>
      <c r="H166" s="19" t="s">
        <v>215</v>
      </c>
      <c r="I166" s="19" t="s">
        <v>216</v>
      </c>
      <c r="J166" s="19" t="s">
        <v>217</v>
      </c>
      <c r="K166" s="18">
        <v>46070.501296296294</v>
      </c>
    </row>
    <row r="167" spans="1:11" x14ac:dyDescent="0.25">
      <c r="A167" s="16" t="s">
        <v>618</v>
      </c>
      <c r="B167" s="20">
        <v>46037</v>
      </c>
      <c r="C167" s="16">
        <v>1</v>
      </c>
      <c r="D167" s="19" t="s">
        <v>39</v>
      </c>
      <c r="E167" s="19" t="s">
        <v>453</v>
      </c>
      <c r="G167" s="19">
        <v>33</v>
      </c>
      <c r="H167" s="19" t="s">
        <v>215</v>
      </c>
      <c r="I167" s="19" t="s">
        <v>216</v>
      </c>
      <c r="J167" s="19" t="s">
        <v>217</v>
      </c>
      <c r="K167" s="18">
        <v>46070.504166666666</v>
      </c>
    </row>
    <row r="168" spans="1:11" x14ac:dyDescent="0.25">
      <c r="A168" s="16" t="s">
        <v>619</v>
      </c>
      <c r="B168" s="20">
        <v>46037</v>
      </c>
      <c r="C168" s="16">
        <v>1</v>
      </c>
      <c r="D168" s="19" t="s">
        <v>39</v>
      </c>
      <c r="E168" s="19" t="s">
        <v>453</v>
      </c>
      <c r="G168" s="19">
        <v>34</v>
      </c>
      <c r="H168" s="19" t="s">
        <v>215</v>
      </c>
      <c r="I168" s="19" t="s">
        <v>216</v>
      </c>
      <c r="J168" s="19" t="s">
        <v>217</v>
      </c>
      <c r="K168" s="18">
        <v>46070.504189814812</v>
      </c>
    </row>
    <row r="169" spans="1:11" x14ac:dyDescent="0.25">
      <c r="A169" s="16" t="s">
        <v>620</v>
      </c>
      <c r="B169" s="20">
        <v>46038</v>
      </c>
      <c r="C169" s="16">
        <v>1</v>
      </c>
      <c r="D169" s="19" t="s">
        <v>39</v>
      </c>
      <c r="E169" s="19" t="s">
        <v>453</v>
      </c>
      <c r="G169" s="19">
        <v>26</v>
      </c>
      <c r="H169" s="19" t="s">
        <v>215</v>
      </c>
      <c r="I169" s="19" t="s">
        <v>216</v>
      </c>
      <c r="J169" s="19" t="s">
        <v>217</v>
      </c>
      <c r="K169" s="18">
        <v>46070.504444444443</v>
      </c>
    </row>
    <row r="170" spans="1:11" x14ac:dyDescent="0.25">
      <c r="A170" s="16" t="s">
        <v>621</v>
      </c>
      <c r="B170" s="20">
        <v>46039</v>
      </c>
      <c r="C170" s="16">
        <v>1</v>
      </c>
      <c r="D170" s="19" t="s">
        <v>39</v>
      </c>
      <c r="E170" s="19" t="s">
        <v>453</v>
      </c>
      <c r="G170" s="19">
        <v>26</v>
      </c>
      <c r="H170" s="19" t="s">
        <v>215</v>
      </c>
      <c r="I170" s="19" t="s">
        <v>216</v>
      </c>
      <c r="J170" s="19" t="s">
        <v>217</v>
      </c>
      <c r="K170" s="18">
        <v>46070.504641203705</v>
      </c>
    </row>
    <row r="171" spans="1:11" x14ac:dyDescent="0.25">
      <c r="A171" s="16" t="s">
        <v>622</v>
      </c>
      <c r="B171" s="20">
        <v>46039</v>
      </c>
      <c r="C171" s="16">
        <v>1</v>
      </c>
      <c r="D171" s="19" t="s">
        <v>39</v>
      </c>
      <c r="E171" s="19" t="s">
        <v>453</v>
      </c>
      <c r="G171" s="19">
        <v>32</v>
      </c>
      <c r="H171" s="19" t="s">
        <v>215</v>
      </c>
      <c r="I171" s="19" t="s">
        <v>216</v>
      </c>
      <c r="J171" s="19" t="s">
        <v>217</v>
      </c>
      <c r="K171" s="18">
        <v>46070.504699074074</v>
      </c>
    </row>
    <row r="172" spans="1:11" x14ac:dyDescent="0.25">
      <c r="A172" s="16" t="s">
        <v>623</v>
      </c>
      <c r="B172" s="20">
        <v>46040</v>
      </c>
      <c r="C172" s="16">
        <v>1</v>
      </c>
      <c r="D172" s="19" t="s">
        <v>39</v>
      </c>
      <c r="E172" s="19" t="s">
        <v>453</v>
      </c>
      <c r="G172" s="19">
        <v>22</v>
      </c>
      <c r="H172" s="19" t="s">
        <v>215</v>
      </c>
      <c r="I172" s="19" t="s">
        <v>216</v>
      </c>
      <c r="J172" s="19" t="s">
        <v>217</v>
      </c>
      <c r="K172" s="18">
        <v>46070.504918981482</v>
      </c>
    </row>
    <row r="173" spans="1:11" x14ac:dyDescent="0.25">
      <c r="A173" s="16" t="s">
        <v>624</v>
      </c>
      <c r="B173" s="20">
        <v>46040</v>
      </c>
      <c r="C173" s="16">
        <v>1</v>
      </c>
      <c r="D173" s="19" t="s">
        <v>39</v>
      </c>
      <c r="E173" s="19" t="s">
        <v>453</v>
      </c>
      <c r="G173" s="19">
        <v>29</v>
      </c>
      <c r="H173" s="19" t="s">
        <v>215</v>
      </c>
      <c r="I173" s="19" t="s">
        <v>216</v>
      </c>
      <c r="J173" s="19" t="s">
        <v>217</v>
      </c>
      <c r="K173" s="18">
        <v>46070.505069444444</v>
      </c>
    </row>
    <row r="174" spans="1:11" x14ac:dyDescent="0.25">
      <c r="A174" s="16" t="s">
        <v>625</v>
      </c>
      <c r="B174" s="20">
        <v>46041</v>
      </c>
      <c r="C174" s="16">
        <v>1</v>
      </c>
      <c r="D174" s="19" t="s">
        <v>39</v>
      </c>
      <c r="E174" s="19" t="s">
        <v>453</v>
      </c>
      <c r="G174" s="19">
        <v>34</v>
      </c>
      <c r="H174" s="19" t="s">
        <v>215</v>
      </c>
      <c r="I174" s="19" t="s">
        <v>216</v>
      </c>
      <c r="J174" s="19" t="s">
        <v>217</v>
      </c>
      <c r="K174" s="18">
        <v>46070.505254629628</v>
      </c>
    </row>
    <row r="175" spans="1:11" x14ac:dyDescent="0.25">
      <c r="A175" s="16" t="s">
        <v>626</v>
      </c>
      <c r="B175" s="20">
        <v>46041</v>
      </c>
      <c r="C175" s="16">
        <v>1</v>
      </c>
      <c r="D175" s="19" t="s">
        <v>39</v>
      </c>
      <c r="E175" s="19" t="s">
        <v>453</v>
      </c>
      <c r="G175" s="19">
        <v>21</v>
      </c>
      <c r="H175" s="19" t="s">
        <v>215</v>
      </c>
      <c r="I175" s="19" t="s">
        <v>216</v>
      </c>
      <c r="J175" s="19" t="s">
        <v>217</v>
      </c>
      <c r="K175" s="18">
        <v>46070.505289351851</v>
      </c>
    </row>
    <row r="176" spans="1:11" x14ac:dyDescent="0.25">
      <c r="A176" s="16" t="s">
        <v>627</v>
      </c>
      <c r="B176" s="20">
        <v>46041</v>
      </c>
      <c r="C176" s="16">
        <v>1</v>
      </c>
      <c r="D176" s="19" t="s">
        <v>39</v>
      </c>
      <c r="E176" s="19" t="s">
        <v>453</v>
      </c>
      <c r="G176" s="19">
        <v>30</v>
      </c>
      <c r="H176" s="19" t="s">
        <v>215</v>
      </c>
      <c r="I176" s="19" t="s">
        <v>216</v>
      </c>
      <c r="J176" s="19" t="s">
        <v>217</v>
      </c>
      <c r="K176" s="18">
        <v>46070.505312499998</v>
      </c>
    </row>
    <row r="177" spans="1:11" x14ac:dyDescent="0.25">
      <c r="A177" s="16" t="s">
        <v>628</v>
      </c>
      <c r="B177" s="20">
        <v>46042</v>
      </c>
      <c r="C177" s="16">
        <v>1</v>
      </c>
      <c r="D177" s="19" t="s">
        <v>39</v>
      </c>
      <c r="E177" s="19" t="s">
        <v>453</v>
      </c>
      <c r="G177" s="19">
        <v>26</v>
      </c>
      <c r="H177" s="19" t="s">
        <v>215</v>
      </c>
      <c r="I177" s="19" t="s">
        <v>216</v>
      </c>
      <c r="J177" s="19" t="s">
        <v>217</v>
      </c>
      <c r="K177" s="18">
        <v>46070.505555555559</v>
      </c>
    </row>
    <row r="178" spans="1:11" x14ac:dyDescent="0.25">
      <c r="A178" s="16" t="s">
        <v>629</v>
      </c>
      <c r="B178" s="20">
        <v>46042</v>
      </c>
      <c r="C178" s="16">
        <v>1</v>
      </c>
      <c r="D178" s="19" t="s">
        <v>39</v>
      </c>
      <c r="E178" s="19" t="s">
        <v>453</v>
      </c>
      <c r="G178" s="19">
        <v>26</v>
      </c>
      <c r="H178" s="19" t="s">
        <v>215</v>
      </c>
      <c r="I178" s="19" t="s">
        <v>216</v>
      </c>
      <c r="J178" s="19" t="s">
        <v>217</v>
      </c>
      <c r="K178" s="18">
        <v>46070.505613425928</v>
      </c>
    </row>
    <row r="179" spans="1:11" x14ac:dyDescent="0.25">
      <c r="A179" s="16" t="s">
        <v>630</v>
      </c>
      <c r="B179" s="20">
        <v>46043</v>
      </c>
      <c r="C179" s="16">
        <v>1</v>
      </c>
      <c r="D179" s="19" t="s">
        <v>39</v>
      </c>
      <c r="E179" s="19" t="s">
        <v>453</v>
      </c>
      <c r="G179" s="19">
        <v>35</v>
      </c>
      <c r="H179" s="19" t="s">
        <v>215</v>
      </c>
      <c r="I179" s="19" t="s">
        <v>216</v>
      </c>
      <c r="J179" s="19" t="s">
        <v>217</v>
      </c>
      <c r="K179" s="18">
        <v>46070.505844907406</v>
      </c>
    </row>
    <row r="180" spans="1:11" x14ac:dyDescent="0.25">
      <c r="A180" s="16" t="s">
        <v>631</v>
      </c>
      <c r="B180" s="20">
        <v>46044</v>
      </c>
      <c r="C180" s="16">
        <v>1</v>
      </c>
      <c r="D180" s="19" t="s">
        <v>39</v>
      </c>
      <c r="E180" s="19" t="s">
        <v>453</v>
      </c>
      <c r="G180" s="19">
        <v>35</v>
      </c>
      <c r="H180" s="19" t="s">
        <v>215</v>
      </c>
      <c r="I180" s="19" t="s">
        <v>216</v>
      </c>
      <c r="J180" s="19" t="s">
        <v>217</v>
      </c>
      <c r="K180" s="18">
        <v>46070.505983796298</v>
      </c>
    </row>
    <row r="181" spans="1:11" x14ac:dyDescent="0.25">
      <c r="A181" s="16" t="s">
        <v>632</v>
      </c>
      <c r="B181" s="20">
        <v>46044</v>
      </c>
      <c r="C181" s="16">
        <v>1</v>
      </c>
      <c r="D181" s="19" t="s">
        <v>39</v>
      </c>
      <c r="E181" s="19" t="s">
        <v>453</v>
      </c>
      <c r="G181" s="19">
        <v>25</v>
      </c>
      <c r="H181" s="19" t="s">
        <v>215</v>
      </c>
      <c r="I181" s="19" t="s">
        <v>216</v>
      </c>
      <c r="J181" s="19" t="s">
        <v>217</v>
      </c>
      <c r="K181" s="18">
        <v>46070.506041666667</v>
      </c>
    </row>
    <row r="182" spans="1:11" x14ac:dyDescent="0.25">
      <c r="A182" s="16" t="s">
        <v>633</v>
      </c>
      <c r="B182" s="20">
        <v>46045</v>
      </c>
      <c r="C182" s="16">
        <v>1</v>
      </c>
      <c r="D182" s="19" t="s">
        <v>39</v>
      </c>
      <c r="E182" s="19" t="s">
        <v>453</v>
      </c>
      <c r="G182" s="19">
        <v>25</v>
      </c>
      <c r="H182" s="19" t="s">
        <v>215</v>
      </c>
      <c r="I182" s="19" t="s">
        <v>216</v>
      </c>
      <c r="J182" s="19" t="s">
        <v>217</v>
      </c>
      <c r="K182" s="18">
        <v>46070.506249999999</v>
      </c>
    </row>
    <row r="183" spans="1:11" x14ac:dyDescent="0.25">
      <c r="A183" s="16" t="s">
        <v>634</v>
      </c>
      <c r="B183" s="20">
        <v>46045</v>
      </c>
      <c r="C183" s="16">
        <v>1</v>
      </c>
      <c r="D183" s="19" t="s">
        <v>39</v>
      </c>
      <c r="E183" s="19" t="s">
        <v>453</v>
      </c>
      <c r="G183" s="19">
        <v>39</v>
      </c>
      <c r="H183" s="19" t="s">
        <v>215</v>
      </c>
      <c r="I183" s="19" t="s">
        <v>216</v>
      </c>
      <c r="J183" s="19" t="s">
        <v>217</v>
      </c>
      <c r="K183" s="18">
        <v>46070.506296296298</v>
      </c>
    </row>
    <row r="184" spans="1:11" x14ac:dyDescent="0.25">
      <c r="A184" s="16" t="s">
        <v>635</v>
      </c>
      <c r="B184" s="20">
        <v>46046</v>
      </c>
      <c r="C184" s="16">
        <v>1</v>
      </c>
      <c r="D184" s="19" t="s">
        <v>39</v>
      </c>
      <c r="E184" s="19" t="s">
        <v>453</v>
      </c>
      <c r="G184" s="19">
        <v>29</v>
      </c>
      <c r="H184" s="19" t="s">
        <v>215</v>
      </c>
      <c r="I184" s="19" t="s">
        <v>216</v>
      </c>
      <c r="J184" s="19" t="s">
        <v>217</v>
      </c>
      <c r="K184" s="18">
        <v>46070.506458333337</v>
      </c>
    </row>
    <row r="185" spans="1:11" x14ac:dyDescent="0.25">
      <c r="A185" s="16" t="s">
        <v>636</v>
      </c>
      <c r="B185" s="20">
        <v>46047</v>
      </c>
      <c r="C185" s="16">
        <v>1</v>
      </c>
      <c r="D185" s="19" t="s">
        <v>39</v>
      </c>
      <c r="E185" s="19" t="s">
        <v>453</v>
      </c>
      <c r="G185" s="19">
        <v>19</v>
      </c>
      <c r="H185" s="19" t="s">
        <v>215</v>
      </c>
      <c r="I185" s="19" t="s">
        <v>216</v>
      </c>
      <c r="J185" s="19" t="s">
        <v>217</v>
      </c>
      <c r="K185" s="18">
        <v>46070.506631944445</v>
      </c>
    </row>
    <row r="186" spans="1:11" x14ac:dyDescent="0.25">
      <c r="A186" s="16" t="s">
        <v>637</v>
      </c>
      <c r="B186" s="20">
        <v>46048</v>
      </c>
      <c r="C186" s="16">
        <v>1</v>
      </c>
      <c r="D186" s="19" t="s">
        <v>39</v>
      </c>
      <c r="E186" s="19" t="s">
        <v>453</v>
      </c>
      <c r="G186" s="19">
        <v>25</v>
      </c>
      <c r="H186" s="19" t="s">
        <v>215</v>
      </c>
      <c r="I186" s="19" t="s">
        <v>216</v>
      </c>
      <c r="J186" s="19" t="s">
        <v>217</v>
      </c>
      <c r="K186" s="18">
        <v>46070.50681712963</v>
      </c>
    </row>
    <row r="187" spans="1:11" x14ac:dyDescent="0.25">
      <c r="A187" s="16" t="s">
        <v>638</v>
      </c>
      <c r="B187" s="20">
        <v>46048</v>
      </c>
      <c r="C187" s="16">
        <v>1</v>
      </c>
      <c r="D187" s="19" t="s">
        <v>39</v>
      </c>
      <c r="E187" s="19" t="s">
        <v>453</v>
      </c>
      <c r="G187" s="19">
        <v>29</v>
      </c>
      <c r="H187" s="19" t="s">
        <v>215</v>
      </c>
      <c r="I187" s="19" t="s">
        <v>216</v>
      </c>
      <c r="J187" s="19" t="s">
        <v>217</v>
      </c>
      <c r="K187" s="18">
        <v>46070.506840277776</v>
      </c>
    </row>
    <row r="188" spans="1:11" x14ac:dyDescent="0.25">
      <c r="A188" s="16" t="s">
        <v>639</v>
      </c>
      <c r="B188" s="20">
        <v>46048</v>
      </c>
      <c r="C188" s="16">
        <v>1</v>
      </c>
      <c r="D188" s="19" t="s">
        <v>39</v>
      </c>
      <c r="E188" s="19" t="s">
        <v>453</v>
      </c>
      <c r="G188" s="19">
        <v>35</v>
      </c>
      <c r="H188" s="19" t="s">
        <v>215</v>
      </c>
      <c r="I188" s="19" t="s">
        <v>216</v>
      </c>
      <c r="J188" s="19" t="s">
        <v>217</v>
      </c>
      <c r="K188" s="18">
        <v>46070.506874999999</v>
      </c>
    </row>
    <row r="189" spans="1:11" x14ac:dyDescent="0.25">
      <c r="A189" s="16" t="s">
        <v>640</v>
      </c>
      <c r="B189" s="20">
        <v>46049</v>
      </c>
      <c r="C189" s="16">
        <v>1</v>
      </c>
      <c r="D189" s="19" t="s">
        <v>39</v>
      </c>
      <c r="E189" s="19" t="s">
        <v>453</v>
      </c>
      <c r="G189" s="19">
        <v>31</v>
      </c>
      <c r="H189" s="19" t="s">
        <v>215</v>
      </c>
      <c r="I189" s="19" t="s">
        <v>216</v>
      </c>
      <c r="J189" s="19" t="s">
        <v>217</v>
      </c>
      <c r="K189" s="18">
        <v>46070.507048611114</v>
      </c>
    </row>
    <row r="190" spans="1:11" x14ac:dyDescent="0.25">
      <c r="A190" s="16" t="s">
        <v>641</v>
      </c>
      <c r="B190" s="20">
        <v>46049</v>
      </c>
      <c r="C190" s="16">
        <v>1</v>
      </c>
      <c r="D190" s="19" t="s">
        <v>39</v>
      </c>
      <c r="E190" s="19" t="s">
        <v>453</v>
      </c>
      <c r="G190" s="19">
        <v>25</v>
      </c>
      <c r="H190" s="19" t="s">
        <v>215</v>
      </c>
      <c r="I190" s="19" t="s">
        <v>216</v>
      </c>
      <c r="J190" s="19" t="s">
        <v>217</v>
      </c>
      <c r="K190" s="18">
        <v>46070.507071759261</v>
      </c>
    </row>
    <row r="191" spans="1:11" x14ac:dyDescent="0.25">
      <c r="A191" s="16" t="s">
        <v>642</v>
      </c>
      <c r="B191" s="20">
        <v>46049</v>
      </c>
      <c r="C191" s="16">
        <v>1</v>
      </c>
      <c r="D191" s="19" t="s">
        <v>39</v>
      </c>
      <c r="E191" s="19" t="s">
        <v>453</v>
      </c>
      <c r="G191" s="19">
        <v>32</v>
      </c>
      <c r="H191" s="19" t="s">
        <v>215</v>
      </c>
      <c r="I191" s="19" t="s">
        <v>216</v>
      </c>
      <c r="J191" s="19" t="s">
        <v>217</v>
      </c>
      <c r="K191" s="18">
        <v>46070.507094907407</v>
      </c>
    </row>
    <row r="192" spans="1:11" x14ac:dyDescent="0.25">
      <c r="A192" s="16" t="s">
        <v>643</v>
      </c>
      <c r="B192" s="20">
        <v>46049</v>
      </c>
      <c r="C192" s="16">
        <v>1</v>
      </c>
      <c r="D192" s="19" t="s">
        <v>39</v>
      </c>
      <c r="E192" s="19" t="s">
        <v>453</v>
      </c>
      <c r="G192" s="19">
        <v>35</v>
      </c>
      <c r="H192" s="19" t="s">
        <v>215</v>
      </c>
      <c r="I192" s="19" t="s">
        <v>216</v>
      </c>
      <c r="J192" s="19" t="s">
        <v>217</v>
      </c>
      <c r="K192" s="18">
        <v>46070.507118055553</v>
      </c>
    </row>
    <row r="193" spans="1:11" x14ac:dyDescent="0.25">
      <c r="A193" s="16" t="s">
        <v>644</v>
      </c>
      <c r="B193" s="20">
        <v>46049</v>
      </c>
      <c r="C193" s="16">
        <v>1</v>
      </c>
      <c r="D193" s="19" t="s">
        <v>39</v>
      </c>
      <c r="E193" s="19" t="s">
        <v>453</v>
      </c>
      <c r="G193" s="19">
        <v>32</v>
      </c>
      <c r="H193" s="19" t="s">
        <v>215</v>
      </c>
      <c r="I193" s="19" t="s">
        <v>216</v>
      </c>
      <c r="J193" s="19" t="s">
        <v>217</v>
      </c>
      <c r="K193" s="18">
        <v>46070.507152777776</v>
      </c>
    </row>
    <row r="194" spans="1:11" x14ac:dyDescent="0.25">
      <c r="A194" s="16" t="s">
        <v>645</v>
      </c>
      <c r="B194" s="20">
        <v>46050</v>
      </c>
      <c r="C194" s="16">
        <v>1</v>
      </c>
      <c r="D194" s="19" t="s">
        <v>39</v>
      </c>
      <c r="E194" s="19" t="s">
        <v>453</v>
      </c>
      <c r="G194" s="19">
        <v>30</v>
      </c>
      <c r="H194" s="19" t="s">
        <v>215</v>
      </c>
      <c r="I194" s="19" t="s">
        <v>216</v>
      </c>
      <c r="J194" s="19" t="s">
        <v>217</v>
      </c>
      <c r="K194" s="18">
        <v>46070.507708333331</v>
      </c>
    </row>
    <row r="195" spans="1:11" x14ac:dyDescent="0.25">
      <c r="A195" s="16" t="s">
        <v>646</v>
      </c>
      <c r="B195" s="20">
        <v>46050</v>
      </c>
      <c r="C195" s="16">
        <v>1</v>
      </c>
      <c r="D195" s="19" t="s">
        <v>39</v>
      </c>
      <c r="E195" s="19" t="s">
        <v>453</v>
      </c>
      <c r="G195" s="19">
        <v>25</v>
      </c>
      <c r="H195" s="19" t="s">
        <v>215</v>
      </c>
      <c r="I195" s="19" t="s">
        <v>216</v>
      </c>
      <c r="J195" s="19" t="s">
        <v>217</v>
      </c>
      <c r="K195" s="18">
        <v>46070.507743055554</v>
      </c>
    </row>
    <row r="196" spans="1:11" x14ac:dyDescent="0.25">
      <c r="A196" s="16" t="s">
        <v>647</v>
      </c>
      <c r="B196" s="20">
        <v>46050</v>
      </c>
      <c r="C196" s="16">
        <v>1</v>
      </c>
      <c r="D196" s="19" t="s">
        <v>39</v>
      </c>
      <c r="E196" s="19" t="s">
        <v>453</v>
      </c>
      <c r="G196" s="19">
        <v>26</v>
      </c>
      <c r="H196" s="19" t="s">
        <v>215</v>
      </c>
      <c r="I196" s="19" t="s">
        <v>216</v>
      </c>
      <c r="J196" s="19" t="s">
        <v>217</v>
      </c>
      <c r="K196" s="18">
        <v>46070.507800925923</v>
      </c>
    </row>
    <row r="197" spans="1:11" x14ac:dyDescent="0.25">
      <c r="A197" s="16" t="s">
        <v>648</v>
      </c>
      <c r="B197" s="20">
        <v>46051</v>
      </c>
      <c r="C197" s="16">
        <v>1</v>
      </c>
      <c r="D197" s="19" t="s">
        <v>39</v>
      </c>
      <c r="E197" s="19" t="s">
        <v>453</v>
      </c>
      <c r="G197" s="19">
        <v>42</v>
      </c>
      <c r="H197" s="19" t="s">
        <v>215</v>
      </c>
      <c r="I197" s="19" t="s">
        <v>216</v>
      </c>
      <c r="J197" s="19" t="s">
        <v>217</v>
      </c>
      <c r="K197" s="18">
        <v>46070.508171296293</v>
      </c>
    </row>
    <row r="198" spans="1:11" x14ac:dyDescent="0.25">
      <c r="A198" s="16" t="s">
        <v>649</v>
      </c>
      <c r="B198" s="20">
        <v>46052</v>
      </c>
      <c r="C198" s="16">
        <v>1</v>
      </c>
      <c r="D198" s="19" t="s">
        <v>39</v>
      </c>
      <c r="E198" s="19" t="s">
        <v>453</v>
      </c>
      <c r="G198" s="19">
        <v>21</v>
      </c>
      <c r="H198" s="19" t="s">
        <v>215</v>
      </c>
      <c r="I198" s="19" t="s">
        <v>216</v>
      </c>
      <c r="J198" s="19" t="s">
        <v>217</v>
      </c>
      <c r="K198" s="18">
        <v>46070.50849537037</v>
      </c>
    </row>
    <row r="199" spans="1:11" x14ac:dyDescent="0.25">
      <c r="A199" s="16" t="s">
        <v>650</v>
      </c>
      <c r="B199" s="20">
        <v>46052</v>
      </c>
      <c r="C199" s="16">
        <v>1</v>
      </c>
      <c r="D199" s="19" t="s">
        <v>39</v>
      </c>
      <c r="E199" s="19" t="s">
        <v>453</v>
      </c>
      <c r="G199" s="19">
        <v>19</v>
      </c>
      <c r="H199" s="19" t="s">
        <v>215</v>
      </c>
      <c r="I199" s="19" t="s">
        <v>216</v>
      </c>
      <c r="J199" s="19" t="s">
        <v>217</v>
      </c>
      <c r="K199" s="18">
        <v>46070.509016203701</v>
      </c>
    </row>
    <row r="200" spans="1:11" x14ac:dyDescent="0.25">
      <c r="A200" s="16" t="s">
        <v>651</v>
      </c>
      <c r="B200" s="20">
        <v>46052</v>
      </c>
      <c r="C200" s="16">
        <v>1</v>
      </c>
      <c r="D200" s="19" t="s">
        <v>39</v>
      </c>
      <c r="E200" s="19" t="s">
        <v>453</v>
      </c>
      <c r="G200" s="19">
        <v>35</v>
      </c>
      <c r="H200" s="19" t="s">
        <v>215</v>
      </c>
      <c r="I200" s="19" t="s">
        <v>216</v>
      </c>
      <c r="J200" s="19" t="s">
        <v>217</v>
      </c>
      <c r="K200" s="18">
        <v>46070.509050925924</v>
      </c>
    </row>
    <row r="201" spans="1:11" x14ac:dyDescent="0.25">
      <c r="A201" s="16" t="s">
        <v>652</v>
      </c>
      <c r="B201" s="20">
        <v>46026</v>
      </c>
      <c r="C201" s="16">
        <v>1</v>
      </c>
      <c r="D201" s="19" t="s">
        <v>29</v>
      </c>
      <c r="E201" s="19" t="s">
        <v>453</v>
      </c>
      <c r="G201" s="19">
        <v>25</v>
      </c>
      <c r="H201" s="19" t="s">
        <v>215</v>
      </c>
      <c r="I201" s="19" t="s">
        <v>246</v>
      </c>
      <c r="J201" s="19" t="s">
        <v>217</v>
      </c>
      <c r="K201" s="18">
        <v>46070.510347222225</v>
      </c>
    </row>
    <row r="202" spans="1:11" x14ac:dyDescent="0.25">
      <c r="A202" s="16" t="s">
        <v>653</v>
      </c>
      <c r="B202" s="20">
        <v>46026</v>
      </c>
      <c r="C202" s="16">
        <v>1</v>
      </c>
      <c r="D202" s="19" t="s">
        <v>29</v>
      </c>
      <c r="E202" s="19" t="s">
        <v>453</v>
      </c>
      <c r="G202" s="19">
        <v>84</v>
      </c>
      <c r="H202" s="19" t="s">
        <v>215</v>
      </c>
      <c r="I202" s="19" t="s">
        <v>246</v>
      </c>
      <c r="J202" s="19" t="s">
        <v>217</v>
      </c>
      <c r="K202" s="18">
        <v>46070.510381944441</v>
      </c>
    </row>
    <row r="203" spans="1:11" x14ac:dyDescent="0.25">
      <c r="A203" s="16" t="s">
        <v>654</v>
      </c>
      <c r="B203" s="20">
        <v>46026</v>
      </c>
      <c r="C203" s="16">
        <v>1</v>
      </c>
      <c r="D203" s="19" t="s">
        <v>29</v>
      </c>
      <c r="E203" s="19" t="s">
        <v>453</v>
      </c>
      <c r="G203" s="19">
        <v>82</v>
      </c>
      <c r="H203" s="19" t="s">
        <v>215</v>
      </c>
      <c r="I203" s="19" t="s">
        <v>246</v>
      </c>
      <c r="J203" s="19" t="s">
        <v>217</v>
      </c>
      <c r="K203" s="18">
        <v>46070.510439814818</v>
      </c>
    </row>
    <row r="204" spans="1:11" x14ac:dyDescent="0.25">
      <c r="A204" s="16" t="s">
        <v>655</v>
      </c>
      <c r="B204" s="20">
        <v>46027</v>
      </c>
      <c r="C204" s="16">
        <v>1</v>
      </c>
      <c r="D204" s="19" t="s">
        <v>29</v>
      </c>
      <c r="E204" s="19" t="s">
        <v>453</v>
      </c>
      <c r="G204" s="19">
        <v>75</v>
      </c>
      <c r="H204" s="19" t="s">
        <v>215</v>
      </c>
      <c r="I204" s="19" t="s">
        <v>246</v>
      </c>
      <c r="J204" s="19" t="s">
        <v>217</v>
      </c>
      <c r="K204" s="18">
        <v>46070.511377314811</v>
      </c>
    </row>
    <row r="205" spans="1:11" x14ac:dyDescent="0.25">
      <c r="A205" s="16" t="s">
        <v>656</v>
      </c>
      <c r="B205" s="20">
        <v>46027</v>
      </c>
      <c r="C205" s="16">
        <v>1</v>
      </c>
      <c r="D205" s="19" t="s">
        <v>29</v>
      </c>
      <c r="E205" s="19" t="s">
        <v>453</v>
      </c>
      <c r="G205" s="19">
        <v>33</v>
      </c>
      <c r="H205" s="19" t="s">
        <v>215</v>
      </c>
      <c r="I205" s="19" t="s">
        <v>246</v>
      </c>
      <c r="J205" s="19" t="s">
        <v>217</v>
      </c>
      <c r="K205" s="18">
        <v>46070.511400462965</v>
      </c>
    </row>
    <row r="206" spans="1:11" x14ac:dyDescent="0.25">
      <c r="A206" s="16" t="s">
        <v>657</v>
      </c>
      <c r="B206" s="20">
        <v>46027</v>
      </c>
      <c r="C206" s="16">
        <v>1</v>
      </c>
      <c r="D206" s="19" t="s">
        <v>29</v>
      </c>
      <c r="E206" s="19" t="s">
        <v>453</v>
      </c>
      <c r="G206" s="19">
        <v>13</v>
      </c>
      <c r="H206" s="19" t="s">
        <v>215</v>
      </c>
      <c r="I206" s="19" t="s">
        <v>246</v>
      </c>
      <c r="J206" s="19" t="s">
        <v>217</v>
      </c>
      <c r="K206" s="18">
        <v>46070.511435185188</v>
      </c>
    </row>
    <row r="207" spans="1:11" x14ac:dyDescent="0.25">
      <c r="A207" s="16" t="s">
        <v>658</v>
      </c>
      <c r="B207" s="20">
        <v>46029</v>
      </c>
      <c r="C207" s="16">
        <v>1</v>
      </c>
      <c r="D207" s="19" t="s">
        <v>29</v>
      </c>
      <c r="E207" s="19" t="s">
        <v>453</v>
      </c>
      <c r="G207" s="19">
        <v>25</v>
      </c>
      <c r="H207" s="19" t="s">
        <v>215</v>
      </c>
      <c r="I207" s="19" t="s">
        <v>246</v>
      </c>
      <c r="J207" s="19" t="s">
        <v>217</v>
      </c>
      <c r="K207" s="18">
        <v>46070.512418981481</v>
      </c>
    </row>
    <row r="208" spans="1:11" x14ac:dyDescent="0.25">
      <c r="A208" s="16" t="s">
        <v>659</v>
      </c>
      <c r="B208" s="20">
        <v>46029</v>
      </c>
      <c r="C208" s="16">
        <v>1</v>
      </c>
      <c r="D208" s="19" t="s">
        <v>29</v>
      </c>
      <c r="E208" s="19" t="s">
        <v>453</v>
      </c>
      <c r="G208" s="19">
        <v>14</v>
      </c>
      <c r="H208" s="19" t="s">
        <v>215</v>
      </c>
      <c r="I208" s="19" t="s">
        <v>246</v>
      </c>
      <c r="J208" s="19" t="s">
        <v>217</v>
      </c>
      <c r="K208" s="18">
        <v>46070.512442129628</v>
      </c>
    </row>
    <row r="209" spans="1:11" x14ac:dyDescent="0.25">
      <c r="A209" s="16" t="s">
        <v>660</v>
      </c>
      <c r="B209" s="20">
        <v>46029</v>
      </c>
      <c r="C209" s="16">
        <v>1</v>
      </c>
      <c r="D209" s="19" t="s">
        <v>29</v>
      </c>
      <c r="E209" s="19" t="s">
        <v>453</v>
      </c>
      <c r="G209" s="19">
        <v>37</v>
      </c>
      <c r="H209" s="19" t="s">
        <v>215</v>
      </c>
      <c r="I209" s="19" t="s">
        <v>246</v>
      </c>
      <c r="J209" s="19" t="s">
        <v>217</v>
      </c>
      <c r="K209" s="18">
        <v>46070.512488425928</v>
      </c>
    </row>
    <row r="210" spans="1:11" x14ac:dyDescent="0.25">
      <c r="A210" s="16" t="s">
        <v>661</v>
      </c>
      <c r="B210" s="20">
        <v>46030</v>
      </c>
      <c r="C210" s="16">
        <v>1</v>
      </c>
      <c r="D210" s="19" t="s">
        <v>29</v>
      </c>
      <c r="E210" s="19" t="s">
        <v>453</v>
      </c>
      <c r="G210" s="19">
        <v>17</v>
      </c>
      <c r="H210" s="19" t="s">
        <v>215</v>
      </c>
      <c r="I210" s="19" t="s">
        <v>246</v>
      </c>
      <c r="J210" s="19" t="s">
        <v>217</v>
      </c>
      <c r="K210" s="18">
        <v>46070.512673611112</v>
      </c>
    </row>
    <row r="211" spans="1:11" x14ac:dyDescent="0.25">
      <c r="A211" s="16" t="s">
        <v>662</v>
      </c>
      <c r="B211" s="20">
        <v>46030</v>
      </c>
      <c r="C211" s="16">
        <v>1</v>
      </c>
      <c r="D211" s="19" t="s">
        <v>29</v>
      </c>
      <c r="E211" s="19" t="s">
        <v>453</v>
      </c>
      <c r="G211" s="19">
        <v>62</v>
      </c>
      <c r="H211" s="19" t="s">
        <v>215</v>
      </c>
      <c r="I211" s="19" t="s">
        <v>246</v>
      </c>
      <c r="J211" s="19" t="s">
        <v>217</v>
      </c>
      <c r="K211" s="18">
        <v>46070.512696759259</v>
      </c>
    </row>
    <row r="212" spans="1:11" x14ac:dyDescent="0.25">
      <c r="A212" s="16" t="s">
        <v>663</v>
      </c>
      <c r="B212" s="20">
        <v>46030</v>
      </c>
      <c r="C212" s="16">
        <v>1</v>
      </c>
      <c r="D212" s="19" t="s">
        <v>29</v>
      </c>
      <c r="E212" s="19" t="s">
        <v>453</v>
      </c>
      <c r="G212" s="19">
        <v>48</v>
      </c>
      <c r="H212" s="19" t="s">
        <v>215</v>
      </c>
      <c r="I212" s="19" t="s">
        <v>246</v>
      </c>
      <c r="J212" s="19" t="s">
        <v>217</v>
      </c>
      <c r="K212" s="18">
        <v>46070.512719907405</v>
      </c>
    </row>
    <row r="213" spans="1:11" x14ac:dyDescent="0.25">
      <c r="A213" s="16" t="s">
        <v>664</v>
      </c>
      <c r="B213" s="20">
        <v>46030</v>
      </c>
      <c r="C213" s="16">
        <v>1</v>
      </c>
      <c r="D213" s="19" t="s">
        <v>29</v>
      </c>
      <c r="E213" s="19" t="s">
        <v>453</v>
      </c>
      <c r="G213" s="19">
        <v>50</v>
      </c>
      <c r="H213" s="19" t="s">
        <v>215</v>
      </c>
      <c r="I213" s="19" t="s">
        <v>246</v>
      </c>
      <c r="J213" s="19" t="s">
        <v>217</v>
      </c>
      <c r="K213" s="18">
        <v>46070.512777777774</v>
      </c>
    </row>
    <row r="214" spans="1:11" x14ac:dyDescent="0.25">
      <c r="A214" s="16" t="s">
        <v>665</v>
      </c>
      <c r="B214" s="20">
        <v>46031</v>
      </c>
      <c r="C214" s="16">
        <v>1</v>
      </c>
      <c r="D214" s="19" t="s">
        <v>29</v>
      </c>
      <c r="E214" s="19" t="s">
        <v>453</v>
      </c>
      <c r="G214" s="19">
        <v>52</v>
      </c>
      <c r="H214" s="19" t="s">
        <v>215</v>
      </c>
      <c r="I214" s="19" t="s">
        <v>246</v>
      </c>
      <c r="J214" s="19" t="s">
        <v>217</v>
      </c>
      <c r="K214" s="18">
        <v>46070.513009259259</v>
      </c>
    </row>
    <row r="215" spans="1:11" x14ac:dyDescent="0.25">
      <c r="A215" s="16" t="s">
        <v>666</v>
      </c>
      <c r="B215" s="20">
        <v>46032</v>
      </c>
      <c r="C215" s="16">
        <v>1</v>
      </c>
      <c r="D215" s="19" t="s">
        <v>29</v>
      </c>
      <c r="E215" s="19" t="s">
        <v>453</v>
      </c>
      <c r="G215" s="19">
        <v>19</v>
      </c>
      <c r="H215" s="19" t="s">
        <v>215</v>
      </c>
      <c r="I215" s="19" t="s">
        <v>246</v>
      </c>
      <c r="J215" s="19" t="s">
        <v>217</v>
      </c>
      <c r="K215" s="18">
        <v>46070.513298611113</v>
      </c>
    </row>
    <row r="216" spans="1:11" x14ac:dyDescent="0.25">
      <c r="A216" s="16" t="s">
        <v>667</v>
      </c>
      <c r="B216" s="20">
        <v>46033</v>
      </c>
      <c r="C216" s="16">
        <v>1</v>
      </c>
      <c r="D216" s="19" t="s">
        <v>29</v>
      </c>
      <c r="E216" s="19" t="s">
        <v>453</v>
      </c>
      <c r="G216" s="19">
        <v>50</v>
      </c>
      <c r="H216" s="19" t="s">
        <v>215</v>
      </c>
      <c r="I216" s="19" t="s">
        <v>246</v>
      </c>
      <c r="J216" s="19" t="s">
        <v>217</v>
      </c>
      <c r="K216" s="18">
        <v>46070.515115740738</v>
      </c>
    </row>
    <row r="217" spans="1:11" x14ac:dyDescent="0.25">
      <c r="A217" s="16" t="s">
        <v>668</v>
      </c>
      <c r="B217" s="20">
        <v>46034</v>
      </c>
      <c r="C217" s="16">
        <v>1</v>
      </c>
      <c r="D217" s="19" t="s">
        <v>29</v>
      </c>
      <c r="E217" s="19" t="s">
        <v>453</v>
      </c>
      <c r="G217" s="19">
        <v>50</v>
      </c>
      <c r="H217" s="19" t="s">
        <v>215</v>
      </c>
      <c r="I217" s="19" t="s">
        <v>246</v>
      </c>
      <c r="J217" s="19" t="s">
        <v>217</v>
      </c>
      <c r="K217" s="18">
        <v>46070.515277777777</v>
      </c>
    </row>
    <row r="218" spans="1:11" x14ac:dyDescent="0.25">
      <c r="A218" s="16" t="s">
        <v>669</v>
      </c>
      <c r="B218" s="20">
        <v>46034</v>
      </c>
      <c r="C218" s="16">
        <v>1</v>
      </c>
      <c r="D218" s="19" t="s">
        <v>29</v>
      </c>
      <c r="E218" s="19" t="s">
        <v>453</v>
      </c>
      <c r="G218" s="19">
        <v>63</v>
      </c>
      <c r="H218" s="19" t="s">
        <v>215</v>
      </c>
      <c r="I218" s="19" t="s">
        <v>246</v>
      </c>
      <c r="J218" s="19" t="s">
        <v>217</v>
      </c>
      <c r="K218" s="18">
        <v>46070.515289351853</v>
      </c>
    </row>
    <row r="219" spans="1:11" x14ac:dyDescent="0.25">
      <c r="A219" s="16" t="s">
        <v>670</v>
      </c>
      <c r="B219" s="20">
        <v>46034</v>
      </c>
      <c r="C219" s="16">
        <v>1</v>
      </c>
      <c r="D219" s="19" t="s">
        <v>29</v>
      </c>
      <c r="E219" s="19" t="s">
        <v>453</v>
      </c>
      <c r="G219" s="19">
        <v>68</v>
      </c>
      <c r="H219" s="19" t="s">
        <v>215</v>
      </c>
      <c r="I219" s="19" t="s">
        <v>246</v>
      </c>
      <c r="J219" s="19" t="s">
        <v>217</v>
      </c>
      <c r="K219" s="18">
        <v>46070.515324074076</v>
      </c>
    </row>
    <row r="220" spans="1:11" x14ac:dyDescent="0.25">
      <c r="A220" s="16" t="s">
        <v>671</v>
      </c>
      <c r="B220" s="20">
        <v>46034</v>
      </c>
      <c r="C220" s="16">
        <v>1</v>
      </c>
      <c r="D220" s="19" t="s">
        <v>29</v>
      </c>
      <c r="E220" s="19" t="s">
        <v>453</v>
      </c>
      <c r="G220" s="19">
        <v>75</v>
      </c>
      <c r="H220" s="19" t="s">
        <v>215</v>
      </c>
      <c r="I220" s="19" t="s">
        <v>246</v>
      </c>
      <c r="J220" s="19" t="s">
        <v>217</v>
      </c>
      <c r="K220" s="18">
        <v>46070.5153587963</v>
      </c>
    </row>
    <row r="221" spans="1:11" x14ac:dyDescent="0.25">
      <c r="A221" s="16" t="s">
        <v>672</v>
      </c>
      <c r="B221" s="20">
        <v>46034</v>
      </c>
      <c r="C221" s="16">
        <v>1</v>
      </c>
      <c r="D221" s="19" t="s">
        <v>29</v>
      </c>
      <c r="E221" s="19" t="s">
        <v>453</v>
      </c>
      <c r="G221" s="19">
        <v>60</v>
      </c>
      <c r="H221" s="19" t="s">
        <v>215</v>
      </c>
      <c r="I221" s="19" t="s">
        <v>246</v>
      </c>
      <c r="J221" s="19" t="s">
        <v>217</v>
      </c>
      <c r="K221" s="18">
        <v>46070.515393518515</v>
      </c>
    </row>
    <row r="222" spans="1:11" x14ac:dyDescent="0.25">
      <c r="A222" s="16" t="s">
        <v>673</v>
      </c>
      <c r="B222" s="20">
        <v>46034</v>
      </c>
      <c r="C222" s="16">
        <v>1</v>
      </c>
      <c r="D222" s="19" t="s">
        <v>29</v>
      </c>
      <c r="E222" s="19" t="s">
        <v>453</v>
      </c>
      <c r="G222" s="19">
        <v>33</v>
      </c>
      <c r="H222" s="19" t="s">
        <v>215</v>
      </c>
      <c r="I222" s="19" t="s">
        <v>246</v>
      </c>
      <c r="J222" s="19" t="s">
        <v>217</v>
      </c>
      <c r="K222" s="18">
        <v>46070.515439814815</v>
      </c>
    </row>
    <row r="223" spans="1:11" x14ac:dyDescent="0.25">
      <c r="A223" s="16" t="s">
        <v>674</v>
      </c>
      <c r="B223" s="20">
        <v>46035</v>
      </c>
      <c r="C223" s="16">
        <v>1</v>
      </c>
      <c r="D223" s="19" t="s">
        <v>29</v>
      </c>
      <c r="E223" s="19" t="s">
        <v>453</v>
      </c>
      <c r="G223" s="19">
        <v>89</v>
      </c>
      <c r="H223" s="19" t="s">
        <v>215</v>
      </c>
      <c r="I223" s="19" t="s">
        <v>246</v>
      </c>
      <c r="J223" s="19" t="s">
        <v>217</v>
      </c>
      <c r="K223" s="18">
        <v>46070.515879629631</v>
      </c>
    </row>
    <row r="224" spans="1:11" x14ac:dyDescent="0.25">
      <c r="A224" s="16" t="s">
        <v>675</v>
      </c>
      <c r="B224" s="20">
        <v>46035</v>
      </c>
      <c r="C224" s="16">
        <v>1</v>
      </c>
      <c r="D224" s="19" t="s">
        <v>29</v>
      </c>
      <c r="E224" s="19" t="s">
        <v>453</v>
      </c>
      <c r="G224" s="19">
        <v>33</v>
      </c>
      <c r="H224" s="19" t="s">
        <v>215</v>
      </c>
      <c r="I224" s="19" t="s">
        <v>246</v>
      </c>
      <c r="J224" s="19" t="s">
        <v>217</v>
      </c>
      <c r="K224" s="18">
        <v>46070.515902777777</v>
      </c>
    </row>
    <row r="225" spans="1:11" x14ac:dyDescent="0.25">
      <c r="A225" s="16" t="s">
        <v>676</v>
      </c>
      <c r="B225" s="20">
        <v>46035</v>
      </c>
      <c r="C225" s="16">
        <v>1</v>
      </c>
      <c r="D225" s="19" t="s">
        <v>29</v>
      </c>
      <c r="E225" s="19" t="s">
        <v>453</v>
      </c>
      <c r="G225" s="19">
        <v>39</v>
      </c>
      <c r="H225" s="19" t="s">
        <v>215</v>
      </c>
      <c r="I225" s="19" t="s">
        <v>246</v>
      </c>
      <c r="J225" s="19" t="s">
        <v>217</v>
      </c>
      <c r="K225" s="18">
        <v>46070.5159375</v>
      </c>
    </row>
    <row r="226" spans="1:11" x14ac:dyDescent="0.25">
      <c r="A226" s="16" t="s">
        <v>677</v>
      </c>
      <c r="B226" s="20">
        <v>46035</v>
      </c>
      <c r="C226" s="16">
        <v>1</v>
      </c>
      <c r="D226" s="19" t="s">
        <v>29</v>
      </c>
      <c r="E226" s="19" t="s">
        <v>453</v>
      </c>
      <c r="G226" s="19">
        <v>46</v>
      </c>
      <c r="H226" s="19" t="s">
        <v>215</v>
      </c>
      <c r="I226" s="19" t="s">
        <v>246</v>
      </c>
      <c r="J226" s="19" t="s">
        <v>217</v>
      </c>
      <c r="K226" s="18">
        <v>46070.515983796293</v>
      </c>
    </row>
    <row r="227" spans="1:11" x14ac:dyDescent="0.25">
      <c r="A227" s="16" t="s">
        <v>678</v>
      </c>
      <c r="B227" s="20">
        <v>46036</v>
      </c>
      <c r="C227" s="16">
        <v>1</v>
      </c>
      <c r="D227" s="19" t="s">
        <v>29</v>
      </c>
      <c r="E227" s="19" t="s">
        <v>453</v>
      </c>
      <c r="G227" s="19">
        <v>68</v>
      </c>
      <c r="H227" s="19" t="s">
        <v>215</v>
      </c>
      <c r="I227" s="19" t="s">
        <v>246</v>
      </c>
      <c r="J227" s="19" t="s">
        <v>217</v>
      </c>
      <c r="K227" s="18">
        <v>46070.516226851854</v>
      </c>
    </row>
    <row r="228" spans="1:11" x14ac:dyDescent="0.25">
      <c r="A228" s="16" t="s">
        <v>679</v>
      </c>
      <c r="B228" s="20">
        <v>46037</v>
      </c>
      <c r="C228" s="16">
        <v>1</v>
      </c>
      <c r="D228" s="19" t="s">
        <v>29</v>
      </c>
      <c r="E228" s="19" t="s">
        <v>453</v>
      </c>
      <c r="G228" s="19">
        <v>69</v>
      </c>
      <c r="H228" s="19" t="s">
        <v>215</v>
      </c>
      <c r="I228" s="19" t="s">
        <v>246</v>
      </c>
      <c r="J228" s="19" t="s">
        <v>217</v>
      </c>
      <c r="K228" s="18">
        <v>46070.516793981478</v>
      </c>
    </row>
    <row r="229" spans="1:11" x14ac:dyDescent="0.25">
      <c r="A229" s="16" t="s">
        <v>680</v>
      </c>
      <c r="B229" s="20">
        <v>46037</v>
      </c>
      <c r="C229" s="16">
        <v>1</v>
      </c>
      <c r="D229" s="19" t="s">
        <v>29</v>
      </c>
      <c r="E229" s="19" t="s">
        <v>453</v>
      </c>
      <c r="G229" s="19">
        <v>42</v>
      </c>
      <c r="H229" s="19" t="s">
        <v>215</v>
      </c>
      <c r="I229" s="19" t="s">
        <v>246</v>
      </c>
      <c r="J229" s="19" t="s">
        <v>217</v>
      </c>
      <c r="K229" s="18">
        <v>46070.516817129632</v>
      </c>
    </row>
    <row r="230" spans="1:11" x14ac:dyDescent="0.25">
      <c r="A230" s="16" t="s">
        <v>681</v>
      </c>
      <c r="B230" s="20">
        <v>46037</v>
      </c>
      <c r="C230" s="16">
        <v>1</v>
      </c>
      <c r="D230" s="19" t="s">
        <v>29</v>
      </c>
      <c r="G230" s="19">
        <v>68</v>
      </c>
      <c r="H230" s="19" t="s">
        <v>215</v>
      </c>
      <c r="I230" s="19" t="s">
        <v>246</v>
      </c>
      <c r="J230" s="19" t="s">
        <v>217</v>
      </c>
      <c r="K230" s="18">
        <v>46071.516817129632</v>
      </c>
    </row>
    <row r="231" spans="1:11" x14ac:dyDescent="0.25">
      <c r="A231" s="16" t="s">
        <v>682</v>
      </c>
      <c r="B231" s="20">
        <v>46037</v>
      </c>
      <c r="C231" s="16">
        <v>1</v>
      </c>
      <c r="D231" s="19" t="s">
        <v>29</v>
      </c>
      <c r="E231" s="19" t="s">
        <v>453</v>
      </c>
      <c r="G231" s="19">
        <v>45</v>
      </c>
      <c r="H231" s="19" t="s">
        <v>215</v>
      </c>
      <c r="I231" s="19" t="s">
        <v>246</v>
      </c>
      <c r="J231" s="19" t="s">
        <v>217</v>
      </c>
      <c r="K231" s="18">
        <v>46070.516840277778</v>
      </c>
    </row>
    <row r="232" spans="1:11" x14ac:dyDescent="0.25">
      <c r="A232" s="16" t="s">
        <v>683</v>
      </c>
      <c r="B232" s="20">
        <v>46038</v>
      </c>
      <c r="C232" s="16">
        <v>1</v>
      </c>
      <c r="D232" s="19" t="s">
        <v>29</v>
      </c>
      <c r="E232" s="19" t="s">
        <v>453</v>
      </c>
      <c r="G232" s="19">
        <v>61</v>
      </c>
      <c r="H232" s="19" t="s">
        <v>215</v>
      </c>
      <c r="I232" s="19" t="s">
        <v>246</v>
      </c>
      <c r="J232" s="19" t="s">
        <v>217</v>
      </c>
      <c r="K232" s="18">
        <v>46070.517025462963</v>
      </c>
    </row>
    <row r="233" spans="1:11" x14ac:dyDescent="0.25">
      <c r="A233" s="16" t="s">
        <v>684</v>
      </c>
      <c r="B233" s="20">
        <v>46038</v>
      </c>
      <c r="C233" s="16">
        <v>1</v>
      </c>
      <c r="D233" s="19" t="s">
        <v>29</v>
      </c>
      <c r="E233" s="19" t="s">
        <v>453</v>
      </c>
      <c r="G233" s="19">
        <v>32</v>
      </c>
      <c r="H233" s="19" t="s">
        <v>215</v>
      </c>
      <c r="I233" s="19" t="s">
        <v>246</v>
      </c>
      <c r="J233" s="19" t="s">
        <v>217</v>
      </c>
      <c r="K233" s="18">
        <v>46070.517048611109</v>
      </c>
    </row>
    <row r="234" spans="1:11" x14ac:dyDescent="0.25">
      <c r="A234" s="16" t="s">
        <v>685</v>
      </c>
      <c r="B234" s="20">
        <v>46038</v>
      </c>
      <c r="C234" s="16">
        <v>1</v>
      </c>
      <c r="D234" s="19" t="s">
        <v>29</v>
      </c>
      <c r="E234" s="19" t="s">
        <v>453</v>
      </c>
      <c r="G234" s="19">
        <v>18</v>
      </c>
      <c r="H234" s="19" t="s">
        <v>215</v>
      </c>
      <c r="I234" s="19" t="s">
        <v>246</v>
      </c>
      <c r="J234" s="19" t="s">
        <v>217</v>
      </c>
      <c r="K234" s="18">
        <v>46070.517071759263</v>
      </c>
    </row>
    <row r="235" spans="1:11" x14ac:dyDescent="0.25">
      <c r="A235" s="16" t="s">
        <v>686</v>
      </c>
      <c r="B235" s="20">
        <v>46038</v>
      </c>
      <c r="C235" s="16">
        <v>1</v>
      </c>
      <c r="D235" s="19" t="s">
        <v>29</v>
      </c>
      <c r="E235" s="19" t="s">
        <v>453</v>
      </c>
      <c r="G235" s="19">
        <v>76</v>
      </c>
      <c r="H235" s="19" t="s">
        <v>215</v>
      </c>
      <c r="I235" s="19" t="s">
        <v>246</v>
      </c>
      <c r="J235" s="19" t="s">
        <v>217</v>
      </c>
      <c r="K235" s="18">
        <v>46070.517106481479</v>
      </c>
    </row>
    <row r="236" spans="1:11" x14ac:dyDescent="0.25">
      <c r="A236" s="16" t="s">
        <v>687</v>
      </c>
      <c r="B236" s="20">
        <v>46040</v>
      </c>
      <c r="C236" s="16">
        <v>1</v>
      </c>
      <c r="D236" s="19" t="s">
        <v>29</v>
      </c>
      <c r="E236" s="19" t="s">
        <v>453</v>
      </c>
      <c r="G236" s="19">
        <v>25</v>
      </c>
      <c r="H236" s="19" t="s">
        <v>215</v>
      </c>
      <c r="I236" s="19" t="s">
        <v>246</v>
      </c>
      <c r="J236" s="19" t="s">
        <v>217</v>
      </c>
      <c r="K236" s="18">
        <v>46070.522928240738</v>
      </c>
    </row>
    <row r="237" spans="1:11" x14ac:dyDescent="0.25">
      <c r="A237" s="16" t="s">
        <v>688</v>
      </c>
      <c r="B237" s="20">
        <v>46041</v>
      </c>
      <c r="C237" s="16">
        <v>1</v>
      </c>
      <c r="D237" s="19" t="s">
        <v>29</v>
      </c>
      <c r="E237" s="19" t="s">
        <v>453</v>
      </c>
      <c r="G237" s="19">
        <v>27</v>
      </c>
      <c r="H237" s="19" t="s">
        <v>215</v>
      </c>
      <c r="I237" s="19" t="s">
        <v>246</v>
      </c>
      <c r="J237" s="19" t="s">
        <v>217</v>
      </c>
      <c r="K237" s="18">
        <v>46070.523194444446</v>
      </c>
    </row>
    <row r="238" spans="1:11" x14ac:dyDescent="0.25">
      <c r="A238" s="16" t="s">
        <v>689</v>
      </c>
      <c r="B238" s="20">
        <v>46042</v>
      </c>
      <c r="C238" s="16">
        <v>1</v>
      </c>
      <c r="D238" s="19" t="s">
        <v>29</v>
      </c>
      <c r="E238" s="19" t="s">
        <v>453</v>
      </c>
      <c r="G238" s="19">
        <v>61</v>
      </c>
      <c r="H238" s="19" t="s">
        <v>215</v>
      </c>
      <c r="I238" s="19" t="s">
        <v>246</v>
      </c>
      <c r="J238" s="19" t="s">
        <v>217</v>
      </c>
      <c r="K238" s="18">
        <v>46070.5234837963</v>
      </c>
    </row>
    <row r="239" spans="1:11" x14ac:dyDescent="0.25">
      <c r="A239" s="16" t="s">
        <v>690</v>
      </c>
      <c r="B239" s="20">
        <v>46042</v>
      </c>
      <c r="C239" s="16">
        <v>1</v>
      </c>
      <c r="D239" s="19" t="s">
        <v>29</v>
      </c>
      <c r="E239" s="19" t="s">
        <v>453</v>
      </c>
      <c r="G239" s="19">
        <v>67</v>
      </c>
      <c r="H239" s="19" t="s">
        <v>215</v>
      </c>
      <c r="I239" s="19" t="s">
        <v>246</v>
      </c>
      <c r="J239" s="19" t="s">
        <v>217</v>
      </c>
      <c r="K239" s="18">
        <v>46070.523506944446</v>
      </c>
    </row>
    <row r="240" spans="1:11" x14ac:dyDescent="0.25">
      <c r="A240" s="16" t="s">
        <v>691</v>
      </c>
      <c r="B240" s="20">
        <v>46042</v>
      </c>
      <c r="C240" s="16">
        <v>1</v>
      </c>
      <c r="D240" s="19" t="s">
        <v>29</v>
      </c>
      <c r="E240" s="19" t="s">
        <v>453</v>
      </c>
      <c r="G240" s="19">
        <v>51</v>
      </c>
      <c r="H240" s="19" t="s">
        <v>215</v>
      </c>
      <c r="I240" s="19" t="s">
        <v>246</v>
      </c>
      <c r="J240" s="19" t="s">
        <v>217</v>
      </c>
      <c r="K240" s="18">
        <v>46070.523541666669</v>
      </c>
    </row>
    <row r="241" spans="1:11" x14ac:dyDescent="0.25">
      <c r="A241" s="16" t="s">
        <v>692</v>
      </c>
      <c r="B241" s="20">
        <v>46042</v>
      </c>
      <c r="C241" s="16">
        <v>1</v>
      </c>
      <c r="D241" s="19" t="s">
        <v>29</v>
      </c>
      <c r="E241" s="19" t="s">
        <v>453</v>
      </c>
      <c r="G241" s="19">
        <v>51</v>
      </c>
      <c r="H241" s="19" t="s">
        <v>215</v>
      </c>
      <c r="I241" s="19" t="s">
        <v>246</v>
      </c>
      <c r="J241" s="19" t="s">
        <v>217</v>
      </c>
      <c r="K241" s="18">
        <v>46070.523576388892</v>
      </c>
    </row>
    <row r="242" spans="1:11" x14ac:dyDescent="0.25">
      <c r="A242" s="16" t="s">
        <v>693</v>
      </c>
      <c r="B242" s="20">
        <v>46042</v>
      </c>
      <c r="C242" s="16">
        <v>1</v>
      </c>
      <c r="D242" s="19" t="s">
        <v>29</v>
      </c>
      <c r="E242" s="19" t="s">
        <v>453</v>
      </c>
      <c r="G242" s="19">
        <v>53</v>
      </c>
      <c r="H242" s="19" t="s">
        <v>215</v>
      </c>
      <c r="I242" s="19" t="s">
        <v>246</v>
      </c>
      <c r="J242" s="19" t="s">
        <v>217</v>
      </c>
      <c r="K242" s="18">
        <v>46070.523611111108</v>
      </c>
    </row>
    <row r="243" spans="1:11" x14ac:dyDescent="0.25">
      <c r="A243" s="16" t="s">
        <v>694</v>
      </c>
      <c r="B243" s="20">
        <v>46042</v>
      </c>
      <c r="C243" s="16">
        <v>1</v>
      </c>
      <c r="D243" s="19" t="s">
        <v>29</v>
      </c>
      <c r="E243" s="19" t="s">
        <v>453</v>
      </c>
      <c r="G243" s="19">
        <v>48</v>
      </c>
      <c r="H243" s="19" t="s">
        <v>215</v>
      </c>
      <c r="I243" s="19" t="s">
        <v>246</v>
      </c>
      <c r="J243" s="19" t="s">
        <v>217</v>
      </c>
      <c r="K243" s="18">
        <v>46070.523634259262</v>
      </c>
    </row>
    <row r="244" spans="1:11" x14ac:dyDescent="0.25">
      <c r="A244" s="16" t="s">
        <v>695</v>
      </c>
      <c r="B244" s="20">
        <v>46042</v>
      </c>
      <c r="C244" s="16">
        <v>1</v>
      </c>
      <c r="D244" s="19" t="s">
        <v>29</v>
      </c>
      <c r="E244" s="19" t="s">
        <v>453</v>
      </c>
      <c r="G244" s="19">
        <v>39</v>
      </c>
      <c r="H244" s="19" t="s">
        <v>215</v>
      </c>
      <c r="I244" s="19" t="s">
        <v>246</v>
      </c>
      <c r="J244" s="19" t="s">
        <v>217</v>
      </c>
      <c r="K244" s="18">
        <v>46070.523726851854</v>
      </c>
    </row>
    <row r="245" spans="1:11" x14ac:dyDescent="0.25">
      <c r="A245" s="16" t="s">
        <v>696</v>
      </c>
      <c r="B245" s="20">
        <v>46043</v>
      </c>
      <c r="C245" s="16">
        <v>1</v>
      </c>
      <c r="D245" s="19" t="s">
        <v>29</v>
      </c>
      <c r="E245" s="19" t="s">
        <v>453</v>
      </c>
      <c r="G245" s="19">
        <v>14</v>
      </c>
      <c r="H245" s="19" t="s">
        <v>215</v>
      </c>
      <c r="I245" s="19" t="s">
        <v>246</v>
      </c>
      <c r="J245" s="19" t="s">
        <v>217</v>
      </c>
      <c r="K245" s="18">
        <v>46070.524143518516</v>
      </c>
    </row>
    <row r="246" spans="1:11" x14ac:dyDescent="0.25">
      <c r="A246" s="16" t="s">
        <v>697</v>
      </c>
      <c r="B246" s="20">
        <v>46044</v>
      </c>
      <c r="C246" s="16">
        <v>1</v>
      </c>
      <c r="D246" s="19" t="s">
        <v>29</v>
      </c>
      <c r="E246" s="19" t="s">
        <v>453</v>
      </c>
      <c r="G246" s="19">
        <v>48</v>
      </c>
      <c r="H246" s="19" t="s">
        <v>215</v>
      </c>
      <c r="I246" s="19" t="s">
        <v>246</v>
      </c>
      <c r="J246" s="19" t="s">
        <v>217</v>
      </c>
      <c r="K246" s="18">
        <v>46070.524375000001</v>
      </c>
    </row>
    <row r="247" spans="1:11" x14ac:dyDescent="0.25">
      <c r="A247" s="16" t="s">
        <v>698</v>
      </c>
      <c r="B247" s="20">
        <v>46044</v>
      </c>
      <c r="C247" s="16">
        <v>1</v>
      </c>
      <c r="D247" s="19" t="s">
        <v>29</v>
      </c>
      <c r="E247" s="19" t="s">
        <v>453</v>
      </c>
      <c r="G247" s="19">
        <v>56</v>
      </c>
      <c r="H247" s="19" t="s">
        <v>215</v>
      </c>
      <c r="I247" s="19" t="s">
        <v>246</v>
      </c>
      <c r="J247" s="19" t="s">
        <v>217</v>
      </c>
      <c r="K247" s="18">
        <v>46070.524398148147</v>
      </c>
    </row>
    <row r="248" spans="1:11" x14ac:dyDescent="0.25">
      <c r="A248" s="16" t="s">
        <v>699</v>
      </c>
      <c r="B248" s="20">
        <v>46044</v>
      </c>
      <c r="C248" s="16">
        <v>1</v>
      </c>
      <c r="D248" s="19" t="s">
        <v>29</v>
      </c>
      <c r="E248" s="19" t="s">
        <v>453</v>
      </c>
      <c r="G248" s="19">
        <v>83</v>
      </c>
      <c r="H248" s="19" t="s">
        <v>215</v>
      </c>
      <c r="I248" s="19" t="s">
        <v>246</v>
      </c>
      <c r="J248" s="19" t="s">
        <v>217</v>
      </c>
      <c r="K248" s="18">
        <v>46070.524421296293</v>
      </c>
    </row>
    <row r="249" spans="1:11" x14ac:dyDescent="0.25">
      <c r="A249" s="16" t="s">
        <v>700</v>
      </c>
      <c r="B249" s="20">
        <v>46045</v>
      </c>
      <c r="C249" s="16">
        <v>1</v>
      </c>
      <c r="D249" s="19" t="s">
        <v>29</v>
      </c>
      <c r="E249" s="19" t="s">
        <v>453</v>
      </c>
      <c r="G249" s="19">
        <v>58</v>
      </c>
      <c r="H249" s="19" t="s">
        <v>215</v>
      </c>
      <c r="I249" s="19" t="s">
        <v>246</v>
      </c>
      <c r="J249" s="19" t="s">
        <v>217</v>
      </c>
      <c r="K249" s="18">
        <v>46070.524606481478</v>
      </c>
    </row>
    <row r="250" spans="1:11" x14ac:dyDescent="0.25">
      <c r="A250" s="16" t="s">
        <v>701</v>
      </c>
      <c r="B250" s="20">
        <v>46045</v>
      </c>
      <c r="C250" s="16">
        <v>1</v>
      </c>
      <c r="D250" s="19" t="s">
        <v>29</v>
      </c>
      <c r="E250" s="19" t="s">
        <v>453</v>
      </c>
      <c r="G250" s="19">
        <v>85</v>
      </c>
      <c r="H250" s="19" t="s">
        <v>215</v>
      </c>
      <c r="I250" s="19" t="s">
        <v>246</v>
      </c>
      <c r="J250" s="19" t="s">
        <v>217</v>
      </c>
      <c r="K250" s="18">
        <v>46070.524629629632</v>
      </c>
    </row>
    <row r="251" spans="1:11" x14ac:dyDescent="0.25">
      <c r="A251" s="16" t="s">
        <v>702</v>
      </c>
      <c r="B251" s="20">
        <v>46045</v>
      </c>
      <c r="C251" s="16">
        <v>1</v>
      </c>
      <c r="D251" s="19" t="s">
        <v>29</v>
      </c>
      <c r="E251" s="19" t="s">
        <v>453</v>
      </c>
      <c r="G251" s="19">
        <v>66</v>
      </c>
      <c r="H251" s="19" t="s">
        <v>215</v>
      </c>
      <c r="I251" s="19" t="s">
        <v>246</v>
      </c>
      <c r="J251" s="19" t="s">
        <v>217</v>
      </c>
      <c r="K251" s="18">
        <v>46070.524652777778</v>
      </c>
    </row>
    <row r="252" spans="1:11" x14ac:dyDescent="0.25">
      <c r="A252" s="16" t="s">
        <v>703</v>
      </c>
      <c r="B252" s="20">
        <v>46045</v>
      </c>
      <c r="C252" s="16">
        <v>1</v>
      </c>
      <c r="D252" s="19" t="s">
        <v>29</v>
      </c>
      <c r="E252" s="19" t="s">
        <v>453</v>
      </c>
      <c r="G252" s="19">
        <v>51</v>
      </c>
      <c r="H252" s="19" t="s">
        <v>215</v>
      </c>
      <c r="I252" s="19" t="s">
        <v>246</v>
      </c>
      <c r="J252" s="19" t="s">
        <v>217</v>
      </c>
      <c r="K252" s="18">
        <v>46070.524699074071</v>
      </c>
    </row>
    <row r="253" spans="1:11" x14ac:dyDescent="0.25">
      <c r="A253" s="16" t="s">
        <v>704</v>
      </c>
      <c r="B253" s="20">
        <v>46046</v>
      </c>
      <c r="C253" s="16">
        <v>1</v>
      </c>
      <c r="D253" s="19" t="s">
        <v>29</v>
      </c>
      <c r="E253" s="19" t="s">
        <v>453</v>
      </c>
      <c r="G253" s="19">
        <v>16</v>
      </c>
      <c r="H253" s="19" t="s">
        <v>215</v>
      </c>
      <c r="I253" s="19" t="s">
        <v>246</v>
      </c>
      <c r="J253" s="19" t="s">
        <v>217</v>
      </c>
      <c r="K253" s="18">
        <v>46070.524872685186</v>
      </c>
    </row>
    <row r="254" spans="1:11" x14ac:dyDescent="0.25">
      <c r="A254" s="16" t="s">
        <v>705</v>
      </c>
      <c r="B254" s="20">
        <v>46046</v>
      </c>
      <c r="C254" s="16">
        <v>1</v>
      </c>
      <c r="D254" s="19" t="s">
        <v>29</v>
      </c>
      <c r="E254" s="19" t="s">
        <v>453</v>
      </c>
      <c r="G254" s="19">
        <v>41</v>
      </c>
      <c r="H254" s="19" t="s">
        <v>215</v>
      </c>
      <c r="I254" s="19" t="s">
        <v>246</v>
      </c>
      <c r="J254" s="19" t="s">
        <v>217</v>
      </c>
      <c r="K254" s="18">
        <v>46070.524895833332</v>
      </c>
    </row>
    <row r="255" spans="1:11" x14ac:dyDescent="0.25">
      <c r="A255" s="16" t="s">
        <v>706</v>
      </c>
      <c r="B255" s="20">
        <v>46046</v>
      </c>
      <c r="C255" s="16">
        <v>1</v>
      </c>
      <c r="D255" s="19" t="s">
        <v>29</v>
      </c>
      <c r="E255" s="19" t="s">
        <v>453</v>
      </c>
      <c r="G255" s="19">
        <v>33</v>
      </c>
      <c r="H255" s="19" t="s">
        <v>215</v>
      </c>
      <c r="I255" s="19" t="s">
        <v>246</v>
      </c>
      <c r="J255" s="19" t="s">
        <v>217</v>
      </c>
      <c r="K255" s="18">
        <v>46070.524918981479</v>
      </c>
    </row>
    <row r="256" spans="1:11" x14ac:dyDescent="0.25">
      <c r="A256" s="16" t="s">
        <v>707</v>
      </c>
      <c r="B256" s="20">
        <v>46047</v>
      </c>
      <c r="C256" s="16">
        <v>1</v>
      </c>
      <c r="D256" s="19" t="s">
        <v>29</v>
      </c>
      <c r="E256" s="19" t="s">
        <v>453</v>
      </c>
      <c r="G256" s="19">
        <v>47</v>
      </c>
      <c r="H256" s="19" t="s">
        <v>215</v>
      </c>
      <c r="I256" s="19" t="s">
        <v>246</v>
      </c>
      <c r="J256" s="19" t="s">
        <v>217</v>
      </c>
      <c r="K256" s="18">
        <v>46070.525335648148</v>
      </c>
    </row>
    <row r="257" spans="1:11" x14ac:dyDescent="0.25">
      <c r="A257" s="16" t="s">
        <v>708</v>
      </c>
      <c r="B257" s="20">
        <v>46049</v>
      </c>
      <c r="C257" s="16">
        <v>1</v>
      </c>
      <c r="D257" s="19" t="s">
        <v>29</v>
      </c>
      <c r="E257" s="19" t="s">
        <v>453</v>
      </c>
      <c r="G257" s="19">
        <v>38</v>
      </c>
      <c r="H257" s="19" t="s">
        <v>215</v>
      </c>
      <c r="I257" s="19" t="s">
        <v>246</v>
      </c>
      <c r="J257" s="19" t="s">
        <v>217</v>
      </c>
      <c r="K257" s="18">
        <v>46070.525729166664</v>
      </c>
    </row>
    <row r="258" spans="1:11" x14ac:dyDescent="0.25">
      <c r="A258" s="16" t="s">
        <v>709</v>
      </c>
      <c r="B258" s="20">
        <v>46049</v>
      </c>
      <c r="C258" s="16">
        <v>1</v>
      </c>
      <c r="D258" s="19" t="s">
        <v>29</v>
      </c>
      <c r="E258" s="19" t="s">
        <v>453</v>
      </c>
      <c r="G258" s="19">
        <v>14</v>
      </c>
      <c r="H258" s="19" t="s">
        <v>215</v>
      </c>
      <c r="I258" s="19" t="s">
        <v>246</v>
      </c>
      <c r="J258" s="19" t="s">
        <v>217</v>
      </c>
      <c r="K258" s="18">
        <v>46070.525763888887</v>
      </c>
    </row>
    <row r="259" spans="1:11" x14ac:dyDescent="0.25">
      <c r="A259" s="16" t="s">
        <v>710</v>
      </c>
      <c r="B259" s="20">
        <v>46050</v>
      </c>
      <c r="C259" s="16">
        <v>1</v>
      </c>
      <c r="D259" s="19" t="s">
        <v>29</v>
      </c>
      <c r="E259" s="19" t="s">
        <v>453</v>
      </c>
      <c r="G259" s="19">
        <v>50</v>
      </c>
      <c r="H259" s="19" t="s">
        <v>215</v>
      </c>
      <c r="I259" s="19" t="s">
        <v>246</v>
      </c>
      <c r="J259" s="19" t="s">
        <v>217</v>
      </c>
      <c r="K259" s="18">
        <v>46070.526018518518</v>
      </c>
    </row>
    <row r="260" spans="1:11" x14ac:dyDescent="0.25">
      <c r="A260" s="16" t="s">
        <v>711</v>
      </c>
      <c r="B260" s="20">
        <v>46050</v>
      </c>
      <c r="C260" s="16">
        <v>1</v>
      </c>
      <c r="D260" s="19" t="s">
        <v>29</v>
      </c>
      <c r="E260" s="19" t="s">
        <v>453</v>
      </c>
      <c r="G260" s="19">
        <v>32</v>
      </c>
      <c r="H260" s="19" t="s">
        <v>215</v>
      </c>
      <c r="I260" s="19" t="s">
        <v>246</v>
      </c>
      <c r="J260" s="19" t="s">
        <v>217</v>
      </c>
      <c r="K260" s="18">
        <v>46070.526041666664</v>
      </c>
    </row>
    <row r="261" spans="1:11" x14ac:dyDescent="0.25">
      <c r="A261" s="16" t="s">
        <v>712</v>
      </c>
      <c r="B261" s="20">
        <v>46050</v>
      </c>
      <c r="C261" s="16">
        <v>1</v>
      </c>
      <c r="D261" s="19" t="s">
        <v>29</v>
      </c>
      <c r="E261" s="19" t="s">
        <v>453</v>
      </c>
      <c r="G261" s="19">
        <v>48</v>
      </c>
      <c r="H261" s="19" t="s">
        <v>215</v>
      </c>
      <c r="I261" s="19" t="s">
        <v>246</v>
      </c>
      <c r="J261" s="19" t="s">
        <v>217</v>
      </c>
      <c r="K261" s="18">
        <v>46070.526087962964</v>
      </c>
    </row>
    <row r="262" spans="1:11" x14ac:dyDescent="0.25">
      <c r="A262" s="16" t="s">
        <v>713</v>
      </c>
      <c r="B262" s="20">
        <v>46051</v>
      </c>
      <c r="C262" s="16">
        <v>1</v>
      </c>
      <c r="D262" s="19" t="s">
        <v>29</v>
      </c>
      <c r="E262" s="19" t="s">
        <v>453</v>
      </c>
      <c r="G262" s="19">
        <v>17</v>
      </c>
      <c r="H262" s="19" t="s">
        <v>215</v>
      </c>
      <c r="I262" s="19" t="s">
        <v>246</v>
      </c>
      <c r="J262" s="19" t="s">
        <v>217</v>
      </c>
      <c r="K262" s="18">
        <v>46070.526296296295</v>
      </c>
    </row>
    <row r="263" spans="1:11" x14ac:dyDescent="0.25">
      <c r="A263" s="16" t="s">
        <v>714</v>
      </c>
      <c r="B263" s="20">
        <v>46053</v>
      </c>
      <c r="C263" s="16">
        <v>1</v>
      </c>
      <c r="D263" s="19" t="s">
        <v>29</v>
      </c>
      <c r="E263" s="19" t="s">
        <v>453</v>
      </c>
      <c r="G263" s="19">
        <v>44</v>
      </c>
      <c r="H263" s="19" t="s">
        <v>215</v>
      </c>
      <c r="I263" s="19" t="s">
        <v>246</v>
      </c>
      <c r="J263" s="19" t="s">
        <v>217</v>
      </c>
      <c r="K263" s="18">
        <v>46070.526712962965</v>
      </c>
    </row>
    <row r="264" spans="1:11" x14ac:dyDescent="0.25">
      <c r="A264" s="16" t="s">
        <v>715</v>
      </c>
      <c r="B264" s="20">
        <v>46053</v>
      </c>
      <c r="C264" s="16">
        <v>1</v>
      </c>
      <c r="D264" s="19" t="s">
        <v>29</v>
      </c>
      <c r="E264" s="19" t="s">
        <v>453</v>
      </c>
      <c r="G264" s="19">
        <v>43</v>
      </c>
      <c r="H264" s="19" t="s">
        <v>215</v>
      </c>
      <c r="I264" s="19" t="s">
        <v>246</v>
      </c>
      <c r="J264" s="19" t="s">
        <v>217</v>
      </c>
      <c r="K264" s="18">
        <v>46070.526724537034</v>
      </c>
    </row>
    <row r="265" spans="1:11" x14ac:dyDescent="0.25">
      <c r="A265" s="16" t="s">
        <v>716</v>
      </c>
      <c r="B265" s="20">
        <v>46053</v>
      </c>
      <c r="C265" s="16">
        <v>1</v>
      </c>
      <c r="D265" s="19" t="s">
        <v>29</v>
      </c>
      <c r="E265" s="19" t="s">
        <v>453</v>
      </c>
      <c r="G265" s="19">
        <v>31</v>
      </c>
      <c r="H265" s="19" t="s">
        <v>215</v>
      </c>
      <c r="I265" s="19" t="s">
        <v>246</v>
      </c>
      <c r="J265" s="19" t="s">
        <v>217</v>
      </c>
      <c r="K265" s="18">
        <v>46070.526747685188</v>
      </c>
    </row>
    <row r="266" spans="1:11" x14ac:dyDescent="0.25">
      <c r="A266" s="16" t="s">
        <v>717</v>
      </c>
      <c r="B266" s="20">
        <v>46025</v>
      </c>
      <c r="C266" s="16">
        <v>1</v>
      </c>
      <c r="D266" s="19" t="s">
        <v>41</v>
      </c>
      <c r="E266" s="19" t="s">
        <v>453</v>
      </c>
      <c r="G266" s="19">
        <v>0</v>
      </c>
      <c r="H266" s="19" t="s">
        <v>306</v>
      </c>
      <c r="I266" s="19" t="s">
        <v>246</v>
      </c>
      <c r="J266" s="19" t="s">
        <v>217</v>
      </c>
      <c r="K266" s="18">
        <v>46070.528703703705</v>
      </c>
    </row>
    <row r="267" spans="1:11" x14ac:dyDescent="0.25">
      <c r="A267" s="16" t="s">
        <v>718</v>
      </c>
      <c r="B267" s="20">
        <v>46027</v>
      </c>
      <c r="C267" s="16">
        <v>1</v>
      </c>
      <c r="D267" s="19" t="s">
        <v>41</v>
      </c>
      <c r="E267" s="19" t="s">
        <v>453</v>
      </c>
      <c r="G267" s="19">
        <v>1</v>
      </c>
      <c r="H267" s="19" t="s">
        <v>306</v>
      </c>
      <c r="I267" s="19" t="s">
        <v>246</v>
      </c>
      <c r="J267" s="19" t="s">
        <v>217</v>
      </c>
      <c r="K267" s="18">
        <v>46070.529363425929</v>
      </c>
    </row>
    <row r="268" spans="1:11" x14ac:dyDescent="0.25">
      <c r="A268" s="16" t="s">
        <v>719</v>
      </c>
      <c r="B268" s="20">
        <v>46027</v>
      </c>
      <c r="C268" s="16">
        <v>1</v>
      </c>
      <c r="D268" s="19" t="s">
        <v>41</v>
      </c>
      <c r="E268" s="19" t="s">
        <v>453</v>
      </c>
      <c r="G268" s="19">
        <v>1</v>
      </c>
      <c r="H268" s="19" t="s">
        <v>306</v>
      </c>
      <c r="I268" s="19" t="s">
        <v>216</v>
      </c>
      <c r="J268" s="19" t="s">
        <v>217</v>
      </c>
      <c r="K268" s="18">
        <v>46070.529490740744</v>
      </c>
    </row>
    <row r="269" spans="1:11" x14ac:dyDescent="0.25">
      <c r="A269" s="16" t="s">
        <v>720</v>
      </c>
      <c r="B269" s="20">
        <v>46028</v>
      </c>
      <c r="C269" s="16">
        <v>1</v>
      </c>
      <c r="D269" s="19" t="s">
        <v>41</v>
      </c>
      <c r="E269" s="19" t="s">
        <v>453</v>
      </c>
      <c r="G269" s="19">
        <v>0</v>
      </c>
      <c r="H269" s="19" t="s">
        <v>306</v>
      </c>
      <c r="I269" s="19" t="s">
        <v>246</v>
      </c>
      <c r="J269" s="19" t="s">
        <v>217</v>
      </c>
      <c r="K269" s="18">
        <v>46070.529745370368</v>
      </c>
    </row>
    <row r="270" spans="1:11" x14ac:dyDescent="0.25">
      <c r="A270" s="16" t="s">
        <v>721</v>
      </c>
      <c r="B270" s="20">
        <v>46028</v>
      </c>
      <c r="C270" s="16">
        <v>1</v>
      </c>
      <c r="D270" s="19" t="s">
        <v>41</v>
      </c>
      <c r="E270" s="19" t="s">
        <v>453</v>
      </c>
      <c r="G270" s="19">
        <v>0</v>
      </c>
      <c r="H270" s="19" t="s">
        <v>306</v>
      </c>
      <c r="I270" s="19" t="s">
        <v>246</v>
      </c>
      <c r="J270" s="19" t="s">
        <v>217</v>
      </c>
      <c r="K270" s="18">
        <v>46070.529895833337</v>
      </c>
    </row>
    <row r="271" spans="1:11" x14ac:dyDescent="0.25">
      <c r="A271" s="16" t="s">
        <v>722</v>
      </c>
      <c r="B271" s="20">
        <v>46028</v>
      </c>
      <c r="C271" s="16">
        <v>1</v>
      </c>
      <c r="D271" s="19" t="s">
        <v>41</v>
      </c>
      <c r="E271" s="19" t="s">
        <v>453</v>
      </c>
      <c r="G271" s="19">
        <v>0</v>
      </c>
      <c r="H271" s="19" t="s">
        <v>306</v>
      </c>
      <c r="I271" s="19" t="s">
        <v>246</v>
      </c>
      <c r="J271" s="19" t="s">
        <v>217</v>
      </c>
      <c r="K271" s="18">
        <v>46070.530057870368</v>
      </c>
    </row>
    <row r="272" spans="1:11" x14ac:dyDescent="0.25">
      <c r="A272" s="16" t="s">
        <v>723</v>
      </c>
      <c r="B272" s="20">
        <v>46028</v>
      </c>
      <c r="C272" s="16">
        <v>1</v>
      </c>
      <c r="D272" s="19" t="s">
        <v>41</v>
      </c>
      <c r="E272" s="19" t="s">
        <v>453</v>
      </c>
      <c r="G272" s="19">
        <v>0</v>
      </c>
      <c r="H272" s="19" t="s">
        <v>306</v>
      </c>
      <c r="I272" s="19" t="s">
        <v>216</v>
      </c>
      <c r="J272" s="19" t="s">
        <v>217</v>
      </c>
      <c r="K272" s="18">
        <v>46070.530185185184</v>
      </c>
    </row>
    <row r="273" spans="1:11" x14ac:dyDescent="0.25">
      <c r="A273" s="16" t="s">
        <v>724</v>
      </c>
      <c r="B273" s="20">
        <v>46029</v>
      </c>
      <c r="C273" s="16">
        <v>1</v>
      </c>
      <c r="D273" s="19" t="s">
        <v>41</v>
      </c>
      <c r="E273" s="19" t="s">
        <v>453</v>
      </c>
      <c r="G273" s="19">
        <v>0</v>
      </c>
      <c r="H273" s="19" t="s">
        <v>306</v>
      </c>
      <c r="I273" s="19" t="s">
        <v>216</v>
      </c>
      <c r="J273" s="19" t="s">
        <v>217</v>
      </c>
      <c r="K273" s="18">
        <v>46070.53052083333</v>
      </c>
    </row>
    <row r="274" spans="1:11" x14ac:dyDescent="0.25">
      <c r="A274" s="16" t="s">
        <v>725</v>
      </c>
      <c r="B274" s="20">
        <v>46029</v>
      </c>
      <c r="C274" s="16">
        <v>1</v>
      </c>
      <c r="D274" s="19" t="s">
        <v>41</v>
      </c>
      <c r="E274" s="19" t="s">
        <v>453</v>
      </c>
      <c r="G274" s="19">
        <v>0</v>
      </c>
      <c r="H274" s="19" t="s">
        <v>306</v>
      </c>
      <c r="I274" s="19" t="s">
        <v>216</v>
      </c>
      <c r="J274" s="19" t="s">
        <v>217</v>
      </c>
      <c r="K274" s="18">
        <v>46070.530648148146</v>
      </c>
    </row>
    <row r="275" spans="1:11" x14ac:dyDescent="0.25">
      <c r="A275" s="16" t="s">
        <v>726</v>
      </c>
      <c r="B275" s="20">
        <v>46029</v>
      </c>
      <c r="C275" s="16">
        <v>1</v>
      </c>
      <c r="D275" s="19" t="s">
        <v>41</v>
      </c>
      <c r="E275" s="19" t="s">
        <v>453</v>
      </c>
      <c r="G275" s="19">
        <v>1</v>
      </c>
      <c r="H275" s="19" t="s">
        <v>306</v>
      </c>
      <c r="I275" s="19" t="s">
        <v>246</v>
      </c>
      <c r="J275" s="19" t="s">
        <v>217</v>
      </c>
      <c r="K275" s="18">
        <v>46070.530844907407</v>
      </c>
    </row>
    <row r="276" spans="1:11" x14ac:dyDescent="0.25">
      <c r="A276" s="16" t="s">
        <v>727</v>
      </c>
      <c r="B276" s="20">
        <v>46029</v>
      </c>
      <c r="C276" s="16">
        <v>1</v>
      </c>
      <c r="D276" s="19" t="s">
        <v>41</v>
      </c>
      <c r="E276" s="19" t="s">
        <v>453</v>
      </c>
      <c r="G276" s="19">
        <v>0</v>
      </c>
      <c r="H276" s="19" t="s">
        <v>306</v>
      </c>
      <c r="I276" s="19" t="s">
        <v>246</v>
      </c>
      <c r="J276" s="19" t="s">
        <v>217</v>
      </c>
      <c r="K276" s="18">
        <v>46070.531539351854</v>
      </c>
    </row>
    <row r="277" spans="1:11" x14ac:dyDescent="0.25">
      <c r="A277" s="16" t="s">
        <v>728</v>
      </c>
      <c r="B277" s="20">
        <v>46030</v>
      </c>
      <c r="C277" s="16">
        <v>1</v>
      </c>
      <c r="D277" s="19" t="s">
        <v>41</v>
      </c>
      <c r="E277" s="19" t="s">
        <v>453</v>
      </c>
      <c r="G277" s="19">
        <v>0</v>
      </c>
      <c r="H277" s="19" t="s">
        <v>306</v>
      </c>
      <c r="I277" s="19" t="s">
        <v>216</v>
      </c>
      <c r="J277" s="19" t="s">
        <v>217</v>
      </c>
      <c r="K277" s="18">
        <v>46070.531805555554</v>
      </c>
    </row>
    <row r="278" spans="1:11" x14ac:dyDescent="0.25">
      <c r="A278" s="16" t="s">
        <v>729</v>
      </c>
      <c r="B278" s="20">
        <v>46030</v>
      </c>
      <c r="C278" s="16">
        <v>1</v>
      </c>
      <c r="D278" s="19" t="s">
        <v>41</v>
      </c>
      <c r="E278" s="19" t="s">
        <v>453</v>
      </c>
      <c r="G278" s="19">
        <v>0</v>
      </c>
      <c r="H278" s="19" t="s">
        <v>306</v>
      </c>
      <c r="I278" s="19" t="s">
        <v>216</v>
      </c>
      <c r="J278" s="19" t="s">
        <v>217</v>
      </c>
      <c r="K278" s="18">
        <v>46070.531909722224</v>
      </c>
    </row>
    <row r="279" spans="1:11" x14ac:dyDescent="0.25">
      <c r="A279" s="16" t="s">
        <v>730</v>
      </c>
      <c r="B279" s="20">
        <v>46031</v>
      </c>
      <c r="C279" s="16">
        <v>1</v>
      </c>
      <c r="D279" s="19" t="s">
        <v>41</v>
      </c>
      <c r="E279" s="19" t="s">
        <v>453</v>
      </c>
      <c r="G279" s="19">
        <v>0</v>
      </c>
      <c r="H279" s="19" t="s">
        <v>306</v>
      </c>
      <c r="I279" s="19" t="s">
        <v>246</v>
      </c>
      <c r="J279" s="19" t="s">
        <v>217</v>
      </c>
      <c r="K279" s="18">
        <v>46070.532106481478</v>
      </c>
    </row>
    <row r="280" spans="1:11" x14ac:dyDescent="0.25">
      <c r="A280" s="16" t="s">
        <v>731</v>
      </c>
      <c r="B280" s="20">
        <v>46031</v>
      </c>
      <c r="C280" s="16">
        <v>1</v>
      </c>
      <c r="D280" s="19" t="s">
        <v>41</v>
      </c>
      <c r="E280" s="19" t="s">
        <v>453</v>
      </c>
      <c r="G280" s="19">
        <v>2</v>
      </c>
      <c r="H280" s="19" t="s">
        <v>306</v>
      </c>
      <c r="I280" s="19" t="s">
        <v>216</v>
      </c>
      <c r="J280" s="19" t="s">
        <v>217</v>
      </c>
      <c r="K280" s="18">
        <v>46070.53229166667</v>
      </c>
    </row>
    <row r="281" spans="1:11" x14ac:dyDescent="0.25">
      <c r="A281" s="16" t="s">
        <v>732</v>
      </c>
      <c r="B281" s="20">
        <v>46032</v>
      </c>
      <c r="C281" s="16">
        <v>1</v>
      </c>
      <c r="D281" s="19" t="s">
        <v>41</v>
      </c>
      <c r="E281" s="19" t="s">
        <v>453</v>
      </c>
      <c r="G281" s="19">
        <v>2</v>
      </c>
      <c r="H281" s="19" t="s">
        <v>306</v>
      </c>
      <c r="I281" s="19" t="s">
        <v>246</v>
      </c>
      <c r="J281" s="19" t="s">
        <v>217</v>
      </c>
      <c r="K281" s="18">
        <v>46070.532546296294</v>
      </c>
    </row>
    <row r="282" spans="1:11" x14ac:dyDescent="0.25">
      <c r="A282" s="16" t="s">
        <v>733</v>
      </c>
      <c r="B282" s="20">
        <v>46033</v>
      </c>
      <c r="C282" s="16">
        <v>1</v>
      </c>
      <c r="D282" s="19" t="s">
        <v>41</v>
      </c>
      <c r="E282" s="19" t="s">
        <v>453</v>
      </c>
      <c r="G282" s="19">
        <v>0</v>
      </c>
      <c r="H282" s="19" t="s">
        <v>306</v>
      </c>
      <c r="I282" s="19" t="s">
        <v>246</v>
      </c>
      <c r="J282" s="19" t="s">
        <v>217</v>
      </c>
      <c r="K282" s="18">
        <v>46070.532824074071</v>
      </c>
    </row>
    <row r="283" spans="1:11" x14ac:dyDescent="0.25">
      <c r="A283" s="16" t="s">
        <v>734</v>
      </c>
      <c r="B283" s="20">
        <v>46034</v>
      </c>
      <c r="C283" s="16">
        <v>1</v>
      </c>
      <c r="D283" s="19" t="s">
        <v>41</v>
      </c>
      <c r="E283" s="19" t="s">
        <v>453</v>
      </c>
      <c r="G283" s="19">
        <v>0</v>
      </c>
      <c r="H283" s="19" t="s">
        <v>306</v>
      </c>
      <c r="I283" s="19" t="s">
        <v>216</v>
      </c>
      <c r="J283" s="19" t="s">
        <v>217</v>
      </c>
      <c r="K283" s="18">
        <v>46070.533171296294</v>
      </c>
    </row>
    <row r="284" spans="1:11" x14ac:dyDescent="0.25">
      <c r="A284" s="16" t="s">
        <v>735</v>
      </c>
      <c r="B284" s="20">
        <v>46034</v>
      </c>
      <c r="C284" s="16">
        <v>1</v>
      </c>
      <c r="D284" s="19" t="s">
        <v>41</v>
      </c>
      <c r="E284" s="19" t="s">
        <v>453</v>
      </c>
      <c r="G284" s="19">
        <v>8</v>
      </c>
      <c r="H284" s="19" t="s">
        <v>306</v>
      </c>
      <c r="I284" s="19" t="s">
        <v>216</v>
      </c>
      <c r="J284" s="19" t="s">
        <v>217</v>
      </c>
      <c r="K284" s="18">
        <v>46070.533321759256</v>
      </c>
    </row>
    <row r="285" spans="1:11" x14ac:dyDescent="0.25">
      <c r="A285" s="16" t="s">
        <v>736</v>
      </c>
      <c r="B285" s="20">
        <v>46034</v>
      </c>
      <c r="C285" s="16">
        <v>1</v>
      </c>
      <c r="D285" s="19" t="s">
        <v>41</v>
      </c>
      <c r="E285" s="19" t="s">
        <v>453</v>
      </c>
      <c r="G285" s="19">
        <v>0</v>
      </c>
      <c r="H285" s="19" t="s">
        <v>306</v>
      </c>
      <c r="I285" s="19" t="s">
        <v>246</v>
      </c>
      <c r="J285" s="19" t="s">
        <v>217</v>
      </c>
      <c r="K285" s="18">
        <v>46070.533460648148</v>
      </c>
    </row>
    <row r="286" spans="1:11" x14ac:dyDescent="0.25">
      <c r="A286" s="16" t="s">
        <v>737</v>
      </c>
      <c r="B286" s="20">
        <v>46034</v>
      </c>
      <c r="C286" s="16">
        <v>1</v>
      </c>
      <c r="D286" s="19" t="s">
        <v>41</v>
      </c>
      <c r="E286" s="19" t="s">
        <v>453</v>
      </c>
      <c r="G286" s="19">
        <v>0</v>
      </c>
      <c r="H286" s="19" t="s">
        <v>306</v>
      </c>
      <c r="I286" s="19" t="s">
        <v>246</v>
      </c>
      <c r="J286" s="19" t="s">
        <v>217</v>
      </c>
      <c r="K286" s="18">
        <v>46070.533460648148</v>
      </c>
    </row>
    <row r="287" spans="1:11" x14ac:dyDescent="0.25">
      <c r="A287" s="16" t="s">
        <v>738</v>
      </c>
      <c r="B287" s="20">
        <v>46035</v>
      </c>
      <c r="C287" s="16">
        <v>1</v>
      </c>
      <c r="D287" s="19" t="s">
        <v>41</v>
      </c>
      <c r="E287" s="19" t="s">
        <v>453</v>
      </c>
      <c r="G287" s="19">
        <v>0</v>
      </c>
      <c r="H287" s="19" t="s">
        <v>306</v>
      </c>
      <c r="I287" s="19" t="s">
        <v>246</v>
      </c>
      <c r="J287" s="19" t="s">
        <v>217</v>
      </c>
      <c r="K287" s="18">
        <v>46070.533854166664</v>
      </c>
    </row>
    <row r="288" spans="1:11" x14ac:dyDescent="0.25">
      <c r="A288" s="16" t="s">
        <v>739</v>
      </c>
      <c r="B288" s="20">
        <v>46035</v>
      </c>
      <c r="C288" s="16">
        <v>1</v>
      </c>
      <c r="D288" s="19" t="s">
        <v>41</v>
      </c>
      <c r="E288" s="19" t="s">
        <v>453</v>
      </c>
      <c r="G288" s="19">
        <v>0</v>
      </c>
      <c r="H288" s="19" t="s">
        <v>306</v>
      </c>
      <c r="I288" s="19" t="s">
        <v>216</v>
      </c>
      <c r="J288" s="19" t="s">
        <v>217</v>
      </c>
      <c r="K288" s="18">
        <v>46070.533958333333</v>
      </c>
    </row>
    <row r="289" spans="1:11" x14ac:dyDescent="0.25">
      <c r="A289" s="16" t="s">
        <v>740</v>
      </c>
      <c r="B289" s="20">
        <v>46035</v>
      </c>
      <c r="C289" s="16">
        <v>1</v>
      </c>
      <c r="D289" s="19" t="s">
        <v>41</v>
      </c>
      <c r="E289" s="19" t="s">
        <v>453</v>
      </c>
      <c r="G289" s="19">
        <v>3</v>
      </c>
      <c r="H289" s="19" t="s">
        <v>306</v>
      </c>
      <c r="I289" s="19" t="s">
        <v>216</v>
      </c>
      <c r="J289" s="19" t="s">
        <v>217</v>
      </c>
      <c r="K289" s="18">
        <v>46070.534166666665</v>
      </c>
    </row>
    <row r="290" spans="1:11" x14ac:dyDescent="0.25">
      <c r="A290" s="16" t="s">
        <v>741</v>
      </c>
      <c r="B290" s="20">
        <v>46035</v>
      </c>
      <c r="C290" s="16">
        <v>1</v>
      </c>
      <c r="D290" s="19" t="s">
        <v>41</v>
      </c>
      <c r="E290" s="19" t="s">
        <v>453</v>
      </c>
      <c r="G290" s="19">
        <v>2</v>
      </c>
      <c r="H290" s="19" t="s">
        <v>306</v>
      </c>
      <c r="I290" s="19" t="s">
        <v>246</v>
      </c>
      <c r="J290" s="19" t="s">
        <v>217</v>
      </c>
      <c r="K290" s="18">
        <v>46070.534409722219</v>
      </c>
    </row>
    <row r="291" spans="1:11" x14ac:dyDescent="0.25">
      <c r="A291" s="16" t="s">
        <v>742</v>
      </c>
      <c r="B291" s="20">
        <v>46036</v>
      </c>
      <c r="C291" s="16">
        <v>1</v>
      </c>
      <c r="D291" s="19" t="s">
        <v>41</v>
      </c>
      <c r="E291" s="19" t="s">
        <v>453</v>
      </c>
      <c r="G291" s="19">
        <v>1</v>
      </c>
      <c r="H291" s="19" t="s">
        <v>306</v>
      </c>
      <c r="I291" s="19" t="s">
        <v>246</v>
      </c>
      <c r="J291" s="19" t="s">
        <v>217</v>
      </c>
      <c r="K291" s="18">
        <v>46070.534699074073</v>
      </c>
    </row>
    <row r="292" spans="1:11" x14ac:dyDescent="0.25">
      <c r="A292" s="16" t="s">
        <v>743</v>
      </c>
      <c r="B292" s="20">
        <v>46036</v>
      </c>
      <c r="C292" s="16">
        <v>1</v>
      </c>
      <c r="D292" s="19" t="s">
        <v>41</v>
      </c>
      <c r="E292" s="19" t="s">
        <v>453</v>
      </c>
      <c r="G292" s="19">
        <v>0</v>
      </c>
      <c r="H292" s="19" t="s">
        <v>306</v>
      </c>
      <c r="I292" s="19" t="s">
        <v>246</v>
      </c>
      <c r="J292" s="19" t="s">
        <v>217</v>
      </c>
      <c r="K292" s="18">
        <v>46070.534826388888</v>
      </c>
    </row>
    <row r="293" spans="1:11" x14ac:dyDescent="0.25">
      <c r="A293" s="16" t="s">
        <v>744</v>
      </c>
      <c r="B293" s="20">
        <v>46036</v>
      </c>
      <c r="C293" s="16">
        <v>1</v>
      </c>
      <c r="D293" s="19" t="s">
        <v>41</v>
      </c>
      <c r="E293" s="19" t="s">
        <v>453</v>
      </c>
      <c r="G293" s="19">
        <v>0</v>
      </c>
      <c r="H293" s="19" t="s">
        <v>306</v>
      </c>
      <c r="I293" s="19" t="s">
        <v>246</v>
      </c>
      <c r="J293" s="19" t="s">
        <v>217</v>
      </c>
      <c r="K293" s="18">
        <v>46070.534942129627</v>
      </c>
    </row>
    <row r="294" spans="1:11" x14ac:dyDescent="0.25">
      <c r="A294" s="16" t="s">
        <v>745</v>
      </c>
      <c r="B294" s="20">
        <v>46039</v>
      </c>
      <c r="C294" s="16">
        <v>1</v>
      </c>
      <c r="D294" s="19" t="s">
        <v>41</v>
      </c>
      <c r="E294" s="19" t="s">
        <v>453</v>
      </c>
      <c r="G294" s="19">
        <v>0</v>
      </c>
      <c r="H294" s="19" t="s">
        <v>306</v>
      </c>
      <c r="I294" s="19" t="s">
        <v>246</v>
      </c>
      <c r="J294" s="19" t="s">
        <v>217</v>
      </c>
      <c r="K294" s="18">
        <v>46070.535370370373</v>
      </c>
    </row>
    <row r="295" spans="1:11" x14ac:dyDescent="0.25">
      <c r="A295" s="16" t="s">
        <v>746</v>
      </c>
      <c r="B295" s="20">
        <v>46040</v>
      </c>
      <c r="C295" s="16">
        <v>1</v>
      </c>
      <c r="D295" s="19" t="s">
        <v>41</v>
      </c>
      <c r="E295" s="19" t="s">
        <v>453</v>
      </c>
      <c r="G295" s="19">
        <v>1</v>
      </c>
      <c r="H295" s="19" t="s">
        <v>306</v>
      </c>
      <c r="I295" s="19" t="s">
        <v>216</v>
      </c>
      <c r="J295" s="19" t="s">
        <v>217</v>
      </c>
      <c r="K295" s="18">
        <v>46070.535671296297</v>
      </c>
    </row>
    <row r="296" spans="1:11" x14ac:dyDescent="0.25">
      <c r="A296" s="16" t="s">
        <v>747</v>
      </c>
      <c r="B296" s="20">
        <v>46040</v>
      </c>
      <c r="C296" s="16">
        <v>1</v>
      </c>
      <c r="D296" s="19" t="s">
        <v>41</v>
      </c>
      <c r="E296" s="19" t="s">
        <v>453</v>
      </c>
      <c r="G296" s="19">
        <v>6</v>
      </c>
      <c r="H296" s="19" t="s">
        <v>306</v>
      </c>
      <c r="I296" s="19" t="s">
        <v>216</v>
      </c>
      <c r="J296" s="19" t="s">
        <v>217</v>
      </c>
      <c r="K296" s="18">
        <v>46070.535787037035</v>
      </c>
    </row>
    <row r="297" spans="1:11" x14ac:dyDescent="0.25">
      <c r="A297" s="16" t="s">
        <v>748</v>
      </c>
      <c r="B297" s="20">
        <v>46041</v>
      </c>
      <c r="C297" s="16">
        <v>1</v>
      </c>
      <c r="D297" s="19" t="s">
        <v>41</v>
      </c>
      <c r="E297" s="19" t="s">
        <v>453</v>
      </c>
      <c r="G297" s="19">
        <v>1</v>
      </c>
      <c r="H297" s="19" t="s">
        <v>306</v>
      </c>
      <c r="I297" s="19" t="s">
        <v>216</v>
      </c>
      <c r="J297" s="19" t="s">
        <v>217</v>
      </c>
      <c r="K297" s="18">
        <v>46070.536354166667</v>
      </c>
    </row>
    <row r="298" spans="1:11" x14ac:dyDescent="0.25">
      <c r="A298" s="16" t="s">
        <v>749</v>
      </c>
      <c r="B298" s="20">
        <v>46042</v>
      </c>
      <c r="C298" s="16">
        <v>1</v>
      </c>
      <c r="D298" s="19" t="s">
        <v>41</v>
      </c>
      <c r="E298" s="19" t="s">
        <v>453</v>
      </c>
      <c r="G298" s="19">
        <v>7</v>
      </c>
      <c r="H298" s="19" t="s">
        <v>306</v>
      </c>
      <c r="I298" s="19" t="s">
        <v>216</v>
      </c>
      <c r="J298" s="19" t="s">
        <v>217</v>
      </c>
      <c r="K298" s="18">
        <v>46070.538402777776</v>
      </c>
    </row>
    <row r="299" spans="1:11" x14ac:dyDescent="0.25">
      <c r="A299" s="16" t="s">
        <v>750</v>
      </c>
      <c r="B299" s="20">
        <v>46043</v>
      </c>
      <c r="C299" s="16">
        <v>1</v>
      </c>
      <c r="D299" s="19" t="s">
        <v>41</v>
      </c>
      <c r="E299" s="19" t="s">
        <v>453</v>
      </c>
      <c r="G299" s="19">
        <v>0</v>
      </c>
      <c r="H299" s="19" t="s">
        <v>306</v>
      </c>
      <c r="I299" s="19" t="s">
        <v>246</v>
      </c>
      <c r="J299" s="19" t="s">
        <v>217</v>
      </c>
      <c r="K299" s="18">
        <v>46070.539004629631</v>
      </c>
    </row>
    <row r="300" spans="1:11" x14ac:dyDescent="0.25">
      <c r="A300" s="16" t="s">
        <v>751</v>
      </c>
      <c r="B300" s="20">
        <v>46044</v>
      </c>
      <c r="C300" s="16">
        <v>1</v>
      </c>
      <c r="D300" s="19" t="s">
        <v>41</v>
      </c>
      <c r="E300" s="19" t="s">
        <v>453</v>
      </c>
      <c r="G300" s="19">
        <v>7</v>
      </c>
      <c r="H300" s="19" t="s">
        <v>306</v>
      </c>
      <c r="I300" s="19" t="s">
        <v>246</v>
      </c>
      <c r="J300" s="19" t="s">
        <v>217</v>
      </c>
      <c r="K300" s="18">
        <v>46070.539699074077</v>
      </c>
    </row>
    <row r="301" spans="1:11" x14ac:dyDescent="0.25">
      <c r="A301" s="16" t="s">
        <v>752</v>
      </c>
      <c r="B301" s="20">
        <v>46044</v>
      </c>
      <c r="C301" s="16">
        <v>1</v>
      </c>
      <c r="D301" s="19" t="s">
        <v>41</v>
      </c>
      <c r="E301" s="19" t="s">
        <v>453</v>
      </c>
      <c r="G301" s="19">
        <v>0</v>
      </c>
      <c r="H301" s="19" t="s">
        <v>306</v>
      </c>
      <c r="I301" s="19" t="s">
        <v>246</v>
      </c>
      <c r="J301" s="19" t="s">
        <v>217</v>
      </c>
      <c r="K301" s="18">
        <v>46070.539930555555</v>
      </c>
    </row>
    <row r="302" spans="1:11" x14ac:dyDescent="0.25">
      <c r="A302" s="16" t="s">
        <v>753</v>
      </c>
      <c r="B302" s="20">
        <v>46044</v>
      </c>
      <c r="C302" s="16">
        <v>1</v>
      </c>
      <c r="D302" s="19" t="s">
        <v>41</v>
      </c>
      <c r="E302" s="19" t="s">
        <v>453</v>
      </c>
      <c r="G302" s="19">
        <v>7</v>
      </c>
      <c r="H302" s="19" t="s">
        <v>306</v>
      </c>
      <c r="I302" s="19" t="s">
        <v>246</v>
      </c>
      <c r="J302" s="19" t="s">
        <v>217</v>
      </c>
      <c r="K302" s="18">
        <v>46070.54011574074</v>
      </c>
    </row>
    <row r="303" spans="1:11" x14ac:dyDescent="0.25">
      <c r="A303" s="16" t="s">
        <v>754</v>
      </c>
      <c r="B303" s="20">
        <v>46044</v>
      </c>
      <c r="C303" s="16">
        <v>1</v>
      </c>
      <c r="D303" s="19" t="s">
        <v>41</v>
      </c>
      <c r="E303" s="19" t="s">
        <v>453</v>
      </c>
      <c r="G303" s="19">
        <v>7</v>
      </c>
      <c r="H303" s="19" t="s">
        <v>306</v>
      </c>
      <c r="I303" s="19" t="s">
        <v>246</v>
      </c>
      <c r="J303" s="19" t="s">
        <v>217</v>
      </c>
      <c r="K303" s="18">
        <v>46070.540277777778</v>
      </c>
    </row>
    <row r="304" spans="1:11" x14ac:dyDescent="0.25">
      <c r="A304" s="16" t="s">
        <v>755</v>
      </c>
      <c r="B304" s="20">
        <v>46045</v>
      </c>
      <c r="C304" s="16">
        <v>1</v>
      </c>
      <c r="D304" s="19" t="s">
        <v>41</v>
      </c>
      <c r="E304" s="19" t="s">
        <v>453</v>
      </c>
      <c r="G304" s="19">
        <v>10</v>
      </c>
      <c r="H304" s="19" t="s">
        <v>306</v>
      </c>
      <c r="I304" s="19" t="s">
        <v>246</v>
      </c>
      <c r="J304" s="19" t="s">
        <v>217</v>
      </c>
      <c r="K304" s="18">
        <v>46070.540555555555</v>
      </c>
    </row>
    <row r="305" spans="1:11" x14ac:dyDescent="0.25">
      <c r="A305" s="16" t="s">
        <v>756</v>
      </c>
      <c r="B305" s="20">
        <v>46045</v>
      </c>
      <c r="C305" s="16">
        <v>1</v>
      </c>
      <c r="D305" s="19" t="s">
        <v>41</v>
      </c>
      <c r="E305" s="19" t="s">
        <v>453</v>
      </c>
      <c r="G305" s="19">
        <v>10</v>
      </c>
      <c r="H305" s="19" t="s">
        <v>306</v>
      </c>
      <c r="I305" s="19" t="s">
        <v>246</v>
      </c>
      <c r="J305" s="19" t="s">
        <v>217</v>
      </c>
      <c r="K305" s="18">
        <v>46070.540717592594</v>
      </c>
    </row>
    <row r="306" spans="1:11" x14ac:dyDescent="0.25">
      <c r="A306" s="16" t="s">
        <v>757</v>
      </c>
      <c r="B306" s="20">
        <v>46048</v>
      </c>
      <c r="C306" s="16">
        <v>1</v>
      </c>
      <c r="D306" s="19" t="s">
        <v>41</v>
      </c>
      <c r="E306" s="19" t="s">
        <v>453</v>
      </c>
      <c r="G306" s="19">
        <v>1</v>
      </c>
      <c r="H306" s="19" t="s">
        <v>427</v>
      </c>
      <c r="I306" s="19" t="s">
        <v>216</v>
      </c>
      <c r="J306" s="19" t="s">
        <v>217</v>
      </c>
      <c r="K306" s="18">
        <v>46070.54210648148</v>
      </c>
    </row>
    <row r="307" spans="1:11" x14ac:dyDescent="0.25">
      <c r="A307" s="16" t="s">
        <v>758</v>
      </c>
      <c r="B307" s="20">
        <v>46048</v>
      </c>
      <c r="C307" s="16">
        <v>1</v>
      </c>
      <c r="D307" s="19" t="s">
        <v>41</v>
      </c>
      <c r="E307" s="19" t="s">
        <v>453</v>
      </c>
      <c r="G307" s="19">
        <v>12</v>
      </c>
      <c r="H307" s="19" t="s">
        <v>306</v>
      </c>
      <c r="I307" s="19" t="s">
        <v>246</v>
      </c>
      <c r="J307" s="19" t="s">
        <v>217</v>
      </c>
      <c r="K307" s="18">
        <v>46070.542291666665</v>
      </c>
    </row>
    <row r="308" spans="1:11" x14ac:dyDescent="0.25">
      <c r="A308" s="16" t="s">
        <v>759</v>
      </c>
      <c r="B308" s="20">
        <v>46049</v>
      </c>
      <c r="C308" s="16">
        <v>1</v>
      </c>
      <c r="D308" s="19" t="s">
        <v>41</v>
      </c>
      <c r="E308" s="19" t="s">
        <v>453</v>
      </c>
      <c r="G308" s="19">
        <v>0</v>
      </c>
      <c r="H308" s="19" t="s">
        <v>306</v>
      </c>
      <c r="I308" s="19" t="s">
        <v>216</v>
      </c>
      <c r="J308" s="19" t="s">
        <v>217</v>
      </c>
      <c r="K308" s="18">
        <v>46070.542916666665</v>
      </c>
    </row>
    <row r="309" spans="1:11" x14ac:dyDescent="0.25">
      <c r="A309" s="16" t="s">
        <v>760</v>
      </c>
      <c r="B309" s="20">
        <v>46049</v>
      </c>
      <c r="C309" s="16">
        <v>1</v>
      </c>
      <c r="D309" s="19" t="s">
        <v>41</v>
      </c>
      <c r="E309" s="19" t="s">
        <v>453</v>
      </c>
      <c r="G309" s="19">
        <v>0</v>
      </c>
      <c r="H309" s="19" t="s">
        <v>306</v>
      </c>
      <c r="I309" s="19" t="s">
        <v>216</v>
      </c>
      <c r="J309" s="19" t="s">
        <v>217</v>
      </c>
      <c r="K309" s="18">
        <v>46070.543055555558</v>
      </c>
    </row>
    <row r="310" spans="1:11" x14ac:dyDescent="0.25">
      <c r="A310" s="16" t="s">
        <v>761</v>
      </c>
      <c r="B310" s="20">
        <v>46049</v>
      </c>
      <c r="C310" s="16">
        <v>1</v>
      </c>
      <c r="D310" s="19" t="s">
        <v>41</v>
      </c>
      <c r="E310" s="19" t="s">
        <v>453</v>
      </c>
      <c r="G310" s="19">
        <v>0</v>
      </c>
      <c r="H310" s="19" t="s">
        <v>306</v>
      </c>
      <c r="I310" s="19" t="s">
        <v>216</v>
      </c>
      <c r="J310" s="19" t="s">
        <v>217</v>
      </c>
      <c r="K310" s="18">
        <v>46070.543194444443</v>
      </c>
    </row>
    <row r="311" spans="1:11" x14ac:dyDescent="0.25">
      <c r="A311" s="16" t="s">
        <v>762</v>
      </c>
      <c r="B311" s="20">
        <v>46050</v>
      </c>
      <c r="C311" s="16">
        <v>1</v>
      </c>
      <c r="D311" s="19" t="s">
        <v>41</v>
      </c>
      <c r="E311" s="19" t="s">
        <v>453</v>
      </c>
      <c r="G311" s="19">
        <v>0</v>
      </c>
      <c r="H311" s="19" t="s">
        <v>215</v>
      </c>
      <c r="I311" s="19" t="s">
        <v>216</v>
      </c>
      <c r="J311" s="19" t="s">
        <v>217</v>
      </c>
      <c r="K311" s="18">
        <v>46070.545104166667</v>
      </c>
    </row>
    <row r="312" spans="1:11" x14ac:dyDescent="0.25">
      <c r="A312" s="16" t="s">
        <v>763</v>
      </c>
      <c r="B312" s="20">
        <v>46052</v>
      </c>
      <c r="C312" s="16">
        <v>1</v>
      </c>
      <c r="D312" s="19" t="s">
        <v>41</v>
      </c>
      <c r="E312" s="19" t="s">
        <v>453</v>
      </c>
      <c r="G312" s="19">
        <v>8</v>
      </c>
      <c r="H312" s="19" t="s">
        <v>306</v>
      </c>
      <c r="I312" s="19" t="s">
        <v>246</v>
      </c>
      <c r="J312" s="19" t="s">
        <v>217</v>
      </c>
      <c r="K312" s="18">
        <v>46070.546886574077</v>
      </c>
    </row>
    <row r="313" spans="1:11" x14ac:dyDescent="0.25">
      <c r="A313" s="16" t="s">
        <v>764</v>
      </c>
      <c r="B313" s="20">
        <v>46023</v>
      </c>
      <c r="C313" s="16">
        <v>1</v>
      </c>
      <c r="D313" s="19" t="s">
        <v>43</v>
      </c>
      <c r="E313" s="19" t="s">
        <v>453</v>
      </c>
      <c r="G313" s="19">
        <v>33</v>
      </c>
      <c r="H313" s="19" t="s">
        <v>215</v>
      </c>
      <c r="I313" s="19" t="s">
        <v>246</v>
      </c>
      <c r="J313" s="19" t="s">
        <v>217</v>
      </c>
      <c r="K313" s="18">
        <v>46070.680254629631</v>
      </c>
    </row>
    <row r="314" spans="1:11" x14ac:dyDescent="0.25">
      <c r="A314" s="16" t="s">
        <v>765</v>
      </c>
      <c r="B314" s="20">
        <v>46023</v>
      </c>
      <c r="C314" s="16">
        <v>1</v>
      </c>
      <c r="D314" s="19" t="s">
        <v>43</v>
      </c>
      <c r="E314" s="19" t="s">
        <v>453</v>
      </c>
      <c r="G314" s="19">
        <v>40</v>
      </c>
      <c r="H314" s="19" t="s">
        <v>215</v>
      </c>
      <c r="I314" s="19" t="s">
        <v>246</v>
      </c>
      <c r="J314" s="19" t="s">
        <v>217</v>
      </c>
      <c r="K314" s="18">
        <v>46070.680277777778</v>
      </c>
    </row>
    <row r="315" spans="1:11" x14ac:dyDescent="0.25">
      <c r="A315" s="16" t="s">
        <v>766</v>
      </c>
      <c r="B315" s="20">
        <v>46023</v>
      </c>
      <c r="C315" s="16">
        <v>1</v>
      </c>
      <c r="D315" s="19" t="s">
        <v>43</v>
      </c>
      <c r="E315" s="19" t="s">
        <v>453</v>
      </c>
      <c r="G315" s="19">
        <v>34</v>
      </c>
      <c r="H315" s="19" t="s">
        <v>215</v>
      </c>
      <c r="I315" s="19" t="s">
        <v>246</v>
      </c>
      <c r="J315" s="19" t="s">
        <v>217</v>
      </c>
      <c r="K315" s="18">
        <v>46070.680324074077</v>
      </c>
    </row>
    <row r="316" spans="1:11" x14ac:dyDescent="0.25">
      <c r="A316" s="16" t="s">
        <v>767</v>
      </c>
      <c r="B316" s="20">
        <v>46024</v>
      </c>
      <c r="C316" s="16">
        <v>1</v>
      </c>
      <c r="D316" s="19" t="s">
        <v>43</v>
      </c>
      <c r="E316" s="19" t="s">
        <v>453</v>
      </c>
      <c r="G316" s="19">
        <v>66</v>
      </c>
      <c r="H316" s="19" t="s">
        <v>215</v>
      </c>
      <c r="I316" s="19" t="s">
        <v>216</v>
      </c>
      <c r="J316" s="19" t="s">
        <v>217</v>
      </c>
      <c r="K316" s="18">
        <v>46071.382939814815</v>
      </c>
    </row>
    <row r="317" spans="1:11" x14ac:dyDescent="0.25">
      <c r="A317" s="16" t="s">
        <v>768</v>
      </c>
      <c r="B317" s="20">
        <v>46024</v>
      </c>
      <c r="C317" s="16">
        <v>1</v>
      </c>
      <c r="D317" s="19" t="s">
        <v>43</v>
      </c>
      <c r="E317" s="19" t="s">
        <v>453</v>
      </c>
      <c r="G317" s="19">
        <v>45</v>
      </c>
      <c r="H317" s="19" t="s">
        <v>215</v>
      </c>
      <c r="I317" s="19" t="s">
        <v>246</v>
      </c>
      <c r="J317" s="19" t="s">
        <v>217</v>
      </c>
      <c r="K317" s="18">
        <v>46071.383206018516</v>
      </c>
    </row>
    <row r="318" spans="1:11" x14ac:dyDescent="0.25">
      <c r="A318" s="16" t="s">
        <v>769</v>
      </c>
      <c r="B318" s="20">
        <v>46024</v>
      </c>
      <c r="C318" s="16">
        <v>1</v>
      </c>
      <c r="D318" s="19" t="s">
        <v>43</v>
      </c>
      <c r="E318" s="19" t="s">
        <v>453</v>
      </c>
      <c r="G318" s="19">
        <v>35</v>
      </c>
      <c r="H318" s="19" t="s">
        <v>215</v>
      </c>
      <c r="I318" s="19" t="s">
        <v>246</v>
      </c>
      <c r="J318" s="19" t="s">
        <v>217</v>
      </c>
      <c r="K318" s="18">
        <v>46071.383252314816</v>
      </c>
    </row>
    <row r="319" spans="1:11" x14ac:dyDescent="0.25">
      <c r="A319" s="16" t="s">
        <v>770</v>
      </c>
      <c r="B319" s="20">
        <v>46024</v>
      </c>
      <c r="C319" s="16">
        <v>1</v>
      </c>
      <c r="D319" s="19" t="s">
        <v>43</v>
      </c>
      <c r="E319" s="19" t="s">
        <v>453</v>
      </c>
      <c r="G319" s="19">
        <v>18</v>
      </c>
      <c r="H319" s="19" t="s">
        <v>215</v>
      </c>
      <c r="I319" s="19" t="s">
        <v>246</v>
      </c>
      <c r="J319" s="19" t="s">
        <v>217</v>
      </c>
      <c r="K319" s="18">
        <v>46071.383263888885</v>
      </c>
    </row>
    <row r="320" spans="1:11" x14ac:dyDescent="0.25">
      <c r="A320" s="16" t="s">
        <v>771</v>
      </c>
      <c r="B320" s="20">
        <v>46024</v>
      </c>
      <c r="C320" s="16">
        <v>1</v>
      </c>
      <c r="D320" s="19" t="s">
        <v>43</v>
      </c>
      <c r="E320" s="19" t="s">
        <v>453</v>
      </c>
      <c r="G320" s="19">
        <v>43</v>
      </c>
      <c r="H320" s="19" t="s">
        <v>215</v>
      </c>
      <c r="I320" s="19" t="s">
        <v>246</v>
      </c>
      <c r="J320" s="19" t="s">
        <v>217</v>
      </c>
      <c r="K320" s="18">
        <v>46071.383298611108</v>
      </c>
    </row>
    <row r="321" spans="1:11" x14ac:dyDescent="0.25">
      <c r="A321" s="16" t="s">
        <v>772</v>
      </c>
      <c r="B321" s="20">
        <v>46025</v>
      </c>
      <c r="C321" s="16">
        <v>1</v>
      </c>
      <c r="D321" s="19" t="s">
        <v>43</v>
      </c>
      <c r="E321" s="19" t="s">
        <v>453</v>
      </c>
      <c r="G321" s="19">
        <v>41</v>
      </c>
      <c r="H321" s="19" t="s">
        <v>215</v>
      </c>
      <c r="I321" s="19" t="s">
        <v>246</v>
      </c>
      <c r="J321" s="19" t="s">
        <v>217</v>
      </c>
      <c r="K321" s="18">
        <v>46071.384918981479</v>
      </c>
    </row>
    <row r="322" spans="1:11" x14ac:dyDescent="0.25">
      <c r="A322" s="16" t="s">
        <v>773</v>
      </c>
      <c r="B322" s="20">
        <v>46025</v>
      </c>
      <c r="C322" s="16">
        <v>1</v>
      </c>
      <c r="D322" s="19" t="s">
        <v>43</v>
      </c>
      <c r="E322" s="19" t="s">
        <v>453</v>
      </c>
      <c r="G322" s="19">
        <v>24</v>
      </c>
      <c r="H322" s="19" t="s">
        <v>215</v>
      </c>
      <c r="I322" s="19" t="s">
        <v>246</v>
      </c>
      <c r="J322" s="19" t="s">
        <v>217</v>
      </c>
      <c r="K322" s="18">
        <v>46071.384988425925</v>
      </c>
    </row>
    <row r="323" spans="1:11" x14ac:dyDescent="0.25">
      <c r="A323" s="16" t="s">
        <v>774</v>
      </c>
      <c r="B323" s="20">
        <v>46025</v>
      </c>
      <c r="C323" s="16">
        <v>1</v>
      </c>
      <c r="D323" s="19" t="s">
        <v>43</v>
      </c>
      <c r="E323" s="19" t="s">
        <v>453</v>
      </c>
      <c r="G323" s="19">
        <v>22</v>
      </c>
      <c r="H323" s="19" t="s">
        <v>215</v>
      </c>
      <c r="I323" s="19" t="s">
        <v>246</v>
      </c>
      <c r="J323" s="19" t="s">
        <v>217</v>
      </c>
      <c r="K323" s="18">
        <v>46071.385023148148</v>
      </c>
    </row>
    <row r="324" spans="1:11" x14ac:dyDescent="0.25">
      <c r="A324" s="16" t="s">
        <v>775</v>
      </c>
      <c r="B324" s="20">
        <v>46025</v>
      </c>
      <c r="C324" s="16">
        <v>1</v>
      </c>
      <c r="D324" s="19" t="s">
        <v>43</v>
      </c>
      <c r="E324" s="19" t="s">
        <v>453</v>
      </c>
      <c r="G324" s="19">
        <v>17</v>
      </c>
      <c r="H324" s="19" t="s">
        <v>215</v>
      </c>
      <c r="I324" s="19" t="s">
        <v>246</v>
      </c>
      <c r="J324" s="19" t="s">
        <v>217</v>
      </c>
      <c r="K324" s="18">
        <v>46071.385081018518</v>
      </c>
    </row>
    <row r="325" spans="1:11" x14ac:dyDescent="0.25">
      <c r="A325" s="16" t="s">
        <v>776</v>
      </c>
      <c r="B325" s="20">
        <v>46025</v>
      </c>
      <c r="C325" s="16">
        <v>1</v>
      </c>
      <c r="D325" s="19" t="s">
        <v>43</v>
      </c>
      <c r="E325" s="19" t="s">
        <v>453</v>
      </c>
      <c r="G325" s="19">
        <v>40</v>
      </c>
      <c r="H325" s="19" t="s">
        <v>215</v>
      </c>
      <c r="I325" s="19" t="s">
        <v>246</v>
      </c>
      <c r="J325" s="19" t="s">
        <v>217</v>
      </c>
      <c r="K325" s="18">
        <v>46071.385150462964</v>
      </c>
    </row>
    <row r="326" spans="1:11" x14ac:dyDescent="0.25">
      <c r="A326" s="16" t="s">
        <v>777</v>
      </c>
      <c r="B326" s="20">
        <v>46026</v>
      </c>
      <c r="C326" s="16">
        <v>1</v>
      </c>
      <c r="D326" s="19" t="s">
        <v>43</v>
      </c>
      <c r="E326" s="19" t="s">
        <v>453</v>
      </c>
      <c r="G326" s="19">
        <v>58</v>
      </c>
      <c r="H326" s="19" t="s">
        <v>215</v>
      </c>
      <c r="I326" s="19" t="s">
        <v>246</v>
      </c>
      <c r="J326" s="19" t="s">
        <v>217</v>
      </c>
      <c r="K326" s="18">
        <v>46071.385474537034</v>
      </c>
    </row>
    <row r="327" spans="1:11" x14ac:dyDescent="0.25">
      <c r="A327" s="16" t="s">
        <v>778</v>
      </c>
      <c r="B327" s="20">
        <v>46026</v>
      </c>
      <c r="C327" s="16">
        <v>1</v>
      </c>
      <c r="D327" s="19" t="s">
        <v>43</v>
      </c>
      <c r="E327" s="19" t="s">
        <v>453</v>
      </c>
      <c r="G327" s="19">
        <v>72</v>
      </c>
      <c r="H327" s="19" t="s">
        <v>215</v>
      </c>
      <c r="I327" s="19" t="s">
        <v>246</v>
      </c>
      <c r="J327" s="19" t="s">
        <v>217</v>
      </c>
      <c r="K327" s="18">
        <v>46071.38548611111</v>
      </c>
    </row>
    <row r="328" spans="1:11" x14ac:dyDescent="0.25">
      <c r="A328" s="16" t="s">
        <v>779</v>
      </c>
      <c r="B328" s="20">
        <v>46026</v>
      </c>
      <c r="C328" s="16">
        <v>1</v>
      </c>
      <c r="D328" s="19" t="s">
        <v>43</v>
      </c>
      <c r="E328" s="19" t="s">
        <v>453</v>
      </c>
      <c r="G328" s="19">
        <v>15</v>
      </c>
      <c r="H328" s="19" t="s">
        <v>215</v>
      </c>
      <c r="I328" s="19" t="s">
        <v>246</v>
      </c>
      <c r="J328" s="19" t="s">
        <v>217</v>
      </c>
      <c r="K328" s="18">
        <v>46071.385497685187</v>
      </c>
    </row>
    <row r="329" spans="1:11" x14ac:dyDescent="0.25">
      <c r="A329" s="16" t="s">
        <v>780</v>
      </c>
      <c r="B329" s="20">
        <v>46026</v>
      </c>
      <c r="C329" s="16">
        <v>1</v>
      </c>
      <c r="D329" s="19" t="s">
        <v>43</v>
      </c>
      <c r="E329" s="19" t="s">
        <v>453</v>
      </c>
      <c r="G329" s="19">
        <v>54</v>
      </c>
      <c r="H329" s="19" t="s">
        <v>215</v>
      </c>
      <c r="I329" s="19" t="s">
        <v>246</v>
      </c>
      <c r="J329" s="19" t="s">
        <v>217</v>
      </c>
      <c r="K329" s="18">
        <v>46071.385520833333</v>
      </c>
    </row>
    <row r="330" spans="1:11" x14ac:dyDescent="0.25">
      <c r="A330" s="16" t="s">
        <v>781</v>
      </c>
      <c r="B330" s="20">
        <v>46027</v>
      </c>
      <c r="C330" s="16">
        <v>1</v>
      </c>
      <c r="D330" s="19" t="s">
        <v>43</v>
      </c>
      <c r="E330" s="19" t="s">
        <v>453</v>
      </c>
      <c r="G330" s="19">
        <v>20</v>
      </c>
      <c r="H330" s="19" t="s">
        <v>215</v>
      </c>
      <c r="I330" s="19" t="s">
        <v>216</v>
      </c>
      <c r="J330" s="19" t="s">
        <v>217</v>
      </c>
      <c r="K330" s="18">
        <v>46071.385729166665</v>
      </c>
    </row>
    <row r="331" spans="1:11" x14ac:dyDescent="0.25">
      <c r="A331" s="16" t="s">
        <v>782</v>
      </c>
      <c r="B331" s="20">
        <v>46027</v>
      </c>
      <c r="C331" s="16">
        <v>1</v>
      </c>
      <c r="D331" s="19" t="s">
        <v>43</v>
      </c>
      <c r="E331" s="19" t="s">
        <v>453</v>
      </c>
      <c r="G331" s="19">
        <v>46</v>
      </c>
      <c r="H331" s="19" t="s">
        <v>215</v>
      </c>
      <c r="I331" s="19" t="s">
        <v>216</v>
      </c>
      <c r="J331" s="19" t="s">
        <v>217</v>
      </c>
      <c r="K331" s="18">
        <v>46071.385752314818</v>
      </c>
    </row>
    <row r="332" spans="1:11" x14ac:dyDescent="0.25">
      <c r="A332" s="16" t="s">
        <v>783</v>
      </c>
      <c r="B332" s="20">
        <v>46027</v>
      </c>
      <c r="C332" s="16">
        <v>1</v>
      </c>
      <c r="D332" s="19" t="s">
        <v>43</v>
      </c>
      <c r="E332" s="19" t="s">
        <v>453</v>
      </c>
      <c r="G332" s="19">
        <v>70</v>
      </c>
      <c r="H332" s="19" t="s">
        <v>215</v>
      </c>
      <c r="I332" s="19" t="s">
        <v>216</v>
      </c>
      <c r="J332" s="19" t="s">
        <v>217</v>
      </c>
      <c r="K332" s="18">
        <v>46071.385787037034</v>
      </c>
    </row>
    <row r="333" spans="1:11" x14ac:dyDescent="0.25">
      <c r="A333" s="16" t="s">
        <v>784</v>
      </c>
      <c r="B333" s="20">
        <v>46027</v>
      </c>
      <c r="C333" s="16">
        <v>1</v>
      </c>
      <c r="D333" s="19" t="s">
        <v>43</v>
      </c>
      <c r="E333" s="19" t="s">
        <v>453</v>
      </c>
      <c r="G333" s="19">
        <v>24</v>
      </c>
      <c r="H333" s="19" t="s">
        <v>215</v>
      </c>
      <c r="I333" s="19" t="s">
        <v>216</v>
      </c>
      <c r="J333" s="19" t="s">
        <v>217</v>
      </c>
      <c r="K333" s="18">
        <v>46071.385810185187</v>
      </c>
    </row>
    <row r="334" spans="1:11" x14ac:dyDescent="0.25">
      <c r="A334" s="16" t="s">
        <v>785</v>
      </c>
      <c r="B334" s="20">
        <v>46027</v>
      </c>
      <c r="C334" s="16">
        <v>1</v>
      </c>
      <c r="D334" s="19" t="s">
        <v>43</v>
      </c>
      <c r="E334" s="19" t="s">
        <v>453</v>
      </c>
      <c r="G334" s="19">
        <v>34</v>
      </c>
      <c r="H334" s="19" t="s">
        <v>215</v>
      </c>
      <c r="I334" s="19" t="s">
        <v>246</v>
      </c>
      <c r="J334" s="19" t="s">
        <v>217</v>
      </c>
      <c r="K334" s="18">
        <v>46071.385949074072</v>
      </c>
    </row>
    <row r="335" spans="1:11" x14ac:dyDescent="0.25">
      <c r="A335" s="16" t="s">
        <v>786</v>
      </c>
      <c r="B335" s="20">
        <v>46028</v>
      </c>
      <c r="C335" s="16">
        <v>1</v>
      </c>
      <c r="D335" s="19" t="s">
        <v>43</v>
      </c>
      <c r="E335" s="19" t="s">
        <v>453</v>
      </c>
      <c r="G335" s="19">
        <v>16</v>
      </c>
      <c r="H335" s="19" t="s">
        <v>215</v>
      </c>
      <c r="I335" s="19" t="s">
        <v>246</v>
      </c>
      <c r="J335" s="19" t="s">
        <v>217</v>
      </c>
      <c r="K335" s="18">
        <v>46071.38616898148</v>
      </c>
    </row>
    <row r="336" spans="1:11" x14ac:dyDescent="0.25">
      <c r="A336" s="16" t="s">
        <v>787</v>
      </c>
      <c r="B336" s="20">
        <v>46028</v>
      </c>
      <c r="C336" s="16">
        <v>1</v>
      </c>
      <c r="D336" s="19" t="s">
        <v>43</v>
      </c>
      <c r="E336" s="19" t="s">
        <v>453</v>
      </c>
      <c r="G336" s="19">
        <v>46</v>
      </c>
      <c r="H336" s="19" t="s">
        <v>215</v>
      </c>
      <c r="I336" s="19" t="s">
        <v>216</v>
      </c>
      <c r="J336" s="19" t="s">
        <v>217</v>
      </c>
      <c r="K336" s="18">
        <v>46071.386250000003</v>
      </c>
    </row>
    <row r="337" spans="1:11" x14ac:dyDescent="0.25">
      <c r="A337" s="16" t="s">
        <v>788</v>
      </c>
      <c r="B337" s="20">
        <v>46028</v>
      </c>
      <c r="C337" s="16">
        <v>1</v>
      </c>
      <c r="D337" s="19" t="s">
        <v>43</v>
      </c>
      <c r="E337" s="19" t="s">
        <v>453</v>
      </c>
      <c r="G337" s="19">
        <v>38</v>
      </c>
      <c r="H337" s="19" t="s">
        <v>215</v>
      </c>
      <c r="I337" s="19" t="s">
        <v>246</v>
      </c>
      <c r="J337" s="19" t="s">
        <v>217</v>
      </c>
      <c r="K337" s="18">
        <v>46071.386342592596</v>
      </c>
    </row>
    <row r="338" spans="1:11" x14ac:dyDescent="0.25">
      <c r="A338" s="16" t="s">
        <v>789</v>
      </c>
      <c r="B338" s="20">
        <v>46029</v>
      </c>
      <c r="C338" s="16">
        <v>1</v>
      </c>
      <c r="D338" s="19" t="s">
        <v>43</v>
      </c>
      <c r="E338" s="19" t="s">
        <v>453</v>
      </c>
      <c r="G338" s="19">
        <v>41</v>
      </c>
      <c r="H338" s="19" t="s">
        <v>215</v>
      </c>
      <c r="I338" s="19" t="s">
        <v>246</v>
      </c>
      <c r="J338" s="19" t="s">
        <v>217</v>
      </c>
      <c r="K338" s="18">
        <v>46071.386562500003</v>
      </c>
    </row>
    <row r="339" spans="1:11" x14ac:dyDescent="0.25">
      <c r="A339" s="16" t="s">
        <v>790</v>
      </c>
      <c r="B339" s="20">
        <v>46029</v>
      </c>
      <c r="C339" s="16">
        <v>1</v>
      </c>
      <c r="D339" s="19" t="s">
        <v>43</v>
      </c>
      <c r="E339" s="19" t="s">
        <v>453</v>
      </c>
      <c r="G339" s="19">
        <v>70</v>
      </c>
      <c r="H339" s="19" t="s">
        <v>215</v>
      </c>
      <c r="I339" s="19" t="s">
        <v>246</v>
      </c>
      <c r="J339" s="19" t="s">
        <v>217</v>
      </c>
      <c r="K339" s="18">
        <v>46071.386655092596</v>
      </c>
    </row>
    <row r="340" spans="1:11" x14ac:dyDescent="0.25">
      <c r="A340" s="16" t="s">
        <v>791</v>
      </c>
      <c r="B340" s="20">
        <v>46029</v>
      </c>
      <c r="C340" s="16">
        <v>1</v>
      </c>
      <c r="D340" s="19" t="s">
        <v>43</v>
      </c>
      <c r="E340" s="19" t="s">
        <v>453</v>
      </c>
      <c r="G340" s="19">
        <v>22</v>
      </c>
      <c r="H340" s="19" t="s">
        <v>215</v>
      </c>
      <c r="I340" s="19" t="s">
        <v>246</v>
      </c>
      <c r="J340" s="19" t="s">
        <v>217</v>
      </c>
      <c r="K340" s="18">
        <v>46071.386678240742</v>
      </c>
    </row>
    <row r="341" spans="1:11" x14ac:dyDescent="0.25">
      <c r="A341" s="16" t="s">
        <v>792</v>
      </c>
      <c r="B341" s="20">
        <v>46030</v>
      </c>
      <c r="C341" s="16">
        <v>1</v>
      </c>
      <c r="D341" s="19" t="s">
        <v>43</v>
      </c>
      <c r="E341" s="19" t="s">
        <v>453</v>
      </c>
      <c r="G341" s="19">
        <v>77</v>
      </c>
      <c r="H341" s="19" t="s">
        <v>215</v>
      </c>
      <c r="I341" s="19" t="s">
        <v>246</v>
      </c>
      <c r="J341" s="19" t="s">
        <v>217</v>
      </c>
      <c r="K341" s="18">
        <v>46071.386770833335</v>
      </c>
    </row>
    <row r="342" spans="1:11" x14ac:dyDescent="0.25">
      <c r="A342" s="16" t="s">
        <v>793</v>
      </c>
      <c r="B342" s="20">
        <v>46030</v>
      </c>
      <c r="C342" s="16">
        <v>1</v>
      </c>
      <c r="D342" s="19" t="s">
        <v>43</v>
      </c>
      <c r="E342" s="19" t="s">
        <v>453</v>
      </c>
      <c r="G342" s="19">
        <v>67</v>
      </c>
      <c r="H342" s="19" t="s">
        <v>215</v>
      </c>
      <c r="I342" s="19" t="s">
        <v>246</v>
      </c>
      <c r="J342" s="19" t="s">
        <v>217</v>
      </c>
      <c r="K342" s="18">
        <v>46071.386793981481</v>
      </c>
    </row>
    <row r="343" spans="1:11" x14ac:dyDescent="0.25">
      <c r="A343" s="16" t="s">
        <v>794</v>
      </c>
      <c r="B343" s="20">
        <v>46030</v>
      </c>
      <c r="C343" s="16">
        <v>1</v>
      </c>
      <c r="D343" s="19" t="s">
        <v>43</v>
      </c>
      <c r="E343" s="19" t="s">
        <v>453</v>
      </c>
      <c r="G343" s="19">
        <v>4</v>
      </c>
      <c r="H343" s="19" t="s">
        <v>427</v>
      </c>
      <c r="I343" s="19" t="s">
        <v>246</v>
      </c>
      <c r="J343" s="19" t="s">
        <v>217</v>
      </c>
      <c r="K343" s="18">
        <v>46071.387071759258</v>
      </c>
    </row>
    <row r="344" spans="1:11" x14ac:dyDescent="0.25">
      <c r="A344" s="16" t="s">
        <v>795</v>
      </c>
      <c r="B344" s="20">
        <v>46030</v>
      </c>
      <c r="C344" s="16">
        <v>1</v>
      </c>
      <c r="D344" s="19" t="s">
        <v>43</v>
      </c>
      <c r="E344" s="19" t="s">
        <v>453</v>
      </c>
      <c r="G344" s="19">
        <v>30</v>
      </c>
      <c r="H344" s="19" t="s">
        <v>215</v>
      </c>
      <c r="I344" s="19" t="s">
        <v>246</v>
      </c>
      <c r="J344" s="19" t="s">
        <v>217</v>
      </c>
      <c r="K344" s="18">
        <v>46071.387094907404</v>
      </c>
    </row>
    <row r="345" spans="1:11" x14ac:dyDescent="0.25">
      <c r="A345" s="16" t="s">
        <v>796</v>
      </c>
      <c r="B345" s="20">
        <v>46030</v>
      </c>
      <c r="C345" s="16">
        <v>1</v>
      </c>
      <c r="D345" s="19" t="s">
        <v>43</v>
      </c>
      <c r="E345" s="19" t="s">
        <v>453</v>
      </c>
      <c r="G345" s="19">
        <v>58</v>
      </c>
      <c r="H345" s="19" t="s">
        <v>215</v>
      </c>
      <c r="I345" s="19" t="s">
        <v>246</v>
      </c>
      <c r="J345" s="19" t="s">
        <v>217</v>
      </c>
      <c r="K345" s="18">
        <v>46071.387118055558</v>
      </c>
    </row>
    <row r="346" spans="1:11" x14ac:dyDescent="0.25">
      <c r="A346" s="16" t="s">
        <v>797</v>
      </c>
      <c r="B346" s="20">
        <v>46031</v>
      </c>
      <c r="C346" s="16">
        <v>1</v>
      </c>
      <c r="D346" s="19" t="s">
        <v>43</v>
      </c>
      <c r="E346" s="19" t="s">
        <v>453</v>
      </c>
      <c r="G346" s="19">
        <v>16</v>
      </c>
      <c r="H346" s="19" t="s">
        <v>215</v>
      </c>
      <c r="I346" s="19" t="s">
        <v>216</v>
      </c>
      <c r="J346" s="19" t="s">
        <v>217</v>
      </c>
      <c r="K346" s="18">
        <v>46071.387280092589</v>
      </c>
    </row>
    <row r="347" spans="1:11" x14ac:dyDescent="0.25">
      <c r="A347" s="16" t="s">
        <v>798</v>
      </c>
      <c r="B347" s="20">
        <v>46032</v>
      </c>
      <c r="C347" s="16">
        <v>1</v>
      </c>
      <c r="D347" s="19" t="s">
        <v>43</v>
      </c>
      <c r="E347" s="19" t="s">
        <v>453</v>
      </c>
      <c r="G347" s="19">
        <v>53</v>
      </c>
      <c r="H347" s="19" t="s">
        <v>215</v>
      </c>
      <c r="I347" s="19" t="s">
        <v>216</v>
      </c>
      <c r="J347" s="19" t="s">
        <v>217</v>
      </c>
      <c r="K347" s="18">
        <v>46071.387442129628</v>
      </c>
    </row>
    <row r="348" spans="1:11" x14ac:dyDescent="0.25">
      <c r="A348" s="16" t="s">
        <v>799</v>
      </c>
      <c r="B348" s="20">
        <v>46032</v>
      </c>
      <c r="C348" s="16">
        <v>1</v>
      </c>
      <c r="D348" s="19" t="s">
        <v>43</v>
      </c>
      <c r="E348" s="19" t="s">
        <v>453</v>
      </c>
      <c r="G348" s="19">
        <v>40</v>
      </c>
      <c r="H348" s="19" t="s">
        <v>215</v>
      </c>
      <c r="I348" s="19" t="s">
        <v>246</v>
      </c>
      <c r="J348" s="19" t="s">
        <v>217</v>
      </c>
      <c r="K348" s="18">
        <v>46071.387511574074</v>
      </c>
    </row>
    <row r="349" spans="1:11" x14ac:dyDescent="0.25">
      <c r="A349" s="16" t="s">
        <v>800</v>
      </c>
      <c r="B349" s="20">
        <v>46032</v>
      </c>
      <c r="C349" s="16">
        <v>1</v>
      </c>
      <c r="D349" s="19" t="s">
        <v>43</v>
      </c>
      <c r="E349" s="19" t="s">
        <v>453</v>
      </c>
      <c r="G349" s="19">
        <v>57</v>
      </c>
      <c r="H349" s="19" t="s">
        <v>215</v>
      </c>
      <c r="I349" s="19" t="s">
        <v>216</v>
      </c>
      <c r="J349" s="19" t="s">
        <v>217</v>
      </c>
      <c r="K349" s="18">
        <v>46071.387569444443</v>
      </c>
    </row>
    <row r="350" spans="1:11" x14ac:dyDescent="0.25">
      <c r="A350" s="16" t="s">
        <v>801</v>
      </c>
      <c r="B350" s="20">
        <v>46032</v>
      </c>
      <c r="C350" s="16">
        <v>1</v>
      </c>
      <c r="D350" s="19" t="s">
        <v>43</v>
      </c>
      <c r="E350" s="19" t="s">
        <v>453</v>
      </c>
      <c r="G350" s="19">
        <v>64</v>
      </c>
      <c r="H350" s="19" t="s">
        <v>215</v>
      </c>
      <c r="I350" s="19" t="s">
        <v>216</v>
      </c>
      <c r="J350" s="19" t="s">
        <v>217</v>
      </c>
      <c r="K350" s="18">
        <v>46071.387592592589</v>
      </c>
    </row>
    <row r="351" spans="1:11" x14ac:dyDescent="0.25">
      <c r="A351" s="16" t="s">
        <v>802</v>
      </c>
      <c r="B351" s="20">
        <v>46032</v>
      </c>
      <c r="C351" s="16">
        <v>1</v>
      </c>
      <c r="D351" s="19" t="s">
        <v>43</v>
      </c>
      <c r="E351" s="19" t="s">
        <v>453</v>
      </c>
      <c r="G351" s="19">
        <v>89</v>
      </c>
      <c r="H351" s="19" t="s">
        <v>215</v>
      </c>
      <c r="I351" s="19" t="s">
        <v>246</v>
      </c>
      <c r="J351" s="19" t="s">
        <v>217</v>
      </c>
      <c r="K351" s="18">
        <v>46071.387662037036</v>
      </c>
    </row>
    <row r="352" spans="1:11" x14ac:dyDescent="0.25">
      <c r="A352" s="16" t="s">
        <v>803</v>
      </c>
      <c r="B352" s="20">
        <v>46033</v>
      </c>
      <c r="C352" s="16">
        <v>1</v>
      </c>
      <c r="D352" s="19" t="s">
        <v>43</v>
      </c>
      <c r="E352" s="19" t="s">
        <v>453</v>
      </c>
      <c r="G352" s="19">
        <v>40</v>
      </c>
      <c r="H352" s="19" t="s">
        <v>215</v>
      </c>
      <c r="I352" s="19" t="s">
        <v>246</v>
      </c>
      <c r="J352" s="19" t="s">
        <v>217</v>
      </c>
      <c r="K352" s="18">
        <v>46071.387881944444</v>
      </c>
    </row>
    <row r="353" spans="1:11" x14ac:dyDescent="0.25">
      <c r="A353" s="16" t="s">
        <v>804</v>
      </c>
      <c r="B353" s="20">
        <v>46033</v>
      </c>
      <c r="C353" s="16">
        <v>1</v>
      </c>
      <c r="D353" s="19" t="s">
        <v>43</v>
      </c>
      <c r="E353" s="19" t="s">
        <v>453</v>
      </c>
      <c r="G353" s="19">
        <v>75</v>
      </c>
      <c r="H353" s="19" t="s">
        <v>215</v>
      </c>
      <c r="I353" s="19" t="s">
        <v>246</v>
      </c>
      <c r="J353" s="19" t="s">
        <v>217</v>
      </c>
      <c r="K353" s="18">
        <v>46071.38790509259</v>
      </c>
    </row>
    <row r="354" spans="1:11" x14ac:dyDescent="0.25">
      <c r="A354" s="16" t="s">
        <v>805</v>
      </c>
      <c r="B354" s="20">
        <v>46033</v>
      </c>
      <c r="C354" s="16">
        <v>1</v>
      </c>
      <c r="D354" s="19" t="s">
        <v>43</v>
      </c>
      <c r="E354" s="19" t="s">
        <v>453</v>
      </c>
      <c r="G354" s="19">
        <v>41</v>
      </c>
      <c r="H354" s="19" t="s">
        <v>215</v>
      </c>
      <c r="I354" s="19" t="s">
        <v>246</v>
      </c>
      <c r="J354" s="19" t="s">
        <v>217</v>
      </c>
      <c r="K354" s="18">
        <v>46071.387962962966</v>
      </c>
    </row>
    <row r="355" spans="1:11" x14ac:dyDescent="0.25">
      <c r="A355" s="16" t="s">
        <v>806</v>
      </c>
      <c r="B355" s="20">
        <v>46033</v>
      </c>
      <c r="C355" s="16">
        <v>1</v>
      </c>
      <c r="D355" s="19" t="s">
        <v>43</v>
      </c>
      <c r="E355" s="19" t="s">
        <v>453</v>
      </c>
      <c r="G355" s="19">
        <v>75</v>
      </c>
      <c r="H355" s="19" t="s">
        <v>215</v>
      </c>
      <c r="I355" s="19" t="s">
        <v>246</v>
      </c>
      <c r="J355" s="19" t="s">
        <v>217</v>
      </c>
      <c r="K355" s="18">
        <v>46071.387997685182</v>
      </c>
    </row>
    <row r="356" spans="1:11" x14ac:dyDescent="0.25">
      <c r="A356" s="16" t="s">
        <v>807</v>
      </c>
      <c r="B356" s="20">
        <v>46034</v>
      </c>
      <c r="C356" s="16">
        <v>1</v>
      </c>
      <c r="D356" s="19" t="s">
        <v>43</v>
      </c>
      <c r="E356" s="19" t="s">
        <v>453</v>
      </c>
      <c r="G356" s="19">
        <v>60</v>
      </c>
      <c r="H356" s="19" t="s">
        <v>215</v>
      </c>
      <c r="I356" s="19" t="s">
        <v>246</v>
      </c>
      <c r="J356" s="19" t="s">
        <v>217</v>
      </c>
      <c r="K356" s="18">
        <v>46071.388124999998</v>
      </c>
    </row>
    <row r="357" spans="1:11" x14ac:dyDescent="0.25">
      <c r="A357" s="16" t="s">
        <v>808</v>
      </c>
      <c r="B357" s="20">
        <v>46035</v>
      </c>
      <c r="C357" s="16">
        <v>1</v>
      </c>
      <c r="D357" s="19" t="s">
        <v>43</v>
      </c>
      <c r="E357" s="19" t="s">
        <v>453</v>
      </c>
      <c r="G357" s="19">
        <v>31</v>
      </c>
      <c r="H357" s="19" t="s">
        <v>215</v>
      </c>
      <c r="I357" s="19" t="s">
        <v>246</v>
      </c>
      <c r="J357" s="19" t="s">
        <v>217</v>
      </c>
      <c r="K357" s="18">
        <v>46071.388495370367</v>
      </c>
    </row>
    <row r="358" spans="1:11" x14ac:dyDescent="0.25">
      <c r="A358" s="16" t="s">
        <v>809</v>
      </c>
      <c r="B358" s="20">
        <v>46035</v>
      </c>
      <c r="C358" s="16">
        <v>1</v>
      </c>
      <c r="D358" s="19" t="s">
        <v>43</v>
      </c>
      <c r="E358" s="19" t="s">
        <v>453</v>
      </c>
      <c r="G358" s="19">
        <v>64</v>
      </c>
      <c r="H358" s="19" t="s">
        <v>215</v>
      </c>
      <c r="I358" s="19" t="s">
        <v>216</v>
      </c>
      <c r="J358" s="19" t="s">
        <v>217</v>
      </c>
      <c r="K358" s="18">
        <v>46071.38857638889</v>
      </c>
    </row>
    <row r="359" spans="1:11" x14ac:dyDescent="0.25">
      <c r="A359" s="16" t="s">
        <v>810</v>
      </c>
      <c r="B359" s="20">
        <v>46035</v>
      </c>
      <c r="C359" s="16">
        <v>1</v>
      </c>
      <c r="D359" s="19" t="s">
        <v>43</v>
      </c>
      <c r="E359" s="19" t="s">
        <v>453</v>
      </c>
      <c r="G359" s="19">
        <v>9</v>
      </c>
      <c r="H359" s="19" t="s">
        <v>215</v>
      </c>
      <c r="I359" s="19" t="s">
        <v>216</v>
      </c>
      <c r="J359" s="19" t="s">
        <v>217</v>
      </c>
      <c r="K359" s="18">
        <v>46071.388611111113</v>
      </c>
    </row>
    <row r="360" spans="1:11" x14ac:dyDescent="0.25">
      <c r="A360" s="16" t="s">
        <v>811</v>
      </c>
      <c r="B360" s="20">
        <v>46035</v>
      </c>
      <c r="C360" s="16">
        <v>1</v>
      </c>
      <c r="D360" s="19" t="s">
        <v>43</v>
      </c>
      <c r="E360" s="19" t="s">
        <v>453</v>
      </c>
      <c r="G360" s="19">
        <v>38</v>
      </c>
      <c r="H360" s="19" t="s">
        <v>215</v>
      </c>
      <c r="I360" s="19" t="s">
        <v>216</v>
      </c>
      <c r="J360" s="19" t="s">
        <v>217</v>
      </c>
      <c r="K360" s="18">
        <v>46071.388645833336</v>
      </c>
    </row>
    <row r="361" spans="1:11" x14ac:dyDescent="0.25">
      <c r="A361" s="16" t="s">
        <v>812</v>
      </c>
      <c r="B361" s="20">
        <v>46035</v>
      </c>
      <c r="C361" s="16">
        <v>1</v>
      </c>
      <c r="D361" s="19" t="s">
        <v>43</v>
      </c>
      <c r="E361" s="19" t="s">
        <v>453</v>
      </c>
      <c r="G361" s="19">
        <v>19</v>
      </c>
      <c r="H361" s="19" t="s">
        <v>215</v>
      </c>
      <c r="I361" s="19" t="s">
        <v>216</v>
      </c>
      <c r="J361" s="19" t="s">
        <v>217</v>
      </c>
      <c r="K361" s="18">
        <v>46071.388668981483</v>
      </c>
    </row>
    <row r="362" spans="1:11" x14ac:dyDescent="0.25">
      <c r="A362" s="16" t="s">
        <v>813</v>
      </c>
      <c r="B362" s="20">
        <v>46036</v>
      </c>
      <c r="C362" s="16">
        <v>1</v>
      </c>
      <c r="D362" s="19" t="s">
        <v>43</v>
      </c>
      <c r="E362" s="19" t="s">
        <v>453</v>
      </c>
      <c r="G362" s="19">
        <v>19</v>
      </c>
      <c r="H362" s="19" t="s">
        <v>215</v>
      </c>
      <c r="I362" s="19" t="s">
        <v>246</v>
      </c>
      <c r="J362" s="19" t="s">
        <v>217</v>
      </c>
      <c r="K362" s="18">
        <v>46071.388877314814</v>
      </c>
    </row>
    <row r="363" spans="1:11" x14ac:dyDescent="0.25">
      <c r="A363" s="16" t="s">
        <v>814</v>
      </c>
      <c r="B363" s="20">
        <v>46036</v>
      </c>
      <c r="C363" s="16">
        <v>1</v>
      </c>
      <c r="D363" s="19" t="s">
        <v>43</v>
      </c>
      <c r="E363" s="19" t="s">
        <v>453</v>
      </c>
      <c r="G363" s="19">
        <v>48</v>
      </c>
      <c r="H363" s="19" t="s">
        <v>215</v>
      </c>
      <c r="I363" s="19" t="s">
        <v>216</v>
      </c>
      <c r="J363" s="19" t="s">
        <v>217</v>
      </c>
      <c r="K363" s="18">
        <v>46071.388923611114</v>
      </c>
    </row>
    <row r="364" spans="1:11" x14ac:dyDescent="0.25">
      <c r="A364" s="16" t="s">
        <v>815</v>
      </c>
      <c r="B364" s="20">
        <v>46036</v>
      </c>
      <c r="C364" s="16">
        <v>1</v>
      </c>
      <c r="D364" s="19" t="s">
        <v>43</v>
      </c>
      <c r="E364" s="19" t="s">
        <v>453</v>
      </c>
      <c r="G364" s="19">
        <v>8</v>
      </c>
      <c r="H364" s="19" t="s">
        <v>215</v>
      </c>
      <c r="I364" s="19" t="s">
        <v>246</v>
      </c>
      <c r="J364" s="19" t="s">
        <v>217</v>
      </c>
      <c r="K364" s="18">
        <v>46071.388981481483</v>
      </c>
    </row>
    <row r="365" spans="1:11" x14ac:dyDescent="0.25">
      <c r="A365" s="16" t="s">
        <v>816</v>
      </c>
      <c r="B365" s="20">
        <v>46036</v>
      </c>
      <c r="C365" s="16">
        <v>1</v>
      </c>
      <c r="D365" s="19" t="s">
        <v>43</v>
      </c>
      <c r="E365" s="19" t="s">
        <v>453</v>
      </c>
      <c r="G365" s="19">
        <v>88</v>
      </c>
      <c r="H365" s="19" t="s">
        <v>215</v>
      </c>
      <c r="I365" s="19" t="s">
        <v>246</v>
      </c>
      <c r="J365" s="19" t="s">
        <v>217</v>
      </c>
      <c r="K365" s="18">
        <v>46071.389016203706</v>
      </c>
    </row>
    <row r="366" spans="1:11" x14ac:dyDescent="0.25">
      <c r="A366" s="16" t="s">
        <v>817</v>
      </c>
      <c r="B366" s="20">
        <v>46036</v>
      </c>
      <c r="C366" s="16">
        <v>1</v>
      </c>
      <c r="D366" s="19" t="s">
        <v>43</v>
      </c>
      <c r="E366" s="19" t="s">
        <v>453</v>
      </c>
      <c r="G366" s="19">
        <v>47</v>
      </c>
      <c r="H366" s="19" t="s">
        <v>215</v>
      </c>
      <c r="I366" s="19" t="s">
        <v>246</v>
      </c>
      <c r="J366" s="19" t="s">
        <v>217</v>
      </c>
      <c r="K366" s="18">
        <v>46071.389027777775</v>
      </c>
    </row>
    <row r="367" spans="1:11" x14ac:dyDescent="0.25">
      <c r="A367" s="16" t="s">
        <v>818</v>
      </c>
      <c r="B367" s="20">
        <v>46036</v>
      </c>
      <c r="C367" s="16">
        <v>1</v>
      </c>
      <c r="D367" s="19" t="s">
        <v>43</v>
      </c>
      <c r="E367" s="19" t="s">
        <v>453</v>
      </c>
      <c r="G367" s="19">
        <v>5</v>
      </c>
      <c r="H367" s="19" t="s">
        <v>215</v>
      </c>
      <c r="I367" s="19" t="s">
        <v>216</v>
      </c>
      <c r="J367" s="19" t="s">
        <v>217</v>
      </c>
      <c r="K367" s="18">
        <v>46071.389097222222</v>
      </c>
    </row>
    <row r="368" spans="1:11" x14ac:dyDescent="0.25">
      <c r="A368" s="16" t="s">
        <v>819</v>
      </c>
      <c r="B368" s="20">
        <v>46036</v>
      </c>
      <c r="C368" s="16">
        <v>1</v>
      </c>
      <c r="D368" s="19" t="s">
        <v>43</v>
      </c>
      <c r="E368" s="19" t="s">
        <v>453</v>
      </c>
      <c r="G368" s="19">
        <v>23</v>
      </c>
      <c r="H368" s="19" t="s">
        <v>215</v>
      </c>
      <c r="I368" s="19" t="s">
        <v>246</v>
      </c>
      <c r="J368" s="19" t="s">
        <v>217</v>
      </c>
      <c r="K368" s="18">
        <v>46071.389618055553</v>
      </c>
    </row>
    <row r="369" spans="1:11" x14ac:dyDescent="0.25">
      <c r="A369" s="16" t="s">
        <v>820</v>
      </c>
      <c r="B369" s="20">
        <v>46036</v>
      </c>
      <c r="C369" s="16">
        <v>1</v>
      </c>
      <c r="D369" s="19" t="s">
        <v>43</v>
      </c>
      <c r="E369" s="19" t="s">
        <v>453</v>
      </c>
      <c r="G369" s="19">
        <v>23</v>
      </c>
      <c r="H369" s="19" t="s">
        <v>215</v>
      </c>
      <c r="I369" s="19" t="s">
        <v>246</v>
      </c>
      <c r="J369" s="19" t="s">
        <v>217</v>
      </c>
      <c r="K369" s="18">
        <v>46071.38962962963</v>
      </c>
    </row>
    <row r="370" spans="1:11" x14ac:dyDescent="0.25">
      <c r="A370" s="16" t="s">
        <v>821</v>
      </c>
      <c r="B370" s="20">
        <v>46037</v>
      </c>
      <c r="C370" s="16">
        <v>1</v>
      </c>
      <c r="D370" s="19" t="s">
        <v>43</v>
      </c>
      <c r="E370" s="19" t="s">
        <v>453</v>
      </c>
      <c r="G370" s="19">
        <v>86</v>
      </c>
      <c r="H370" s="19" t="s">
        <v>215</v>
      </c>
      <c r="I370" s="19" t="s">
        <v>246</v>
      </c>
      <c r="J370" s="19" t="s">
        <v>217</v>
      </c>
      <c r="K370" s="18">
        <v>46071.389791666668</v>
      </c>
    </row>
    <row r="371" spans="1:11" x14ac:dyDescent="0.25">
      <c r="A371" s="16" t="s">
        <v>822</v>
      </c>
      <c r="B371" s="20">
        <v>46037</v>
      </c>
      <c r="C371" s="16">
        <v>1</v>
      </c>
      <c r="D371" s="19" t="s">
        <v>43</v>
      </c>
      <c r="E371" s="19" t="s">
        <v>453</v>
      </c>
      <c r="G371" s="19">
        <v>58</v>
      </c>
      <c r="H371" s="19" t="s">
        <v>215</v>
      </c>
      <c r="I371" s="19" t="s">
        <v>216</v>
      </c>
      <c r="J371" s="19" t="s">
        <v>217</v>
      </c>
      <c r="K371" s="18">
        <v>46071.389884259261</v>
      </c>
    </row>
    <row r="372" spans="1:11" x14ac:dyDescent="0.25">
      <c r="A372" s="16" t="s">
        <v>823</v>
      </c>
      <c r="B372" s="20">
        <v>46037</v>
      </c>
      <c r="C372" s="16">
        <v>1</v>
      </c>
      <c r="D372" s="19" t="s">
        <v>43</v>
      </c>
      <c r="E372" s="19" t="s">
        <v>453</v>
      </c>
      <c r="G372" s="19">
        <v>14</v>
      </c>
      <c r="H372" s="19" t="s">
        <v>215</v>
      </c>
      <c r="I372" s="19" t="s">
        <v>216</v>
      </c>
      <c r="J372" s="19" t="s">
        <v>217</v>
      </c>
      <c r="K372" s="18">
        <v>46071.389918981484</v>
      </c>
    </row>
    <row r="373" spans="1:11" x14ac:dyDescent="0.25">
      <c r="A373" s="16" t="s">
        <v>824</v>
      </c>
      <c r="B373" s="20">
        <v>46037</v>
      </c>
      <c r="C373" s="16">
        <v>1</v>
      </c>
      <c r="D373" s="19" t="s">
        <v>43</v>
      </c>
      <c r="E373" s="19" t="s">
        <v>453</v>
      </c>
      <c r="G373" s="19">
        <v>73</v>
      </c>
      <c r="H373" s="19" t="s">
        <v>215</v>
      </c>
      <c r="I373" s="19" t="s">
        <v>216</v>
      </c>
      <c r="J373" s="19" t="s">
        <v>217</v>
      </c>
      <c r="K373" s="18">
        <v>46071.38994212963</v>
      </c>
    </row>
    <row r="374" spans="1:11" x14ac:dyDescent="0.25">
      <c r="A374" s="16" t="s">
        <v>825</v>
      </c>
      <c r="B374" s="20">
        <v>46038</v>
      </c>
      <c r="C374" s="16">
        <v>1</v>
      </c>
      <c r="D374" s="19" t="s">
        <v>43</v>
      </c>
      <c r="E374" s="19" t="s">
        <v>453</v>
      </c>
      <c r="G374" s="19">
        <v>60</v>
      </c>
      <c r="H374" s="19" t="s">
        <v>215</v>
      </c>
      <c r="I374" s="19" t="s">
        <v>216</v>
      </c>
      <c r="J374" s="19" t="s">
        <v>217</v>
      </c>
      <c r="K374" s="18">
        <v>46071.390034722222</v>
      </c>
    </row>
    <row r="375" spans="1:11" x14ac:dyDescent="0.25">
      <c r="A375" s="16" t="s">
        <v>826</v>
      </c>
      <c r="B375" s="20">
        <v>46038</v>
      </c>
      <c r="C375" s="16">
        <v>1</v>
      </c>
      <c r="D375" s="19" t="s">
        <v>43</v>
      </c>
      <c r="E375" s="19" t="s">
        <v>453</v>
      </c>
      <c r="G375" s="19">
        <v>72</v>
      </c>
      <c r="H375" s="19" t="s">
        <v>215</v>
      </c>
      <c r="I375" s="19" t="s">
        <v>246</v>
      </c>
      <c r="J375" s="19" t="s">
        <v>217</v>
      </c>
      <c r="K375" s="18">
        <v>46071.390162037038</v>
      </c>
    </row>
    <row r="376" spans="1:11" x14ac:dyDescent="0.25">
      <c r="A376" s="16" t="s">
        <v>827</v>
      </c>
      <c r="B376" s="20">
        <v>46038</v>
      </c>
      <c r="C376" s="16">
        <v>1</v>
      </c>
      <c r="D376" s="19" t="s">
        <v>43</v>
      </c>
      <c r="E376" s="19" t="s">
        <v>453</v>
      </c>
      <c r="G376" s="19">
        <v>63</v>
      </c>
      <c r="H376" s="19" t="s">
        <v>215</v>
      </c>
      <c r="I376" s="19" t="s">
        <v>246</v>
      </c>
      <c r="J376" s="19" t="s">
        <v>217</v>
      </c>
      <c r="K376" s="18">
        <v>46071.390162037038</v>
      </c>
    </row>
    <row r="377" spans="1:11" x14ac:dyDescent="0.25">
      <c r="A377" s="16" t="s">
        <v>828</v>
      </c>
      <c r="B377" s="20">
        <v>46038</v>
      </c>
      <c r="C377" s="16">
        <v>1</v>
      </c>
      <c r="D377" s="19" t="s">
        <v>43</v>
      </c>
      <c r="E377" s="19" t="s">
        <v>453</v>
      </c>
      <c r="G377" s="19">
        <v>70</v>
      </c>
      <c r="H377" s="19" t="s">
        <v>215</v>
      </c>
      <c r="I377" s="19" t="s">
        <v>246</v>
      </c>
      <c r="J377" s="19" t="s">
        <v>217</v>
      </c>
      <c r="K377" s="18">
        <v>46071.390196759261</v>
      </c>
    </row>
    <row r="378" spans="1:11" x14ac:dyDescent="0.25">
      <c r="A378" s="16" t="s">
        <v>829</v>
      </c>
      <c r="B378" s="20">
        <v>46038</v>
      </c>
      <c r="C378" s="16">
        <v>1</v>
      </c>
      <c r="D378" s="19" t="s">
        <v>43</v>
      </c>
      <c r="E378" s="19" t="s">
        <v>453</v>
      </c>
      <c r="G378" s="19">
        <v>32</v>
      </c>
      <c r="H378" s="19" t="s">
        <v>215</v>
      </c>
      <c r="I378" s="19" t="s">
        <v>246</v>
      </c>
      <c r="J378" s="19" t="s">
        <v>217</v>
      </c>
      <c r="K378" s="18">
        <v>46071.390219907407</v>
      </c>
    </row>
    <row r="379" spans="1:11" x14ac:dyDescent="0.25">
      <c r="A379" s="16" t="s">
        <v>830</v>
      </c>
      <c r="B379" s="20">
        <v>46038</v>
      </c>
      <c r="C379" s="16">
        <v>1</v>
      </c>
      <c r="D379" s="19" t="s">
        <v>43</v>
      </c>
      <c r="E379" s="19" t="s">
        <v>453</v>
      </c>
      <c r="G379" s="19">
        <v>73</v>
      </c>
      <c r="H379" s="19" t="s">
        <v>215</v>
      </c>
      <c r="I379" s="19" t="s">
        <v>246</v>
      </c>
      <c r="J379" s="19" t="s">
        <v>217</v>
      </c>
      <c r="K379" s="18">
        <v>46071.390243055554</v>
      </c>
    </row>
    <row r="380" spans="1:11" x14ac:dyDescent="0.25">
      <c r="A380" s="16" t="s">
        <v>831</v>
      </c>
      <c r="B380" s="20">
        <v>46038</v>
      </c>
      <c r="C380" s="16">
        <v>1</v>
      </c>
      <c r="D380" s="19" t="s">
        <v>43</v>
      </c>
      <c r="E380" s="19" t="s">
        <v>453</v>
      </c>
      <c r="G380" s="19">
        <v>25</v>
      </c>
      <c r="H380" s="19" t="s">
        <v>215</v>
      </c>
      <c r="I380" s="19" t="s">
        <v>246</v>
      </c>
      <c r="J380" s="19" t="s">
        <v>217</v>
      </c>
      <c r="K380" s="18">
        <v>46071.390266203707</v>
      </c>
    </row>
    <row r="381" spans="1:11" x14ac:dyDescent="0.25">
      <c r="A381" s="16" t="s">
        <v>832</v>
      </c>
      <c r="B381" s="20">
        <v>46039</v>
      </c>
      <c r="C381" s="16">
        <v>1</v>
      </c>
      <c r="D381" s="19" t="s">
        <v>43</v>
      </c>
      <c r="E381" s="19" t="s">
        <v>453</v>
      </c>
      <c r="G381" s="19">
        <v>86</v>
      </c>
      <c r="H381" s="19" t="s">
        <v>215</v>
      </c>
      <c r="I381" s="19" t="s">
        <v>246</v>
      </c>
      <c r="J381" s="19" t="s">
        <v>217</v>
      </c>
      <c r="K381" s="18">
        <v>46071.390520833331</v>
      </c>
    </row>
    <row r="382" spans="1:11" x14ac:dyDescent="0.25">
      <c r="A382" s="16" t="s">
        <v>833</v>
      </c>
      <c r="B382" s="20">
        <v>46039</v>
      </c>
      <c r="C382" s="16">
        <v>1</v>
      </c>
      <c r="D382" s="19" t="s">
        <v>43</v>
      </c>
      <c r="E382" s="19" t="s">
        <v>453</v>
      </c>
      <c r="G382" s="19">
        <v>52</v>
      </c>
      <c r="H382" s="19" t="s">
        <v>215</v>
      </c>
      <c r="I382" s="19" t="s">
        <v>246</v>
      </c>
      <c r="J382" s="19" t="s">
        <v>217</v>
      </c>
      <c r="K382" s="18">
        <v>46071.390543981484</v>
      </c>
    </row>
    <row r="383" spans="1:11" x14ac:dyDescent="0.25">
      <c r="A383" s="16" t="s">
        <v>834</v>
      </c>
      <c r="B383" s="20">
        <v>46039</v>
      </c>
      <c r="C383" s="16">
        <v>1</v>
      </c>
      <c r="D383" s="19" t="s">
        <v>43</v>
      </c>
      <c r="E383" s="19" t="s">
        <v>453</v>
      </c>
      <c r="G383" s="19">
        <v>2</v>
      </c>
      <c r="H383" s="19" t="s">
        <v>215</v>
      </c>
      <c r="I383" s="19" t="s">
        <v>246</v>
      </c>
      <c r="J383" s="19" t="s">
        <v>217</v>
      </c>
      <c r="K383" s="18">
        <v>46071.390601851854</v>
      </c>
    </row>
    <row r="384" spans="1:11" x14ac:dyDescent="0.25">
      <c r="A384" s="16" t="s">
        <v>835</v>
      </c>
      <c r="B384" s="20">
        <v>46039</v>
      </c>
      <c r="C384" s="16">
        <v>1</v>
      </c>
      <c r="D384" s="19" t="s">
        <v>43</v>
      </c>
      <c r="E384" s="19" t="s">
        <v>453</v>
      </c>
      <c r="G384" s="19">
        <v>16</v>
      </c>
      <c r="H384" s="19" t="s">
        <v>215</v>
      </c>
      <c r="I384" s="19" t="s">
        <v>246</v>
      </c>
      <c r="J384" s="19" t="s">
        <v>217</v>
      </c>
      <c r="K384" s="18">
        <v>46071.3906712963</v>
      </c>
    </row>
    <row r="385" spans="1:11" x14ac:dyDescent="0.25">
      <c r="A385" s="16" t="s">
        <v>836</v>
      </c>
      <c r="B385" s="20">
        <v>46039</v>
      </c>
      <c r="C385" s="16">
        <v>1</v>
      </c>
      <c r="D385" s="19" t="s">
        <v>43</v>
      </c>
      <c r="E385" s="19" t="s">
        <v>453</v>
      </c>
      <c r="G385" s="19">
        <v>17</v>
      </c>
      <c r="H385" s="19" t="s">
        <v>215</v>
      </c>
      <c r="I385" s="19" t="s">
        <v>246</v>
      </c>
      <c r="J385" s="19" t="s">
        <v>217</v>
      </c>
      <c r="K385" s="18">
        <v>46071.390694444446</v>
      </c>
    </row>
    <row r="386" spans="1:11" x14ac:dyDescent="0.25">
      <c r="A386" s="16" t="s">
        <v>837</v>
      </c>
      <c r="B386" s="20">
        <v>46039</v>
      </c>
      <c r="C386" s="16">
        <v>1</v>
      </c>
      <c r="D386" s="19" t="s">
        <v>43</v>
      </c>
      <c r="E386" s="19" t="s">
        <v>453</v>
      </c>
      <c r="G386" s="19">
        <v>93</v>
      </c>
      <c r="H386" s="19" t="s">
        <v>215</v>
      </c>
      <c r="I386" s="19" t="s">
        <v>216</v>
      </c>
      <c r="J386" s="19" t="s">
        <v>217</v>
      </c>
      <c r="K386" s="18">
        <v>46071.390960648147</v>
      </c>
    </row>
    <row r="387" spans="1:11" x14ac:dyDescent="0.25">
      <c r="A387" s="16" t="s">
        <v>838</v>
      </c>
      <c r="B387" s="20">
        <v>46040</v>
      </c>
      <c r="C387" s="16">
        <v>1</v>
      </c>
      <c r="D387" s="19" t="s">
        <v>43</v>
      </c>
      <c r="E387" s="19" t="s">
        <v>453</v>
      </c>
      <c r="G387" s="19">
        <v>90</v>
      </c>
      <c r="H387" s="19" t="s">
        <v>215</v>
      </c>
      <c r="I387" s="19" t="s">
        <v>216</v>
      </c>
      <c r="J387" s="19" t="s">
        <v>217</v>
      </c>
      <c r="K387" s="18">
        <v>46071.391805555555</v>
      </c>
    </row>
    <row r="388" spans="1:11" x14ac:dyDescent="0.25">
      <c r="A388" s="16" t="s">
        <v>839</v>
      </c>
      <c r="B388" s="20">
        <v>46040</v>
      </c>
      <c r="C388" s="16">
        <v>1</v>
      </c>
      <c r="D388" s="19" t="s">
        <v>43</v>
      </c>
      <c r="E388" s="19" t="s">
        <v>453</v>
      </c>
      <c r="G388" s="19">
        <v>66</v>
      </c>
      <c r="H388" s="19" t="s">
        <v>215</v>
      </c>
      <c r="I388" s="19" t="s">
        <v>216</v>
      </c>
      <c r="J388" s="19" t="s">
        <v>217</v>
      </c>
      <c r="K388" s="18">
        <v>46071.392407407409</v>
      </c>
    </row>
    <row r="389" spans="1:11" x14ac:dyDescent="0.25">
      <c r="A389" s="16" t="s">
        <v>840</v>
      </c>
      <c r="B389" s="20">
        <v>46040</v>
      </c>
      <c r="C389" s="16">
        <v>1</v>
      </c>
      <c r="D389" s="19" t="s">
        <v>43</v>
      </c>
      <c r="E389" s="19" t="s">
        <v>453</v>
      </c>
      <c r="G389" s="19">
        <v>90</v>
      </c>
      <c r="H389" s="19" t="s">
        <v>215</v>
      </c>
      <c r="I389" s="19" t="s">
        <v>216</v>
      </c>
      <c r="J389" s="19" t="s">
        <v>217</v>
      </c>
      <c r="K389" s="18">
        <v>46071.392488425925</v>
      </c>
    </row>
    <row r="390" spans="1:11" x14ac:dyDescent="0.25">
      <c r="A390" s="16" t="s">
        <v>841</v>
      </c>
      <c r="B390" s="20">
        <v>46040</v>
      </c>
      <c r="C390" s="16">
        <v>1</v>
      </c>
      <c r="D390" s="19" t="s">
        <v>43</v>
      </c>
      <c r="E390" s="19" t="s">
        <v>453</v>
      </c>
      <c r="G390" s="19">
        <v>68</v>
      </c>
      <c r="H390" s="19" t="s">
        <v>215</v>
      </c>
      <c r="I390" s="19" t="s">
        <v>216</v>
      </c>
      <c r="J390" s="19" t="s">
        <v>217</v>
      </c>
      <c r="K390" s="18">
        <v>46071.392523148148</v>
      </c>
    </row>
    <row r="391" spans="1:11" x14ac:dyDescent="0.25">
      <c r="A391" s="16" t="s">
        <v>842</v>
      </c>
      <c r="B391" s="20">
        <v>46041</v>
      </c>
      <c r="C391" s="16">
        <v>1</v>
      </c>
      <c r="D391" s="19" t="s">
        <v>43</v>
      </c>
      <c r="E391" s="19" t="s">
        <v>453</v>
      </c>
      <c r="G391" s="19">
        <v>81</v>
      </c>
      <c r="H391" s="19" t="s">
        <v>215</v>
      </c>
      <c r="I391" s="19" t="s">
        <v>216</v>
      </c>
      <c r="J391" s="19" t="s">
        <v>217</v>
      </c>
      <c r="K391" s="18">
        <v>46071.392893518518</v>
      </c>
    </row>
    <row r="392" spans="1:11" x14ac:dyDescent="0.25">
      <c r="A392" s="16" t="s">
        <v>843</v>
      </c>
      <c r="B392" s="20">
        <v>46041</v>
      </c>
      <c r="C392" s="16">
        <v>1</v>
      </c>
      <c r="D392" s="19" t="s">
        <v>43</v>
      </c>
      <c r="E392" s="19" t="s">
        <v>453</v>
      </c>
      <c r="G392" s="19">
        <v>60</v>
      </c>
      <c r="H392" s="19" t="s">
        <v>215</v>
      </c>
      <c r="I392" s="19" t="s">
        <v>246</v>
      </c>
      <c r="J392" s="19" t="s">
        <v>217</v>
      </c>
      <c r="K392" s="18">
        <v>46071.393136574072</v>
      </c>
    </row>
    <row r="393" spans="1:11" x14ac:dyDescent="0.25">
      <c r="A393" s="16" t="s">
        <v>844</v>
      </c>
      <c r="B393" s="20">
        <v>46041</v>
      </c>
      <c r="C393" s="16">
        <v>1</v>
      </c>
      <c r="D393" s="19" t="s">
        <v>43</v>
      </c>
      <c r="E393" s="19" t="s">
        <v>453</v>
      </c>
      <c r="G393" s="19">
        <v>60</v>
      </c>
      <c r="H393" s="19" t="s">
        <v>215</v>
      </c>
      <c r="I393" s="19" t="s">
        <v>246</v>
      </c>
      <c r="J393" s="19" t="s">
        <v>217</v>
      </c>
      <c r="K393" s="18">
        <v>46071.393148148149</v>
      </c>
    </row>
    <row r="394" spans="1:11" x14ac:dyDescent="0.25">
      <c r="A394" s="16" t="s">
        <v>845</v>
      </c>
      <c r="B394" s="20">
        <v>46042</v>
      </c>
      <c r="C394" s="16">
        <v>1</v>
      </c>
      <c r="D394" s="19" t="s">
        <v>43</v>
      </c>
      <c r="E394" s="19" t="s">
        <v>453</v>
      </c>
      <c r="G394" s="19">
        <v>25</v>
      </c>
      <c r="H394" s="19" t="s">
        <v>215</v>
      </c>
      <c r="I394" s="19" t="s">
        <v>246</v>
      </c>
      <c r="J394" s="19" t="s">
        <v>217</v>
      </c>
      <c r="K394" s="18">
        <v>46071.393449074072</v>
      </c>
    </row>
    <row r="395" spans="1:11" x14ac:dyDescent="0.25">
      <c r="A395" s="16" t="s">
        <v>846</v>
      </c>
      <c r="B395" s="20">
        <v>46042</v>
      </c>
      <c r="C395" s="16">
        <v>1</v>
      </c>
      <c r="D395" s="19" t="s">
        <v>43</v>
      </c>
      <c r="E395" s="19" t="s">
        <v>453</v>
      </c>
      <c r="G395" s="19">
        <v>26</v>
      </c>
      <c r="H395" s="19" t="s">
        <v>215</v>
      </c>
      <c r="I395" s="19" t="s">
        <v>246</v>
      </c>
      <c r="J395" s="19" t="s">
        <v>217</v>
      </c>
      <c r="K395" s="18">
        <v>46071.393460648149</v>
      </c>
    </row>
    <row r="396" spans="1:11" x14ac:dyDescent="0.25">
      <c r="A396" s="16" t="s">
        <v>847</v>
      </c>
      <c r="B396" s="20">
        <v>46042</v>
      </c>
      <c r="C396" s="16">
        <v>1</v>
      </c>
      <c r="D396" s="19" t="s">
        <v>43</v>
      </c>
      <c r="E396" s="19" t="s">
        <v>453</v>
      </c>
      <c r="G396" s="19">
        <v>74</v>
      </c>
      <c r="H396" s="19" t="s">
        <v>215</v>
      </c>
      <c r="I396" s="19" t="s">
        <v>246</v>
      </c>
      <c r="J396" s="19" t="s">
        <v>217</v>
      </c>
      <c r="K396" s="18">
        <v>46071.393483796295</v>
      </c>
    </row>
    <row r="397" spans="1:11" x14ac:dyDescent="0.25">
      <c r="A397" s="16" t="s">
        <v>848</v>
      </c>
      <c r="B397" s="20">
        <v>46042</v>
      </c>
      <c r="C397" s="16">
        <v>1</v>
      </c>
      <c r="D397" s="19" t="s">
        <v>43</v>
      </c>
      <c r="E397" s="19" t="s">
        <v>453</v>
      </c>
      <c r="G397" s="19">
        <v>73</v>
      </c>
      <c r="H397" s="19" t="s">
        <v>215</v>
      </c>
      <c r="I397" s="19" t="s">
        <v>246</v>
      </c>
      <c r="J397" s="19" t="s">
        <v>217</v>
      </c>
      <c r="K397" s="18">
        <v>46071.393576388888</v>
      </c>
    </row>
    <row r="398" spans="1:11" x14ac:dyDescent="0.25">
      <c r="A398" s="16" t="s">
        <v>849</v>
      </c>
      <c r="B398" s="20">
        <v>46042</v>
      </c>
      <c r="C398" s="16">
        <v>1</v>
      </c>
      <c r="D398" s="19" t="s">
        <v>43</v>
      </c>
      <c r="E398" s="19" t="s">
        <v>453</v>
      </c>
      <c r="G398" s="19">
        <v>30</v>
      </c>
      <c r="H398" s="19" t="s">
        <v>215</v>
      </c>
      <c r="I398" s="19" t="s">
        <v>246</v>
      </c>
      <c r="J398" s="19" t="s">
        <v>217</v>
      </c>
      <c r="K398" s="18">
        <v>46071.393599537034</v>
      </c>
    </row>
    <row r="399" spans="1:11" x14ac:dyDescent="0.25">
      <c r="A399" s="16" t="s">
        <v>850</v>
      </c>
      <c r="B399" s="20">
        <v>46042</v>
      </c>
      <c r="C399" s="16">
        <v>1</v>
      </c>
      <c r="D399" s="19" t="s">
        <v>43</v>
      </c>
      <c r="E399" s="19" t="s">
        <v>453</v>
      </c>
      <c r="G399" s="19">
        <v>70</v>
      </c>
      <c r="H399" s="19" t="s">
        <v>215</v>
      </c>
      <c r="I399" s="19" t="s">
        <v>246</v>
      </c>
      <c r="J399" s="19" t="s">
        <v>217</v>
      </c>
      <c r="K399" s="18">
        <v>46071.393645833334</v>
      </c>
    </row>
    <row r="400" spans="1:11" x14ac:dyDescent="0.25">
      <c r="A400" s="16" t="s">
        <v>851</v>
      </c>
      <c r="B400" s="20">
        <v>46042</v>
      </c>
      <c r="C400" s="16">
        <v>1</v>
      </c>
      <c r="D400" s="19" t="s">
        <v>43</v>
      </c>
      <c r="E400" s="19" t="s">
        <v>453</v>
      </c>
      <c r="G400" s="19">
        <v>29</v>
      </c>
      <c r="H400" s="19" t="s">
        <v>215</v>
      </c>
      <c r="I400" s="19" t="s">
        <v>246</v>
      </c>
      <c r="J400" s="19" t="s">
        <v>217</v>
      </c>
      <c r="K400" s="18">
        <v>46071.39366898148</v>
      </c>
    </row>
    <row r="401" spans="1:11" x14ac:dyDescent="0.25">
      <c r="A401" s="16" t="s">
        <v>852</v>
      </c>
      <c r="B401" s="20">
        <v>46042</v>
      </c>
      <c r="C401" s="16">
        <v>1</v>
      </c>
      <c r="D401" s="19" t="s">
        <v>43</v>
      </c>
      <c r="E401" s="19" t="s">
        <v>453</v>
      </c>
      <c r="G401" s="19">
        <v>77</v>
      </c>
      <c r="H401" s="19" t="s">
        <v>215</v>
      </c>
      <c r="I401" s="19" t="s">
        <v>216</v>
      </c>
      <c r="J401" s="19" t="s">
        <v>217</v>
      </c>
      <c r="K401" s="18">
        <v>46071.393854166665</v>
      </c>
    </row>
    <row r="402" spans="1:11" x14ac:dyDescent="0.25">
      <c r="A402" s="16" t="s">
        <v>853</v>
      </c>
      <c r="B402" s="20">
        <v>46043</v>
      </c>
      <c r="C402" s="16">
        <v>1</v>
      </c>
      <c r="D402" s="19" t="s">
        <v>43</v>
      </c>
      <c r="E402" s="19" t="s">
        <v>453</v>
      </c>
      <c r="G402" s="19">
        <v>73</v>
      </c>
      <c r="H402" s="19" t="s">
        <v>215</v>
      </c>
      <c r="I402" s="19" t="s">
        <v>216</v>
      </c>
      <c r="J402" s="19" t="s">
        <v>217</v>
      </c>
      <c r="K402" s="18">
        <v>46071.39402777778</v>
      </c>
    </row>
    <row r="403" spans="1:11" x14ac:dyDescent="0.25">
      <c r="A403" s="16" t="s">
        <v>854</v>
      </c>
      <c r="B403" s="20">
        <v>46043</v>
      </c>
      <c r="C403" s="16">
        <v>1</v>
      </c>
      <c r="D403" s="19" t="s">
        <v>43</v>
      </c>
      <c r="E403" s="19" t="s">
        <v>453</v>
      </c>
      <c r="G403" s="19">
        <v>56</v>
      </c>
      <c r="H403" s="19" t="s">
        <v>215</v>
      </c>
      <c r="I403" s="19" t="s">
        <v>246</v>
      </c>
      <c r="J403" s="19" t="s">
        <v>217</v>
      </c>
      <c r="K403" s="18">
        <v>46071.394108796296</v>
      </c>
    </row>
    <row r="404" spans="1:11" x14ac:dyDescent="0.25">
      <c r="A404" s="16" t="s">
        <v>855</v>
      </c>
      <c r="B404" s="20">
        <v>46044</v>
      </c>
      <c r="C404" s="16">
        <v>1</v>
      </c>
      <c r="D404" s="19" t="s">
        <v>43</v>
      </c>
      <c r="E404" s="19" t="s">
        <v>453</v>
      </c>
      <c r="G404" s="19">
        <v>27</v>
      </c>
      <c r="H404" s="19" t="s">
        <v>215</v>
      </c>
      <c r="I404" s="19" t="s">
        <v>246</v>
      </c>
      <c r="J404" s="19" t="s">
        <v>217</v>
      </c>
      <c r="K404" s="18">
        <v>46071.394259259258</v>
      </c>
    </row>
    <row r="405" spans="1:11" x14ac:dyDescent="0.25">
      <c r="A405" s="16" t="s">
        <v>856</v>
      </c>
      <c r="B405" s="20">
        <v>46044</v>
      </c>
      <c r="C405" s="16">
        <v>1</v>
      </c>
      <c r="D405" s="19" t="s">
        <v>43</v>
      </c>
      <c r="E405" s="19" t="s">
        <v>453</v>
      </c>
      <c r="G405" s="19">
        <v>70</v>
      </c>
      <c r="H405" s="19" t="s">
        <v>215</v>
      </c>
      <c r="I405" s="19" t="s">
        <v>246</v>
      </c>
      <c r="J405" s="19" t="s">
        <v>217</v>
      </c>
      <c r="K405" s="18">
        <v>46071.394293981481</v>
      </c>
    </row>
    <row r="406" spans="1:11" x14ac:dyDescent="0.25">
      <c r="A406" s="16" t="s">
        <v>857</v>
      </c>
      <c r="B406" s="20">
        <v>46044</v>
      </c>
      <c r="C406" s="16">
        <v>1</v>
      </c>
      <c r="D406" s="19" t="s">
        <v>43</v>
      </c>
      <c r="E406" s="19" t="s">
        <v>453</v>
      </c>
      <c r="G406" s="19">
        <v>42</v>
      </c>
      <c r="H406" s="19" t="s">
        <v>215</v>
      </c>
      <c r="I406" s="19" t="s">
        <v>246</v>
      </c>
      <c r="J406" s="19" t="s">
        <v>217</v>
      </c>
      <c r="K406" s="18">
        <v>46071.394317129627</v>
      </c>
    </row>
    <row r="407" spans="1:11" x14ac:dyDescent="0.25">
      <c r="A407" s="16" t="s">
        <v>858</v>
      </c>
      <c r="B407" s="20">
        <v>46044</v>
      </c>
      <c r="C407" s="16">
        <v>1</v>
      </c>
      <c r="D407" s="19" t="s">
        <v>43</v>
      </c>
      <c r="E407" s="19" t="s">
        <v>453</v>
      </c>
      <c r="G407" s="19">
        <v>73</v>
      </c>
      <c r="H407" s="19" t="s">
        <v>215</v>
      </c>
      <c r="I407" s="19" t="s">
        <v>246</v>
      </c>
      <c r="J407" s="19" t="s">
        <v>217</v>
      </c>
      <c r="K407" s="18">
        <v>46071.39435185185</v>
      </c>
    </row>
    <row r="408" spans="1:11" x14ac:dyDescent="0.25">
      <c r="A408" s="16" t="s">
        <v>859</v>
      </c>
      <c r="B408" s="20">
        <v>46044</v>
      </c>
      <c r="C408" s="16">
        <v>1</v>
      </c>
      <c r="D408" s="19" t="s">
        <v>43</v>
      </c>
      <c r="E408" s="19" t="s">
        <v>453</v>
      </c>
      <c r="G408" s="19">
        <v>78</v>
      </c>
      <c r="H408" s="19" t="s">
        <v>215</v>
      </c>
      <c r="I408" s="19" t="s">
        <v>246</v>
      </c>
      <c r="J408" s="19" t="s">
        <v>217</v>
      </c>
      <c r="K408" s="18">
        <v>46071.394375000003</v>
      </c>
    </row>
    <row r="409" spans="1:11" x14ac:dyDescent="0.25">
      <c r="A409" s="16" t="s">
        <v>860</v>
      </c>
      <c r="B409" s="20">
        <v>46044</v>
      </c>
      <c r="C409" s="16">
        <v>1</v>
      </c>
      <c r="D409" s="19" t="s">
        <v>43</v>
      </c>
      <c r="E409" s="19" t="s">
        <v>453</v>
      </c>
      <c r="G409" s="19">
        <v>56</v>
      </c>
      <c r="H409" s="19" t="s">
        <v>215</v>
      </c>
      <c r="I409" s="19" t="s">
        <v>216</v>
      </c>
      <c r="J409" s="19" t="s">
        <v>217</v>
      </c>
      <c r="K409" s="18">
        <v>46071.394525462965</v>
      </c>
    </row>
    <row r="410" spans="1:11" x14ac:dyDescent="0.25">
      <c r="A410" s="16" t="s">
        <v>861</v>
      </c>
      <c r="B410" s="20">
        <v>46044</v>
      </c>
      <c r="C410" s="16">
        <v>1</v>
      </c>
      <c r="D410" s="19" t="s">
        <v>43</v>
      </c>
      <c r="E410" s="19" t="s">
        <v>453</v>
      </c>
      <c r="G410" s="19">
        <v>16</v>
      </c>
      <c r="H410" s="19" t="s">
        <v>215</v>
      </c>
      <c r="I410" s="19" t="s">
        <v>216</v>
      </c>
      <c r="J410" s="19" t="s">
        <v>217</v>
      </c>
      <c r="K410" s="18">
        <v>46071.394537037035</v>
      </c>
    </row>
    <row r="411" spans="1:11" x14ac:dyDescent="0.25">
      <c r="A411" s="16" t="s">
        <v>862</v>
      </c>
      <c r="B411" s="20">
        <v>46045</v>
      </c>
      <c r="C411" s="16">
        <v>1</v>
      </c>
      <c r="D411" s="19" t="s">
        <v>43</v>
      </c>
      <c r="E411" s="19" t="s">
        <v>453</v>
      </c>
      <c r="G411" s="19">
        <v>60</v>
      </c>
      <c r="H411" s="19" t="s">
        <v>215</v>
      </c>
      <c r="I411" s="19" t="s">
        <v>216</v>
      </c>
      <c r="J411" s="19" t="s">
        <v>217</v>
      </c>
      <c r="K411" s="18">
        <v>46071.394780092596</v>
      </c>
    </row>
    <row r="412" spans="1:11" x14ac:dyDescent="0.25">
      <c r="A412" s="16" t="s">
        <v>863</v>
      </c>
      <c r="B412" s="20">
        <v>46045</v>
      </c>
      <c r="C412" s="16">
        <v>1</v>
      </c>
      <c r="D412" s="19" t="s">
        <v>43</v>
      </c>
      <c r="E412" s="19" t="s">
        <v>453</v>
      </c>
      <c r="G412" s="19">
        <v>29</v>
      </c>
      <c r="H412" s="19" t="s">
        <v>215</v>
      </c>
      <c r="I412" s="19" t="s">
        <v>246</v>
      </c>
      <c r="J412" s="19" t="s">
        <v>217</v>
      </c>
      <c r="K412" s="18">
        <v>46071.395370370374</v>
      </c>
    </row>
    <row r="413" spans="1:11" x14ac:dyDescent="0.25">
      <c r="A413" s="16" t="s">
        <v>864</v>
      </c>
      <c r="B413" s="20">
        <v>46045</v>
      </c>
      <c r="C413" s="16">
        <v>1</v>
      </c>
      <c r="D413" s="19" t="s">
        <v>43</v>
      </c>
      <c r="E413" s="19" t="s">
        <v>453</v>
      </c>
      <c r="G413" s="19">
        <v>31</v>
      </c>
      <c r="H413" s="19" t="s">
        <v>215</v>
      </c>
      <c r="I413" s="19" t="s">
        <v>246</v>
      </c>
      <c r="J413" s="19" t="s">
        <v>217</v>
      </c>
      <c r="K413" s="18">
        <v>46071.394918981481</v>
      </c>
    </row>
    <row r="414" spans="1:11" x14ac:dyDescent="0.25">
      <c r="A414" s="16" t="s">
        <v>865</v>
      </c>
      <c r="B414" s="20">
        <v>46045</v>
      </c>
      <c r="C414" s="16">
        <v>1</v>
      </c>
      <c r="D414" s="19" t="s">
        <v>43</v>
      </c>
      <c r="E414" s="19" t="s">
        <v>453</v>
      </c>
      <c r="G414" s="19">
        <v>56</v>
      </c>
      <c r="H414" s="19" t="s">
        <v>215</v>
      </c>
      <c r="I414" s="19" t="s">
        <v>246</v>
      </c>
      <c r="J414" s="19" t="s">
        <v>217</v>
      </c>
      <c r="K414" s="18">
        <v>46071.394930555558</v>
      </c>
    </row>
    <row r="415" spans="1:11" x14ac:dyDescent="0.25">
      <c r="A415" s="16" t="s">
        <v>866</v>
      </c>
      <c r="B415" s="20">
        <v>46045</v>
      </c>
      <c r="C415" s="16">
        <v>1</v>
      </c>
      <c r="D415" s="19" t="s">
        <v>43</v>
      </c>
      <c r="E415" s="19" t="s">
        <v>453</v>
      </c>
      <c r="G415" s="19">
        <v>14</v>
      </c>
      <c r="H415" s="19" t="s">
        <v>215</v>
      </c>
      <c r="I415" s="19" t="s">
        <v>246</v>
      </c>
      <c r="J415" s="19" t="s">
        <v>217</v>
      </c>
      <c r="K415" s="18">
        <v>46071.394942129627</v>
      </c>
    </row>
    <row r="416" spans="1:11" x14ac:dyDescent="0.25">
      <c r="A416" s="16" t="s">
        <v>867</v>
      </c>
      <c r="B416" s="20">
        <v>46046</v>
      </c>
      <c r="C416" s="16">
        <v>1</v>
      </c>
      <c r="D416" s="19" t="s">
        <v>43</v>
      </c>
      <c r="E416" s="19" t="s">
        <v>453</v>
      </c>
      <c r="G416" s="19">
        <v>6</v>
      </c>
      <c r="H416" s="19" t="s">
        <v>215</v>
      </c>
      <c r="I416" s="19" t="s">
        <v>246</v>
      </c>
      <c r="J416" s="19" t="s">
        <v>217</v>
      </c>
      <c r="K416" s="18">
        <v>46071.396319444444</v>
      </c>
    </row>
    <row r="417" spans="1:11" x14ac:dyDescent="0.25">
      <c r="A417" s="16" t="s">
        <v>868</v>
      </c>
      <c r="B417" s="20">
        <v>46046</v>
      </c>
      <c r="C417" s="16">
        <v>1</v>
      </c>
      <c r="D417" s="19" t="s">
        <v>43</v>
      </c>
      <c r="E417" s="19" t="s">
        <v>453</v>
      </c>
      <c r="G417" s="19">
        <v>69</v>
      </c>
      <c r="H417" s="19" t="s">
        <v>215</v>
      </c>
      <c r="I417" s="19" t="s">
        <v>246</v>
      </c>
      <c r="J417" s="19" t="s">
        <v>217</v>
      </c>
      <c r="K417" s="18">
        <v>46071.39571759259</v>
      </c>
    </row>
    <row r="418" spans="1:11" x14ac:dyDescent="0.25">
      <c r="A418" s="16" t="s">
        <v>869</v>
      </c>
      <c r="B418" s="20">
        <v>46046</v>
      </c>
      <c r="C418" s="16">
        <v>1</v>
      </c>
      <c r="D418" s="19" t="s">
        <v>43</v>
      </c>
      <c r="E418" s="19" t="s">
        <v>453</v>
      </c>
      <c r="G418" s="19">
        <v>28</v>
      </c>
      <c r="H418" s="19" t="s">
        <v>215</v>
      </c>
      <c r="I418" s="19" t="s">
        <v>246</v>
      </c>
      <c r="J418" s="19" t="s">
        <v>217</v>
      </c>
      <c r="K418" s="18">
        <v>46071.395740740743</v>
      </c>
    </row>
    <row r="419" spans="1:11" x14ac:dyDescent="0.25">
      <c r="A419" s="16" t="s">
        <v>870</v>
      </c>
      <c r="B419" s="20">
        <v>46047</v>
      </c>
      <c r="C419" s="16">
        <v>1</v>
      </c>
      <c r="D419" s="19" t="s">
        <v>43</v>
      </c>
      <c r="E419" s="19" t="s">
        <v>453</v>
      </c>
      <c r="G419" s="19">
        <v>37</v>
      </c>
      <c r="H419" s="19" t="s">
        <v>215</v>
      </c>
      <c r="I419" s="19" t="s">
        <v>216</v>
      </c>
      <c r="J419" s="19" t="s">
        <v>217</v>
      </c>
      <c r="K419" s="18">
        <v>46071.396527777775</v>
      </c>
    </row>
    <row r="420" spans="1:11" x14ac:dyDescent="0.25">
      <c r="A420" s="16" t="s">
        <v>871</v>
      </c>
      <c r="B420" s="20">
        <v>46047</v>
      </c>
      <c r="C420" s="16">
        <v>1</v>
      </c>
      <c r="D420" s="19" t="s">
        <v>43</v>
      </c>
      <c r="E420" s="19" t="s">
        <v>453</v>
      </c>
      <c r="G420" s="19">
        <v>23</v>
      </c>
      <c r="H420" s="19" t="s">
        <v>215</v>
      </c>
      <c r="I420" s="19" t="s">
        <v>216</v>
      </c>
      <c r="J420" s="19" t="s">
        <v>217</v>
      </c>
      <c r="K420" s="18">
        <v>46071.396539351852</v>
      </c>
    </row>
    <row r="421" spans="1:11" x14ac:dyDescent="0.25">
      <c r="A421" s="16" t="s">
        <v>872</v>
      </c>
      <c r="B421" s="20">
        <v>46048</v>
      </c>
      <c r="C421" s="16">
        <v>1</v>
      </c>
      <c r="D421" s="19" t="s">
        <v>43</v>
      </c>
      <c r="E421" s="19" t="s">
        <v>453</v>
      </c>
      <c r="G421" s="19">
        <v>71</v>
      </c>
      <c r="H421" s="19" t="s">
        <v>215</v>
      </c>
      <c r="I421" s="19" t="s">
        <v>246</v>
      </c>
      <c r="J421" s="19" t="s">
        <v>217</v>
      </c>
      <c r="K421" s="18">
        <v>46071.396921296298</v>
      </c>
    </row>
    <row r="422" spans="1:11" x14ac:dyDescent="0.25">
      <c r="A422" s="16" t="s">
        <v>873</v>
      </c>
      <c r="B422" s="20">
        <v>46048</v>
      </c>
      <c r="C422" s="16">
        <v>1</v>
      </c>
      <c r="D422" s="19" t="s">
        <v>43</v>
      </c>
      <c r="E422" s="19" t="s">
        <v>453</v>
      </c>
      <c r="G422" s="19">
        <v>67</v>
      </c>
      <c r="H422" s="19" t="s">
        <v>215</v>
      </c>
      <c r="I422" s="19" t="s">
        <v>246</v>
      </c>
      <c r="J422" s="19" t="s">
        <v>217</v>
      </c>
      <c r="K422" s="18">
        <v>46071.396967592591</v>
      </c>
    </row>
    <row r="423" spans="1:11" x14ac:dyDescent="0.25">
      <c r="A423" s="16" t="s">
        <v>874</v>
      </c>
      <c r="B423" s="20">
        <v>46048</v>
      </c>
      <c r="C423" s="16">
        <v>1</v>
      </c>
      <c r="D423" s="19" t="s">
        <v>43</v>
      </c>
      <c r="E423" s="19" t="s">
        <v>453</v>
      </c>
      <c r="G423" s="19">
        <v>42</v>
      </c>
      <c r="H423" s="19" t="s">
        <v>215</v>
      </c>
      <c r="I423" s="19" t="s">
        <v>246</v>
      </c>
      <c r="J423" s="19" t="s">
        <v>217</v>
      </c>
      <c r="K423" s="18">
        <v>46071.397013888891</v>
      </c>
    </row>
    <row r="424" spans="1:11" x14ac:dyDescent="0.25">
      <c r="A424" s="16" t="s">
        <v>875</v>
      </c>
      <c r="B424" s="20">
        <v>46048</v>
      </c>
      <c r="C424" s="16">
        <v>1</v>
      </c>
      <c r="D424" s="19" t="s">
        <v>43</v>
      </c>
      <c r="E424" s="19" t="s">
        <v>453</v>
      </c>
      <c r="G424" s="19">
        <v>14</v>
      </c>
      <c r="H424" s="19" t="s">
        <v>215</v>
      </c>
      <c r="I424" s="19" t="s">
        <v>246</v>
      </c>
      <c r="J424" s="19" t="s">
        <v>217</v>
      </c>
      <c r="K424" s="18">
        <v>46071.397048611114</v>
      </c>
    </row>
    <row r="425" spans="1:11" x14ac:dyDescent="0.25">
      <c r="A425" s="16" t="s">
        <v>876</v>
      </c>
      <c r="B425" s="20">
        <v>46048</v>
      </c>
      <c r="C425" s="16">
        <v>1</v>
      </c>
      <c r="D425" s="19" t="s">
        <v>43</v>
      </c>
      <c r="E425" s="19" t="s">
        <v>453</v>
      </c>
      <c r="G425" s="19">
        <v>67</v>
      </c>
      <c r="H425" s="19" t="s">
        <v>215</v>
      </c>
      <c r="I425" s="19" t="s">
        <v>246</v>
      </c>
      <c r="J425" s="19" t="s">
        <v>217</v>
      </c>
      <c r="K425" s="18">
        <v>46071.397152777776</v>
      </c>
    </row>
    <row r="426" spans="1:11" x14ac:dyDescent="0.25">
      <c r="A426" s="16" t="s">
        <v>877</v>
      </c>
      <c r="B426" s="20">
        <v>46049</v>
      </c>
      <c r="C426" s="16">
        <v>1</v>
      </c>
      <c r="D426" s="19" t="s">
        <v>43</v>
      </c>
      <c r="E426" s="19" t="s">
        <v>453</v>
      </c>
      <c r="G426" s="19">
        <v>28</v>
      </c>
      <c r="H426" s="19" t="s">
        <v>215</v>
      </c>
      <c r="I426" s="19" t="s">
        <v>246</v>
      </c>
      <c r="J426" s="19" t="s">
        <v>217</v>
      </c>
      <c r="K426" s="18">
        <v>46071.397245370368</v>
      </c>
    </row>
    <row r="427" spans="1:11" x14ac:dyDescent="0.25">
      <c r="A427" s="16" t="s">
        <v>878</v>
      </c>
      <c r="B427" s="20">
        <v>46049</v>
      </c>
      <c r="C427" s="16">
        <v>1</v>
      </c>
      <c r="D427" s="19" t="s">
        <v>43</v>
      </c>
      <c r="E427" s="19" t="s">
        <v>453</v>
      </c>
      <c r="G427" s="19">
        <v>84</v>
      </c>
      <c r="H427" s="19" t="s">
        <v>215</v>
      </c>
      <c r="I427" s="19" t="s">
        <v>246</v>
      </c>
      <c r="J427" s="19" t="s">
        <v>217</v>
      </c>
      <c r="K427" s="18">
        <v>46071.397280092591</v>
      </c>
    </row>
    <row r="428" spans="1:11" x14ac:dyDescent="0.25">
      <c r="A428" s="16" t="s">
        <v>879</v>
      </c>
      <c r="B428" s="20">
        <v>46049</v>
      </c>
      <c r="C428" s="16">
        <v>1</v>
      </c>
      <c r="D428" s="19" t="s">
        <v>43</v>
      </c>
      <c r="E428" s="19" t="s">
        <v>453</v>
      </c>
      <c r="G428" s="19">
        <v>68</v>
      </c>
      <c r="H428" s="19" t="s">
        <v>215</v>
      </c>
      <c r="I428" s="19" t="s">
        <v>246</v>
      </c>
      <c r="J428" s="19" t="s">
        <v>217</v>
      </c>
      <c r="K428" s="18">
        <v>46071.397303240738</v>
      </c>
    </row>
    <row r="429" spans="1:11" x14ac:dyDescent="0.25">
      <c r="A429" s="16" t="s">
        <v>880</v>
      </c>
      <c r="B429" s="20">
        <v>46049</v>
      </c>
      <c r="C429" s="16">
        <v>1</v>
      </c>
      <c r="D429" s="19" t="s">
        <v>43</v>
      </c>
      <c r="E429" s="19" t="s">
        <v>453</v>
      </c>
      <c r="G429" s="19">
        <v>14</v>
      </c>
      <c r="H429" s="19" t="s">
        <v>215</v>
      </c>
      <c r="I429" s="19" t="s">
        <v>246</v>
      </c>
      <c r="J429" s="19" t="s">
        <v>217</v>
      </c>
      <c r="K429" s="18">
        <v>46071.397326388891</v>
      </c>
    </row>
    <row r="430" spans="1:11" x14ac:dyDescent="0.25">
      <c r="A430" s="16" t="s">
        <v>881</v>
      </c>
      <c r="B430" s="20">
        <v>46049</v>
      </c>
      <c r="C430" s="16">
        <v>1</v>
      </c>
      <c r="D430" s="19" t="s">
        <v>43</v>
      </c>
      <c r="E430" s="19" t="s">
        <v>453</v>
      </c>
      <c r="G430" s="19">
        <v>31</v>
      </c>
      <c r="H430" s="19" t="s">
        <v>215</v>
      </c>
      <c r="I430" s="19" t="s">
        <v>246</v>
      </c>
      <c r="J430" s="19" t="s">
        <v>217</v>
      </c>
      <c r="K430" s="18">
        <v>46071.397349537037</v>
      </c>
    </row>
    <row r="431" spans="1:11" x14ac:dyDescent="0.25">
      <c r="A431" s="16" t="s">
        <v>882</v>
      </c>
      <c r="B431" s="20">
        <v>46049</v>
      </c>
      <c r="C431" s="16">
        <v>1</v>
      </c>
      <c r="D431" s="19" t="s">
        <v>43</v>
      </c>
      <c r="E431" s="19" t="s">
        <v>453</v>
      </c>
      <c r="G431" s="19">
        <v>75</v>
      </c>
      <c r="H431" s="19" t="s">
        <v>215</v>
      </c>
      <c r="I431" s="19" t="s">
        <v>216</v>
      </c>
      <c r="J431" s="19" t="s">
        <v>217</v>
      </c>
      <c r="K431" s="18">
        <v>46071.397407407407</v>
      </c>
    </row>
    <row r="432" spans="1:11" x14ac:dyDescent="0.25">
      <c r="A432" s="16" t="s">
        <v>883</v>
      </c>
      <c r="B432" s="20">
        <v>46050</v>
      </c>
      <c r="C432" s="16">
        <v>1</v>
      </c>
      <c r="D432" s="19" t="s">
        <v>43</v>
      </c>
      <c r="E432" s="19" t="s">
        <v>453</v>
      </c>
      <c r="G432" s="19">
        <v>46</v>
      </c>
      <c r="H432" s="19" t="s">
        <v>215</v>
      </c>
      <c r="I432" s="19" t="s">
        <v>216</v>
      </c>
      <c r="J432" s="19" t="s">
        <v>217</v>
      </c>
      <c r="K432" s="18">
        <v>46071.397592592592</v>
      </c>
    </row>
    <row r="433" spans="1:11" x14ac:dyDescent="0.25">
      <c r="A433" s="16" t="s">
        <v>884</v>
      </c>
      <c r="B433" s="20">
        <v>46050</v>
      </c>
      <c r="C433" s="16">
        <v>1</v>
      </c>
      <c r="D433" s="19" t="s">
        <v>43</v>
      </c>
      <c r="E433" s="19" t="s">
        <v>453</v>
      </c>
      <c r="G433" s="19">
        <v>49</v>
      </c>
      <c r="H433" s="19" t="s">
        <v>215</v>
      </c>
      <c r="I433" s="19" t="s">
        <v>216</v>
      </c>
      <c r="J433" s="19" t="s">
        <v>217</v>
      </c>
      <c r="K433" s="18">
        <v>46071.397627314815</v>
      </c>
    </row>
    <row r="434" spans="1:11" x14ac:dyDescent="0.25">
      <c r="A434" s="16" t="s">
        <v>885</v>
      </c>
      <c r="B434" s="20">
        <v>46050</v>
      </c>
      <c r="C434" s="16">
        <v>1</v>
      </c>
      <c r="D434" s="19" t="s">
        <v>43</v>
      </c>
      <c r="E434" s="19" t="s">
        <v>453</v>
      </c>
      <c r="G434" s="19">
        <v>62</v>
      </c>
      <c r="H434" s="19" t="s">
        <v>215</v>
      </c>
      <c r="I434" s="19" t="s">
        <v>216</v>
      </c>
      <c r="J434" s="19" t="s">
        <v>217</v>
      </c>
      <c r="K434" s="18">
        <v>46071.397662037038</v>
      </c>
    </row>
    <row r="435" spans="1:11" x14ac:dyDescent="0.25">
      <c r="A435" s="16" t="s">
        <v>886</v>
      </c>
      <c r="B435" s="20">
        <v>46050</v>
      </c>
      <c r="C435" s="16">
        <v>1</v>
      </c>
      <c r="D435" s="19" t="s">
        <v>43</v>
      </c>
      <c r="E435" s="19" t="s">
        <v>453</v>
      </c>
      <c r="G435" s="19">
        <v>24</v>
      </c>
      <c r="H435" s="19" t="s">
        <v>215</v>
      </c>
      <c r="I435" s="19" t="s">
        <v>216</v>
      </c>
      <c r="J435" s="19" t="s">
        <v>217</v>
      </c>
      <c r="K435" s="18">
        <v>46071.397685185184</v>
      </c>
    </row>
    <row r="436" spans="1:11" x14ac:dyDescent="0.25">
      <c r="A436" s="16" t="s">
        <v>887</v>
      </c>
      <c r="B436" s="20">
        <v>46050</v>
      </c>
      <c r="C436" s="16">
        <v>1</v>
      </c>
      <c r="D436" s="19" t="s">
        <v>43</v>
      </c>
      <c r="E436" s="19" t="s">
        <v>453</v>
      </c>
      <c r="G436" s="19">
        <v>63</v>
      </c>
      <c r="H436" s="19" t="s">
        <v>215</v>
      </c>
      <c r="I436" s="19" t="s">
        <v>246</v>
      </c>
      <c r="J436" s="19" t="s">
        <v>217</v>
      </c>
      <c r="K436" s="18">
        <v>46071.397812499999</v>
      </c>
    </row>
    <row r="437" spans="1:11" x14ac:dyDescent="0.25">
      <c r="A437" s="16" t="s">
        <v>888</v>
      </c>
      <c r="B437" s="20">
        <v>46050</v>
      </c>
      <c r="C437" s="16">
        <v>1</v>
      </c>
      <c r="D437" s="19" t="s">
        <v>43</v>
      </c>
      <c r="E437" s="19" t="s">
        <v>453</v>
      </c>
      <c r="G437" s="19">
        <v>67</v>
      </c>
      <c r="H437" s="19" t="s">
        <v>215</v>
      </c>
      <c r="I437" s="19" t="s">
        <v>246</v>
      </c>
      <c r="J437" s="19" t="s">
        <v>217</v>
      </c>
      <c r="K437" s="18">
        <v>46071.397824074076</v>
      </c>
    </row>
    <row r="438" spans="1:11" x14ac:dyDescent="0.25">
      <c r="A438" s="16" t="s">
        <v>889</v>
      </c>
      <c r="B438" s="20">
        <v>46051</v>
      </c>
      <c r="C438" s="16">
        <v>1</v>
      </c>
      <c r="D438" s="19" t="s">
        <v>43</v>
      </c>
      <c r="E438" s="19" t="s">
        <v>453</v>
      </c>
      <c r="G438" s="19">
        <v>1</v>
      </c>
      <c r="H438" s="19" t="s">
        <v>215</v>
      </c>
      <c r="I438" s="19" t="s">
        <v>246</v>
      </c>
      <c r="J438" s="19" t="s">
        <v>217</v>
      </c>
      <c r="K438" s="18">
        <v>46071.398611111108</v>
      </c>
    </row>
    <row r="439" spans="1:11" x14ac:dyDescent="0.25">
      <c r="A439" s="16" t="s">
        <v>890</v>
      </c>
      <c r="B439" s="20">
        <v>46051</v>
      </c>
      <c r="C439" s="16">
        <v>1</v>
      </c>
      <c r="D439" s="19" t="s">
        <v>43</v>
      </c>
      <c r="E439" s="19" t="s">
        <v>453</v>
      </c>
      <c r="G439" s="19">
        <v>22</v>
      </c>
      <c r="H439" s="19" t="s">
        <v>215</v>
      </c>
      <c r="I439" s="19" t="s">
        <v>216</v>
      </c>
      <c r="J439" s="19" t="s">
        <v>217</v>
      </c>
      <c r="K439" s="18">
        <v>46071.39875</v>
      </c>
    </row>
    <row r="440" spans="1:11" x14ac:dyDescent="0.25">
      <c r="A440" s="16" t="s">
        <v>891</v>
      </c>
      <c r="B440" s="20">
        <v>46051</v>
      </c>
      <c r="C440" s="16">
        <v>1</v>
      </c>
      <c r="D440" s="19" t="s">
        <v>43</v>
      </c>
      <c r="E440" s="19" t="s">
        <v>453</v>
      </c>
      <c r="G440" s="19">
        <v>22</v>
      </c>
      <c r="H440" s="19" t="s">
        <v>215</v>
      </c>
      <c r="I440" s="19" t="s">
        <v>216</v>
      </c>
      <c r="J440" s="19" t="s">
        <v>217</v>
      </c>
      <c r="K440" s="18">
        <v>46071.39875</v>
      </c>
    </row>
    <row r="441" spans="1:11" x14ac:dyDescent="0.25">
      <c r="A441" s="16" t="s">
        <v>892</v>
      </c>
      <c r="B441" s="20">
        <v>46052</v>
      </c>
      <c r="C441" s="16">
        <v>1</v>
      </c>
      <c r="D441" s="19" t="s">
        <v>43</v>
      </c>
      <c r="E441" s="19" t="s">
        <v>453</v>
      </c>
      <c r="G441" s="19">
        <v>57</v>
      </c>
      <c r="H441" s="19" t="s">
        <v>215</v>
      </c>
      <c r="I441" s="19" t="s">
        <v>216</v>
      </c>
      <c r="J441" s="19" t="s">
        <v>217</v>
      </c>
      <c r="K441" s="18">
        <v>46071.398993055554</v>
      </c>
    </row>
    <row r="442" spans="1:11" x14ac:dyDescent="0.25">
      <c r="A442" s="16" t="s">
        <v>893</v>
      </c>
      <c r="B442" s="20">
        <v>46052</v>
      </c>
      <c r="C442" s="16">
        <v>1</v>
      </c>
      <c r="D442" s="19" t="s">
        <v>43</v>
      </c>
      <c r="E442" s="19" t="s">
        <v>453</v>
      </c>
      <c r="G442" s="19">
        <v>33</v>
      </c>
      <c r="H442" s="19" t="s">
        <v>215</v>
      </c>
      <c r="I442" s="19" t="s">
        <v>216</v>
      </c>
      <c r="J442" s="19" t="s">
        <v>217</v>
      </c>
      <c r="K442" s="18">
        <v>46071.399016203701</v>
      </c>
    </row>
    <row r="443" spans="1:11" x14ac:dyDescent="0.25">
      <c r="A443" s="16" t="s">
        <v>894</v>
      </c>
      <c r="B443" s="20">
        <v>46052</v>
      </c>
      <c r="C443" s="16">
        <v>1</v>
      </c>
      <c r="D443" s="19" t="s">
        <v>43</v>
      </c>
      <c r="E443" s="19" t="s">
        <v>453</v>
      </c>
      <c r="G443" s="19">
        <v>56</v>
      </c>
      <c r="H443" s="19" t="s">
        <v>215</v>
      </c>
      <c r="I443" s="19" t="s">
        <v>216</v>
      </c>
      <c r="J443" s="19" t="s">
        <v>217</v>
      </c>
      <c r="K443" s="18">
        <v>46071.399039351854</v>
      </c>
    </row>
    <row r="444" spans="1:11" x14ac:dyDescent="0.25">
      <c r="A444" s="16" t="s">
        <v>895</v>
      </c>
      <c r="B444" s="20">
        <v>46052</v>
      </c>
      <c r="C444" s="16">
        <v>1</v>
      </c>
      <c r="D444" s="19" t="s">
        <v>43</v>
      </c>
      <c r="E444" s="19" t="s">
        <v>453</v>
      </c>
      <c r="G444" s="19">
        <v>62</v>
      </c>
      <c r="H444" s="19" t="s">
        <v>215</v>
      </c>
      <c r="I444" s="19" t="s">
        <v>216</v>
      </c>
      <c r="J444" s="19" t="s">
        <v>217</v>
      </c>
      <c r="K444" s="18">
        <v>46071.399062500001</v>
      </c>
    </row>
    <row r="445" spans="1:11" x14ac:dyDescent="0.25">
      <c r="A445" s="16" t="s">
        <v>896</v>
      </c>
      <c r="B445" s="20">
        <v>46052</v>
      </c>
      <c r="C445" s="16">
        <v>1</v>
      </c>
      <c r="D445" s="19" t="s">
        <v>43</v>
      </c>
      <c r="E445" s="19" t="s">
        <v>453</v>
      </c>
      <c r="G445" s="19">
        <v>42</v>
      </c>
      <c r="H445" s="19" t="s">
        <v>215</v>
      </c>
      <c r="I445" s="19" t="s">
        <v>216</v>
      </c>
      <c r="J445" s="19" t="s">
        <v>217</v>
      </c>
      <c r="K445" s="18">
        <v>46071.399108796293</v>
      </c>
    </row>
    <row r="446" spans="1:11" x14ac:dyDescent="0.25">
      <c r="A446" s="16" t="s">
        <v>897</v>
      </c>
      <c r="B446" s="20">
        <v>46052</v>
      </c>
      <c r="C446" s="16">
        <v>1</v>
      </c>
      <c r="D446" s="19" t="s">
        <v>43</v>
      </c>
      <c r="E446" s="19" t="s">
        <v>453</v>
      </c>
      <c r="G446" s="19">
        <v>40</v>
      </c>
      <c r="H446" s="19" t="s">
        <v>215</v>
      </c>
      <c r="I446" s="19" t="s">
        <v>246</v>
      </c>
      <c r="J446" s="19" t="s">
        <v>217</v>
      </c>
      <c r="K446" s="18">
        <v>46071.399212962962</v>
      </c>
    </row>
    <row r="447" spans="1:11" x14ac:dyDescent="0.25">
      <c r="A447" s="16" t="s">
        <v>898</v>
      </c>
      <c r="B447" s="20">
        <v>46052</v>
      </c>
      <c r="C447" s="16">
        <v>1</v>
      </c>
      <c r="D447" s="19" t="s">
        <v>43</v>
      </c>
      <c r="E447" s="19" t="s">
        <v>453</v>
      </c>
      <c r="G447" s="19">
        <v>96</v>
      </c>
      <c r="H447" s="19" t="s">
        <v>215</v>
      </c>
      <c r="I447" s="19" t="s">
        <v>246</v>
      </c>
      <c r="J447" s="19" t="s">
        <v>217</v>
      </c>
      <c r="K447" s="18">
        <v>46071.399270833332</v>
      </c>
    </row>
    <row r="448" spans="1:11" x14ac:dyDescent="0.25">
      <c r="A448" s="16" t="s">
        <v>899</v>
      </c>
      <c r="B448" s="20">
        <v>46052</v>
      </c>
      <c r="C448" s="16">
        <v>1</v>
      </c>
      <c r="D448" s="19" t="s">
        <v>43</v>
      </c>
      <c r="E448" s="19" t="s">
        <v>453</v>
      </c>
      <c r="G448" s="19">
        <v>41</v>
      </c>
      <c r="H448" s="19" t="s">
        <v>215</v>
      </c>
      <c r="I448" s="19" t="s">
        <v>246</v>
      </c>
      <c r="J448" s="19" t="s">
        <v>217</v>
      </c>
      <c r="K448" s="18">
        <v>46071.399282407408</v>
      </c>
    </row>
    <row r="449" spans="1:11" x14ac:dyDescent="0.25">
      <c r="A449" s="16" t="s">
        <v>900</v>
      </c>
      <c r="B449" s="20">
        <v>46053</v>
      </c>
      <c r="C449" s="16">
        <v>1</v>
      </c>
      <c r="D449" s="19" t="s">
        <v>43</v>
      </c>
      <c r="E449" s="19" t="s">
        <v>453</v>
      </c>
      <c r="G449" s="19">
        <v>89</v>
      </c>
      <c r="H449" s="19" t="s">
        <v>215</v>
      </c>
      <c r="I449" s="19" t="s">
        <v>246</v>
      </c>
      <c r="J449" s="19" t="s">
        <v>217</v>
      </c>
      <c r="K449" s="18">
        <v>46071.39943287037</v>
      </c>
    </row>
    <row r="450" spans="1:11" x14ac:dyDescent="0.25">
      <c r="A450" s="16" t="s">
        <v>901</v>
      </c>
      <c r="B450" s="20">
        <v>46053</v>
      </c>
      <c r="C450" s="16">
        <v>1</v>
      </c>
      <c r="D450" s="19" t="s">
        <v>43</v>
      </c>
      <c r="E450" s="19" t="s">
        <v>453</v>
      </c>
      <c r="G450" s="19">
        <v>50</v>
      </c>
      <c r="H450" s="19" t="s">
        <v>215</v>
      </c>
      <c r="I450" s="19" t="s">
        <v>216</v>
      </c>
      <c r="J450" s="19" t="s">
        <v>217</v>
      </c>
      <c r="K450" s="18">
        <v>46071.399537037039</v>
      </c>
    </row>
    <row r="451" spans="1:11" x14ac:dyDescent="0.25">
      <c r="A451" s="16" t="s">
        <v>902</v>
      </c>
      <c r="B451" s="20">
        <v>46023</v>
      </c>
      <c r="C451" s="16">
        <v>1</v>
      </c>
      <c r="D451" s="19" t="s">
        <v>31</v>
      </c>
      <c r="E451" s="19" t="s">
        <v>453</v>
      </c>
      <c r="G451" s="19">
        <v>82</v>
      </c>
      <c r="H451" s="19" t="s">
        <v>215</v>
      </c>
      <c r="I451" s="19" t="s">
        <v>216</v>
      </c>
      <c r="J451" s="19" t="s">
        <v>217</v>
      </c>
      <c r="K451" s="18">
        <v>46071.430104166669</v>
      </c>
    </row>
    <row r="452" spans="1:11" x14ac:dyDescent="0.25">
      <c r="A452" s="16" t="s">
        <v>903</v>
      </c>
      <c r="B452" s="20">
        <v>46023</v>
      </c>
      <c r="C452" s="16">
        <v>1</v>
      </c>
      <c r="D452" s="19" t="s">
        <v>31</v>
      </c>
      <c r="E452" s="19" t="s">
        <v>453</v>
      </c>
      <c r="G452" s="19">
        <v>17</v>
      </c>
      <c r="H452" s="19" t="s">
        <v>215</v>
      </c>
      <c r="I452" s="19" t="s">
        <v>216</v>
      </c>
      <c r="J452" s="19" t="s">
        <v>217</v>
      </c>
      <c r="K452" s="18">
        <v>46071.430127314816</v>
      </c>
    </row>
    <row r="453" spans="1:11" x14ac:dyDescent="0.25">
      <c r="A453" s="16" t="s">
        <v>904</v>
      </c>
      <c r="B453" s="20">
        <v>46023</v>
      </c>
      <c r="C453" s="16">
        <v>1</v>
      </c>
      <c r="D453" s="19" t="s">
        <v>31</v>
      </c>
      <c r="E453" s="19" t="s">
        <v>453</v>
      </c>
      <c r="G453" s="19">
        <v>18</v>
      </c>
      <c r="H453" s="19" t="s">
        <v>215</v>
      </c>
      <c r="I453" s="19" t="s">
        <v>216</v>
      </c>
      <c r="J453" s="19" t="s">
        <v>217</v>
      </c>
      <c r="K453" s="18">
        <v>46071.430162037039</v>
      </c>
    </row>
    <row r="454" spans="1:11" x14ac:dyDescent="0.25">
      <c r="A454" s="16" t="s">
        <v>905</v>
      </c>
      <c r="B454" s="20">
        <v>46023</v>
      </c>
      <c r="C454" s="16">
        <v>1</v>
      </c>
      <c r="D454" s="19" t="s">
        <v>31</v>
      </c>
      <c r="E454" s="19" t="s">
        <v>453</v>
      </c>
      <c r="G454" s="19">
        <v>67</v>
      </c>
      <c r="H454" s="19" t="s">
        <v>215</v>
      </c>
      <c r="I454" s="19" t="s">
        <v>216</v>
      </c>
      <c r="J454" s="19" t="s">
        <v>217</v>
      </c>
      <c r="K454" s="18">
        <v>46071.430185185185</v>
      </c>
    </row>
    <row r="455" spans="1:11" x14ac:dyDescent="0.25">
      <c r="A455" s="16" t="s">
        <v>906</v>
      </c>
      <c r="B455" s="20">
        <v>46024</v>
      </c>
      <c r="C455" s="16">
        <v>1</v>
      </c>
      <c r="D455" s="19" t="s">
        <v>31</v>
      </c>
      <c r="E455" s="19" t="s">
        <v>453</v>
      </c>
      <c r="G455" s="19">
        <v>37</v>
      </c>
      <c r="H455" s="19" t="s">
        <v>215</v>
      </c>
      <c r="I455" s="19" t="s">
        <v>216</v>
      </c>
      <c r="J455" s="19" t="s">
        <v>217</v>
      </c>
      <c r="K455" s="18">
        <v>46071.430474537039</v>
      </c>
    </row>
    <row r="456" spans="1:11" x14ac:dyDescent="0.25">
      <c r="A456" s="16" t="s">
        <v>907</v>
      </c>
      <c r="B456" s="20">
        <v>46024</v>
      </c>
      <c r="C456" s="16">
        <v>1</v>
      </c>
      <c r="D456" s="19" t="s">
        <v>31</v>
      </c>
      <c r="E456" s="19" t="s">
        <v>453</v>
      </c>
      <c r="G456" s="19">
        <v>27</v>
      </c>
      <c r="H456" s="19" t="s">
        <v>215</v>
      </c>
      <c r="I456" s="19" t="s">
        <v>216</v>
      </c>
      <c r="J456" s="19" t="s">
        <v>217</v>
      </c>
      <c r="K456" s="18">
        <v>46071.430497685185</v>
      </c>
    </row>
    <row r="457" spans="1:11" x14ac:dyDescent="0.25">
      <c r="A457" s="16" t="s">
        <v>908</v>
      </c>
      <c r="B457" s="20">
        <v>46025</v>
      </c>
      <c r="C457" s="16">
        <v>1</v>
      </c>
      <c r="D457" s="19" t="s">
        <v>31</v>
      </c>
      <c r="E457" s="19" t="s">
        <v>453</v>
      </c>
      <c r="G457" s="19">
        <v>34</v>
      </c>
      <c r="H457" s="19" t="s">
        <v>215</v>
      </c>
      <c r="I457" s="19" t="s">
        <v>216</v>
      </c>
      <c r="J457" s="19" t="s">
        <v>217</v>
      </c>
      <c r="K457" s="18">
        <v>46071.430636574078</v>
      </c>
    </row>
    <row r="458" spans="1:11" x14ac:dyDescent="0.25">
      <c r="A458" s="16" t="s">
        <v>909</v>
      </c>
      <c r="B458" s="20">
        <v>46025</v>
      </c>
      <c r="C458" s="16">
        <v>1</v>
      </c>
      <c r="D458" s="19" t="s">
        <v>31</v>
      </c>
      <c r="E458" s="19" t="s">
        <v>453</v>
      </c>
      <c r="G458" s="19">
        <v>19</v>
      </c>
      <c r="H458" s="19" t="s">
        <v>215</v>
      </c>
      <c r="I458" s="19" t="s">
        <v>216</v>
      </c>
      <c r="J458" s="19" t="s">
        <v>217</v>
      </c>
      <c r="K458" s="18">
        <v>46071.430659722224</v>
      </c>
    </row>
    <row r="459" spans="1:11" x14ac:dyDescent="0.25">
      <c r="A459" s="16" t="s">
        <v>910</v>
      </c>
      <c r="B459" s="20">
        <v>46026</v>
      </c>
      <c r="C459" s="16">
        <v>1</v>
      </c>
      <c r="D459" s="19" t="s">
        <v>31</v>
      </c>
      <c r="E459" s="19" t="s">
        <v>453</v>
      </c>
      <c r="G459" s="19">
        <v>49</v>
      </c>
      <c r="H459" s="19" t="s">
        <v>215</v>
      </c>
      <c r="I459" s="19" t="s">
        <v>216</v>
      </c>
      <c r="J459" s="19" t="s">
        <v>217</v>
      </c>
      <c r="K459" s="18">
        <v>46071.43072916667</v>
      </c>
    </row>
    <row r="460" spans="1:11" x14ac:dyDescent="0.25">
      <c r="A460" s="16" t="s">
        <v>911</v>
      </c>
      <c r="B460" s="20">
        <v>46026</v>
      </c>
      <c r="C460" s="16">
        <v>1</v>
      </c>
      <c r="D460" s="19" t="s">
        <v>31</v>
      </c>
      <c r="E460" s="19" t="s">
        <v>453</v>
      </c>
      <c r="G460" s="19">
        <v>33</v>
      </c>
      <c r="H460" s="19" t="s">
        <v>215</v>
      </c>
      <c r="I460" s="19" t="s">
        <v>216</v>
      </c>
      <c r="J460" s="19" t="s">
        <v>217</v>
      </c>
      <c r="K460" s="18">
        <v>46071.43074074074</v>
      </c>
    </row>
    <row r="461" spans="1:11" x14ac:dyDescent="0.25">
      <c r="A461" s="16" t="s">
        <v>912</v>
      </c>
      <c r="B461" s="20">
        <v>46026</v>
      </c>
      <c r="C461" s="16">
        <v>1</v>
      </c>
      <c r="D461" s="19" t="s">
        <v>31</v>
      </c>
      <c r="E461" s="19" t="s">
        <v>453</v>
      </c>
      <c r="G461" s="19">
        <v>53</v>
      </c>
      <c r="H461" s="19" t="s">
        <v>215</v>
      </c>
      <c r="I461" s="19" t="s">
        <v>216</v>
      </c>
      <c r="J461" s="19" t="s">
        <v>217</v>
      </c>
      <c r="K461" s="18">
        <v>46071.430775462963</v>
      </c>
    </row>
    <row r="462" spans="1:11" x14ac:dyDescent="0.25">
      <c r="A462" s="16" t="s">
        <v>913</v>
      </c>
      <c r="B462" s="20">
        <v>46026</v>
      </c>
      <c r="C462" s="16">
        <v>1</v>
      </c>
      <c r="D462" s="19" t="s">
        <v>31</v>
      </c>
      <c r="E462" s="19" t="s">
        <v>453</v>
      </c>
      <c r="G462" s="19">
        <v>41</v>
      </c>
      <c r="H462" s="19" t="s">
        <v>215</v>
      </c>
      <c r="I462" s="19" t="s">
        <v>216</v>
      </c>
      <c r="J462" s="19" t="s">
        <v>217</v>
      </c>
      <c r="K462" s="18">
        <v>46071.430821759262</v>
      </c>
    </row>
    <row r="463" spans="1:11" x14ac:dyDescent="0.25">
      <c r="A463" s="16" t="s">
        <v>914</v>
      </c>
      <c r="B463" s="20">
        <v>46026</v>
      </c>
      <c r="C463" s="16">
        <v>1</v>
      </c>
      <c r="D463" s="19" t="s">
        <v>31</v>
      </c>
      <c r="E463" s="19" t="s">
        <v>453</v>
      </c>
      <c r="G463" s="19">
        <v>57</v>
      </c>
      <c r="H463" s="19" t="s">
        <v>215</v>
      </c>
      <c r="I463" s="19" t="s">
        <v>216</v>
      </c>
      <c r="J463" s="19" t="s">
        <v>217</v>
      </c>
      <c r="K463" s="18">
        <v>46071.430833333332</v>
      </c>
    </row>
    <row r="464" spans="1:11" x14ac:dyDescent="0.25">
      <c r="A464" s="16" t="s">
        <v>915</v>
      </c>
      <c r="B464" s="20">
        <v>46026</v>
      </c>
      <c r="C464" s="16">
        <v>1</v>
      </c>
      <c r="D464" s="19" t="s">
        <v>31</v>
      </c>
      <c r="E464" s="19" t="s">
        <v>453</v>
      </c>
      <c r="G464" s="19">
        <v>15</v>
      </c>
      <c r="H464" s="19" t="s">
        <v>215</v>
      </c>
      <c r="I464" s="19" t="s">
        <v>216</v>
      </c>
      <c r="J464" s="19" t="s">
        <v>217</v>
      </c>
      <c r="K464" s="18">
        <v>46071.430844907409</v>
      </c>
    </row>
    <row r="465" spans="1:11" x14ac:dyDescent="0.25">
      <c r="A465" s="16" t="s">
        <v>916</v>
      </c>
      <c r="B465" s="20">
        <v>46027</v>
      </c>
      <c r="C465" s="16">
        <v>1</v>
      </c>
      <c r="D465" s="19" t="s">
        <v>31</v>
      </c>
      <c r="E465" s="19" t="s">
        <v>453</v>
      </c>
      <c r="G465" s="19">
        <v>60</v>
      </c>
      <c r="H465" s="19" t="s">
        <v>215</v>
      </c>
      <c r="I465" s="19" t="s">
        <v>216</v>
      </c>
      <c r="J465" s="19" t="s">
        <v>217</v>
      </c>
      <c r="K465" s="18">
        <v>46071.430925925924</v>
      </c>
    </row>
    <row r="466" spans="1:11" x14ac:dyDescent="0.25">
      <c r="A466" s="16" t="s">
        <v>917</v>
      </c>
      <c r="B466" s="20">
        <v>46027</v>
      </c>
      <c r="C466" s="16">
        <v>1</v>
      </c>
      <c r="D466" s="19" t="s">
        <v>31</v>
      </c>
      <c r="E466" s="19" t="s">
        <v>453</v>
      </c>
      <c r="G466" s="19">
        <v>56</v>
      </c>
      <c r="H466" s="19" t="s">
        <v>215</v>
      </c>
      <c r="I466" s="19" t="s">
        <v>216</v>
      </c>
      <c r="J466" s="19" t="s">
        <v>217</v>
      </c>
      <c r="K466" s="18">
        <v>46071.430937500001</v>
      </c>
    </row>
    <row r="467" spans="1:11" x14ac:dyDescent="0.25">
      <c r="A467" s="16" t="s">
        <v>918</v>
      </c>
      <c r="B467" s="20">
        <v>46027</v>
      </c>
      <c r="C467" s="16">
        <v>1</v>
      </c>
      <c r="D467" s="19" t="s">
        <v>31</v>
      </c>
      <c r="E467" s="19" t="s">
        <v>453</v>
      </c>
      <c r="G467" s="19">
        <v>74</v>
      </c>
      <c r="H467" s="19" t="s">
        <v>215</v>
      </c>
      <c r="I467" s="19" t="s">
        <v>216</v>
      </c>
      <c r="J467" s="19" t="s">
        <v>217</v>
      </c>
      <c r="K467" s="18">
        <v>46071.430995370371</v>
      </c>
    </row>
    <row r="468" spans="1:11" x14ac:dyDescent="0.25">
      <c r="A468" s="16" t="s">
        <v>919</v>
      </c>
      <c r="B468" s="20">
        <v>46027</v>
      </c>
      <c r="C468" s="16">
        <v>1</v>
      </c>
      <c r="D468" s="19" t="s">
        <v>31</v>
      </c>
      <c r="E468" s="19" t="s">
        <v>453</v>
      </c>
      <c r="G468" s="19">
        <v>64</v>
      </c>
      <c r="H468" s="19" t="s">
        <v>215</v>
      </c>
      <c r="I468" s="19" t="s">
        <v>216</v>
      </c>
      <c r="J468" s="19" t="s">
        <v>217</v>
      </c>
      <c r="K468" s="18">
        <v>46071.431006944447</v>
      </c>
    </row>
    <row r="469" spans="1:11" x14ac:dyDescent="0.25">
      <c r="A469" s="16" t="s">
        <v>920</v>
      </c>
      <c r="B469" s="20">
        <v>46028</v>
      </c>
      <c r="C469" s="16">
        <v>1</v>
      </c>
      <c r="D469" s="19" t="s">
        <v>31</v>
      </c>
      <c r="E469" s="19" t="s">
        <v>453</v>
      </c>
      <c r="G469" s="19">
        <v>33</v>
      </c>
      <c r="H469" s="19" t="s">
        <v>215</v>
      </c>
      <c r="I469" s="19" t="s">
        <v>216</v>
      </c>
      <c r="J469" s="19" t="s">
        <v>217</v>
      </c>
      <c r="K469" s="18">
        <v>46071.431168981479</v>
      </c>
    </row>
    <row r="470" spans="1:11" x14ac:dyDescent="0.25">
      <c r="A470" s="16" t="s">
        <v>921</v>
      </c>
      <c r="B470" s="20">
        <v>46028</v>
      </c>
      <c r="C470" s="16">
        <v>1</v>
      </c>
      <c r="D470" s="19" t="s">
        <v>31</v>
      </c>
      <c r="E470" s="19" t="s">
        <v>453</v>
      </c>
      <c r="G470" s="19">
        <v>62</v>
      </c>
      <c r="H470" s="19" t="s">
        <v>215</v>
      </c>
      <c r="I470" s="19" t="s">
        <v>216</v>
      </c>
      <c r="J470" s="19" t="s">
        <v>217</v>
      </c>
      <c r="K470" s="18">
        <v>46071.431203703702</v>
      </c>
    </row>
    <row r="471" spans="1:11" x14ac:dyDescent="0.25">
      <c r="A471" s="16" t="s">
        <v>922</v>
      </c>
      <c r="B471" s="20">
        <v>46029</v>
      </c>
      <c r="C471" s="16">
        <v>1</v>
      </c>
      <c r="D471" s="19" t="s">
        <v>31</v>
      </c>
      <c r="E471" s="19" t="s">
        <v>453</v>
      </c>
      <c r="G471" s="19">
        <v>19</v>
      </c>
      <c r="H471" s="19" t="s">
        <v>215</v>
      </c>
      <c r="I471" s="19" t="s">
        <v>216</v>
      </c>
      <c r="J471" s="19" t="s">
        <v>217</v>
      </c>
      <c r="K471" s="18">
        <v>46071.431319444448</v>
      </c>
    </row>
    <row r="472" spans="1:11" x14ac:dyDescent="0.25">
      <c r="A472" s="16" t="s">
        <v>923</v>
      </c>
      <c r="B472" s="20">
        <v>46029</v>
      </c>
      <c r="C472" s="16">
        <v>1</v>
      </c>
      <c r="D472" s="19" t="s">
        <v>31</v>
      </c>
      <c r="E472" s="19" t="s">
        <v>453</v>
      </c>
      <c r="G472" s="19">
        <v>17</v>
      </c>
      <c r="H472" s="19" t="s">
        <v>215</v>
      </c>
      <c r="I472" s="19" t="s">
        <v>216</v>
      </c>
      <c r="J472" s="19" t="s">
        <v>217</v>
      </c>
      <c r="K472" s="18">
        <v>46071.431354166663</v>
      </c>
    </row>
    <row r="473" spans="1:11" x14ac:dyDescent="0.25">
      <c r="A473" s="16" t="s">
        <v>924</v>
      </c>
      <c r="B473" s="20">
        <v>46029</v>
      </c>
      <c r="C473" s="16">
        <v>1</v>
      </c>
      <c r="D473" s="19" t="s">
        <v>31</v>
      </c>
      <c r="E473" s="19" t="s">
        <v>453</v>
      </c>
      <c r="G473" s="19">
        <v>15</v>
      </c>
      <c r="H473" s="19" t="s">
        <v>215</v>
      </c>
      <c r="I473" s="19" t="s">
        <v>216</v>
      </c>
      <c r="J473" s="19" t="s">
        <v>217</v>
      </c>
      <c r="K473" s="18">
        <v>46071.431377314817</v>
      </c>
    </row>
    <row r="474" spans="1:11" x14ac:dyDescent="0.25">
      <c r="A474" s="16" t="s">
        <v>925</v>
      </c>
      <c r="B474" s="20">
        <v>46029</v>
      </c>
      <c r="C474" s="16">
        <v>1</v>
      </c>
      <c r="D474" s="19" t="s">
        <v>31</v>
      </c>
      <c r="E474" s="19" t="s">
        <v>453</v>
      </c>
      <c r="G474" s="19">
        <v>56</v>
      </c>
      <c r="H474" s="19" t="s">
        <v>215</v>
      </c>
      <c r="I474" s="19" t="s">
        <v>216</v>
      </c>
      <c r="J474" s="19" t="s">
        <v>217</v>
      </c>
      <c r="K474" s="18">
        <v>46071.431388888886</v>
      </c>
    </row>
    <row r="475" spans="1:11" x14ac:dyDescent="0.25">
      <c r="A475" s="16" t="s">
        <v>926</v>
      </c>
      <c r="B475" s="20">
        <v>46029</v>
      </c>
      <c r="C475" s="16">
        <v>1</v>
      </c>
      <c r="D475" s="19" t="s">
        <v>31</v>
      </c>
      <c r="E475" s="19" t="s">
        <v>453</v>
      </c>
      <c r="G475" s="19">
        <v>23</v>
      </c>
      <c r="H475" s="19" t="s">
        <v>215</v>
      </c>
      <c r="I475" s="19" t="s">
        <v>216</v>
      </c>
      <c r="J475" s="19" t="s">
        <v>217</v>
      </c>
      <c r="K475" s="18">
        <v>46071.43141203704</v>
      </c>
    </row>
    <row r="476" spans="1:11" x14ac:dyDescent="0.25">
      <c r="A476" s="16" t="s">
        <v>927</v>
      </c>
      <c r="B476" s="20">
        <v>46030</v>
      </c>
      <c r="C476" s="16">
        <v>1</v>
      </c>
      <c r="D476" s="19" t="s">
        <v>31</v>
      </c>
      <c r="E476" s="19" t="s">
        <v>453</v>
      </c>
      <c r="G476" s="19">
        <v>47</v>
      </c>
      <c r="H476" s="19" t="s">
        <v>215</v>
      </c>
      <c r="I476" s="19" t="s">
        <v>216</v>
      </c>
      <c r="J476" s="19" t="s">
        <v>217</v>
      </c>
      <c r="K476" s="18">
        <v>46071.431562500002</v>
      </c>
    </row>
    <row r="477" spans="1:11" x14ac:dyDescent="0.25">
      <c r="A477" s="16" t="s">
        <v>928</v>
      </c>
      <c r="B477" s="20">
        <v>46031</v>
      </c>
      <c r="C477" s="16">
        <v>1</v>
      </c>
      <c r="D477" s="19" t="s">
        <v>31</v>
      </c>
      <c r="E477" s="19" t="s">
        <v>453</v>
      </c>
      <c r="G477" s="19">
        <v>46</v>
      </c>
      <c r="H477" s="19" t="s">
        <v>215</v>
      </c>
      <c r="I477" s="19" t="s">
        <v>216</v>
      </c>
      <c r="J477" s="19" t="s">
        <v>217</v>
      </c>
      <c r="K477" s="18">
        <v>46071.431620370371</v>
      </c>
    </row>
    <row r="478" spans="1:11" x14ac:dyDescent="0.25">
      <c r="A478" s="16" t="s">
        <v>929</v>
      </c>
      <c r="B478" s="20">
        <v>46031</v>
      </c>
      <c r="C478" s="16">
        <v>1</v>
      </c>
      <c r="D478" s="19" t="s">
        <v>31</v>
      </c>
      <c r="E478" s="19" t="s">
        <v>453</v>
      </c>
      <c r="G478" s="19">
        <v>59</v>
      </c>
      <c r="H478" s="19" t="s">
        <v>215</v>
      </c>
      <c r="I478" s="19" t="s">
        <v>216</v>
      </c>
      <c r="J478" s="19" t="s">
        <v>217</v>
      </c>
      <c r="K478" s="18">
        <v>46071.43178240741</v>
      </c>
    </row>
    <row r="479" spans="1:11" x14ac:dyDescent="0.25">
      <c r="A479" s="16" t="s">
        <v>930</v>
      </c>
      <c r="B479" s="20">
        <v>46031</v>
      </c>
      <c r="C479" s="16">
        <v>1</v>
      </c>
      <c r="D479" s="19" t="s">
        <v>31</v>
      </c>
      <c r="E479" s="19" t="s">
        <v>453</v>
      </c>
      <c r="G479" s="19">
        <v>52</v>
      </c>
      <c r="H479" s="19" t="s">
        <v>215</v>
      </c>
      <c r="I479" s="19" t="s">
        <v>216</v>
      </c>
      <c r="J479" s="19" t="s">
        <v>217</v>
      </c>
      <c r="K479" s="18">
        <v>46071.431817129633</v>
      </c>
    </row>
    <row r="480" spans="1:11" x14ac:dyDescent="0.25">
      <c r="A480" s="16" t="s">
        <v>931</v>
      </c>
      <c r="B480" s="20">
        <v>46031</v>
      </c>
      <c r="C480" s="16">
        <v>1</v>
      </c>
      <c r="D480" s="19" t="s">
        <v>31</v>
      </c>
      <c r="E480" s="19" t="s">
        <v>453</v>
      </c>
      <c r="G480" s="19">
        <v>73</v>
      </c>
      <c r="H480" s="19" t="s">
        <v>215</v>
      </c>
      <c r="I480" s="19" t="s">
        <v>216</v>
      </c>
      <c r="J480" s="19" t="s">
        <v>217</v>
      </c>
      <c r="K480" s="18">
        <v>46071.431851851848</v>
      </c>
    </row>
    <row r="481" spans="1:11" x14ac:dyDescent="0.25">
      <c r="A481" s="16" t="s">
        <v>932</v>
      </c>
      <c r="B481" s="20">
        <v>46032</v>
      </c>
      <c r="C481" s="16">
        <v>1</v>
      </c>
      <c r="D481" s="19" t="s">
        <v>31</v>
      </c>
      <c r="E481" s="19" t="s">
        <v>453</v>
      </c>
      <c r="G481" s="19">
        <v>53</v>
      </c>
      <c r="H481" s="19" t="s">
        <v>215</v>
      </c>
      <c r="I481" s="19" t="s">
        <v>216</v>
      </c>
      <c r="J481" s="19" t="s">
        <v>217</v>
      </c>
      <c r="K481" s="18">
        <v>46071.431921296295</v>
      </c>
    </row>
    <row r="482" spans="1:11" x14ac:dyDescent="0.25">
      <c r="A482" s="16" t="s">
        <v>933</v>
      </c>
      <c r="B482" s="20">
        <v>46032</v>
      </c>
      <c r="C482" s="16">
        <v>1</v>
      </c>
      <c r="D482" s="19" t="s">
        <v>31</v>
      </c>
      <c r="E482" s="19" t="s">
        <v>453</v>
      </c>
      <c r="G482" s="19">
        <v>24</v>
      </c>
      <c r="H482" s="19" t="s">
        <v>215</v>
      </c>
      <c r="I482" s="19" t="s">
        <v>216</v>
      </c>
      <c r="J482" s="19" t="s">
        <v>217</v>
      </c>
      <c r="K482" s="18">
        <v>46071.431944444441</v>
      </c>
    </row>
    <row r="483" spans="1:11" x14ac:dyDescent="0.25">
      <c r="A483" s="16" t="s">
        <v>934</v>
      </c>
      <c r="B483" s="20">
        <v>46033</v>
      </c>
      <c r="C483" s="16">
        <v>1</v>
      </c>
      <c r="D483" s="19" t="s">
        <v>31</v>
      </c>
      <c r="E483" s="19" t="s">
        <v>453</v>
      </c>
      <c r="G483" s="19">
        <v>32</v>
      </c>
      <c r="H483" s="19" t="s">
        <v>215</v>
      </c>
      <c r="I483" s="19" t="s">
        <v>216</v>
      </c>
      <c r="J483" s="19" t="s">
        <v>217</v>
      </c>
      <c r="K483" s="18">
        <v>46071.43204861111</v>
      </c>
    </row>
    <row r="484" spans="1:11" x14ac:dyDescent="0.25">
      <c r="A484" s="16" t="s">
        <v>935</v>
      </c>
      <c r="B484" s="20">
        <v>46034</v>
      </c>
      <c r="C484" s="16">
        <v>1</v>
      </c>
      <c r="D484" s="19" t="s">
        <v>31</v>
      </c>
      <c r="E484" s="19" t="s">
        <v>453</v>
      </c>
      <c r="G484" s="19">
        <v>44</v>
      </c>
      <c r="H484" s="19" t="s">
        <v>215</v>
      </c>
      <c r="I484" s="19" t="s">
        <v>216</v>
      </c>
      <c r="J484" s="19" t="s">
        <v>217</v>
      </c>
      <c r="K484" s="18">
        <v>46071.432164351849</v>
      </c>
    </row>
    <row r="485" spans="1:11" x14ac:dyDescent="0.25">
      <c r="A485" s="16" t="s">
        <v>936</v>
      </c>
      <c r="B485" s="20">
        <v>46034</v>
      </c>
      <c r="C485" s="16">
        <v>1</v>
      </c>
      <c r="D485" s="19" t="s">
        <v>31</v>
      </c>
      <c r="E485" s="19" t="s">
        <v>453</v>
      </c>
      <c r="G485" s="19">
        <v>61</v>
      </c>
      <c r="H485" s="19" t="s">
        <v>215</v>
      </c>
      <c r="I485" s="19" t="s">
        <v>216</v>
      </c>
      <c r="J485" s="19" t="s">
        <v>217</v>
      </c>
      <c r="K485" s="18">
        <v>46071.432233796295</v>
      </c>
    </row>
    <row r="486" spans="1:11" x14ac:dyDescent="0.25">
      <c r="A486" s="16" t="s">
        <v>937</v>
      </c>
      <c r="B486" s="20">
        <v>46034</v>
      </c>
      <c r="C486" s="16">
        <v>1</v>
      </c>
      <c r="D486" s="19" t="s">
        <v>31</v>
      </c>
      <c r="E486" s="19" t="s">
        <v>453</v>
      </c>
      <c r="G486" s="19">
        <v>19</v>
      </c>
      <c r="H486" s="19" t="s">
        <v>215</v>
      </c>
      <c r="I486" s="19" t="s">
        <v>216</v>
      </c>
      <c r="J486" s="19" t="s">
        <v>217</v>
      </c>
      <c r="K486" s="18">
        <v>46071.43241898148</v>
      </c>
    </row>
    <row r="487" spans="1:11" x14ac:dyDescent="0.25">
      <c r="A487" s="16" t="s">
        <v>938</v>
      </c>
      <c r="B487" s="20">
        <v>46034</v>
      </c>
      <c r="C487" s="16">
        <v>1</v>
      </c>
      <c r="D487" s="19" t="s">
        <v>31</v>
      </c>
      <c r="E487" s="19" t="s">
        <v>453</v>
      </c>
      <c r="G487" s="19">
        <v>65</v>
      </c>
      <c r="H487" s="19" t="s">
        <v>215</v>
      </c>
      <c r="I487" s="19" t="s">
        <v>216</v>
      </c>
      <c r="J487" s="19" t="s">
        <v>217</v>
      </c>
      <c r="K487" s="18">
        <v>46071.432442129626</v>
      </c>
    </row>
    <row r="488" spans="1:11" x14ac:dyDescent="0.25">
      <c r="A488" s="16" t="s">
        <v>939</v>
      </c>
      <c r="B488" s="20">
        <v>46034</v>
      </c>
      <c r="C488" s="16">
        <v>1</v>
      </c>
      <c r="D488" s="19" t="s">
        <v>31</v>
      </c>
      <c r="E488" s="19" t="s">
        <v>453</v>
      </c>
      <c r="G488" s="19">
        <v>35</v>
      </c>
      <c r="H488" s="19" t="s">
        <v>215</v>
      </c>
      <c r="I488" s="19" t="s">
        <v>216</v>
      </c>
      <c r="J488" s="19" t="s">
        <v>217</v>
      </c>
      <c r="K488" s="18">
        <v>46071.43246527778</v>
      </c>
    </row>
    <row r="489" spans="1:11" x14ac:dyDescent="0.25">
      <c r="A489" s="16" t="s">
        <v>940</v>
      </c>
      <c r="B489" s="20">
        <v>46035</v>
      </c>
      <c r="C489" s="16">
        <v>1</v>
      </c>
      <c r="D489" s="19" t="s">
        <v>31</v>
      </c>
      <c r="E489" s="19" t="s">
        <v>453</v>
      </c>
      <c r="G489" s="19">
        <v>25</v>
      </c>
      <c r="H489" s="19" t="s">
        <v>215</v>
      </c>
      <c r="I489" s="19" t="s">
        <v>216</v>
      </c>
      <c r="J489" s="19" t="s">
        <v>217</v>
      </c>
      <c r="K489" s="18">
        <v>46071.432546296295</v>
      </c>
    </row>
    <row r="490" spans="1:11" x14ac:dyDescent="0.25">
      <c r="A490" s="16" t="s">
        <v>941</v>
      </c>
      <c r="B490" s="20">
        <v>46035</v>
      </c>
      <c r="C490" s="16">
        <v>1</v>
      </c>
      <c r="D490" s="19" t="s">
        <v>31</v>
      </c>
      <c r="E490" s="19" t="s">
        <v>453</v>
      </c>
      <c r="G490" s="19">
        <v>82</v>
      </c>
      <c r="H490" s="19" t="s">
        <v>215</v>
      </c>
      <c r="I490" s="19" t="s">
        <v>216</v>
      </c>
      <c r="J490" s="19" t="s">
        <v>217</v>
      </c>
      <c r="K490" s="18">
        <v>46071.432569444441</v>
      </c>
    </row>
    <row r="491" spans="1:11" x14ac:dyDescent="0.25">
      <c r="A491" s="16" t="s">
        <v>942</v>
      </c>
      <c r="B491" s="20">
        <v>46035</v>
      </c>
      <c r="C491" s="16">
        <v>1</v>
      </c>
      <c r="D491" s="19" t="s">
        <v>31</v>
      </c>
      <c r="E491" s="19" t="s">
        <v>453</v>
      </c>
      <c r="G491" s="19">
        <v>64</v>
      </c>
      <c r="H491" s="19" t="s">
        <v>215</v>
      </c>
      <c r="I491" s="19" t="s">
        <v>216</v>
      </c>
      <c r="J491" s="19" t="s">
        <v>217</v>
      </c>
      <c r="K491" s="18">
        <v>46071.432592592595</v>
      </c>
    </row>
    <row r="492" spans="1:11" x14ac:dyDescent="0.25">
      <c r="A492" s="16" t="s">
        <v>943</v>
      </c>
      <c r="B492" s="20">
        <v>46035</v>
      </c>
      <c r="C492" s="16">
        <v>1</v>
      </c>
      <c r="D492" s="19" t="s">
        <v>31</v>
      </c>
      <c r="E492" s="19" t="s">
        <v>453</v>
      </c>
      <c r="G492" s="19">
        <v>24</v>
      </c>
      <c r="H492" s="19" t="s">
        <v>215</v>
      </c>
      <c r="I492" s="19" t="s">
        <v>216</v>
      </c>
      <c r="J492" s="19" t="s">
        <v>217</v>
      </c>
      <c r="K492" s="18">
        <v>46071.432615740741</v>
      </c>
    </row>
    <row r="493" spans="1:11" x14ac:dyDescent="0.25">
      <c r="A493" s="16" t="s">
        <v>944</v>
      </c>
      <c r="B493" s="20">
        <v>46035</v>
      </c>
      <c r="C493" s="16">
        <v>1</v>
      </c>
      <c r="D493" s="19" t="s">
        <v>31</v>
      </c>
      <c r="E493" s="19" t="s">
        <v>453</v>
      </c>
      <c r="G493" s="19">
        <v>54</v>
      </c>
      <c r="H493" s="19" t="s">
        <v>215</v>
      </c>
      <c r="I493" s="19" t="s">
        <v>216</v>
      </c>
      <c r="J493" s="19" t="s">
        <v>217</v>
      </c>
      <c r="K493" s="18">
        <v>46071.432662037034</v>
      </c>
    </row>
    <row r="494" spans="1:11" x14ac:dyDescent="0.25">
      <c r="A494" s="16" t="s">
        <v>945</v>
      </c>
      <c r="B494" s="20">
        <v>46036</v>
      </c>
      <c r="C494" s="16">
        <v>1</v>
      </c>
      <c r="D494" s="19" t="s">
        <v>31</v>
      </c>
      <c r="E494" s="19" t="s">
        <v>453</v>
      </c>
      <c r="G494" s="19">
        <v>44</v>
      </c>
      <c r="H494" s="19" t="s">
        <v>215</v>
      </c>
      <c r="I494" s="19" t="s">
        <v>216</v>
      </c>
      <c r="J494" s="19" t="s">
        <v>217</v>
      </c>
      <c r="K494" s="18">
        <v>46071.432800925926</v>
      </c>
    </row>
    <row r="495" spans="1:11" x14ac:dyDescent="0.25">
      <c r="A495" s="16" t="s">
        <v>946</v>
      </c>
      <c r="B495" s="20">
        <v>46037</v>
      </c>
      <c r="C495" s="16">
        <v>1</v>
      </c>
      <c r="D495" s="19" t="s">
        <v>31</v>
      </c>
      <c r="E495" s="19" t="s">
        <v>453</v>
      </c>
      <c r="G495" s="19">
        <v>31</v>
      </c>
      <c r="H495" s="19" t="s">
        <v>215</v>
      </c>
      <c r="I495" s="19" t="s">
        <v>216</v>
      </c>
      <c r="J495" s="19" t="s">
        <v>217</v>
      </c>
      <c r="K495" s="18">
        <v>46071.432928240742</v>
      </c>
    </row>
    <row r="496" spans="1:11" x14ac:dyDescent="0.25">
      <c r="A496" s="16" t="s">
        <v>947</v>
      </c>
      <c r="B496" s="20">
        <v>46037</v>
      </c>
      <c r="C496" s="16">
        <v>1</v>
      </c>
      <c r="D496" s="19" t="s">
        <v>31</v>
      </c>
      <c r="E496" s="19" t="s">
        <v>453</v>
      </c>
      <c r="G496" s="19">
        <v>41</v>
      </c>
      <c r="H496" s="19" t="s">
        <v>215</v>
      </c>
      <c r="I496" s="19" t="s">
        <v>216</v>
      </c>
      <c r="J496" s="19" t="s">
        <v>217</v>
      </c>
      <c r="K496" s="18">
        <v>46071.432939814818</v>
      </c>
    </row>
    <row r="497" spans="1:11" x14ac:dyDescent="0.25">
      <c r="A497" s="16" t="s">
        <v>948</v>
      </c>
      <c r="B497" s="20">
        <v>46039</v>
      </c>
      <c r="C497" s="16">
        <v>1</v>
      </c>
      <c r="D497" s="19" t="s">
        <v>31</v>
      </c>
      <c r="E497" s="19" t="s">
        <v>453</v>
      </c>
      <c r="G497" s="19">
        <v>52</v>
      </c>
      <c r="H497" s="19" t="s">
        <v>215</v>
      </c>
      <c r="I497" s="19" t="s">
        <v>216</v>
      </c>
      <c r="J497" s="19" t="s">
        <v>217</v>
      </c>
      <c r="K497" s="18">
        <v>46071.433125000003</v>
      </c>
    </row>
    <row r="498" spans="1:11" x14ac:dyDescent="0.25">
      <c r="A498" s="16" t="s">
        <v>949</v>
      </c>
      <c r="B498" s="20">
        <v>46039</v>
      </c>
      <c r="C498" s="16">
        <v>1</v>
      </c>
      <c r="D498" s="19" t="s">
        <v>31</v>
      </c>
      <c r="E498" s="19" t="s">
        <v>453</v>
      </c>
      <c r="G498" s="19">
        <v>60</v>
      </c>
      <c r="H498" s="19" t="s">
        <v>215</v>
      </c>
      <c r="I498" s="19" t="s">
        <v>216</v>
      </c>
      <c r="J498" s="19" t="s">
        <v>217</v>
      </c>
      <c r="K498" s="18">
        <v>46071.433148148149</v>
      </c>
    </row>
    <row r="499" spans="1:11" x14ac:dyDescent="0.25">
      <c r="A499" s="16" t="s">
        <v>950</v>
      </c>
      <c r="B499" s="20">
        <v>46039</v>
      </c>
      <c r="C499" s="16">
        <v>1</v>
      </c>
      <c r="D499" s="19" t="s">
        <v>31</v>
      </c>
      <c r="E499" s="19" t="s">
        <v>453</v>
      </c>
      <c r="G499" s="19">
        <v>30</v>
      </c>
      <c r="H499" s="19" t="s">
        <v>215</v>
      </c>
      <c r="I499" s="19" t="s">
        <v>216</v>
      </c>
      <c r="J499" s="19" t="s">
        <v>217</v>
      </c>
      <c r="K499" s="18">
        <v>46071.433159722219</v>
      </c>
    </row>
    <row r="500" spans="1:11" x14ac:dyDescent="0.25">
      <c r="A500" s="16" t="s">
        <v>951</v>
      </c>
      <c r="B500" s="20">
        <v>46040</v>
      </c>
      <c r="C500" s="16">
        <v>1</v>
      </c>
      <c r="D500" s="19" t="s">
        <v>31</v>
      </c>
      <c r="E500" s="19" t="s">
        <v>453</v>
      </c>
      <c r="G500" s="19">
        <v>45</v>
      </c>
      <c r="H500" s="19" t="s">
        <v>215</v>
      </c>
      <c r="I500" s="19" t="s">
        <v>216</v>
      </c>
      <c r="J500" s="19" t="s">
        <v>217</v>
      </c>
      <c r="K500" s="18">
        <v>46071.433287037034</v>
      </c>
    </row>
    <row r="501" spans="1:11" x14ac:dyDescent="0.25">
      <c r="A501" s="16" t="s">
        <v>952</v>
      </c>
      <c r="B501" s="20">
        <v>46040</v>
      </c>
      <c r="C501" s="16">
        <v>1</v>
      </c>
      <c r="D501" s="19" t="s">
        <v>31</v>
      </c>
      <c r="E501" s="19" t="s">
        <v>453</v>
      </c>
      <c r="G501" s="19">
        <v>40</v>
      </c>
      <c r="H501" s="19" t="s">
        <v>215</v>
      </c>
      <c r="I501" s="19" t="s">
        <v>216</v>
      </c>
      <c r="J501" s="19" t="s">
        <v>217</v>
      </c>
      <c r="K501" s="18">
        <v>46071.433333333334</v>
      </c>
    </row>
    <row r="502" spans="1:11" x14ac:dyDescent="0.25">
      <c r="A502" s="16" t="s">
        <v>953</v>
      </c>
      <c r="B502" s="20">
        <v>46040</v>
      </c>
      <c r="C502" s="16">
        <v>1</v>
      </c>
      <c r="D502" s="19" t="s">
        <v>31</v>
      </c>
      <c r="E502" s="19" t="s">
        <v>453</v>
      </c>
      <c r="G502" s="19">
        <v>21</v>
      </c>
      <c r="H502" s="19" t="s">
        <v>215</v>
      </c>
      <c r="I502" s="19" t="s">
        <v>216</v>
      </c>
      <c r="J502" s="19" t="s">
        <v>217</v>
      </c>
      <c r="K502" s="18">
        <v>46071.433344907404</v>
      </c>
    </row>
    <row r="503" spans="1:11" x14ac:dyDescent="0.25">
      <c r="A503" s="16" t="s">
        <v>954</v>
      </c>
      <c r="B503" s="20">
        <v>46040</v>
      </c>
      <c r="C503" s="16">
        <v>1</v>
      </c>
      <c r="D503" s="19" t="s">
        <v>31</v>
      </c>
      <c r="E503" s="19" t="s">
        <v>453</v>
      </c>
      <c r="G503" s="19">
        <v>14</v>
      </c>
      <c r="H503" s="19" t="s">
        <v>215</v>
      </c>
      <c r="I503" s="19" t="s">
        <v>216</v>
      </c>
      <c r="J503" s="19" t="s">
        <v>217</v>
      </c>
      <c r="K503" s="18">
        <v>46071.433379629627</v>
      </c>
    </row>
    <row r="504" spans="1:11" x14ac:dyDescent="0.25">
      <c r="A504" s="16" t="s">
        <v>955</v>
      </c>
      <c r="B504" s="20">
        <v>46041</v>
      </c>
      <c r="C504" s="16">
        <v>1</v>
      </c>
      <c r="D504" s="19" t="s">
        <v>31</v>
      </c>
      <c r="E504" s="19" t="s">
        <v>453</v>
      </c>
      <c r="G504" s="19">
        <v>21</v>
      </c>
      <c r="H504" s="19" t="s">
        <v>215</v>
      </c>
      <c r="I504" s="19" t="s">
        <v>216</v>
      </c>
      <c r="J504" s="19" t="s">
        <v>217</v>
      </c>
      <c r="K504" s="18">
        <v>46071.433495370373</v>
      </c>
    </row>
    <row r="505" spans="1:11" x14ac:dyDescent="0.25">
      <c r="A505" s="16" t="s">
        <v>956</v>
      </c>
      <c r="B505" s="20">
        <v>46041</v>
      </c>
      <c r="C505" s="16">
        <v>1</v>
      </c>
      <c r="D505" s="19" t="s">
        <v>31</v>
      </c>
      <c r="E505" s="19" t="s">
        <v>453</v>
      </c>
      <c r="G505" s="19">
        <v>64</v>
      </c>
      <c r="H505" s="19" t="s">
        <v>215</v>
      </c>
      <c r="I505" s="19" t="s">
        <v>216</v>
      </c>
      <c r="J505" s="19" t="s">
        <v>217</v>
      </c>
      <c r="K505" s="18">
        <v>46071.433518518519</v>
      </c>
    </row>
    <row r="506" spans="1:11" x14ac:dyDescent="0.25">
      <c r="A506" s="16" t="s">
        <v>957</v>
      </c>
      <c r="B506" s="20">
        <v>46041</v>
      </c>
      <c r="C506" s="16">
        <v>1</v>
      </c>
      <c r="D506" s="19" t="s">
        <v>31</v>
      </c>
      <c r="E506" s="19" t="s">
        <v>453</v>
      </c>
      <c r="G506" s="19">
        <v>90</v>
      </c>
      <c r="H506" s="19" t="s">
        <v>215</v>
      </c>
      <c r="I506" s="19" t="s">
        <v>216</v>
      </c>
      <c r="J506" s="19" t="s">
        <v>217</v>
      </c>
      <c r="K506" s="18">
        <v>46071.433553240742</v>
      </c>
    </row>
    <row r="507" spans="1:11" x14ac:dyDescent="0.25">
      <c r="A507" s="16" t="s">
        <v>958</v>
      </c>
      <c r="B507" s="20">
        <v>46042</v>
      </c>
      <c r="C507" s="16">
        <v>1</v>
      </c>
      <c r="D507" s="19" t="s">
        <v>31</v>
      </c>
      <c r="E507" s="19" t="s">
        <v>453</v>
      </c>
      <c r="G507" s="19">
        <v>49</v>
      </c>
      <c r="H507" s="19" t="s">
        <v>215</v>
      </c>
      <c r="I507" s="19" t="s">
        <v>216</v>
      </c>
      <c r="J507" s="19" t="s">
        <v>217</v>
      </c>
      <c r="K507" s="18">
        <v>46071.43408564815</v>
      </c>
    </row>
    <row r="508" spans="1:11" x14ac:dyDescent="0.25">
      <c r="A508" s="16" t="s">
        <v>959</v>
      </c>
      <c r="B508" s="20">
        <v>46042</v>
      </c>
      <c r="C508" s="16">
        <v>1</v>
      </c>
      <c r="D508" s="19" t="s">
        <v>31</v>
      </c>
      <c r="E508" s="19" t="s">
        <v>453</v>
      </c>
      <c r="G508" s="19">
        <v>19</v>
      </c>
      <c r="H508" s="19" t="s">
        <v>215</v>
      </c>
      <c r="I508" s="19" t="s">
        <v>216</v>
      </c>
      <c r="J508" s="19" t="s">
        <v>217</v>
      </c>
      <c r="K508" s="18">
        <v>46071.434108796297</v>
      </c>
    </row>
    <row r="509" spans="1:11" x14ac:dyDescent="0.25">
      <c r="A509" s="16" t="s">
        <v>960</v>
      </c>
      <c r="B509" s="20">
        <v>46042</v>
      </c>
      <c r="C509" s="16">
        <v>1</v>
      </c>
      <c r="D509" s="19" t="s">
        <v>31</v>
      </c>
      <c r="E509" s="19" t="s">
        <v>453</v>
      </c>
      <c r="G509" s="19">
        <v>67</v>
      </c>
      <c r="H509" s="19" t="s">
        <v>215</v>
      </c>
      <c r="I509" s="19" t="s">
        <v>216</v>
      </c>
      <c r="J509" s="19" t="s">
        <v>217</v>
      </c>
      <c r="K509" s="18">
        <v>46071.434131944443</v>
      </c>
    </row>
    <row r="510" spans="1:11" x14ac:dyDescent="0.25">
      <c r="A510" s="16" t="s">
        <v>961</v>
      </c>
      <c r="B510" s="20">
        <v>46042</v>
      </c>
      <c r="C510" s="16">
        <v>1</v>
      </c>
      <c r="D510" s="19" t="s">
        <v>31</v>
      </c>
      <c r="E510" s="19" t="s">
        <v>453</v>
      </c>
      <c r="G510" s="19">
        <v>24</v>
      </c>
      <c r="H510" s="19" t="s">
        <v>215</v>
      </c>
      <c r="I510" s="19" t="s">
        <v>216</v>
      </c>
      <c r="J510" s="19" t="s">
        <v>217</v>
      </c>
      <c r="K510" s="18">
        <v>46071.434155092589</v>
      </c>
    </row>
    <row r="511" spans="1:11" x14ac:dyDescent="0.25">
      <c r="A511" s="16" t="s">
        <v>962</v>
      </c>
      <c r="B511" s="20">
        <v>46043</v>
      </c>
      <c r="C511" s="16">
        <v>1</v>
      </c>
      <c r="D511" s="19" t="s">
        <v>31</v>
      </c>
      <c r="E511" s="19" t="s">
        <v>453</v>
      </c>
      <c r="G511" s="19">
        <v>68</v>
      </c>
      <c r="H511" s="19" t="s">
        <v>215</v>
      </c>
      <c r="I511" s="19" t="s">
        <v>216</v>
      </c>
      <c r="J511" s="19" t="s">
        <v>217</v>
      </c>
      <c r="K511" s="18">
        <v>46071.434282407405</v>
      </c>
    </row>
    <row r="512" spans="1:11" x14ac:dyDescent="0.25">
      <c r="A512" s="16" t="s">
        <v>963</v>
      </c>
      <c r="B512" s="20">
        <v>46044</v>
      </c>
      <c r="C512" s="16">
        <v>1</v>
      </c>
      <c r="D512" s="19" t="s">
        <v>31</v>
      </c>
      <c r="E512" s="19" t="s">
        <v>453</v>
      </c>
      <c r="G512" s="19">
        <v>17</v>
      </c>
      <c r="H512" s="19" t="s">
        <v>215</v>
      </c>
      <c r="I512" s="19" t="s">
        <v>216</v>
      </c>
      <c r="J512" s="19" t="s">
        <v>217</v>
      </c>
      <c r="K512" s="18">
        <v>46071.43445601852</v>
      </c>
    </row>
    <row r="513" spans="1:11" x14ac:dyDescent="0.25">
      <c r="A513" s="16" t="s">
        <v>964</v>
      </c>
      <c r="B513" s="20">
        <v>46044</v>
      </c>
      <c r="C513" s="16">
        <v>1</v>
      </c>
      <c r="D513" s="19" t="s">
        <v>31</v>
      </c>
      <c r="E513" s="19" t="s">
        <v>453</v>
      </c>
      <c r="G513" s="19">
        <v>23</v>
      </c>
      <c r="H513" s="19" t="s">
        <v>215</v>
      </c>
      <c r="I513" s="19" t="s">
        <v>216</v>
      </c>
      <c r="J513" s="19" t="s">
        <v>217</v>
      </c>
      <c r="K513" s="18">
        <v>46071.434583333335</v>
      </c>
    </row>
    <row r="514" spans="1:11" x14ac:dyDescent="0.25">
      <c r="A514" s="16" t="s">
        <v>965</v>
      </c>
      <c r="B514" s="20">
        <v>46045</v>
      </c>
      <c r="C514" s="16">
        <v>1</v>
      </c>
      <c r="D514" s="19" t="s">
        <v>31</v>
      </c>
      <c r="E514" s="19" t="s">
        <v>453</v>
      </c>
      <c r="G514" s="19">
        <v>58</v>
      </c>
      <c r="H514" s="19" t="s">
        <v>215</v>
      </c>
      <c r="I514" s="19" t="s">
        <v>216</v>
      </c>
      <c r="J514" s="19" t="s">
        <v>217</v>
      </c>
      <c r="K514" s="18">
        <v>46071.434733796297</v>
      </c>
    </row>
    <row r="515" spans="1:11" x14ac:dyDescent="0.25">
      <c r="A515" s="16" t="s">
        <v>966</v>
      </c>
      <c r="B515" s="20">
        <v>46045</v>
      </c>
      <c r="C515" s="16">
        <v>1</v>
      </c>
      <c r="D515" s="19" t="s">
        <v>31</v>
      </c>
      <c r="E515" s="19" t="s">
        <v>453</v>
      </c>
      <c r="G515" s="19">
        <v>79</v>
      </c>
      <c r="H515" s="19" t="s">
        <v>215</v>
      </c>
      <c r="I515" s="19" t="s">
        <v>216</v>
      </c>
      <c r="J515" s="19" t="s">
        <v>217</v>
      </c>
      <c r="K515" s="18">
        <v>46071.43476851852</v>
      </c>
    </row>
    <row r="516" spans="1:11" x14ac:dyDescent="0.25">
      <c r="A516" s="16" t="s">
        <v>967</v>
      </c>
      <c r="B516" s="20">
        <v>46045</v>
      </c>
      <c r="C516" s="16">
        <v>1</v>
      </c>
      <c r="D516" s="19" t="s">
        <v>31</v>
      </c>
      <c r="E516" s="19" t="s">
        <v>453</v>
      </c>
      <c r="G516" s="19">
        <v>60</v>
      </c>
      <c r="H516" s="19" t="s">
        <v>215</v>
      </c>
      <c r="I516" s="19" t="s">
        <v>216</v>
      </c>
      <c r="J516" s="19" t="s">
        <v>217</v>
      </c>
      <c r="K516" s="18">
        <v>46071.435081018521</v>
      </c>
    </row>
    <row r="517" spans="1:11" x14ac:dyDescent="0.25">
      <c r="A517" s="16" t="s">
        <v>968</v>
      </c>
      <c r="B517" s="20">
        <v>46045</v>
      </c>
      <c r="C517" s="16">
        <v>1</v>
      </c>
      <c r="D517" s="19" t="s">
        <v>31</v>
      </c>
      <c r="E517" s="19" t="s">
        <v>453</v>
      </c>
      <c r="G517" s="19">
        <v>27</v>
      </c>
      <c r="H517" s="19" t="s">
        <v>215</v>
      </c>
      <c r="I517" s="19" t="s">
        <v>216</v>
      </c>
      <c r="J517" s="19" t="s">
        <v>217</v>
      </c>
      <c r="K517" s="18">
        <v>46071.435011574074</v>
      </c>
    </row>
    <row r="518" spans="1:11" x14ac:dyDescent="0.25">
      <c r="A518" s="16" t="s">
        <v>969</v>
      </c>
      <c r="B518" s="20">
        <v>46046</v>
      </c>
      <c r="C518" s="16">
        <v>1</v>
      </c>
      <c r="D518" s="19" t="s">
        <v>31</v>
      </c>
      <c r="E518" s="19" t="s">
        <v>453</v>
      </c>
      <c r="G518" s="19">
        <v>62</v>
      </c>
      <c r="H518" s="19" t="s">
        <v>215</v>
      </c>
      <c r="I518" s="19" t="s">
        <v>216</v>
      </c>
      <c r="J518" s="19" t="s">
        <v>217</v>
      </c>
      <c r="K518" s="18">
        <v>46071.435173611113</v>
      </c>
    </row>
    <row r="519" spans="1:11" x14ac:dyDescent="0.25">
      <c r="A519" s="16" t="s">
        <v>970</v>
      </c>
      <c r="B519" s="20">
        <v>46046</v>
      </c>
      <c r="C519" s="16">
        <v>1</v>
      </c>
      <c r="D519" s="19" t="s">
        <v>31</v>
      </c>
      <c r="E519" s="19" t="s">
        <v>453</v>
      </c>
      <c r="G519" s="19">
        <v>28</v>
      </c>
      <c r="H519" s="19" t="s">
        <v>215</v>
      </c>
      <c r="I519" s="19" t="s">
        <v>216</v>
      </c>
      <c r="J519" s="19" t="s">
        <v>217</v>
      </c>
      <c r="K519" s="18">
        <v>46071.435196759259</v>
      </c>
    </row>
    <row r="520" spans="1:11" x14ac:dyDescent="0.25">
      <c r="A520" s="16" t="s">
        <v>971</v>
      </c>
      <c r="B520" s="20">
        <v>46048</v>
      </c>
      <c r="C520" s="16">
        <v>1</v>
      </c>
      <c r="D520" s="19" t="s">
        <v>31</v>
      </c>
      <c r="E520" s="19" t="s">
        <v>453</v>
      </c>
      <c r="G520" s="19">
        <v>56</v>
      </c>
      <c r="H520" s="19" t="s">
        <v>215</v>
      </c>
      <c r="I520" s="19" t="s">
        <v>216</v>
      </c>
      <c r="J520" s="19" t="s">
        <v>217</v>
      </c>
      <c r="K520" s="18">
        <v>46071.435497685183</v>
      </c>
    </row>
    <row r="521" spans="1:11" x14ac:dyDescent="0.25">
      <c r="A521" s="16" t="s">
        <v>972</v>
      </c>
      <c r="B521" s="20">
        <v>46048</v>
      </c>
      <c r="C521" s="16">
        <v>1</v>
      </c>
      <c r="D521" s="19" t="s">
        <v>31</v>
      </c>
      <c r="E521" s="19" t="s">
        <v>453</v>
      </c>
      <c r="G521" s="19">
        <v>19</v>
      </c>
      <c r="H521" s="19" t="s">
        <v>215</v>
      </c>
      <c r="I521" s="19" t="s">
        <v>216</v>
      </c>
      <c r="J521" s="19" t="s">
        <v>217</v>
      </c>
      <c r="K521" s="18">
        <v>46071.435532407406</v>
      </c>
    </row>
    <row r="522" spans="1:11" x14ac:dyDescent="0.25">
      <c r="A522" s="16" t="s">
        <v>973</v>
      </c>
      <c r="B522" s="20">
        <v>46049</v>
      </c>
      <c r="C522" s="16">
        <v>1</v>
      </c>
      <c r="D522" s="19" t="s">
        <v>31</v>
      </c>
      <c r="E522" s="19" t="s">
        <v>453</v>
      </c>
      <c r="G522" s="19">
        <v>90</v>
      </c>
      <c r="H522" s="19" t="s">
        <v>215</v>
      </c>
      <c r="I522" s="19" t="s">
        <v>216</v>
      </c>
      <c r="J522" s="19" t="s">
        <v>217</v>
      </c>
      <c r="K522" s="18">
        <v>46071.435613425929</v>
      </c>
    </row>
    <row r="523" spans="1:11" x14ac:dyDescent="0.25">
      <c r="A523" s="16" t="s">
        <v>974</v>
      </c>
      <c r="B523" s="20">
        <v>46049</v>
      </c>
      <c r="C523" s="16">
        <v>1</v>
      </c>
      <c r="D523" s="19" t="s">
        <v>31</v>
      </c>
      <c r="E523" s="19" t="s">
        <v>453</v>
      </c>
      <c r="G523" s="19">
        <v>27</v>
      </c>
      <c r="H523" s="19" t="s">
        <v>215</v>
      </c>
      <c r="I523" s="19" t="s">
        <v>216</v>
      </c>
      <c r="J523" s="19" t="s">
        <v>217</v>
      </c>
      <c r="K523" s="18">
        <v>46071.435636574075</v>
      </c>
    </row>
    <row r="524" spans="1:11" x14ac:dyDescent="0.25">
      <c r="A524" s="16" t="s">
        <v>975</v>
      </c>
      <c r="B524" s="20">
        <v>46049</v>
      </c>
      <c r="C524" s="16">
        <v>1</v>
      </c>
      <c r="D524" s="19" t="s">
        <v>31</v>
      </c>
      <c r="E524" s="19" t="s">
        <v>453</v>
      </c>
      <c r="G524" s="19">
        <v>70</v>
      </c>
      <c r="H524" s="19" t="s">
        <v>215</v>
      </c>
      <c r="I524" s="19" t="s">
        <v>216</v>
      </c>
      <c r="J524" s="19" t="s">
        <v>217</v>
      </c>
      <c r="K524" s="18">
        <v>46071.435659722221</v>
      </c>
    </row>
    <row r="525" spans="1:11" x14ac:dyDescent="0.25">
      <c r="A525" s="16" t="s">
        <v>976</v>
      </c>
      <c r="B525" s="20">
        <v>46050</v>
      </c>
      <c r="C525" s="16">
        <v>1</v>
      </c>
      <c r="D525" s="19" t="s">
        <v>31</v>
      </c>
      <c r="E525" s="19" t="s">
        <v>453</v>
      </c>
      <c r="G525" s="19">
        <v>21</v>
      </c>
      <c r="H525" s="19" t="s">
        <v>215</v>
      </c>
      <c r="I525" s="19" t="s">
        <v>216</v>
      </c>
      <c r="J525" s="19" t="s">
        <v>217</v>
      </c>
      <c r="K525" s="18">
        <v>46071.435740740744</v>
      </c>
    </row>
    <row r="526" spans="1:11" x14ac:dyDescent="0.25">
      <c r="A526" s="16" t="s">
        <v>977</v>
      </c>
      <c r="B526" s="20">
        <v>46051</v>
      </c>
      <c r="C526" s="16">
        <v>1</v>
      </c>
      <c r="D526" s="19" t="s">
        <v>31</v>
      </c>
      <c r="E526" s="19" t="s">
        <v>453</v>
      </c>
      <c r="G526" s="19">
        <v>78</v>
      </c>
      <c r="H526" s="19" t="s">
        <v>215</v>
      </c>
      <c r="I526" s="19" t="s">
        <v>216</v>
      </c>
      <c r="J526" s="19" t="s">
        <v>217</v>
      </c>
      <c r="K526" s="18">
        <v>46071.435810185183</v>
      </c>
    </row>
    <row r="527" spans="1:11" x14ac:dyDescent="0.25">
      <c r="A527" s="16" t="s">
        <v>978</v>
      </c>
      <c r="B527" s="20">
        <v>46051</v>
      </c>
      <c r="C527" s="16">
        <v>1</v>
      </c>
      <c r="D527" s="19" t="s">
        <v>31</v>
      </c>
      <c r="E527" s="19" t="s">
        <v>453</v>
      </c>
      <c r="G527" s="19">
        <v>77</v>
      </c>
      <c r="H527" s="19" t="s">
        <v>215</v>
      </c>
      <c r="I527" s="19" t="s">
        <v>216</v>
      </c>
      <c r="J527" s="19" t="s">
        <v>217</v>
      </c>
      <c r="K527" s="18">
        <v>46071.43582175926</v>
      </c>
    </row>
    <row r="528" spans="1:11" x14ac:dyDescent="0.25">
      <c r="A528" s="16" t="s">
        <v>979</v>
      </c>
      <c r="B528" s="20">
        <v>46052</v>
      </c>
      <c r="C528" s="16">
        <v>1</v>
      </c>
      <c r="D528" s="19" t="s">
        <v>31</v>
      </c>
      <c r="E528" s="19" t="s">
        <v>453</v>
      </c>
      <c r="G528" s="19">
        <v>20</v>
      </c>
      <c r="H528" s="19" t="s">
        <v>215</v>
      </c>
      <c r="I528" s="19" t="s">
        <v>216</v>
      </c>
      <c r="J528" s="19" t="s">
        <v>217</v>
      </c>
      <c r="K528" s="18">
        <v>46071.435902777775</v>
      </c>
    </row>
    <row r="529" spans="1:11" x14ac:dyDescent="0.25">
      <c r="A529" s="16" t="s">
        <v>980</v>
      </c>
      <c r="B529" s="20">
        <v>46052</v>
      </c>
      <c r="C529" s="16">
        <v>1</v>
      </c>
      <c r="D529" s="19" t="s">
        <v>31</v>
      </c>
      <c r="E529" s="19" t="s">
        <v>453</v>
      </c>
      <c r="G529" s="19">
        <v>34</v>
      </c>
      <c r="H529" s="19" t="s">
        <v>215</v>
      </c>
      <c r="I529" s="19" t="s">
        <v>216</v>
      </c>
      <c r="J529" s="19" t="s">
        <v>217</v>
      </c>
      <c r="K529" s="18">
        <v>46071.435937499999</v>
      </c>
    </row>
    <row r="530" spans="1:11" x14ac:dyDescent="0.25">
      <c r="A530" s="16" t="s">
        <v>981</v>
      </c>
      <c r="B530" s="20">
        <v>46023</v>
      </c>
      <c r="C530" s="16">
        <v>1</v>
      </c>
      <c r="D530" s="19" t="s">
        <v>33</v>
      </c>
      <c r="E530" s="19" t="s">
        <v>453</v>
      </c>
      <c r="G530" s="19">
        <v>1</v>
      </c>
      <c r="H530" s="19" t="s">
        <v>215</v>
      </c>
      <c r="I530" s="19" t="s">
        <v>246</v>
      </c>
      <c r="J530" s="19" t="s">
        <v>217</v>
      </c>
      <c r="K530" s="18">
        <v>46071.436979166669</v>
      </c>
    </row>
    <row r="531" spans="1:11" x14ac:dyDescent="0.25">
      <c r="A531" s="16" t="s">
        <v>982</v>
      </c>
      <c r="B531" s="20">
        <v>46025</v>
      </c>
      <c r="C531" s="16">
        <v>1</v>
      </c>
      <c r="D531" s="19" t="s">
        <v>33</v>
      </c>
      <c r="E531" s="19" t="s">
        <v>453</v>
      </c>
      <c r="G531" s="19">
        <v>2</v>
      </c>
      <c r="H531" s="19" t="s">
        <v>215</v>
      </c>
      <c r="I531" s="19" t="s">
        <v>246</v>
      </c>
      <c r="J531" s="19" t="s">
        <v>217</v>
      </c>
      <c r="K531" s="18">
        <v>46071.437118055554</v>
      </c>
    </row>
    <row r="532" spans="1:11" x14ac:dyDescent="0.25">
      <c r="A532" s="16" t="s">
        <v>983</v>
      </c>
      <c r="B532" s="20">
        <v>46025</v>
      </c>
      <c r="C532" s="16">
        <v>1</v>
      </c>
      <c r="D532" s="19" t="s">
        <v>33</v>
      </c>
      <c r="E532" s="19" t="s">
        <v>453</v>
      </c>
      <c r="G532" s="19">
        <v>3</v>
      </c>
      <c r="H532" s="19" t="s">
        <v>215</v>
      </c>
      <c r="I532" s="19" t="s">
        <v>246</v>
      </c>
      <c r="J532" s="19" t="s">
        <v>217</v>
      </c>
      <c r="K532" s="18">
        <v>46071.437141203707</v>
      </c>
    </row>
    <row r="533" spans="1:11" x14ac:dyDescent="0.25">
      <c r="A533" s="16" t="s">
        <v>984</v>
      </c>
      <c r="B533" s="20">
        <v>46025</v>
      </c>
      <c r="C533" s="16">
        <v>1</v>
      </c>
      <c r="D533" s="19" t="s">
        <v>33</v>
      </c>
      <c r="E533" s="19" t="s">
        <v>453</v>
      </c>
      <c r="G533" s="19">
        <v>2</v>
      </c>
      <c r="H533" s="19" t="s">
        <v>215</v>
      </c>
      <c r="I533" s="19" t="s">
        <v>246</v>
      </c>
      <c r="J533" s="19" t="s">
        <v>217</v>
      </c>
      <c r="K533" s="18">
        <v>46071.437152777777</v>
      </c>
    </row>
    <row r="534" spans="1:11" x14ac:dyDescent="0.25">
      <c r="A534" s="16" t="s">
        <v>985</v>
      </c>
      <c r="B534" s="20">
        <v>46026</v>
      </c>
      <c r="C534" s="16">
        <v>1</v>
      </c>
      <c r="D534" s="19" t="s">
        <v>33</v>
      </c>
      <c r="E534" s="19" t="s">
        <v>453</v>
      </c>
      <c r="G534" s="19">
        <v>2</v>
      </c>
      <c r="H534" s="19" t="s">
        <v>215</v>
      </c>
      <c r="I534" s="19" t="s">
        <v>246</v>
      </c>
      <c r="J534" s="19" t="s">
        <v>217</v>
      </c>
      <c r="K534" s="18">
        <v>46071.437245370369</v>
      </c>
    </row>
    <row r="535" spans="1:11" x14ac:dyDescent="0.25">
      <c r="A535" s="16" t="s">
        <v>986</v>
      </c>
      <c r="B535" s="20">
        <v>46026</v>
      </c>
      <c r="C535" s="16">
        <v>1</v>
      </c>
      <c r="D535" s="19" t="s">
        <v>33</v>
      </c>
      <c r="E535" s="19" t="s">
        <v>453</v>
      </c>
      <c r="G535" s="19">
        <v>6</v>
      </c>
      <c r="H535" s="19" t="s">
        <v>215</v>
      </c>
      <c r="I535" s="19" t="s">
        <v>216</v>
      </c>
      <c r="J535" s="19" t="s">
        <v>217</v>
      </c>
      <c r="K535" s="18">
        <v>46071.437303240738</v>
      </c>
    </row>
    <row r="536" spans="1:11" x14ac:dyDescent="0.25">
      <c r="A536" s="16" t="s">
        <v>987</v>
      </c>
      <c r="B536" s="20">
        <v>46027</v>
      </c>
      <c r="C536" s="16">
        <v>1</v>
      </c>
      <c r="D536" s="19" t="s">
        <v>33</v>
      </c>
      <c r="E536" s="19" t="s">
        <v>453</v>
      </c>
      <c r="G536" s="19">
        <v>4</v>
      </c>
      <c r="H536" s="19" t="s">
        <v>215</v>
      </c>
      <c r="I536" s="19" t="s">
        <v>216</v>
      </c>
      <c r="J536" s="19" t="s">
        <v>217</v>
      </c>
      <c r="K536" s="18">
        <v>46071.437384259261</v>
      </c>
    </row>
    <row r="537" spans="1:11" x14ac:dyDescent="0.25">
      <c r="A537" s="16" t="s">
        <v>988</v>
      </c>
      <c r="B537" s="20">
        <v>46027</v>
      </c>
      <c r="C537" s="16">
        <v>1</v>
      </c>
      <c r="D537" s="19" t="s">
        <v>33</v>
      </c>
      <c r="E537" s="19" t="s">
        <v>453</v>
      </c>
      <c r="G537" s="19">
        <v>5</v>
      </c>
      <c r="H537" s="19" t="s">
        <v>427</v>
      </c>
      <c r="I537" s="19" t="s">
        <v>216</v>
      </c>
      <c r="J537" s="19" t="s">
        <v>217</v>
      </c>
      <c r="K537" s="18">
        <v>46071.437824074077</v>
      </c>
    </row>
    <row r="538" spans="1:11" x14ac:dyDescent="0.25">
      <c r="A538" s="16" t="s">
        <v>989</v>
      </c>
      <c r="B538" s="20">
        <v>46028</v>
      </c>
      <c r="C538" s="16">
        <v>1</v>
      </c>
      <c r="D538" s="19" t="s">
        <v>33</v>
      </c>
      <c r="E538" s="19" t="s">
        <v>453</v>
      </c>
      <c r="G538" s="19">
        <v>9</v>
      </c>
      <c r="H538" s="19" t="s">
        <v>215</v>
      </c>
      <c r="I538" s="19" t="s">
        <v>246</v>
      </c>
      <c r="J538" s="19" t="s">
        <v>217</v>
      </c>
      <c r="K538" s="18">
        <v>46071.437962962962</v>
      </c>
    </row>
    <row r="539" spans="1:11" x14ac:dyDescent="0.25">
      <c r="A539" s="16" t="s">
        <v>990</v>
      </c>
      <c r="B539" s="20">
        <v>46028</v>
      </c>
      <c r="C539" s="16">
        <v>1</v>
      </c>
      <c r="D539" s="19" t="s">
        <v>33</v>
      </c>
      <c r="E539" s="19" t="s">
        <v>453</v>
      </c>
      <c r="G539" s="19">
        <v>5</v>
      </c>
      <c r="H539" s="19" t="s">
        <v>215</v>
      </c>
      <c r="I539" s="19" t="s">
        <v>216</v>
      </c>
      <c r="J539" s="19" t="s">
        <v>217</v>
      </c>
      <c r="K539" s="18">
        <v>46071.438032407408</v>
      </c>
    </row>
    <row r="540" spans="1:11" x14ac:dyDescent="0.25">
      <c r="A540" s="16" t="s">
        <v>991</v>
      </c>
      <c r="B540" s="20">
        <v>46029</v>
      </c>
      <c r="C540" s="16">
        <v>1</v>
      </c>
      <c r="D540" s="19" t="s">
        <v>33</v>
      </c>
      <c r="E540" s="19" t="s">
        <v>453</v>
      </c>
      <c r="G540" s="19">
        <v>9</v>
      </c>
      <c r="H540" s="19" t="s">
        <v>215</v>
      </c>
      <c r="I540" s="19" t="s">
        <v>216</v>
      </c>
      <c r="J540" s="19" t="s">
        <v>217</v>
      </c>
      <c r="K540" s="18">
        <v>46071.438125000001</v>
      </c>
    </row>
    <row r="541" spans="1:11" x14ac:dyDescent="0.25">
      <c r="A541" s="16" t="s">
        <v>992</v>
      </c>
      <c r="B541" s="20">
        <v>46031</v>
      </c>
      <c r="C541" s="16">
        <v>1</v>
      </c>
      <c r="D541" s="19" t="s">
        <v>33</v>
      </c>
      <c r="E541" s="19" t="s">
        <v>453</v>
      </c>
      <c r="G541" s="19">
        <v>3</v>
      </c>
      <c r="H541" s="19" t="s">
        <v>215</v>
      </c>
      <c r="I541" s="19" t="s">
        <v>216</v>
      </c>
      <c r="J541" s="19" t="s">
        <v>217</v>
      </c>
      <c r="K541" s="18">
        <v>46071.438263888886</v>
      </c>
    </row>
    <row r="542" spans="1:11" x14ac:dyDescent="0.25">
      <c r="A542" s="16" t="s">
        <v>993</v>
      </c>
      <c r="B542" s="20">
        <v>46031</v>
      </c>
      <c r="C542" s="16">
        <v>1</v>
      </c>
      <c r="D542" s="19" t="s">
        <v>33</v>
      </c>
      <c r="E542" s="19" t="s">
        <v>453</v>
      </c>
      <c r="G542" s="19">
        <v>1</v>
      </c>
      <c r="H542" s="19" t="s">
        <v>215</v>
      </c>
      <c r="I542" s="19" t="s">
        <v>246</v>
      </c>
      <c r="J542" s="19" t="s">
        <v>217</v>
      </c>
      <c r="K542" s="18">
        <v>46071.438368055555</v>
      </c>
    </row>
    <row r="543" spans="1:11" x14ac:dyDescent="0.25">
      <c r="A543" s="16" t="s">
        <v>994</v>
      </c>
      <c r="B543" s="20">
        <v>46032</v>
      </c>
      <c r="C543" s="16">
        <v>1</v>
      </c>
      <c r="D543" s="19" t="s">
        <v>33</v>
      </c>
      <c r="E543" s="19" t="s">
        <v>453</v>
      </c>
      <c r="G543" s="19">
        <v>2</v>
      </c>
      <c r="H543" s="19" t="s">
        <v>215</v>
      </c>
      <c r="I543" s="19" t="s">
        <v>216</v>
      </c>
      <c r="J543" s="19" t="s">
        <v>217</v>
      </c>
      <c r="K543" s="18">
        <v>46071.438472222224</v>
      </c>
    </row>
    <row r="544" spans="1:11" x14ac:dyDescent="0.25">
      <c r="A544" s="16" t="s">
        <v>995</v>
      </c>
      <c r="B544" s="20">
        <v>46032</v>
      </c>
      <c r="C544" s="16">
        <v>1</v>
      </c>
      <c r="D544" s="19" t="s">
        <v>33</v>
      </c>
      <c r="E544" s="19" t="s">
        <v>453</v>
      </c>
      <c r="G544" s="19">
        <v>3</v>
      </c>
      <c r="H544" s="19" t="s">
        <v>215</v>
      </c>
      <c r="I544" s="19" t="s">
        <v>216</v>
      </c>
      <c r="J544" s="19" t="s">
        <v>217</v>
      </c>
      <c r="K544" s="18">
        <v>46071.438506944447</v>
      </c>
    </row>
    <row r="545" spans="1:11" x14ac:dyDescent="0.25">
      <c r="A545" s="16" t="s">
        <v>996</v>
      </c>
      <c r="B545" s="20">
        <v>46033</v>
      </c>
      <c r="C545" s="16">
        <v>1</v>
      </c>
      <c r="D545" s="19" t="s">
        <v>33</v>
      </c>
      <c r="E545" s="19" t="s">
        <v>453</v>
      </c>
      <c r="G545" s="19">
        <v>3</v>
      </c>
      <c r="H545" s="19" t="s">
        <v>215</v>
      </c>
      <c r="I545" s="19" t="s">
        <v>216</v>
      </c>
      <c r="J545" s="19" t="s">
        <v>217</v>
      </c>
      <c r="K545" s="18">
        <v>46071.438645833332</v>
      </c>
    </row>
    <row r="546" spans="1:11" x14ac:dyDescent="0.25">
      <c r="A546" s="16" t="s">
        <v>997</v>
      </c>
      <c r="B546" s="20">
        <v>46033</v>
      </c>
      <c r="C546" s="16">
        <v>1</v>
      </c>
      <c r="D546" s="19" t="s">
        <v>33</v>
      </c>
      <c r="E546" s="19" t="s">
        <v>453</v>
      </c>
      <c r="G546" s="19">
        <v>8</v>
      </c>
      <c r="H546" s="19" t="s">
        <v>215</v>
      </c>
      <c r="I546" s="19" t="s">
        <v>216</v>
      </c>
      <c r="J546" s="19" t="s">
        <v>217</v>
      </c>
      <c r="K546" s="18">
        <v>46071.438657407409</v>
      </c>
    </row>
    <row r="547" spans="1:11" x14ac:dyDescent="0.25">
      <c r="A547" s="16" t="s">
        <v>998</v>
      </c>
      <c r="B547" s="20">
        <v>46033</v>
      </c>
      <c r="C547" s="16">
        <v>1</v>
      </c>
      <c r="D547" s="19" t="s">
        <v>33</v>
      </c>
      <c r="E547" s="19" t="s">
        <v>453</v>
      </c>
      <c r="G547" s="19">
        <v>6</v>
      </c>
      <c r="H547" s="19" t="s">
        <v>215</v>
      </c>
      <c r="I547" s="19" t="s">
        <v>246</v>
      </c>
      <c r="J547" s="19" t="s">
        <v>217</v>
      </c>
      <c r="K547" s="18">
        <v>46071.438761574071</v>
      </c>
    </row>
    <row r="548" spans="1:11" x14ac:dyDescent="0.25">
      <c r="A548" s="16" t="s">
        <v>999</v>
      </c>
      <c r="B548" s="20">
        <v>46033</v>
      </c>
      <c r="C548" s="16">
        <v>1</v>
      </c>
      <c r="D548" s="19" t="s">
        <v>33</v>
      </c>
      <c r="E548" s="19" t="s">
        <v>453</v>
      </c>
      <c r="G548" s="19">
        <v>2</v>
      </c>
      <c r="H548" s="19" t="s">
        <v>215</v>
      </c>
      <c r="I548" s="19" t="s">
        <v>246</v>
      </c>
      <c r="J548" s="19" t="s">
        <v>217</v>
      </c>
      <c r="K548" s="18">
        <v>46071.438819444447</v>
      </c>
    </row>
    <row r="549" spans="1:11" x14ac:dyDescent="0.25">
      <c r="A549" s="16" t="s">
        <v>1000</v>
      </c>
      <c r="B549" s="20">
        <v>46033</v>
      </c>
      <c r="C549" s="16">
        <v>1</v>
      </c>
      <c r="D549" s="19" t="s">
        <v>33</v>
      </c>
      <c r="E549" s="19" t="s">
        <v>453</v>
      </c>
      <c r="G549" s="19">
        <v>9</v>
      </c>
      <c r="H549" s="19" t="s">
        <v>215</v>
      </c>
      <c r="I549" s="19" t="s">
        <v>246</v>
      </c>
      <c r="J549" s="19" t="s">
        <v>217</v>
      </c>
      <c r="K549" s="18">
        <v>46071.438854166663</v>
      </c>
    </row>
    <row r="550" spans="1:11" x14ac:dyDescent="0.25">
      <c r="A550" s="16" t="s">
        <v>1001</v>
      </c>
      <c r="B550" s="20">
        <v>46034</v>
      </c>
      <c r="C550" s="16">
        <v>1</v>
      </c>
      <c r="D550" s="19" t="s">
        <v>33</v>
      </c>
      <c r="E550" s="19" t="s">
        <v>453</v>
      </c>
      <c r="G550" s="19">
        <v>11</v>
      </c>
      <c r="H550" s="19" t="s">
        <v>215</v>
      </c>
      <c r="I550" s="19" t="s">
        <v>246</v>
      </c>
      <c r="J550" s="19" t="s">
        <v>217</v>
      </c>
      <c r="K550" s="18">
        <v>46071.438981481479</v>
      </c>
    </row>
    <row r="551" spans="1:11" x14ac:dyDescent="0.25">
      <c r="A551" s="16" t="s">
        <v>1002</v>
      </c>
      <c r="B551" s="20">
        <v>46034</v>
      </c>
      <c r="C551" s="16">
        <v>1</v>
      </c>
      <c r="D551" s="19" t="s">
        <v>33</v>
      </c>
      <c r="E551" s="19" t="s">
        <v>453</v>
      </c>
      <c r="G551" s="19">
        <v>1</v>
      </c>
      <c r="H551" s="19" t="s">
        <v>215</v>
      </c>
      <c r="I551" s="19" t="s">
        <v>246</v>
      </c>
      <c r="J551" s="19" t="s">
        <v>217</v>
      </c>
      <c r="K551" s="18">
        <v>46071.439050925925</v>
      </c>
    </row>
    <row r="552" spans="1:11" x14ac:dyDescent="0.25">
      <c r="A552" s="16" t="s">
        <v>1003</v>
      </c>
      <c r="B552" s="20">
        <v>46034</v>
      </c>
      <c r="C552" s="16">
        <v>1</v>
      </c>
      <c r="D552" s="19" t="s">
        <v>33</v>
      </c>
      <c r="E552" s="19" t="s">
        <v>453</v>
      </c>
      <c r="G552" s="19">
        <v>1</v>
      </c>
      <c r="H552" s="19" t="s">
        <v>427</v>
      </c>
      <c r="I552" s="19" t="s">
        <v>246</v>
      </c>
      <c r="J552" s="19" t="s">
        <v>217</v>
      </c>
      <c r="K552" s="18">
        <v>46071.43917824074</v>
      </c>
    </row>
    <row r="553" spans="1:11" x14ac:dyDescent="0.25">
      <c r="A553" s="16" t="s">
        <v>1004</v>
      </c>
      <c r="B553" s="20">
        <v>46034</v>
      </c>
      <c r="C553" s="16">
        <v>1</v>
      </c>
      <c r="D553" s="19" t="s">
        <v>33</v>
      </c>
      <c r="E553" s="19" t="s">
        <v>453</v>
      </c>
      <c r="G553" s="19">
        <v>6</v>
      </c>
      <c r="H553" s="19" t="s">
        <v>215</v>
      </c>
      <c r="I553" s="19" t="s">
        <v>216</v>
      </c>
      <c r="J553" s="19" t="s">
        <v>217</v>
      </c>
      <c r="K553" s="18">
        <v>46071.43922453704</v>
      </c>
    </row>
    <row r="554" spans="1:11" x14ac:dyDescent="0.25">
      <c r="A554" s="16" t="s">
        <v>1005</v>
      </c>
      <c r="B554" s="20">
        <v>46035</v>
      </c>
      <c r="C554" s="16">
        <v>1</v>
      </c>
      <c r="D554" s="19" t="s">
        <v>33</v>
      </c>
      <c r="E554" s="19" t="s">
        <v>453</v>
      </c>
      <c r="G554" s="19">
        <v>8</v>
      </c>
      <c r="H554" s="19" t="s">
        <v>215</v>
      </c>
      <c r="I554" s="19" t="s">
        <v>216</v>
      </c>
      <c r="J554" s="19" t="s">
        <v>217</v>
      </c>
      <c r="K554" s="18">
        <v>46071.439317129632</v>
      </c>
    </row>
    <row r="555" spans="1:11" x14ac:dyDescent="0.25">
      <c r="A555" s="16" t="s">
        <v>1006</v>
      </c>
      <c r="B555" s="20">
        <v>46035</v>
      </c>
      <c r="C555" s="16">
        <v>1</v>
      </c>
      <c r="D555" s="19" t="s">
        <v>33</v>
      </c>
      <c r="E555" s="19" t="s">
        <v>453</v>
      </c>
      <c r="G555" s="19">
        <v>1</v>
      </c>
      <c r="H555" s="19" t="s">
        <v>215</v>
      </c>
      <c r="I555" s="19" t="s">
        <v>216</v>
      </c>
      <c r="J555" s="19" t="s">
        <v>217</v>
      </c>
      <c r="K555" s="18">
        <v>46071.439386574071</v>
      </c>
    </row>
    <row r="556" spans="1:11" x14ac:dyDescent="0.25">
      <c r="A556" s="16" t="s">
        <v>1007</v>
      </c>
      <c r="B556" s="20">
        <v>46035</v>
      </c>
      <c r="C556" s="16">
        <v>1</v>
      </c>
      <c r="D556" s="19" t="s">
        <v>33</v>
      </c>
      <c r="E556" s="19" t="s">
        <v>453</v>
      </c>
      <c r="G556" s="19">
        <v>8</v>
      </c>
      <c r="H556" s="19" t="s">
        <v>427</v>
      </c>
      <c r="I556" s="19" t="s">
        <v>216</v>
      </c>
      <c r="J556" s="19" t="s">
        <v>217</v>
      </c>
      <c r="K556" s="18">
        <v>46071.439456018517</v>
      </c>
    </row>
    <row r="557" spans="1:11" x14ac:dyDescent="0.25">
      <c r="A557" s="16" t="s">
        <v>1008</v>
      </c>
      <c r="B557" s="20">
        <v>46036</v>
      </c>
      <c r="C557" s="16">
        <v>1</v>
      </c>
      <c r="D557" s="19" t="s">
        <v>33</v>
      </c>
      <c r="E557" s="19" t="s">
        <v>453</v>
      </c>
      <c r="G557" s="19">
        <v>8</v>
      </c>
      <c r="H557" s="19" t="s">
        <v>215</v>
      </c>
      <c r="I557" s="19" t="s">
        <v>246</v>
      </c>
      <c r="J557" s="19" t="s">
        <v>217</v>
      </c>
      <c r="K557" s="18">
        <v>46071.439571759256</v>
      </c>
    </row>
    <row r="558" spans="1:11" x14ac:dyDescent="0.25">
      <c r="A558" s="16" t="s">
        <v>1009</v>
      </c>
      <c r="B558" s="20">
        <v>46036</v>
      </c>
      <c r="C558" s="16">
        <v>1</v>
      </c>
      <c r="D558" s="19" t="s">
        <v>33</v>
      </c>
      <c r="E558" s="19" t="s">
        <v>453</v>
      </c>
      <c r="G558" s="19">
        <v>12</v>
      </c>
      <c r="H558" s="19" t="s">
        <v>215</v>
      </c>
      <c r="I558" s="19" t="s">
        <v>246</v>
      </c>
      <c r="J558" s="19" t="s">
        <v>217</v>
      </c>
      <c r="K558" s="18">
        <v>46071.439583333333</v>
      </c>
    </row>
    <row r="559" spans="1:11" x14ac:dyDescent="0.25">
      <c r="A559" s="16" t="s">
        <v>1010</v>
      </c>
      <c r="B559" s="20">
        <v>46036</v>
      </c>
      <c r="C559" s="16">
        <v>1</v>
      </c>
      <c r="D559" s="19" t="s">
        <v>33</v>
      </c>
      <c r="E559" s="19" t="s">
        <v>453</v>
      </c>
      <c r="G559" s="19">
        <v>9</v>
      </c>
      <c r="H559" s="19" t="s">
        <v>215</v>
      </c>
      <c r="I559" s="19" t="s">
        <v>246</v>
      </c>
      <c r="J559" s="19" t="s">
        <v>217</v>
      </c>
      <c r="K559" s="18">
        <v>46071.43959490741</v>
      </c>
    </row>
    <row r="560" spans="1:11" x14ac:dyDescent="0.25">
      <c r="A560" s="16" t="s">
        <v>1011</v>
      </c>
      <c r="B560" s="20">
        <v>46036</v>
      </c>
      <c r="C560" s="16">
        <v>1</v>
      </c>
      <c r="D560" s="19" t="s">
        <v>33</v>
      </c>
      <c r="E560" s="19" t="s">
        <v>453</v>
      </c>
      <c r="G560" s="19">
        <v>5</v>
      </c>
      <c r="H560" s="19" t="s">
        <v>427</v>
      </c>
      <c r="I560" s="19" t="s">
        <v>246</v>
      </c>
      <c r="J560" s="19" t="s">
        <v>217</v>
      </c>
      <c r="K560" s="18">
        <v>46071.439652777779</v>
      </c>
    </row>
    <row r="561" spans="1:11" x14ac:dyDescent="0.25">
      <c r="A561" s="16" t="s">
        <v>1012</v>
      </c>
      <c r="B561" s="20">
        <v>46036</v>
      </c>
      <c r="C561" s="16">
        <v>1</v>
      </c>
      <c r="D561" s="19" t="s">
        <v>33</v>
      </c>
      <c r="E561" s="19" t="s">
        <v>453</v>
      </c>
      <c r="G561" s="19">
        <v>6</v>
      </c>
      <c r="H561" s="19" t="s">
        <v>427</v>
      </c>
      <c r="I561" s="19" t="s">
        <v>246</v>
      </c>
      <c r="J561" s="19" t="s">
        <v>217</v>
      </c>
      <c r="K561" s="18">
        <v>46071.439710648148</v>
      </c>
    </row>
    <row r="562" spans="1:11" x14ac:dyDescent="0.25">
      <c r="A562" s="16" t="s">
        <v>1013</v>
      </c>
      <c r="B562" s="20">
        <v>46036</v>
      </c>
      <c r="C562" s="16">
        <v>1</v>
      </c>
      <c r="D562" s="19" t="s">
        <v>33</v>
      </c>
      <c r="E562" s="19" t="s">
        <v>453</v>
      </c>
      <c r="G562" s="19">
        <v>3</v>
      </c>
      <c r="H562" s="19" t="s">
        <v>215</v>
      </c>
      <c r="I562" s="19" t="s">
        <v>246</v>
      </c>
      <c r="J562" s="19" t="s">
        <v>217</v>
      </c>
      <c r="K562" s="18">
        <v>46071.439733796295</v>
      </c>
    </row>
    <row r="563" spans="1:11" x14ac:dyDescent="0.25">
      <c r="A563" s="16" t="s">
        <v>1014</v>
      </c>
      <c r="B563" s="20">
        <v>46037</v>
      </c>
      <c r="C563" s="16">
        <v>1</v>
      </c>
      <c r="D563" s="19" t="s">
        <v>33</v>
      </c>
      <c r="E563" s="19" t="s">
        <v>453</v>
      </c>
      <c r="G563" s="19">
        <v>4</v>
      </c>
      <c r="H563" s="19" t="s">
        <v>215</v>
      </c>
      <c r="I563" s="19" t="s">
        <v>246</v>
      </c>
      <c r="J563" s="19" t="s">
        <v>217</v>
      </c>
      <c r="K563" s="18">
        <v>46071.439837962964</v>
      </c>
    </row>
    <row r="564" spans="1:11" x14ac:dyDescent="0.25">
      <c r="A564" s="16" t="s">
        <v>1015</v>
      </c>
      <c r="B564" s="20">
        <v>46037</v>
      </c>
      <c r="C564" s="16">
        <v>1</v>
      </c>
      <c r="D564" s="19" t="s">
        <v>33</v>
      </c>
      <c r="E564" s="19" t="s">
        <v>453</v>
      </c>
      <c r="G564" s="19">
        <v>5</v>
      </c>
      <c r="H564" s="19" t="s">
        <v>215</v>
      </c>
      <c r="I564" s="19" t="s">
        <v>246</v>
      </c>
      <c r="J564" s="19" t="s">
        <v>217</v>
      </c>
      <c r="K564" s="18">
        <v>46071.439849537041</v>
      </c>
    </row>
    <row r="565" spans="1:11" x14ac:dyDescent="0.25">
      <c r="A565" s="16" t="s">
        <v>1016</v>
      </c>
      <c r="B565" s="20">
        <v>46037</v>
      </c>
      <c r="C565" s="16">
        <v>1</v>
      </c>
      <c r="D565" s="19" t="s">
        <v>33</v>
      </c>
      <c r="E565" s="19" t="s">
        <v>453</v>
      </c>
      <c r="G565" s="19">
        <v>3</v>
      </c>
      <c r="H565" s="19" t="s">
        <v>215</v>
      </c>
      <c r="I565" s="19" t="s">
        <v>216</v>
      </c>
      <c r="J565" s="19" t="s">
        <v>217</v>
      </c>
      <c r="K565" s="18">
        <v>46071.439895833333</v>
      </c>
    </row>
    <row r="566" spans="1:11" x14ac:dyDescent="0.25">
      <c r="A566" s="16" t="s">
        <v>1017</v>
      </c>
      <c r="B566" s="20">
        <v>46038</v>
      </c>
      <c r="C566" s="16">
        <v>1</v>
      </c>
      <c r="D566" s="19" t="s">
        <v>33</v>
      </c>
      <c r="E566" s="19" t="s">
        <v>453</v>
      </c>
      <c r="G566" s="19">
        <v>14</v>
      </c>
      <c r="H566" s="19" t="s">
        <v>215</v>
      </c>
      <c r="I566" s="19" t="s">
        <v>216</v>
      </c>
      <c r="J566" s="19" t="s">
        <v>217</v>
      </c>
      <c r="K566" s="18">
        <v>46071.440057870372</v>
      </c>
    </row>
    <row r="567" spans="1:11" x14ac:dyDescent="0.25">
      <c r="A567" s="16" t="s">
        <v>1018</v>
      </c>
      <c r="B567" s="20">
        <v>46038</v>
      </c>
      <c r="C567" s="16">
        <v>1</v>
      </c>
      <c r="D567" s="19" t="s">
        <v>33</v>
      </c>
      <c r="E567" s="19" t="s">
        <v>453</v>
      </c>
      <c r="G567" s="19">
        <v>8</v>
      </c>
      <c r="H567" s="19" t="s">
        <v>215</v>
      </c>
      <c r="I567" s="19" t="s">
        <v>246</v>
      </c>
      <c r="J567" s="19" t="s">
        <v>217</v>
      </c>
      <c r="K567" s="18">
        <v>46071.440185185187</v>
      </c>
    </row>
    <row r="568" spans="1:11" x14ac:dyDescent="0.25">
      <c r="A568" s="16" t="s">
        <v>1019</v>
      </c>
      <c r="B568" s="20">
        <v>46038</v>
      </c>
      <c r="C568" s="16">
        <v>1</v>
      </c>
      <c r="D568" s="19" t="s">
        <v>33</v>
      </c>
      <c r="E568" s="19" t="s">
        <v>453</v>
      </c>
      <c r="G568" s="19">
        <v>10</v>
      </c>
      <c r="H568" s="19" t="s">
        <v>215</v>
      </c>
      <c r="I568" s="19" t="s">
        <v>246</v>
      </c>
      <c r="J568" s="19" t="s">
        <v>217</v>
      </c>
      <c r="K568" s="18">
        <v>46071.440208333333</v>
      </c>
    </row>
    <row r="569" spans="1:11" x14ac:dyDescent="0.25">
      <c r="A569" s="16" t="s">
        <v>1020</v>
      </c>
      <c r="B569" s="20">
        <v>46038</v>
      </c>
      <c r="C569" s="16">
        <v>1</v>
      </c>
      <c r="D569" s="19" t="s">
        <v>33</v>
      </c>
      <c r="E569" s="19" t="s">
        <v>453</v>
      </c>
      <c r="G569" s="19">
        <v>1</v>
      </c>
      <c r="H569" s="19" t="s">
        <v>427</v>
      </c>
      <c r="I569" s="19" t="s">
        <v>246</v>
      </c>
      <c r="J569" s="19" t="s">
        <v>217</v>
      </c>
      <c r="K569" s="18">
        <v>46071.440312500003</v>
      </c>
    </row>
    <row r="570" spans="1:11" x14ac:dyDescent="0.25">
      <c r="A570" s="16" t="s">
        <v>1021</v>
      </c>
      <c r="B570" s="20">
        <v>46038</v>
      </c>
      <c r="C570" s="16">
        <v>1</v>
      </c>
      <c r="D570" s="19" t="s">
        <v>33</v>
      </c>
      <c r="E570" s="19" t="s">
        <v>453</v>
      </c>
      <c r="G570" s="19">
        <v>5</v>
      </c>
      <c r="H570" s="19" t="s">
        <v>215</v>
      </c>
      <c r="I570" s="19" t="s">
        <v>246</v>
      </c>
      <c r="J570" s="19" t="s">
        <v>217</v>
      </c>
      <c r="K570" s="18">
        <v>46071.440358796295</v>
      </c>
    </row>
    <row r="571" spans="1:11" x14ac:dyDescent="0.25">
      <c r="A571" s="16" t="s">
        <v>1022</v>
      </c>
      <c r="B571" s="20">
        <v>46039</v>
      </c>
      <c r="C571" s="16">
        <v>1</v>
      </c>
      <c r="D571" s="19" t="s">
        <v>33</v>
      </c>
      <c r="E571" s="19" t="s">
        <v>453</v>
      </c>
      <c r="G571" s="19">
        <v>3</v>
      </c>
      <c r="H571" s="19" t="s">
        <v>215</v>
      </c>
      <c r="I571" s="19" t="s">
        <v>246</v>
      </c>
      <c r="J571" s="19" t="s">
        <v>217</v>
      </c>
      <c r="K571" s="18">
        <v>46071.440532407411</v>
      </c>
    </row>
    <row r="572" spans="1:11" x14ac:dyDescent="0.25">
      <c r="A572" s="16" t="s">
        <v>1023</v>
      </c>
      <c r="B572" s="20">
        <v>46039</v>
      </c>
      <c r="C572" s="16">
        <v>1</v>
      </c>
      <c r="D572" s="19" t="s">
        <v>33</v>
      </c>
      <c r="E572" s="19" t="s">
        <v>453</v>
      </c>
      <c r="G572" s="19">
        <v>5</v>
      </c>
      <c r="H572" s="19" t="s">
        <v>215</v>
      </c>
      <c r="I572" s="19" t="s">
        <v>246</v>
      </c>
      <c r="J572" s="19" t="s">
        <v>217</v>
      </c>
      <c r="K572" s="18">
        <v>46071.440555555557</v>
      </c>
    </row>
    <row r="573" spans="1:11" x14ac:dyDescent="0.25">
      <c r="A573" s="16" t="s">
        <v>1024</v>
      </c>
      <c r="B573" s="20">
        <v>46039</v>
      </c>
      <c r="C573" s="16">
        <v>1</v>
      </c>
      <c r="D573" s="19" t="s">
        <v>33</v>
      </c>
      <c r="E573" s="19" t="s">
        <v>453</v>
      </c>
      <c r="G573" s="19">
        <v>2</v>
      </c>
      <c r="H573" s="19" t="s">
        <v>215</v>
      </c>
      <c r="I573" s="19" t="s">
        <v>246</v>
      </c>
      <c r="J573" s="19" t="s">
        <v>217</v>
      </c>
      <c r="K573" s="18">
        <v>46071.440555555557</v>
      </c>
    </row>
    <row r="574" spans="1:11" x14ac:dyDescent="0.25">
      <c r="A574" s="16" t="s">
        <v>1025</v>
      </c>
      <c r="B574" s="20">
        <v>46040</v>
      </c>
      <c r="C574" s="16">
        <v>1</v>
      </c>
      <c r="D574" s="19" t="s">
        <v>33</v>
      </c>
      <c r="E574" s="19" t="s">
        <v>453</v>
      </c>
      <c r="G574" s="19">
        <v>6</v>
      </c>
      <c r="H574" s="19" t="s">
        <v>215</v>
      </c>
      <c r="I574" s="19" t="s">
        <v>246</v>
      </c>
      <c r="J574" s="19" t="s">
        <v>217</v>
      </c>
      <c r="K574" s="18">
        <v>46071.440648148149</v>
      </c>
    </row>
    <row r="575" spans="1:11" x14ac:dyDescent="0.25">
      <c r="A575" s="16" t="s">
        <v>1026</v>
      </c>
      <c r="B575" s="20">
        <v>46040</v>
      </c>
      <c r="C575" s="16">
        <v>1</v>
      </c>
      <c r="D575" s="19" t="s">
        <v>33</v>
      </c>
      <c r="E575" s="19" t="s">
        <v>453</v>
      </c>
      <c r="G575" s="19">
        <v>9</v>
      </c>
      <c r="H575" s="19" t="s">
        <v>215</v>
      </c>
      <c r="I575" s="19" t="s">
        <v>246</v>
      </c>
      <c r="J575" s="19" t="s">
        <v>217</v>
      </c>
      <c r="K575" s="18">
        <v>46071.440659722219</v>
      </c>
    </row>
    <row r="576" spans="1:11" x14ac:dyDescent="0.25">
      <c r="A576" s="16" t="s">
        <v>1027</v>
      </c>
      <c r="B576" s="20">
        <v>46041</v>
      </c>
      <c r="C576" s="16">
        <v>1</v>
      </c>
      <c r="D576" s="19" t="s">
        <v>33</v>
      </c>
      <c r="E576" s="19" t="s">
        <v>453</v>
      </c>
      <c r="G576" s="19">
        <v>5</v>
      </c>
      <c r="H576" s="19" t="s">
        <v>215</v>
      </c>
      <c r="I576" s="19" t="s">
        <v>246</v>
      </c>
      <c r="J576" s="19" t="s">
        <v>217</v>
      </c>
      <c r="K576" s="18">
        <v>46071.44091435185</v>
      </c>
    </row>
    <row r="577" spans="1:11" x14ac:dyDescent="0.25">
      <c r="A577" s="16" t="s">
        <v>1028</v>
      </c>
      <c r="B577" s="20">
        <v>46041</v>
      </c>
      <c r="C577" s="16">
        <v>1</v>
      </c>
      <c r="D577" s="19" t="s">
        <v>33</v>
      </c>
      <c r="E577" s="19" t="s">
        <v>453</v>
      </c>
      <c r="G577" s="19">
        <v>1</v>
      </c>
      <c r="H577" s="19" t="s">
        <v>215</v>
      </c>
      <c r="I577" s="19" t="s">
        <v>216</v>
      </c>
      <c r="J577" s="19" t="s">
        <v>217</v>
      </c>
      <c r="K577" s="18">
        <v>46071.440972222219</v>
      </c>
    </row>
    <row r="578" spans="1:11" x14ac:dyDescent="0.25">
      <c r="A578" s="16" t="s">
        <v>1029</v>
      </c>
      <c r="B578" s="20">
        <v>46043</v>
      </c>
      <c r="C578" s="16">
        <v>1</v>
      </c>
      <c r="D578" s="19" t="s">
        <v>33</v>
      </c>
      <c r="E578" s="19" t="s">
        <v>453</v>
      </c>
      <c r="G578" s="19">
        <v>9</v>
      </c>
      <c r="H578" s="19" t="s">
        <v>215</v>
      </c>
      <c r="I578" s="19" t="s">
        <v>216</v>
      </c>
      <c r="J578" s="19" t="s">
        <v>217</v>
      </c>
      <c r="K578" s="18">
        <v>46071.441157407404</v>
      </c>
    </row>
    <row r="579" spans="1:11" x14ac:dyDescent="0.25">
      <c r="A579" s="16" t="s">
        <v>1030</v>
      </c>
      <c r="B579" s="20">
        <v>46044</v>
      </c>
      <c r="C579" s="16">
        <v>1</v>
      </c>
      <c r="D579" s="19" t="s">
        <v>33</v>
      </c>
      <c r="E579" s="19" t="s">
        <v>453</v>
      </c>
      <c r="G579" s="19">
        <v>2</v>
      </c>
      <c r="H579" s="19" t="s">
        <v>215</v>
      </c>
      <c r="I579" s="19" t="s">
        <v>246</v>
      </c>
      <c r="J579" s="19" t="s">
        <v>217</v>
      </c>
      <c r="K579" s="18">
        <v>46071.441319444442</v>
      </c>
    </row>
    <row r="580" spans="1:11" x14ac:dyDescent="0.25">
      <c r="A580" s="16" t="s">
        <v>1031</v>
      </c>
      <c r="B580" s="20">
        <v>46044</v>
      </c>
      <c r="C580" s="16">
        <v>1</v>
      </c>
      <c r="D580" s="19" t="s">
        <v>33</v>
      </c>
      <c r="E580" s="19" t="s">
        <v>453</v>
      </c>
      <c r="G580" s="19">
        <v>6</v>
      </c>
      <c r="H580" s="19" t="s">
        <v>215</v>
      </c>
      <c r="I580" s="19" t="s">
        <v>246</v>
      </c>
      <c r="J580" s="19" t="s">
        <v>217</v>
      </c>
      <c r="K580" s="18">
        <v>46071.441388888888</v>
      </c>
    </row>
    <row r="581" spans="1:11" x14ac:dyDescent="0.25">
      <c r="A581" s="16" t="s">
        <v>1032</v>
      </c>
      <c r="B581" s="20">
        <v>46044</v>
      </c>
      <c r="C581" s="16">
        <v>1</v>
      </c>
      <c r="D581" s="19" t="s">
        <v>33</v>
      </c>
      <c r="E581" s="19" t="s">
        <v>453</v>
      </c>
      <c r="G581" s="19">
        <v>1</v>
      </c>
      <c r="H581" s="19" t="s">
        <v>215</v>
      </c>
      <c r="I581" s="19" t="s">
        <v>246</v>
      </c>
      <c r="J581" s="19" t="s">
        <v>217</v>
      </c>
      <c r="K581" s="18">
        <v>46071.441469907404</v>
      </c>
    </row>
    <row r="582" spans="1:11" x14ac:dyDescent="0.25">
      <c r="A582" s="16" t="s">
        <v>1033</v>
      </c>
      <c r="B582" s="20">
        <v>46044</v>
      </c>
      <c r="C582" s="16">
        <v>1</v>
      </c>
      <c r="D582" s="19" t="s">
        <v>33</v>
      </c>
      <c r="E582" s="19" t="s">
        <v>453</v>
      </c>
      <c r="G582" s="19">
        <v>9</v>
      </c>
      <c r="H582" s="19" t="s">
        <v>215</v>
      </c>
      <c r="I582" s="19" t="s">
        <v>216</v>
      </c>
      <c r="J582" s="19" t="s">
        <v>217</v>
      </c>
      <c r="K582" s="18">
        <v>46071.441562499997</v>
      </c>
    </row>
    <row r="583" spans="1:11" x14ac:dyDescent="0.25">
      <c r="A583" s="16" t="s">
        <v>1034</v>
      </c>
      <c r="B583" s="20">
        <v>46044</v>
      </c>
      <c r="C583" s="16">
        <v>1</v>
      </c>
      <c r="D583" s="19" t="s">
        <v>33</v>
      </c>
      <c r="E583" s="19" t="s">
        <v>453</v>
      </c>
      <c r="G583" s="19">
        <v>7</v>
      </c>
      <c r="H583" s="19" t="s">
        <v>215</v>
      </c>
      <c r="I583" s="19" t="s">
        <v>216</v>
      </c>
      <c r="J583" s="19" t="s">
        <v>217</v>
      </c>
      <c r="K583" s="18">
        <v>46071.44158564815</v>
      </c>
    </row>
    <row r="584" spans="1:11" x14ac:dyDescent="0.25">
      <c r="A584" s="16" t="s">
        <v>1035</v>
      </c>
      <c r="B584" s="20">
        <v>46045</v>
      </c>
      <c r="C584" s="16">
        <v>1</v>
      </c>
      <c r="D584" s="19" t="s">
        <v>33</v>
      </c>
      <c r="E584" s="19" t="s">
        <v>453</v>
      </c>
      <c r="G584" s="19">
        <v>3</v>
      </c>
      <c r="H584" s="19" t="s">
        <v>215</v>
      </c>
      <c r="I584" s="19" t="s">
        <v>216</v>
      </c>
      <c r="J584" s="19" t="s">
        <v>217</v>
      </c>
      <c r="K584" s="18">
        <v>46071.441736111112</v>
      </c>
    </row>
    <row r="585" spans="1:11" x14ac:dyDescent="0.25">
      <c r="A585" s="16" t="s">
        <v>1036</v>
      </c>
      <c r="B585" s="20">
        <v>46045</v>
      </c>
      <c r="C585" s="16">
        <v>1</v>
      </c>
      <c r="D585" s="19" t="s">
        <v>33</v>
      </c>
      <c r="E585" s="19" t="s">
        <v>453</v>
      </c>
      <c r="G585" s="19">
        <v>3</v>
      </c>
      <c r="H585" s="19" t="s">
        <v>215</v>
      </c>
      <c r="I585" s="19" t="s">
        <v>216</v>
      </c>
      <c r="J585" s="19" t="s">
        <v>217</v>
      </c>
      <c r="K585" s="18">
        <v>46071.441770833335</v>
      </c>
    </row>
    <row r="586" spans="1:11" x14ac:dyDescent="0.25">
      <c r="A586" s="16" t="s">
        <v>1037</v>
      </c>
      <c r="B586" s="20">
        <v>46045</v>
      </c>
      <c r="C586" s="16">
        <v>1</v>
      </c>
      <c r="D586" s="19" t="s">
        <v>33</v>
      </c>
      <c r="E586" s="19" t="s">
        <v>453</v>
      </c>
      <c r="G586" s="19">
        <v>8</v>
      </c>
      <c r="H586" s="19" t="s">
        <v>427</v>
      </c>
      <c r="I586" s="19" t="s">
        <v>246</v>
      </c>
      <c r="J586" s="19" t="s">
        <v>217</v>
      </c>
      <c r="K586" s="18">
        <v>46071.441874999997</v>
      </c>
    </row>
    <row r="587" spans="1:11" x14ac:dyDescent="0.25">
      <c r="A587" s="16" t="s">
        <v>1038</v>
      </c>
      <c r="B587" s="20">
        <v>46045</v>
      </c>
      <c r="C587" s="16">
        <v>1</v>
      </c>
      <c r="D587" s="19" t="s">
        <v>33</v>
      </c>
      <c r="E587" s="19" t="s">
        <v>453</v>
      </c>
      <c r="G587" s="19">
        <v>6</v>
      </c>
      <c r="H587" s="19" t="s">
        <v>427</v>
      </c>
      <c r="I587" s="19" t="s">
        <v>246</v>
      </c>
      <c r="J587" s="19" t="s">
        <v>217</v>
      </c>
      <c r="K587" s="18">
        <v>46071.44195601852</v>
      </c>
    </row>
    <row r="588" spans="1:11" x14ac:dyDescent="0.25">
      <c r="A588" s="16" t="s">
        <v>1039</v>
      </c>
      <c r="B588" s="20">
        <v>46046</v>
      </c>
      <c r="C588" s="16">
        <v>1</v>
      </c>
      <c r="D588" s="19" t="s">
        <v>33</v>
      </c>
      <c r="E588" s="19" t="s">
        <v>453</v>
      </c>
      <c r="G588" s="19">
        <v>2</v>
      </c>
      <c r="H588" s="19" t="s">
        <v>215</v>
      </c>
      <c r="I588" s="19" t="s">
        <v>216</v>
      </c>
      <c r="J588" s="19" t="s">
        <v>217</v>
      </c>
      <c r="K588" s="18">
        <v>46071.442233796297</v>
      </c>
    </row>
    <row r="589" spans="1:11" x14ac:dyDescent="0.25">
      <c r="A589" s="16" t="s">
        <v>1040</v>
      </c>
      <c r="B589" s="20">
        <v>46047</v>
      </c>
      <c r="C589" s="16">
        <v>1</v>
      </c>
      <c r="D589" s="19" t="s">
        <v>33</v>
      </c>
      <c r="E589" s="19" t="s">
        <v>453</v>
      </c>
      <c r="G589" s="19">
        <v>1</v>
      </c>
      <c r="H589" s="19" t="s">
        <v>215</v>
      </c>
      <c r="I589" s="19" t="s">
        <v>216</v>
      </c>
      <c r="J589" s="19" t="s">
        <v>217</v>
      </c>
      <c r="K589" s="18">
        <v>46071.442349537036</v>
      </c>
    </row>
    <row r="590" spans="1:11" x14ac:dyDescent="0.25">
      <c r="A590" s="16" t="s">
        <v>1041</v>
      </c>
      <c r="B590" s="20">
        <v>46047</v>
      </c>
      <c r="C590" s="16">
        <v>1</v>
      </c>
      <c r="D590" s="19" t="s">
        <v>33</v>
      </c>
      <c r="E590" s="19" t="s">
        <v>453</v>
      </c>
      <c r="G590" s="19">
        <v>1</v>
      </c>
      <c r="H590" s="19" t="s">
        <v>427</v>
      </c>
      <c r="I590" s="19" t="s">
        <v>246</v>
      </c>
      <c r="J590" s="19" t="s">
        <v>217</v>
      </c>
      <c r="K590" s="18">
        <v>46071.442453703705</v>
      </c>
    </row>
    <row r="591" spans="1:11" x14ac:dyDescent="0.25">
      <c r="A591" s="16" t="s">
        <v>1042</v>
      </c>
      <c r="B591" s="20">
        <v>46047</v>
      </c>
      <c r="C591" s="16">
        <v>1</v>
      </c>
      <c r="D591" s="19" t="s">
        <v>33</v>
      </c>
      <c r="E591" s="19" t="s">
        <v>453</v>
      </c>
      <c r="G591" s="19">
        <v>3</v>
      </c>
      <c r="H591" s="19" t="s">
        <v>215</v>
      </c>
      <c r="I591" s="19" t="s">
        <v>246</v>
      </c>
      <c r="J591" s="19" t="s">
        <v>217</v>
      </c>
      <c r="K591" s="18">
        <v>46071.442476851851</v>
      </c>
    </row>
    <row r="592" spans="1:11" x14ac:dyDescent="0.25">
      <c r="A592" s="16" t="s">
        <v>1043</v>
      </c>
      <c r="B592" s="20">
        <v>46047</v>
      </c>
      <c r="C592" s="16">
        <v>1</v>
      </c>
      <c r="D592" s="19" t="s">
        <v>33</v>
      </c>
      <c r="E592" s="19" t="s">
        <v>453</v>
      </c>
      <c r="G592" s="19">
        <v>4</v>
      </c>
      <c r="H592" s="19" t="s">
        <v>215</v>
      </c>
      <c r="I592" s="19" t="s">
        <v>246</v>
      </c>
      <c r="J592" s="19" t="s">
        <v>217</v>
      </c>
      <c r="K592" s="18">
        <v>46071.442488425928</v>
      </c>
    </row>
    <row r="593" spans="1:11" x14ac:dyDescent="0.25">
      <c r="A593" s="16" t="s">
        <v>1044</v>
      </c>
      <c r="B593" s="20">
        <v>46048</v>
      </c>
      <c r="C593" s="16">
        <v>1</v>
      </c>
      <c r="D593" s="19" t="s">
        <v>33</v>
      </c>
      <c r="E593" s="19" t="s">
        <v>453</v>
      </c>
      <c r="G593" s="19">
        <v>8</v>
      </c>
      <c r="H593" s="19" t="s">
        <v>215</v>
      </c>
      <c r="I593" s="19" t="s">
        <v>246</v>
      </c>
      <c r="J593" s="19" t="s">
        <v>217</v>
      </c>
      <c r="K593" s="18">
        <v>46071.442650462966</v>
      </c>
    </row>
    <row r="594" spans="1:11" x14ac:dyDescent="0.25">
      <c r="A594" s="16" t="s">
        <v>1045</v>
      </c>
      <c r="B594" s="20">
        <v>46049</v>
      </c>
      <c r="C594" s="16">
        <v>1</v>
      </c>
      <c r="D594" s="19" t="s">
        <v>33</v>
      </c>
      <c r="E594" s="19" t="s">
        <v>453</v>
      </c>
      <c r="G594" s="19">
        <v>3</v>
      </c>
      <c r="H594" s="19" t="s">
        <v>215</v>
      </c>
      <c r="I594" s="19" t="s">
        <v>246</v>
      </c>
      <c r="J594" s="19" t="s">
        <v>217</v>
      </c>
      <c r="K594" s="18">
        <v>46071.442766203705</v>
      </c>
    </row>
    <row r="595" spans="1:11" x14ac:dyDescent="0.25">
      <c r="A595" s="16" t="s">
        <v>1046</v>
      </c>
      <c r="B595" s="20">
        <v>46049</v>
      </c>
      <c r="C595" s="16">
        <v>1</v>
      </c>
      <c r="D595" s="19" t="s">
        <v>33</v>
      </c>
      <c r="E595" s="19" t="s">
        <v>453</v>
      </c>
      <c r="G595" s="19">
        <v>1</v>
      </c>
      <c r="H595" s="19" t="s">
        <v>215</v>
      </c>
      <c r="I595" s="19" t="s">
        <v>246</v>
      </c>
      <c r="J595" s="19" t="s">
        <v>217</v>
      </c>
      <c r="K595" s="18">
        <v>46071.442847222221</v>
      </c>
    </row>
    <row r="596" spans="1:11" x14ac:dyDescent="0.25">
      <c r="A596" s="16" t="s">
        <v>1047</v>
      </c>
      <c r="B596" s="20">
        <v>46050</v>
      </c>
      <c r="C596" s="16">
        <v>1</v>
      </c>
      <c r="D596" s="19" t="s">
        <v>33</v>
      </c>
      <c r="E596" s="19" t="s">
        <v>453</v>
      </c>
      <c r="G596" s="19">
        <v>1</v>
      </c>
      <c r="H596" s="19" t="s">
        <v>215</v>
      </c>
      <c r="I596" s="19" t="s">
        <v>246</v>
      </c>
      <c r="J596" s="19" t="s">
        <v>217</v>
      </c>
      <c r="K596" s="18">
        <v>46071.443078703705</v>
      </c>
    </row>
    <row r="597" spans="1:11" x14ac:dyDescent="0.25">
      <c r="A597" s="16" t="s">
        <v>1048</v>
      </c>
      <c r="B597" s="20">
        <v>46051</v>
      </c>
      <c r="C597" s="16">
        <v>1</v>
      </c>
      <c r="D597" s="19" t="s">
        <v>33</v>
      </c>
      <c r="E597" s="19" t="s">
        <v>453</v>
      </c>
      <c r="G597" s="19">
        <v>1</v>
      </c>
      <c r="H597" s="19" t="s">
        <v>215</v>
      </c>
      <c r="I597" s="19" t="s">
        <v>246</v>
      </c>
      <c r="J597" s="19" t="s">
        <v>217</v>
      </c>
      <c r="K597" s="18">
        <v>46071.443194444444</v>
      </c>
    </row>
    <row r="598" spans="1:11" x14ac:dyDescent="0.25">
      <c r="A598" s="16" t="s">
        <v>1049</v>
      </c>
      <c r="B598" s="20">
        <v>46052</v>
      </c>
      <c r="C598" s="16">
        <v>1</v>
      </c>
      <c r="D598" s="19" t="s">
        <v>33</v>
      </c>
      <c r="E598" s="19" t="s">
        <v>453</v>
      </c>
      <c r="G598" s="19">
        <v>1</v>
      </c>
      <c r="H598" s="19" t="s">
        <v>215</v>
      </c>
      <c r="I598" s="19" t="s">
        <v>246</v>
      </c>
      <c r="J598" s="19" t="s">
        <v>217</v>
      </c>
      <c r="K598" s="18">
        <v>46071.44327546296</v>
      </c>
    </row>
    <row r="599" spans="1:11" x14ac:dyDescent="0.25">
      <c r="A599" s="16" t="s">
        <v>1050</v>
      </c>
      <c r="B599" s="20">
        <v>46052</v>
      </c>
      <c r="C599" s="16">
        <v>1</v>
      </c>
      <c r="D599" s="19" t="s">
        <v>33</v>
      </c>
      <c r="E599" s="19" t="s">
        <v>453</v>
      </c>
      <c r="G599" s="19">
        <v>5</v>
      </c>
      <c r="H599" s="19" t="s">
        <v>427</v>
      </c>
      <c r="I599" s="19" t="s">
        <v>246</v>
      </c>
      <c r="J599" s="19" t="s">
        <v>217</v>
      </c>
      <c r="K599" s="18">
        <v>46071.443356481483</v>
      </c>
    </row>
    <row r="600" spans="1:11" x14ac:dyDescent="0.25">
      <c r="A600" s="16" t="s">
        <v>1051</v>
      </c>
      <c r="B600" s="20">
        <v>46052</v>
      </c>
      <c r="C600" s="16">
        <v>1</v>
      </c>
      <c r="D600" s="19" t="s">
        <v>33</v>
      </c>
      <c r="E600" s="19" t="s">
        <v>453</v>
      </c>
      <c r="G600" s="19">
        <v>1</v>
      </c>
      <c r="H600" s="19" t="s">
        <v>215</v>
      </c>
      <c r="I600" s="19" t="s">
        <v>216</v>
      </c>
      <c r="J600" s="19" t="s">
        <v>217</v>
      </c>
      <c r="K600" s="18">
        <v>46071.443391203706</v>
      </c>
    </row>
    <row r="601" spans="1:11" x14ac:dyDescent="0.25">
      <c r="A601" s="16" t="s">
        <v>1052</v>
      </c>
      <c r="B601" s="20">
        <v>46052</v>
      </c>
      <c r="C601" s="16">
        <v>1</v>
      </c>
      <c r="D601" s="19" t="s">
        <v>33</v>
      </c>
      <c r="E601" s="19" t="s">
        <v>453</v>
      </c>
      <c r="G601" s="19">
        <v>1</v>
      </c>
      <c r="H601" s="19" t="s">
        <v>215</v>
      </c>
      <c r="I601" s="19" t="s">
        <v>216</v>
      </c>
      <c r="J601" s="19" t="s">
        <v>217</v>
      </c>
      <c r="K601" s="18">
        <v>46071.443437499998</v>
      </c>
    </row>
    <row r="602" spans="1:11" x14ac:dyDescent="0.25">
      <c r="A602" s="16" t="s">
        <v>1053</v>
      </c>
      <c r="B602" s="20">
        <v>46053</v>
      </c>
      <c r="C602" s="16">
        <v>1</v>
      </c>
      <c r="D602" s="19" t="s">
        <v>33</v>
      </c>
      <c r="E602" s="19" t="s">
        <v>453</v>
      </c>
      <c r="G602" s="19">
        <v>2</v>
      </c>
      <c r="H602" s="19" t="s">
        <v>215</v>
      </c>
      <c r="I602" s="19" t="s">
        <v>246</v>
      </c>
      <c r="J602" s="19" t="s">
        <v>217</v>
      </c>
      <c r="K602" s="18">
        <v>46071.443611111114</v>
      </c>
    </row>
    <row r="603" spans="1:11" x14ac:dyDescent="0.25">
      <c r="A603" s="16" t="s">
        <v>1054</v>
      </c>
      <c r="B603" s="20">
        <v>46053</v>
      </c>
      <c r="C603" s="16">
        <v>1</v>
      </c>
      <c r="D603" s="19" t="s">
        <v>33</v>
      </c>
      <c r="E603" s="19" t="s">
        <v>453</v>
      </c>
      <c r="G603" s="19">
        <v>10</v>
      </c>
      <c r="H603" s="19" t="s">
        <v>215</v>
      </c>
      <c r="I603" s="19" t="s">
        <v>246</v>
      </c>
      <c r="J603" s="19" t="s">
        <v>217</v>
      </c>
      <c r="K603" s="18">
        <v>46071.443622685183</v>
      </c>
    </row>
    <row r="604" spans="1:11" x14ac:dyDescent="0.25">
      <c r="A604" s="16" t="s">
        <v>1055</v>
      </c>
      <c r="B604" s="20">
        <v>46053</v>
      </c>
      <c r="C604" s="16">
        <v>1</v>
      </c>
      <c r="D604" s="19" t="s">
        <v>33</v>
      </c>
      <c r="E604" s="19" t="s">
        <v>453</v>
      </c>
      <c r="G604" s="19">
        <v>29</v>
      </c>
      <c r="H604" s="19" t="s">
        <v>306</v>
      </c>
      <c r="I604" s="19" t="s">
        <v>246</v>
      </c>
      <c r="J604" s="19" t="s">
        <v>217</v>
      </c>
      <c r="K604" s="18">
        <v>46071.443738425929</v>
      </c>
    </row>
    <row r="605" spans="1:11" x14ac:dyDescent="0.25">
      <c r="A605" s="16" t="s">
        <v>1056</v>
      </c>
      <c r="B605" s="20">
        <v>46053</v>
      </c>
      <c r="C605" s="16">
        <v>1</v>
      </c>
      <c r="D605" s="19" t="s">
        <v>33</v>
      </c>
      <c r="E605" s="19" t="s">
        <v>453</v>
      </c>
      <c r="G605" s="19">
        <v>7</v>
      </c>
      <c r="H605" s="19" t="s">
        <v>306</v>
      </c>
      <c r="I605" s="19" t="s">
        <v>246</v>
      </c>
      <c r="J605" s="19" t="s">
        <v>217</v>
      </c>
      <c r="K605" s="18">
        <v>46071.443796296298</v>
      </c>
    </row>
    <row r="606" spans="1:11" x14ac:dyDescent="0.25">
      <c r="A606" s="16" t="s">
        <v>1057</v>
      </c>
      <c r="B606" s="20">
        <v>46053</v>
      </c>
      <c r="C606" s="16">
        <v>1</v>
      </c>
      <c r="D606" s="19" t="s">
        <v>33</v>
      </c>
      <c r="E606" s="19" t="s">
        <v>453</v>
      </c>
      <c r="G606" s="19">
        <v>2</v>
      </c>
      <c r="H606" s="19" t="s">
        <v>215</v>
      </c>
      <c r="I606" s="19" t="s">
        <v>216</v>
      </c>
      <c r="J606" s="19" t="s">
        <v>217</v>
      </c>
      <c r="K606" s="18">
        <v>46071.443831018521</v>
      </c>
    </row>
    <row r="607" spans="1:11" x14ac:dyDescent="0.25">
      <c r="A607" s="16" t="s">
        <v>1058</v>
      </c>
      <c r="B607" s="20">
        <v>46051</v>
      </c>
      <c r="C607" s="16">
        <v>1</v>
      </c>
      <c r="D607" s="19" t="s">
        <v>33</v>
      </c>
      <c r="E607" s="19" t="s">
        <v>453</v>
      </c>
      <c r="G607" s="19">
        <v>2</v>
      </c>
      <c r="H607" s="19" t="s">
        <v>215</v>
      </c>
      <c r="I607" s="19" t="s">
        <v>246</v>
      </c>
      <c r="J607" s="19" t="s">
        <v>217</v>
      </c>
      <c r="K607" s="18">
        <v>46071.446805555555</v>
      </c>
    </row>
    <row r="608" spans="1:11" x14ac:dyDescent="0.25">
      <c r="A608" s="16" t="s">
        <v>1059</v>
      </c>
      <c r="B608" s="20">
        <v>46023</v>
      </c>
      <c r="C608" s="16">
        <v>1</v>
      </c>
      <c r="D608" s="19" t="s">
        <v>35</v>
      </c>
      <c r="E608" s="19" t="s">
        <v>453</v>
      </c>
      <c r="G608" s="19">
        <v>32</v>
      </c>
      <c r="H608" s="19" t="s">
        <v>215</v>
      </c>
      <c r="I608" s="19" t="s">
        <v>216</v>
      </c>
      <c r="J608" s="19" t="s">
        <v>217</v>
      </c>
      <c r="K608" s="18">
        <v>46071.449247685188</v>
      </c>
    </row>
    <row r="609" spans="1:11" x14ac:dyDescent="0.25">
      <c r="A609" s="16" t="s">
        <v>1060</v>
      </c>
      <c r="B609" s="20">
        <v>46023</v>
      </c>
      <c r="C609" s="16">
        <v>1</v>
      </c>
      <c r="D609" s="19" t="s">
        <v>35</v>
      </c>
      <c r="E609" s="19" t="s">
        <v>453</v>
      </c>
      <c r="G609" s="19">
        <v>31</v>
      </c>
      <c r="H609" s="19" t="s">
        <v>215</v>
      </c>
      <c r="I609" s="19" t="s">
        <v>216</v>
      </c>
      <c r="J609" s="19" t="s">
        <v>217</v>
      </c>
      <c r="K609" s="18">
        <v>46071.449282407404</v>
      </c>
    </row>
    <row r="610" spans="1:11" x14ac:dyDescent="0.25">
      <c r="A610" s="16" t="s">
        <v>1061</v>
      </c>
      <c r="B610" s="20">
        <v>46024</v>
      </c>
      <c r="C610" s="16">
        <v>1</v>
      </c>
      <c r="D610" s="19" t="s">
        <v>35</v>
      </c>
      <c r="E610" s="19" t="s">
        <v>453</v>
      </c>
      <c r="G610" s="19">
        <v>20</v>
      </c>
      <c r="H610" s="19" t="s">
        <v>215</v>
      </c>
      <c r="I610" s="19" t="s">
        <v>216</v>
      </c>
      <c r="J610" s="19" t="s">
        <v>217</v>
      </c>
      <c r="K610" s="18">
        <v>46071.449432870373</v>
      </c>
    </row>
    <row r="611" spans="1:11" x14ac:dyDescent="0.25">
      <c r="A611" s="16" t="s">
        <v>1062</v>
      </c>
      <c r="B611" s="20">
        <v>46024</v>
      </c>
      <c r="C611" s="16">
        <v>1</v>
      </c>
      <c r="D611" s="19" t="s">
        <v>35</v>
      </c>
      <c r="E611" s="19" t="s">
        <v>453</v>
      </c>
      <c r="G611" s="19">
        <v>19</v>
      </c>
      <c r="H611" s="19" t="s">
        <v>215</v>
      </c>
      <c r="I611" s="19" t="s">
        <v>216</v>
      </c>
      <c r="J611" s="19" t="s">
        <v>217</v>
      </c>
      <c r="K611" s="18">
        <v>46071.449490740742</v>
      </c>
    </row>
    <row r="612" spans="1:11" x14ac:dyDescent="0.25">
      <c r="A612" s="16" t="s">
        <v>1063</v>
      </c>
      <c r="B612" s="20">
        <v>46024</v>
      </c>
      <c r="C612" s="16">
        <v>1</v>
      </c>
      <c r="D612" s="19" t="s">
        <v>35</v>
      </c>
      <c r="E612" s="19" t="s">
        <v>453</v>
      </c>
      <c r="G612" s="19">
        <v>37</v>
      </c>
      <c r="H612" s="19" t="s">
        <v>215</v>
      </c>
      <c r="I612" s="19" t="s">
        <v>216</v>
      </c>
      <c r="J612" s="19" t="s">
        <v>217</v>
      </c>
      <c r="K612" s="18">
        <v>46071.449525462966</v>
      </c>
    </row>
    <row r="613" spans="1:11" x14ac:dyDescent="0.25">
      <c r="A613" s="16" t="s">
        <v>1064</v>
      </c>
      <c r="B613" s="20">
        <v>46024</v>
      </c>
      <c r="C613" s="16">
        <v>1</v>
      </c>
      <c r="D613" s="19" t="s">
        <v>35</v>
      </c>
      <c r="E613" s="19" t="s">
        <v>453</v>
      </c>
      <c r="G613" s="19">
        <v>20</v>
      </c>
      <c r="H613" s="19" t="s">
        <v>215</v>
      </c>
      <c r="I613" s="19" t="s">
        <v>216</v>
      </c>
      <c r="J613" s="19" t="s">
        <v>217</v>
      </c>
      <c r="K613" s="18">
        <v>46071.449571759258</v>
      </c>
    </row>
    <row r="614" spans="1:11" x14ac:dyDescent="0.25">
      <c r="A614" s="16" t="s">
        <v>1065</v>
      </c>
      <c r="B614" s="20">
        <v>46025</v>
      </c>
      <c r="C614" s="16">
        <v>1</v>
      </c>
      <c r="D614" s="19" t="s">
        <v>35</v>
      </c>
      <c r="E614" s="19" t="s">
        <v>453</v>
      </c>
      <c r="G614" s="19">
        <v>25</v>
      </c>
      <c r="H614" s="19" t="s">
        <v>215</v>
      </c>
      <c r="I614" s="19" t="s">
        <v>216</v>
      </c>
      <c r="J614" s="19" t="s">
        <v>217</v>
      </c>
      <c r="K614" s="18">
        <v>46071.449780092589</v>
      </c>
    </row>
    <row r="615" spans="1:11" x14ac:dyDescent="0.25">
      <c r="A615" s="16" t="s">
        <v>1066</v>
      </c>
      <c r="B615" s="20">
        <v>46025</v>
      </c>
      <c r="C615" s="16">
        <v>1</v>
      </c>
      <c r="D615" s="19" t="s">
        <v>35</v>
      </c>
      <c r="E615" s="19" t="s">
        <v>453</v>
      </c>
      <c r="G615" s="19">
        <v>22</v>
      </c>
      <c r="H615" s="19" t="s">
        <v>215</v>
      </c>
      <c r="I615" s="19" t="s">
        <v>216</v>
      </c>
      <c r="J615" s="19" t="s">
        <v>217</v>
      </c>
      <c r="K615" s="18">
        <v>46071.449861111112</v>
      </c>
    </row>
    <row r="616" spans="1:11" x14ac:dyDescent="0.25">
      <c r="A616" s="16" t="s">
        <v>1067</v>
      </c>
      <c r="B616" s="20">
        <v>46026</v>
      </c>
      <c r="C616" s="16">
        <v>1</v>
      </c>
      <c r="D616" s="19" t="s">
        <v>35</v>
      </c>
      <c r="E616" s="19" t="s">
        <v>453</v>
      </c>
      <c r="G616" s="19">
        <v>20</v>
      </c>
      <c r="H616" s="19" t="s">
        <v>215</v>
      </c>
      <c r="I616" s="19" t="s">
        <v>216</v>
      </c>
      <c r="J616" s="19" t="s">
        <v>217</v>
      </c>
      <c r="K616" s="18">
        <v>46071.450023148151</v>
      </c>
    </row>
    <row r="617" spans="1:11" x14ac:dyDescent="0.25">
      <c r="A617" s="16" t="s">
        <v>1068</v>
      </c>
      <c r="B617" s="20">
        <v>46026</v>
      </c>
      <c r="C617" s="16">
        <v>1</v>
      </c>
      <c r="D617" s="19" t="s">
        <v>35</v>
      </c>
      <c r="E617" s="19" t="s">
        <v>453</v>
      </c>
      <c r="G617" s="19">
        <v>38</v>
      </c>
      <c r="H617" s="19" t="s">
        <v>215</v>
      </c>
      <c r="I617" s="19" t="s">
        <v>216</v>
      </c>
      <c r="J617" s="19" t="s">
        <v>217</v>
      </c>
      <c r="K617" s="18">
        <v>46071.450069444443</v>
      </c>
    </row>
    <row r="618" spans="1:11" x14ac:dyDescent="0.25">
      <c r="A618" s="16" t="s">
        <v>1069</v>
      </c>
      <c r="B618" s="20">
        <v>46026</v>
      </c>
      <c r="C618" s="16">
        <v>1</v>
      </c>
      <c r="D618" s="19" t="s">
        <v>35</v>
      </c>
      <c r="E618" s="19" t="s">
        <v>453</v>
      </c>
      <c r="G618" s="19">
        <v>21</v>
      </c>
      <c r="H618" s="19" t="s">
        <v>215</v>
      </c>
      <c r="I618" s="19" t="s">
        <v>216</v>
      </c>
      <c r="J618" s="19" t="s">
        <v>217</v>
      </c>
      <c r="K618" s="18">
        <v>46071.450115740743</v>
      </c>
    </row>
    <row r="619" spans="1:11" x14ac:dyDescent="0.25">
      <c r="A619" s="16" t="s">
        <v>1070</v>
      </c>
      <c r="B619" s="20">
        <v>46027</v>
      </c>
      <c r="C619" s="16">
        <v>1</v>
      </c>
      <c r="D619" s="19" t="s">
        <v>35</v>
      </c>
      <c r="E619" s="19" t="s">
        <v>453</v>
      </c>
      <c r="G619" s="19">
        <v>46</v>
      </c>
      <c r="H619" s="19" t="s">
        <v>215</v>
      </c>
      <c r="I619" s="19" t="s">
        <v>216</v>
      </c>
      <c r="J619" s="19" t="s">
        <v>217</v>
      </c>
      <c r="K619" s="18">
        <v>46071.450416666667</v>
      </c>
    </row>
    <row r="620" spans="1:11" x14ac:dyDescent="0.25">
      <c r="A620" s="16" t="s">
        <v>1071</v>
      </c>
      <c r="B620" s="20">
        <v>46027</v>
      </c>
      <c r="C620" s="16">
        <v>1</v>
      </c>
      <c r="D620" s="19" t="s">
        <v>35</v>
      </c>
      <c r="E620" s="19" t="s">
        <v>453</v>
      </c>
      <c r="G620" s="19">
        <v>36</v>
      </c>
      <c r="H620" s="19" t="s">
        <v>215</v>
      </c>
      <c r="I620" s="19" t="s">
        <v>216</v>
      </c>
      <c r="J620" s="19" t="s">
        <v>217</v>
      </c>
      <c r="K620" s="18">
        <v>46071.450439814813</v>
      </c>
    </row>
    <row r="621" spans="1:11" x14ac:dyDescent="0.25">
      <c r="A621" s="16" t="s">
        <v>1072</v>
      </c>
      <c r="B621" s="20">
        <v>46028</v>
      </c>
      <c r="C621" s="16">
        <v>1</v>
      </c>
      <c r="D621" s="19" t="s">
        <v>35</v>
      </c>
      <c r="E621" s="19" t="s">
        <v>453</v>
      </c>
      <c r="G621" s="19">
        <v>21</v>
      </c>
      <c r="H621" s="19" t="s">
        <v>215</v>
      </c>
      <c r="I621" s="19" t="s">
        <v>216</v>
      </c>
      <c r="J621" s="19" t="s">
        <v>217</v>
      </c>
      <c r="K621" s="18">
        <v>46071.450879629629</v>
      </c>
    </row>
    <row r="622" spans="1:11" x14ac:dyDescent="0.25">
      <c r="A622" s="16" t="s">
        <v>1073</v>
      </c>
      <c r="B622" s="20">
        <v>46028</v>
      </c>
      <c r="C622" s="16">
        <v>1</v>
      </c>
      <c r="D622" s="19" t="s">
        <v>35</v>
      </c>
      <c r="E622" s="19" t="s">
        <v>453</v>
      </c>
      <c r="G622" s="19">
        <v>19</v>
      </c>
      <c r="H622" s="19" t="s">
        <v>215</v>
      </c>
      <c r="I622" s="19" t="s">
        <v>216</v>
      </c>
      <c r="J622" s="19" t="s">
        <v>217</v>
      </c>
      <c r="K622" s="18">
        <v>46071.450902777775</v>
      </c>
    </row>
    <row r="623" spans="1:11" x14ac:dyDescent="0.25">
      <c r="A623" s="16" t="s">
        <v>1074</v>
      </c>
      <c r="B623" s="20">
        <v>46028</v>
      </c>
      <c r="C623" s="16">
        <v>1</v>
      </c>
      <c r="D623" s="19" t="s">
        <v>35</v>
      </c>
      <c r="E623" s="19" t="s">
        <v>453</v>
      </c>
      <c r="G623" s="19">
        <v>25</v>
      </c>
      <c r="H623" s="19" t="s">
        <v>215</v>
      </c>
      <c r="I623" s="19" t="s">
        <v>216</v>
      </c>
      <c r="J623" s="19" t="s">
        <v>217</v>
      </c>
      <c r="K623" s="18">
        <v>46071.450937499998</v>
      </c>
    </row>
    <row r="624" spans="1:11" x14ac:dyDescent="0.25">
      <c r="A624" s="16" t="s">
        <v>1075</v>
      </c>
      <c r="B624" s="20">
        <v>46029</v>
      </c>
      <c r="C624" s="16">
        <v>1</v>
      </c>
      <c r="D624" s="19" t="s">
        <v>35</v>
      </c>
      <c r="E624" s="19" t="s">
        <v>453</v>
      </c>
      <c r="G624" s="19">
        <v>32</v>
      </c>
      <c r="H624" s="19" t="s">
        <v>215</v>
      </c>
      <c r="I624" s="19" t="s">
        <v>216</v>
      </c>
      <c r="J624" s="19" t="s">
        <v>217</v>
      </c>
      <c r="K624" s="18">
        <v>46071.45108796296</v>
      </c>
    </row>
    <row r="625" spans="1:11" x14ac:dyDescent="0.25">
      <c r="A625" s="16" t="s">
        <v>1076</v>
      </c>
      <c r="B625" s="20">
        <v>46029</v>
      </c>
      <c r="C625" s="16">
        <v>1</v>
      </c>
      <c r="D625" s="19" t="s">
        <v>35</v>
      </c>
      <c r="E625" s="19" t="s">
        <v>453</v>
      </c>
      <c r="G625" s="19">
        <v>18</v>
      </c>
      <c r="H625" s="19" t="s">
        <v>215</v>
      </c>
      <c r="I625" s="19" t="s">
        <v>216</v>
      </c>
      <c r="J625" s="19" t="s">
        <v>217</v>
      </c>
      <c r="K625" s="18">
        <v>46071.451145833336</v>
      </c>
    </row>
    <row r="626" spans="1:11" x14ac:dyDescent="0.25">
      <c r="A626" s="16" t="s">
        <v>1077</v>
      </c>
      <c r="B626" s="20">
        <v>46030</v>
      </c>
      <c r="C626" s="16">
        <v>1</v>
      </c>
      <c r="D626" s="19" t="s">
        <v>35</v>
      </c>
      <c r="E626" s="19" t="s">
        <v>453</v>
      </c>
      <c r="G626" s="19">
        <v>40</v>
      </c>
      <c r="H626" s="19" t="s">
        <v>215</v>
      </c>
      <c r="I626" s="19" t="s">
        <v>216</v>
      </c>
      <c r="J626" s="19" t="s">
        <v>217</v>
      </c>
      <c r="K626" s="18">
        <v>46071.451481481483</v>
      </c>
    </row>
    <row r="627" spans="1:11" x14ac:dyDescent="0.25">
      <c r="A627" s="16" t="s">
        <v>1078</v>
      </c>
      <c r="B627" s="20">
        <v>46031</v>
      </c>
      <c r="C627" s="16">
        <v>1</v>
      </c>
      <c r="D627" s="19" t="s">
        <v>35</v>
      </c>
      <c r="E627" s="19" t="s">
        <v>453</v>
      </c>
      <c r="G627" s="19">
        <v>23</v>
      </c>
      <c r="H627" s="19" t="s">
        <v>215</v>
      </c>
      <c r="I627" s="19" t="s">
        <v>216</v>
      </c>
      <c r="J627" s="19" t="s">
        <v>217</v>
      </c>
      <c r="K627" s="18">
        <v>46071.451770833337</v>
      </c>
    </row>
    <row r="628" spans="1:11" x14ac:dyDescent="0.25">
      <c r="A628" s="16" t="s">
        <v>1079</v>
      </c>
      <c r="B628" s="20">
        <v>46031</v>
      </c>
      <c r="C628" s="16">
        <v>1</v>
      </c>
      <c r="D628" s="19" t="s">
        <v>35</v>
      </c>
      <c r="E628" s="19" t="s">
        <v>453</v>
      </c>
      <c r="G628" s="19">
        <v>20</v>
      </c>
      <c r="H628" s="19" t="s">
        <v>215</v>
      </c>
      <c r="I628" s="19" t="s">
        <v>216</v>
      </c>
      <c r="J628" s="19" t="s">
        <v>217</v>
      </c>
      <c r="K628" s="18">
        <v>46071.451805555553</v>
      </c>
    </row>
    <row r="629" spans="1:11" x14ac:dyDescent="0.25">
      <c r="A629" s="16" t="s">
        <v>1080</v>
      </c>
      <c r="B629" s="20">
        <v>46032</v>
      </c>
      <c r="C629" s="16">
        <v>1</v>
      </c>
      <c r="D629" s="19" t="s">
        <v>35</v>
      </c>
      <c r="E629" s="19" t="s">
        <v>453</v>
      </c>
      <c r="G629" s="19">
        <v>27</v>
      </c>
      <c r="H629" s="19" t="s">
        <v>215</v>
      </c>
      <c r="I629" s="19" t="s">
        <v>216</v>
      </c>
      <c r="J629" s="19" t="s">
        <v>217</v>
      </c>
      <c r="K629" s="18">
        <v>46071.452013888891</v>
      </c>
    </row>
    <row r="630" spans="1:11" x14ac:dyDescent="0.25">
      <c r="A630" s="16" t="s">
        <v>1081</v>
      </c>
      <c r="B630" s="20">
        <v>46032</v>
      </c>
      <c r="C630" s="16">
        <v>1</v>
      </c>
      <c r="D630" s="19" t="s">
        <v>35</v>
      </c>
      <c r="E630" s="19" t="s">
        <v>453</v>
      </c>
      <c r="G630" s="19">
        <v>26</v>
      </c>
      <c r="H630" s="19" t="s">
        <v>215</v>
      </c>
      <c r="I630" s="19" t="s">
        <v>216</v>
      </c>
      <c r="J630" s="19" t="s">
        <v>217</v>
      </c>
      <c r="K630" s="18">
        <v>46071.452048611114</v>
      </c>
    </row>
    <row r="631" spans="1:11" x14ac:dyDescent="0.25">
      <c r="A631" s="16" t="s">
        <v>1082</v>
      </c>
      <c r="B631" s="20">
        <v>46034</v>
      </c>
      <c r="C631" s="16">
        <v>1</v>
      </c>
      <c r="D631" s="19" t="s">
        <v>35</v>
      </c>
      <c r="E631" s="19" t="s">
        <v>453</v>
      </c>
      <c r="G631" s="19">
        <v>24</v>
      </c>
      <c r="H631" s="19" t="s">
        <v>215</v>
      </c>
      <c r="I631" s="19" t="s">
        <v>216</v>
      </c>
      <c r="J631" s="19" t="s">
        <v>217</v>
      </c>
      <c r="K631" s="18">
        <v>46071.452337962961</v>
      </c>
    </row>
    <row r="632" spans="1:11" x14ac:dyDescent="0.25">
      <c r="A632" s="16" t="s">
        <v>1083</v>
      </c>
      <c r="B632" s="20">
        <v>46034</v>
      </c>
      <c r="C632" s="16">
        <v>1</v>
      </c>
      <c r="D632" s="19" t="s">
        <v>35</v>
      </c>
      <c r="E632" s="19" t="s">
        <v>453</v>
      </c>
      <c r="G632" s="19">
        <v>30</v>
      </c>
      <c r="H632" s="19" t="s">
        <v>215</v>
      </c>
      <c r="I632" s="19" t="s">
        <v>216</v>
      </c>
      <c r="J632" s="19" t="s">
        <v>217</v>
      </c>
      <c r="K632" s="18">
        <v>46071.452361111114</v>
      </c>
    </row>
    <row r="633" spans="1:11" x14ac:dyDescent="0.25">
      <c r="A633" s="16" t="s">
        <v>1084</v>
      </c>
      <c r="B633" s="20">
        <v>46034</v>
      </c>
      <c r="C633" s="16">
        <v>1</v>
      </c>
      <c r="D633" s="19" t="s">
        <v>35</v>
      </c>
      <c r="E633" s="19" t="s">
        <v>453</v>
      </c>
      <c r="G633" s="19">
        <v>20</v>
      </c>
      <c r="H633" s="19" t="s">
        <v>215</v>
      </c>
      <c r="I633" s="19" t="s">
        <v>216</v>
      </c>
      <c r="J633" s="19" t="s">
        <v>217</v>
      </c>
      <c r="K633" s="18">
        <v>46071.452384259261</v>
      </c>
    </row>
    <row r="634" spans="1:11" x14ac:dyDescent="0.25">
      <c r="A634" s="16" t="s">
        <v>1085</v>
      </c>
      <c r="B634" s="20">
        <v>46034</v>
      </c>
      <c r="C634" s="16">
        <v>1</v>
      </c>
      <c r="D634" s="19" t="s">
        <v>35</v>
      </c>
      <c r="E634" s="19" t="s">
        <v>453</v>
      </c>
      <c r="G634" s="19">
        <v>30</v>
      </c>
      <c r="H634" s="19" t="s">
        <v>215</v>
      </c>
      <c r="I634" s="19" t="s">
        <v>216</v>
      </c>
      <c r="J634" s="19" t="s">
        <v>217</v>
      </c>
      <c r="K634" s="18">
        <v>46071.452407407407</v>
      </c>
    </row>
    <row r="635" spans="1:11" x14ac:dyDescent="0.25">
      <c r="A635" s="16" t="s">
        <v>1086</v>
      </c>
      <c r="B635" s="20">
        <v>46035</v>
      </c>
      <c r="C635" s="16">
        <v>1</v>
      </c>
      <c r="D635" s="19" t="s">
        <v>35</v>
      </c>
      <c r="E635" s="19" t="s">
        <v>453</v>
      </c>
      <c r="G635" s="19">
        <v>20</v>
      </c>
      <c r="H635" s="19" t="s">
        <v>215</v>
      </c>
      <c r="I635" s="19" t="s">
        <v>216</v>
      </c>
      <c r="J635" s="19" t="s">
        <v>217</v>
      </c>
      <c r="K635" s="18">
        <v>46071.452847222223</v>
      </c>
    </row>
    <row r="636" spans="1:11" x14ac:dyDescent="0.25">
      <c r="A636" s="16" t="s">
        <v>1087</v>
      </c>
      <c r="B636" s="20">
        <v>46035</v>
      </c>
      <c r="C636" s="16">
        <v>1</v>
      </c>
      <c r="D636" s="19" t="s">
        <v>35</v>
      </c>
      <c r="E636" s="19" t="s">
        <v>453</v>
      </c>
      <c r="G636" s="19">
        <v>34</v>
      </c>
      <c r="H636" s="19" t="s">
        <v>215</v>
      </c>
      <c r="I636" s="19" t="s">
        <v>216</v>
      </c>
      <c r="J636" s="19" t="s">
        <v>217</v>
      </c>
      <c r="K636" s="18">
        <v>46071.452870370369</v>
      </c>
    </row>
    <row r="637" spans="1:11" x14ac:dyDescent="0.25">
      <c r="A637" s="16" t="s">
        <v>1088</v>
      </c>
      <c r="B637" s="20">
        <v>46035</v>
      </c>
      <c r="C637" s="16">
        <v>1</v>
      </c>
      <c r="D637" s="19" t="s">
        <v>35</v>
      </c>
      <c r="E637" s="19" t="s">
        <v>453</v>
      </c>
      <c r="G637" s="19">
        <v>16</v>
      </c>
      <c r="H637" s="19" t="s">
        <v>215</v>
      </c>
      <c r="I637" s="19" t="s">
        <v>216</v>
      </c>
      <c r="J637" s="19" t="s">
        <v>217</v>
      </c>
      <c r="K637" s="18">
        <v>46071.452939814815</v>
      </c>
    </row>
    <row r="638" spans="1:11" x14ac:dyDescent="0.25">
      <c r="A638" s="16" t="s">
        <v>1089</v>
      </c>
      <c r="B638" s="20">
        <v>46036</v>
      </c>
      <c r="C638" s="16">
        <v>1</v>
      </c>
      <c r="D638" s="19" t="s">
        <v>35</v>
      </c>
      <c r="E638" s="19" t="s">
        <v>453</v>
      </c>
      <c r="G638" s="19">
        <v>34</v>
      </c>
      <c r="H638" s="19" t="s">
        <v>215</v>
      </c>
      <c r="I638" s="19" t="s">
        <v>216</v>
      </c>
      <c r="J638" s="19" t="s">
        <v>217</v>
      </c>
      <c r="K638" s="18">
        <v>46071.453136574077</v>
      </c>
    </row>
    <row r="639" spans="1:11" x14ac:dyDescent="0.25">
      <c r="A639" s="16" t="s">
        <v>1090</v>
      </c>
      <c r="B639" s="20">
        <v>46037</v>
      </c>
      <c r="C639" s="16">
        <v>1</v>
      </c>
      <c r="D639" s="19" t="s">
        <v>35</v>
      </c>
      <c r="E639" s="19" t="s">
        <v>453</v>
      </c>
      <c r="G639" s="19">
        <v>35</v>
      </c>
      <c r="H639" s="19" t="s">
        <v>215</v>
      </c>
      <c r="I639" s="19" t="s">
        <v>216</v>
      </c>
      <c r="J639" s="19" t="s">
        <v>217</v>
      </c>
      <c r="K639" s="18">
        <v>46071.453530092593</v>
      </c>
    </row>
    <row r="640" spans="1:11" x14ac:dyDescent="0.25">
      <c r="A640" s="16" t="s">
        <v>1091</v>
      </c>
      <c r="B640" s="20">
        <v>46037</v>
      </c>
      <c r="C640" s="16">
        <v>1</v>
      </c>
      <c r="D640" s="19" t="s">
        <v>35</v>
      </c>
      <c r="E640" s="19" t="s">
        <v>453</v>
      </c>
      <c r="G640" s="19">
        <v>24</v>
      </c>
      <c r="H640" s="19" t="s">
        <v>215</v>
      </c>
      <c r="I640" s="19" t="s">
        <v>216</v>
      </c>
      <c r="J640" s="19" t="s">
        <v>217</v>
      </c>
      <c r="K640" s="18">
        <v>46071.453564814816</v>
      </c>
    </row>
    <row r="641" spans="1:11" x14ac:dyDescent="0.25">
      <c r="A641" s="16" t="s">
        <v>1092</v>
      </c>
      <c r="B641" s="20">
        <v>46039</v>
      </c>
      <c r="C641" s="16">
        <v>1</v>
      </c>
      <c r="D641" s="19" t="s">
        <v>35</v>
      </c>
      <c r="E641" s="19" t="s">
        <v>453</v>
      </c>
      <c r="G641" s="19">
        <v>25</v>
      </c>
      <c r="H641" s="19" t="s">
        <v>215</v>
      </c>
      <c r="I641" s="19" t="s">
        <v>216</v>
      </c>
      <c r="J641" s="19" t="s">
        <v>217</v>
      </c>
      <c r="K641" s="18">
        <v>46071.453888888886</v>
      </c>
    </row>
    <row r="642" spans="1:11" x14ac:dyDescent="0.25">
      <c r="A642" s="16" t="s">
        <v>1093</v>
      </c>
      <c r="B642" s="20">
        <v>46039</v>
      </c>
      <c r="C642" s="16">
        <v>1</v>
      </c>
      <c r="D642" s="19" t="s">
        <v>35</v>
      </c>
      <c r="E642" s="19" t="s">
        <v>453</v>
      </c>
      <c r="G642" s="19">
        <v>27</v>
      </c>
      <c r="H642" s="19" t="s">
        <v>215</v>
      </c>
      <c r="I642" s="19" t="s">
        <v>216</v>
      </c>
      <c r="J642" s="19" t="s">
        <v>217</v>
      </c>
      <c r="K642" s="18">
        <v>46071.453923611109</v>
      </c>
    </row>
    <row r="643" spans="1:11" x14ac:dyDescent="0.25">
      <c r="A643" s="16" t="s">
        <v>1094</v>
      </c>
      <c r="B643" s="20">
        <v>46039</v>
      </c>
      <c r="C643" s="16">
        <v>1</v>
      </c>
      <c r="D643" s="19" t="s">
        <v>35</v>
      </c>
      <c r="E643" s="19" t="s">
        <v>453</v>
      </c>
      <c r="G643" s="19">
        <v>35</v>
      </c>
      <c r="H643" s="19" t="s">
        <v>215</v>
      </c>
      <c r="I643" s="19" t="s">
        <v>216</v>
      </c>
      <c r="J643" s="19" t="s">
        <v>217</v>
      </c>
      <c r="K643" s="18">
        <v>46071.454016203701</v>
      </c>
    </row>
    <row r="644" spans="1:11" x14ac:dyDescent="0.25">
      <c r="A644" s="16" t="s">
        <v>1095</v>
      </c>
      <c r="B644" s="20">
        <v>46040</v>
      </c>
      <c r="C644" s="16">
        <v>1</v>
      </c>
      <c r="D644" s="19" t="s">
        <v>35</v>
      </c>
      <c r="E644" s="19" t="s">
        <v>453</v>
      </c>
      <c r="G644" s="19">
        <v>29</v>
      </c>
      <c r="H644" s="19" t="s">
        <v>215</v>
      </c>
      <c r="I644" s="19" t="s">
        <v>216</v>
      </c>
      <c r="J644" s="19" t="s">
        <v>217</v>
      </c>
      <c r="K644" s="18">
        <v>46071.454467592594</v>
      </c>
    </row>
    <row r="645" spans="1:11" x14ac:dyDescent="0.25">
      <c r="A645" s="16" t="s">
        <v>1096</v>
      </c>
      <c r="B645" s="20">
        <v>46040</v>
      </c>
      <c r="C645" s="16">
        <v>1</v>
      </c>
      <c r="D645" s="19" t="s">
        <v>35</v>
      </c>
      <c r="E645" s="19" t="s">
        <v>453</v>
      </c>
      <c r="G645" s="19">
        <v>30</v>
      </c>
      <c r="H645" s="19" t="s">
        <v>215</v>
      </c>
      <c r="I645" s="19" t="s">
        <v>216</v>
      </c>
      <c r="J645" s="19" t="s">
        <v>217</v>
      </c>
      <c r="K645" s="18">
        <v>46071.454513888886</v>
      </c>
    </row>
    <row r="646" spans="1:11" x14ac:dyDescent="0.25">
      <c r="A646" s="16" t="s">
        <v>1097</v>
      </c>
      <c r="B646" s="20">
        <v>46040</v>
      </c>
      <c r="C646" s="16">
        <v>1</v>
      </c>
      <c r="D646" s="19" t="s">
        <v>35</v>
      </c>
      <c r="E646" s="19" t="s">
        <v>453</v>
      </c>
      <c r="G646" s="19">
        <v>29</v>
      </c>
      <c r="H646" s="19" t="s">
        <v>215</v>
      </c>
      <c r="I646" s="19" t="s">
        <v>216</v>
      </c>
      <c r="J646" s="19" t="s">
        <v>217</v>
      </c>
      <c r="K646" s="18">
        <v>46071.45548611111</v>
      </c>
    </row>
    <row r="647" spans="1:11" x14ac:dyDescent="0.25">
      <c r="A647" s="16" t="s">
        <v>1098</v>
      </c>
      <c r="B647" s="20">
        <v>46043</v>
      </c>
      <c r="C647" s="16">
        <v>1</v>
      </c>
      <c r="D647" s="19" t="s">
        <v>35</v>
      </c>
      <c r="E647" s="19" t="s">
        <v>453</v>
      </c>
      <c r="G647" s="19">
        <v>24</v>
      </c>
      <c r="H647" s="19" t="s">
        <v>215</v>
      </c>
      <c r="I647" s="19" t="s">
        <v>216</v>
      </c>
      <c r="J647" s="19" t="s">
        <v>217</v>
      </c>
      <c r="K647" s="18">
        <v>46071.456516203703</v>
      </c>
    </row>
    <row r="648" spans="1:11" x14ac:dyDescent="0.25">
      <c r="A648" s="16" t="s">
        <v>1099</v>
      </c>
      <c r="B648" s="20">
        <v>46043</v>
      </c>
      <c r="C648" s="16">
        <v>1</v>
      </c>
      <c r="D648" s="19" t="s">
        <v>35</v>
      </c>
      <c r="E648" s="19" t="s">
        <v>453</v>
      </c>
      <c r="G648" s="19">
        <v>34</v>
      </c>
      <c r="H648" s="19" t="s">
        <v>215</v>
      </c>
      <c r="I648" s="19" t="s">
        <v>216</v>
      </c>
      <c r="J648" s="19" t="s">
        <v>217</v>
      </c>
      <c r="K648" s="18">
        <v>46071.456550925926</v>
      </c>
    </row>
    <row r="649" spans="1:11" x14ac:dyDescent="0.25">
      <c r="A649" s="16" t="s">
        <v>1100</v>
      </c>
      <c r="B649" s="20">
        <v>46043</v>
      </c>
      <c r="C649" s="16">
        <v>1</v>
      </c>
      <c r="D649" s="19" t="s">
        <v>35</v>
      </c>
      <c r="E649" s="19" t="s">
        <v>453</v>
      </c>
      <c r="G649" s="19">
        <v>36</v>
      </c>
      <c r="H649" s="19" t="s">
        <v>215</v>
      </c>
      <c r="I649" s="19" t="s">
        <v>216</v>
      </c>
      <c r="J649" s="19" t="s">
        <v>217</v>
      </c>
      <c r="K649" s="18">
        <v>46071.456574074073</v>
      </c>
    </row>
    <row r="650" spans="1:11" x14ac:dyDescent="0.25">
      <c r="A650" s="16" t="s">
        <v>1101</v>
      </c>
      <c r="B650" s="20">
        <v>46043</v>
      </c>
      <c r="C650" s="16">
        <v>1</v>
      </c>
      <c r="D650" s="19" t="s">
        <v>35</v>
      </c>
      <c r="E650" s="19" t="s">
        <v>453</v>
      </c>
      <c r="G650" s="19">
        <v>30</v>
      </c>
      <c r="H650" s="19" t="s">
        <v>215</v>
      </c>
      <c r="I650" s="19" t="s">
        <v>216</v>
      </c>
      <c r="J650" s="19" t="s">
        <v>217</v>
      </c>
      <c r="K650" s="18">
        <v>46071.456597222219</v>
      </c>
    </row>
    <row r="651" spans="1:11" x14ac:dyDescent="0.25">
      <c r="A651" s="16" t="s">
        <v>1102</v>
      </c>
      <c r="B651" s="20">
        <v>46043</v>
      </c>
      <c r="C651" s="16">
        <v>1</v>
      </c>
      <c r="D651" s="19" t="s">
        <v>35</v>
      </c>
      <c r="E651" s="19" t="s">
        <v>453</v>
      </c>
      <c r="G651" s="19">
        <v>18</v>
      </c>
      <c r="H651" s="19" t="s">
        <v>215</v>
      </c>
      <c r="I651" s="19" t="s">
        <v>216</v>
      </c>
      <c r="J651" s="19" t="s">
        <v>217</v>
      </c>
      <c r="K651" s="18">
        <v>46071.456631944442</v>
      </c>
    </row>
    <row r="652" spans="1:11" x14ac:dyDescent="0.25">
      <c r="A652" s="16" t="s">
        <v>1103</v>
      </c>
      <c r="B652" s="20">
        <v>46045</v>
      </c>
      <c r="C652" s="16">
        <v>1</v>
      </c>
      <c r="D652" s="19" t="s">
        <v>35</v>
      </c>
      <c r="E652" s="19" t="s">
        <v>453</v>
      </c>
      <c r="G652" s="19">
        <v>30</v>
      </c>
      <c r="H652" s="19" t="s">
        <v>215</v>
      </c>
      <c r="I652" s="19" t="s">
        <v>216</v>
      </c>
      <c r="J652" s="19" t="s">
        <v>217</v>
      </c>
      <c r="K652" s="18">
        <v>46071.457118055558</v>
      </c>
    </row>
    <row r="653" spans="1:11" x14ac:dyDescent="0.25">
      <c r="A653" s="16" t="s">
        <v>1104</v>
      </c>
      <c r="B653" s="20">
        <v>46046</v>
      </c>
      <c r="C653" s="16">
        <v>1</v>
      </c>
      <c r="D653" s="19" t="s">
        <v>35</v>
      </c>
      <c r="E653" s="19" t="s">
        <v>453</v>
      </c>
      <c r="G653" s="19">
        <v>24</v>
      </c>
      <c r="H653" s="19" t="s">
        <v>215</v>
      </c>
      <c r="I653" s="19" t="s">
        <v>216</v>
      </c>
      <c r="J653" s="19" t="s">
        <v>217</v>
      </c>
      <c r="K653" s="18">
        <v>46071.457337962966</v>
      </c>
    </row>
    <row r="654" spans="1:11" x14ac:dyDescent="0.25">
      <c r="A654" s="16" t="s">
        <v>1105</v>
      </c>
      <c r="B654" s="20">
        <v>46046</v>
      </c>
      <c r="C654" s="16">
        <v>1</v>
      </c>
      <c r="D654" s="19" t="s">
        <v>35</v>
      </c>
      <c r="E654" s="19" t="s">
        <v>453</v>
      </c>
      <c r="G654" s="19">
        <v>35</v>
      </c>
      <c r="H654" s="19" t="s">
        <v>215</v>
      </c>
      <c r="I654" s="19" t="s">
        <v>216</v>
      </c>
      <c r="J654" s="19" t="s">
        <v>217</v>
      </c>
      <c r="K654" s="18">
        <v>46071.457361111112</v>
      </c>
    </row>
    <row r="655" spans="1:11" x14ac:dyDescent="0.25">
      <c r="A655" s="16" t="s">
        <v>1106</v>
      </c>
      <c r="B655" s="20">
        <v>46046</v>
      </c>
      <c r="C655" s="16">
        <v>1</v>
      </c>
      <c r="D655" s="19" t="s">
        <v>35</v>
      </c>
      <c r="E655" s="19" t="s">
        <v>453</v>
      </c>
      <c r="G655" s="19">
        <v>42</v>
      </c>
      <c r="H655" s="19" t="s">
        <v>215</v>
      </c>
      <c r="I655" s="19" t="s">
        <v>216</v>
      </c>
      <c r="J655" s="19" t="s">
        <v>217</v>
      </c>
      <c r="K655" s="18">
        <v>46071.457384259258</v>
      </c>
    </row>
    <row r="656" spans="1:11" x14ac:dyDescent="0.25">
      <c r="A656" s="16" t="s">
        <v>1107</v>
      </c>
      <c r="B656" s="20">
        <v>46046</v>
      </c>
      <c r="C656" s="16">
        <v>1</v>
      </c>
      <c r="D656" s="19" t="s">
        <v>35</v>
      </c>
      <c r="E656" s="19" t="s">
        <v>453</v>
      </c>
      <c r="G656" s="19">
        <v>31</v>
      </c>
      <c r="H656" s="19" t="s">
        <v>215</v>
      </c>
      <c r="I656" s="19" t="s">
        <v>216</v>
      </c>
      <c r="J656" s="19" t="s">
        <v>217</v>
      </c>
      <c r="K656" s="18">
        <v>46071.457418981481</v>
      </c>
    </row>
    <row r="657" spans="1:11" x14ac:dyDescent="0.25">
      <c r="A657" s="16" t="s">
        <v>1108</v>
      </c>
      <c r="B657" s="20">
        <v>46047</v>
      </c>
      <c r="C657" s="16">
        <v>1</v>
      </c>
      <c r="D657" s="19" t="s">
        <v>35</v>
      </c>
      <c r="E657" s="19" t="s">
        <v>453</v>
      </c>
      <c r="G657" s="19">
        <v>33</v>
      </c>
      <c r="H657" s="19" t="s">
        <v>215</v>
      </c>
      <c r="I657" s="19" t="s">
        <v>216</v>
      </c>
      <c r="J657" s="19" t="s">
        <v>217</v>
      </c>
      <c r="K657" s="18">
        <v>46071.457604166666</v>
      </c>
    </row>
    <row r="658" spans="1:11" x14ac:dyDescent="0.25">
      <c r="A658" s="16" t="s">
        <v>1109</v>
      </c>
      <c r="B658" s="20">
        <v>46048</v>
      </c>
      <c r="C658" s="16">
        <v>1</v>
      </c>
      <c r="D658" s="19" t="s">
        <v>35</v>
      </c>
      <c r="E658" s="19" t="s">
        <v>453</v>
      </c>
      <c r="G658" s="19">
        <v>31</v>
      </c>
      <c r="H658" s="19" t="s">
        <v>215</v>
      </c>
      <c r="I658" s="19" t="s">
        <v>216</v>
      </c>
      <c r="J658" s="19" t="s">
        <v>217</v>
      </c>
      <c r="K658" s="18">
        <v>46071.457789351851</v>
      </c>
    </row>
    <row r="659" spans="1:11" x14ac:dyDescent="0.25">
      <c r="A659" s="16" t="s">
        <v>1110</v>
      </c>
      <c r="B659" s="20">
        <v>46048</v>
      </c>
      <c r="C659" s="16">
        <v>1</v>
      </c>
      <c r="D659" s="19" t="s">
        <v>35</v>
      </c>
      <c r="E659" s="19" t="s">
        <v>453</v>
      </c>
      <c r="G659" s="19">
        <v>36</v>
      </c>
      <c r="H659" s="19" t="s">
        <v>215</v>
      </c>
      <c r="I659" s="19" t="s">
        <v>216</v>
      </c>
      <c r="J659" s="19" t="s">
        <v>217</v>
      </c>
      <c r="K659" s="18">
        <v>46071.457812499997</v>
      </c>
    </row>
    <row r="660" spans="1:11" x14ac:dyDescent="0.25">
      <c r="A660" s="16" t="s">
        <v>1111</v>
      </c>
      <c r="B660" s="20">
        <v>46048</v>
      </c>
      <c r="C660" s="16">
        <v>1</v>
      </c>
      <c r="D660" s="19" t="s">
        <v>35</v>
      </c>
      <c r="E660" s="19" t="s">
        <v>453</v>
      </c>
      <c r="G660" s="19">
        <v>31</v>
      </c>
      <c r="H660" s="19" t="s">
        <v>215</v>
      </c>
      <c r="I660" s="19" t="s">
        <v>216</v>
      </c>
      <c r="J660" s="19" t="s">
        <v>217</v>
      </c>
      <c r="K660" s="18">
        <v>46071.45784722222</v>
      </c>
    </row>
    <row r="661" spans="1:11" x14ac:dyDescent="0.25">
      <c r="A661" s="16" t="s">
        <v>1112</v>
      </c>
      <c r="B661" s="20">
        <v>46049</v>
      </c>
      <c r="C661" s="16">
        <v>1</v>
      </c>
      <c r="D661" s="19" t="s">
        <v>35</v>
      </c>
      <c r="E661" s="19" t="s">
        <v>453</v>
      </c>
      <c r="G661" s="19">
        <v>35</v>
      </c>
      <c r="H661" s="19" t="s">
        <v>215</v>
      </c>
      <c r="I661" s="19" t="s">
        <v>216</v>
      </c>
      <c r="J661" s="19" t="s">
        <v>217</v>
      </c>
      <c r="K661" s="18">
        <v>46071.458090277774</v>
      </c>
    </row>
    <row r="662" spans="1:11" x14ac:dyDescent="0.25">
      <c r="A662" s="16" t="s">
        <v>1113</v>
      </c>
      <c r="B662" s="20">
        <v>46050</v>
      </c>
      <c r="C662" s="16">
        <v>1</v>
      </c>
      <c r="D662" s="19" t="s">
        <v>35</v>
      </c>
      <c r="E662" s="19" t="s">
        <v>453</v>
      </c>
      <c r="G662" s="19">
        <v>24</v>
      </c>
      <c r="H662" s="19" t="s">
        <v>215</v>
      </c>
      <c r="I662" s="19" t="s">
        <v>216</v>
      </c>
      <c r="J662" s="19" t="s">
        <v>217</v>
      </c>
      <c r="K662" s="18">
        <v>46071.45826388889</v>
      </c>
    </row>
    <row r="663" spans="1:11" x14ac:dyDescent="0.25">
      <c r="A663" s="16" t="s">
        <v>1114</v>
      </c>
      <c r="B663" s="20">
        <v>46050</v>
      </c>
      <c r="C663" s="16">
        <v>1</v>
      </c>
      <c r="D663" s="19" t="s">
        <v>35</v>
      </c>
      <c r="E663" s="19" t="s">
        <v>453</v>
      </c>
      <c r="G663" s="19">
        <v>30</v>
      </c>
      <c r="H663" s="19" t="s">
        <v>215</v>
      </c>
      <c r="I663" s="19" t="s">
        <v>216</v>
      </c>
      <c r="J663" s="19" t="s">
        <v>217</v>
      </c>
      <c r="K663" s="18">
        <v>46071.458298611113</v>
      </c>
    </row>
    <row r="664" spans="1:11" x14ac:dyDescent="0.25">
      <c r="A664" s="16" t="s">
        <v>1115</v>
      </c>
      <c r="B664" s="20">
        <v>46051</v>
      </c>
      <c r="C664" s="16">
        <v>1</v>
      </c>
      <c r="D664" s="19" t="s">
        <v>35</v>
      </c>
      <c r="E664" s="19" t="s">
        <v>453</v>
      </c>
      <c r="G664" s="19">
        <v>28</v>
      </c>
      <c r="H664" s="19" t="s">
        <v>215</v>
      </c>
      <c r="I664" s="19" t="s">
        <v>216</v>
      </c>
      <c r="J664" s="19" t="s">
        <v>217</v>
      </c>
      <c r="K664" s="18">
        <v>46071.458483796298</v>
      </c>
    </row>
    <row r="665" spans="1:11" x14ac:dyDescent="0.25">
      <c r="A665" s="16" t="s">
        <v>1116</v>
      </c>
      <c r="B665" s="20">
        <v>46052</v>
      </c>
      <c r="C665" s="16">
        <v>1</v>
      </c>
      <c r="D665" s="19" t="s">
        <v>35</v>
      </c>
      <c r="E665" s="19" t="s">
        <v>453</v>
      </c>
      <c r="G665" s="19">
        <v>38</v>
      </c>
      <c r="H665" s="19" t="s">
        <v>215</v>
      </c>
      <c r="I665" s="19" t="s">
        <v>216</v>
      </c>
      <c r="J665" s="19" t="s">
        <v>217</v>
      </c>
      <c r="K665" s="18">
        <v>46071.458796296298</v>
      </c>
    </row>
    <row r="666" spans="1:11" x14ac:dyDescent="0.25">
      <c r="A666" s="16" t="s">
        <v>1117</v>
      </c>
      <c r="B666" s="20">
        <v>46052</v>
      </c>
      <c r="C666" s="16">
        <v>1</v>
      </c>
      <c r="D666" s="19" t="s">
        <v>35</v>
      </c>
      <c r="E666" s="19" t="s">
        <v>453</v>
      </c>
      <c r="G666" s="19">
        <v>30</v>
      </c>
      <c r="H666" s="19" t="s">
        <v>215</v>
      </c>
      <c r="I666" s="19" t="s">
        <v>216</v>
      </c>
      <c r="J666" s="19" t="s">
        <v>217</v>
      </c>
      <c r="K666" s="18">
        <v>46071.458819444444</v>
      </c>
    </row>
    <row r="667" spans="1:11" x14ac:dyDescent="0.25">
      <c r="A667" s="16" t="s">
        <v>1118</v>
      </c>
      <c r="B667" s="20">
        <v>46052</v>
      </c>
      <c r="C667" s="16">
        <v>1</v>
      </c>
      <c r="D667" s="19" t="s">
        <v>35</v>
      </c>
      <c r="E667" s="19" t="s">
        <v>453</v>
      </c>
      <c r="G667" s="19">
        <v>28</v>
      </c>
      <c r="H667" s="19" t="s">
        <v>215</v>
      </c>
      <c r="I667" s="19" t="s">
        <v>216</v>
      </c>
      <c r="J667" s="19" t="s">
        <v>217</v>
      </c>
      <c r="K667" s="18">
        <v>46071.458877314813</v>
      </c>
    </row>
    <row r="668" spans="1:11" x14ac:dyDescent="0.25">
      <c r="A668" s="16" t="s">
        <v>1119</v>
      </c>
      <c r="B668" s="20">
        <v>46053</v>
      </c>
      <c r="C668" s="16">
        <v>1</v>
      </c>
      <c r="D668" s="19" t="s">
        <v>35</v>
      </c>
      <c r="E668" s="19" t="s">
        <v>453</v>
      </c>
      <c r="G668" s="19">
        <v>31</v>
      </c>
      <c r="H668" s="19" t="s">
        <v>215</v>
      </c>
      <c r="I668" s="19" t="s">
        <v>216</v>
      </c>
      <c r="J668" s="19" t="s">
        <v>217</v>
      </c>
      <c r="K668" s="18">
        <v>46071.459108796298</v>
      </c>
    </row>
    <row r="669" spans="1:11" x14ac:dyDescent="0.25">
      <c r="A669" s="16" t="s">
        <v>1120</v>
      </c>
      <c r="B669" s="20">
        <v>46053</v>
      </c>
      <c r="C669" s="16">
        <v>1</v>
      </c>
      <c r="D669" s="19" t="s">
        <v>35</v>
      </c>
      <c r="E669" s="19" t="s">
        <v>453</v>
      </c>
      <c r="G669" s="19">
        <v>20</v>
      </c>
      <c r="H669" s="19" t="s">
        <v>215</v>
      </c>
      <c r="I669" s="19" t="s">
        <v>216</v>
      </c>
      <c r="J669" s="19" t="s">
        <v>217</v>
      </c>
      <c r="K669" s="18">
        <v>46071.459131944444</v>
      </c>
    </row>
    <row r="670" spans="1:11" x14ac:dyDescent="0.25">
      <c r="A670" s="16" t="s">
        <v>1121</v>
      </c>
      <c r="B670" s="20">
        <v>46054</v>
      </c>
      <c r="C670" s="16">
        <v>2</v>
      </c>
      <c r="D670" s="19" t="s">
        <v>29</v>
      </c>
      <c r="E670" s="19" t="s">
        <v>453</v>
      </c>
      <c r="G670" s="19">
        <v>56</v>
      </c>
      <c r="H670" s="19" t="s">
        <v>215</v>
      </c>
      <c r="I670" s="19" t="s">
        <v>246</v>
      </c>
      <c r="J670" s="19" t="s">
        <v>217</v>
      </c>
      <c r="K670" s="18">
        <v>46084.553252314814</v>
      </c>
    </row>
    <row r="671" spans="1:11" x14ac:dyDescent="0.25">
      <c r="A671" s="16" t="s">
        <v>1122</v>
      </c>
      <c r="B671" s="20">
        <v>46054</v>
      </c>
      <c r="C671" s="16">
        <v>2</v>
      </c>
      <c r="D671" s="19" t="s">
        <v>29</v>
      </c>
      <c r="E671" s="19" t="s">
        <v>453</v>
      </c>
      <c r="G671" s="19">
        <v>63</v>
      </c>
      <c r="H671" s="19" t="s">
        <v>215</v>
      </c>
      <c r="I671" s="19" t="s">
        <v>246</v>
      </c>
      <c r="J671" s="19" t="s">
        <v>217</v>
      </c>
      <c r="K671" s="18">
        <v>46084.55327546296</v>
      </c>
    </row>
    <row r="672" spans="1:11" x14ac:dyDescent="0.25">
      <c r="A672" s="16" t="s">
        <v>1123</v>
      </c>
      <c r="B672" s="20">
        <v>46054</v>
      </c>
      <c r="C672" s="16">
        <v>2</v>
      </c>
      <c r="D672" s="19" t="s">
        <v>29</v>
      </c>
      <c r="E672" s="19" t="s">
        <v>453</v>
      </c>
      <c r="G672" s="19">
        <v>26</v>
      </c>
      <c r="H672" s="19" t="s">
        <v>215</v>
      </c>
      <c r="I672" s="19" t="s">
        <v>246</v>
      </c>
      <c r="J672" s="19" t="s">
        <v>217</v>
      </c>
      <c r="K672" s="18">
        <v>46084.55332175926</v>
      </c>
    </row>
    <row r="673" spans="1:11" x14ac:dyDescent="0.25">
      <c r="A673" s="16" t="s">
        <v>1124</v>
      </c>
      <c r="B673" s="20">
        <v>46054</v>
      </c>
      <c r="C673" s="16">
        <v>2</v>
      </c>
      <c r="D673" s="19" t="s">
        <v>29</v>
      </c>
      <c r="E673" s="19" t="s">
        <v>453</v>
      </c>
      <c r="G673" s="19">
        <v>50</v>
      </c>
      <c r="H673" s="19" t="s">
        <v>215</v>
      </c>
      <c r="I673" s="19" t="s">
        <v>246</v>
      </c>
      <c r="J673" s="19" t="s">
        <v>217</v>
      </c>
      <c r="K673" s="18">
        <v>46084.553344907406</v>
      </c>
    </row>
    <row r="674" spans="1:11" x14ac:dyDescent="0.25">
      <c r="A674" s="16" t="s">
        <v>1125</v>
      </c>
      <c r="B674" s="20">
        <v>46054</v>
      </c>
      <c r="C674" s="16">
        <v>2</v>
      </c>
      <c r="D674" s="19" t="s">
        <v>29</v>
      </c>
      <c r="E674" s="19" t="s">
        <v>453</v>
      </c>
      <c r="G674" s="19">
        <v>32</v>
      </c>
      <c r="H674" s="19" t="s">
        <v>215</v>
      </c>
      <c r="I674" s="19" t="s">
        <v>246</v>
      </c>
      <c r="J674" s="19" t="s">
        <v>217</v>
      </c>
      <c r="K674" s="18">
        <v>46084.553356481483</v>
      </c>
    </row>
    <row r="675" spans="1:11" x14ac:dyDescent="0.25">
      <c r="A675" s="16" t="s">
        <v>1126</v>
      </c>
      <c r="B675" s="20">
        <v>46054</v>
      </c>
      <c r="C675" s="16">
        <v>2</v>
      </c>
      <c r="D675" s="19" t="s">
        <v>29</v>
      </c>
      <c r="E675" s="19" t="s">
        <v>453</v>
      </c>
      <c r="G675" s="19">
        <v>40</v>
      </c>
      <c r="H675" s="19" t="s">
        <v>215</v>
      </c>
      <c r="I675" s="19" t="s">
        <v>246</v>
      </c>
      <c r="J675" s="19" t="s">
        <v>217</v>
      </c>
      <c r="K675" s="18">
        <v>46084.553368055553</v>
      </c>
    </row>
    <row r="676" spans="1:11" x14ac:dyDescent="0.25">
      <c r="A676" s="16" t="s">
        <v>1127</v>
      </c>
      <c r="B676" s="20">
        <v>46054</v>
      </c>
      <c r="C676" s="16">
        <v>2</v>
      </c>
      <c r="D676" s="19" t="s">
        <v>29</v>
      </c>
      <c r="E676" s="19" t="s">
        <v>453</v>
      </c>
      <c r="G676" s="19">
        <v>61</v>
      </c>
      <c r="H676" s="19" t="s">
        <v>215</v>
      </c>
      <c r="I676" s="19" t="s">
        <v>246</v>
      </c>
      <c r="J676" s="19" t="s">
        <v>217</v>
      </c>
      <c r="K676" s="18">
        <v>46084.553402777776</v>
      </c>
    </row>
    <row r="677" spans="1:11" x14ac:dyDescent="0.25">
      <c r="A677" s="16" t="s">
        <v>1128</v>
      </c>
      <c r="B677" s="20">
        <v>46055</v>
      </c>
      <c r="C677" s="16">
        <v>2</v>
      </c>
      <c r="D677" s="19" t="s">
        <v>29</v>
      </c>
      <c r="E677" s="19" t="s">
        <v>453</v>
      </c>
      <c r="G677" s="19">
        <v>18</v>
      </c>
      <c r="H677" s="19" t="s">
        <v>215</v>
      </c>
      <c r="I677" s="19" t="s">
        <v>246</v>
      </c>
      <c r="J677" s="19" t="s">
        <v>217</v>
      </c>
      <c r="K677" s="18">
        <v>46084.55364583333</v>
      </c>
    </row>
    <row r="678" spans="1:11" x14ac:dyDescent="0.25">
      <c r="A678" s="16" t="s">
        <v>1129</v>
      </c>
      <c r="B678" s="20">
        <v>46056</v>
      </c>
      <c r="C678" s="16">
        <v>2</v>
      </c>
      <c r="D678" s="19" t="s">
        <v>29</v>
      </c>
      <c r="E678" s="19" t="s">
        <v>453</v>
      </c>
      <c r="G678" s="19">
        <v>40</v>
      </c>
      <c r="H678" s="19" t="s">
        <v>215</v>
      </c>
      <c r="I678" s="19" t="s">
        <v>246</v>
      </c>
      <c r="J678" s="19" t="s">
        <v>217</v>
      </c>
      <c r="K678" s="18">
        <v>46084.553807870368</v>
      </c>
    </row>
    <row r="679" spans="1:11" x14ac:dyDescent="0.25">
      <c r="A679" s="16" t="s">
        <v>1130</v>
      </c>
      <c r="B679" s="20">
        <v>46056</v>
      </c>
      <c r="C679" s="16">
        <v>2</v>
      </c>
      <c r="D679" s="19" t="s">
        <v>29</v>
      </c>
      <c r="E679" s="19" t="s">
        <v>453</v>
      </c>
      <c r="G679" s="19">
        <v>57</v>
      </c>
      <c r="H679" s="19" t="s">
        <v>215</v>
      </c>
      <c r="I679" s="19" t="s">
        <v>246</v>
      </c>
      <c r="J679" s="19" t="s">
        <v>217</v>
      </c>
      <c r="K679" s="18">
        <v>46084.553831018522</v>
      </c>
    </row>
    <row r="680" spans="1:11" x14ac:dyDescent="0.25">
      <c r="A680" s="16" t="s">
        <v>1131</v>
      </c>
      <c r="B680" s="20">
        <v>46056</v>
      </c>
      <c r="C680" s="16">
        <v>2</v>
      </c>
      <c r="D680" s="19" t="s">
        <v>29</v>
      </c>
      <c r="E680" s="19" t="s">
        <v>453</v>
      </c>
      <c r="G680" s="19">
        <v>18</v>
      </c>
      <c r="H680" s="19" t="s">
        <v>215</v>
      </c>
      <c r="I680" s="19" t="s">
        <v>246</v>
      </c>
      <c r="J680" s="19" t="s">
        <v>217</v>
      </c>
      <c r="K680" s="18">
        <v>46084.553865740738</v>
      </c>
    </row>
    <row r="681" spans="1:11" x14ac:dyDescent="0.25">
      <c r="A681" s="16" t="s">
        <v>1132</v>
      </c>
      <c r="B681" s="20">
        <v>46057</v>
      </c>
      <c r="C681" s="16">
        <v>2</v>
      </c>
      <c r="D681" s="19" t="s">
        <v>29</v>
      </c>
      <c r="E681" s="19" t="s">
        <v>453</v>
      </c>
      <c r="G681" s="19">
        <v>86</v>
      </c>
      <c r="H681" s="19" t="s">
        <v>215</v>
      </c>
      <c r="I681" s="19" t="s">
        <v>246</v>
      </c>
      <c r="J681" s="19" t="s">
        <v>217</v>
      </c>
      <c r="K681" s="18">
        <v>46084.553993055553</v>
      </c>
    </row>
    <row r="682" spans="1:11" x14ac:dyDescent="0.25">
      <c r="A682" s="16" t="s">
        <v>1133</v>
      </c>
      <c r="B682" s="20">
        <v>46057</v>
      </c>
      <c r="C682" s="16">
        <v>2</v>
      </c>
      <c r="D682" s="19" t="s">
        <v>29</v>
      </c>
      <c r="E682" s="19" t="s">
        <v>453</v>
      </c>
      <c r="G682" s="19">
        <v>88</v>
      </c>
      <c r="H682" s="19" t="s">
        <v>215</v>
      </c>
      <c r="I682" s="19" t="s">
        <v>246</v>
      </c>
      <c r="J682" s="19" t="s">
        <v>217</v>
      </c>
      <c r="K682" s="18">
        <v>46084.55400462963</v>
      </c>
    </row>
    <row r="683" spans="1:11" x14ac:dyDescent="0.25">
      <c r="A683" s="16" t="s">
        <v>1134</v>
      </c>
      <c r="B683" s="20">
        <v>46057</v>
      </c>
      <c r="C683" s="16">
        <v>2</v>
      </c>
      <c r="D683" s="19" t="s">
        <v>29</v>
      </c>
      <c r="E683" s="19" t="s">
        <v>453</v>
      </c>
      <c r="G683" s="19">
        <v>33</v>
      </c>
      <c r="H683" s="19" t="s">
        <v>215</v>
      </c>
      <c r="I683" s="19" t="s">
        <v>246</v>
      </c>
      <c r="J683" s="19" t="s">
        <v>217</v>
      </c>
      <c r="K683" s="18">
        <v>46084.55400462963</v>
      </c>
    </row>
    <row r="684" spans="1:11" x14ac:dyDescent="0.25">
      <c r="A684" s="16" t="s">
        <v>1135</v>
      </c>
      <c r="B684" s="20">
        <v>46057</v>
      </c>
      <c r="C684" s="16">
        <v>2</v>
      </c>
      <c r="D684" s="19" t="s">
        <v>29</v>
      </c>
      <c r="E684" s="19" t="s">
        <v>453</v>
      </c>
      <c r="G684" s="19">
        <v>31</v>
      </c>
      <c r="H684" s="19" t="s">
        <v>215</v>
      </c>
      <c r="I684" s="19" t="s">
        <v>246</v>
      </c>
      <c r="J684" s="19" t="s">
        <v>217</v>
      </c>
      <c r="K684" s="18">
        <v>46084.554016203707</v>
      </c>
    </row>
    <row r="685" spans="1:11" x14ac:dyDescent="0.25">
      <c r="A685" s="16" t="s">
        <v>1136</v>
      </c>
      <c r="B685" s="20">
        <v>46057</v>
      </c>
      <c r="C685" s="16">
        <v>2</v>
      </c>
      <c r="D685" s="19" t="s">
        <v>29</v>
      </c>
      <c r="E685" s="19" t="s">
        <v>453</v>
      </c>
      <c r="G685" s="19">
        <v>62</v>
      </c>
      <c r="H685" s="19" t="s">
        <v>215</v>
      </c>
      <c r="I685" s="19" t="s">
        <v>246</v>
      </c>
      <c r="J685" s="19" t="s">
        <v>217</v>
      </c>
      <c r="K685" s="18">
        <v>46084.554085648146</v>
      </c>
    </row>
    <row r="686" spans="1:11" x14ac:dyDescent="0.25">
      <c r="A686" s="16" t="s">
        <v>1137</v>
      </c>
      <c r="B686" s="20">
        <v>46059</v>
      </c>
      <c r="C686" s="16">
        <v>2</v>
      </c>
      <c r="D686" s="19" t="s">
        <v>29</v>
      </c>
      <c r="E686" s="19" t="s">
        <v>453</v>
      </c>
      <c r="G686" s="19">
        <v>67</v>
      </c>
      <c r="H686" s="19" t="s">
        <v>215</v>
      </c>
      <c r="I686" s="19" t="s">
        <v>246</v>
      </c>
      <c r="J686" s="19" t="s">
        <v>217</v>
      </c>
      <c r="K686" s="18">
        <v>46084.5544212963</v>
      </c>
    </row>
    <row r="687" spans="1:11" x14ac:dyDescent="0.25">
      <c r="A687" s="16" t="s">
        <v>1138</v>
      </c>
      <c r="B687" s="20">
        <v>46059</v>
      </c>
      <c r="C687" s="16">
        <v>2</v>
      </c>
      <c r="D687" s="19" t="s">
        <v>29</v>
      </c>
      <c r="E687" s="19" t="s">
        <v>453</v>
      </c>
      <c r="G687" s="19">
        <v>55</v>
      </c>
      <c r="H687" s="19" t="s">
        <v>215</v>
      </c>
      <c r="I687" s="19" t="s">
        <v>246</v>
      </c>
      <c r="J687" s="19" t="s">
        <v>217</v>
      </c>
      <c r="K687" s="18">
        <v>46084.5544212963</v>
      </c>
    </row>
    <row r="688" spans="1:11" x14ac:dyDescent="0.25">
      <c r="A688" s="16" t="s">
        <v>1139</v>
      </c>
      <c r="B688" s="20">
        <v>46060</v>
      </c>
      <c r="C688" s="16">
        <v>2</v>
      </c>
      <c r="D688" s="19" t="s">
        <v>29</v>
      </c>
      <c r="E688" s="19" t="s">
        <v>453</v>
      </c>
      <c r="G688" s="19">
        <v>68</v>
      </c>
      <c r="H688" s="19" t="s">
        <v>215</v>
      </c>
      <c r="I688" s="19" t="s">
        <v>246</v>
      </c>
      <c r="J688" s="19" t="s">
        <v>217</v>
      </c>
      <c r="K688" s="18">
        <v>46084.554548611108</v>
      </c>
    </row>
    <row r="689" spans="1:11" x14ac:dyDescent="0.25">
      <c r="A689" s="16" t="s">
        <v>1140</v>
      </c>
      <c r="B689" s="20">
        <v>46060</v>
      </c>
      <c r="C689" s="16">
        <v>2</v>
      </c>
      <c r="D689" s="19" t="s">
        <v>29</v>
      </c>
      <c r="E689" s="19" t="s">
        <v>453</v>
      </c>
      <c r="G689" s="19">
        <v>76</v>
      </c>
      <c r="H689" s="19" t="s">
        <v>215</v>
      </c>
      <c r="I689" s="19" t="s">
        <v>246</v>
      </c>
      <c r="J689" s="19" t="s">
        <v>217</v>
      </c>
      <c r="K689" s="18">
        <v>46084.554571759261</v>
      </c>
    </row>
    <row r="690" spans="1:11" x14ac:dyDescent="0.25">
      <c r="A690" s="16" t="s">
        <v>1141</v>
      </c>
      <c r="B690" s="20">
        <v>46061</v>
      </c>
      <c r="C690" s="16">
        <v>2</v>
      </c>
      <c r="D690" s="19" t="s">
        <v>29</v>
      </c>
      <c r="E690" s="19" t="s">
        <v>453</v>
      </c>
      <c r="G690" s="19">
        <v>36</v>
      </c>
      <c r="H690" s="19" t="s">
        <v>215</v>
      </c>
      <c r="I690" s="19" t="s">
        <v>246</v>
      </c>
      <c r="J690" s="19" t="s">
        <v>217</v>
      </c>
      <c r="K690" s="18">
        <v>46084.554710648146</v>
      </c>
    </row>
    <row r="691" spans="1:11" x14ac:dyDescent="0.25">
      <c r="A691" s="16" t="s">
        <v>1142</v>
      </c>
      <c r="B691" s="20">
        <v>46062</v>
      </c>
      <c r="C691" s="16">
        <v>2</v>
      </c>
      <c r="D691" s="19" t="s">
        <v>29</v>
      </c>
      <c r="E691" s="19" t="s">
        <v>453</v>
      </c>
      <c r="G691" s="19">
        <v>72</v>
      </c>
      <c r="H691" s="19" t="s">
        <v>215</v>
      </c>
      <c r="I691" s="19" t="s">
        <v>246</v>
      </c>
      <c r="J691" s="19" t="s">
        <v>217</v>
      </c>
      <c r="K691" s="18">
        <v>46084.554826388892</v>
      </c>
    </row>
    <row r="692" spans="1:11" x14ac:dyDescent="0.25">
      <c r="A692" s="16" t="s">
        <v>1143</v>
      </c>
      <c r="B692" s="20">
        <v>46063</v>
      </c>
      <c r="C692" s="16">
        <v>2</v>
      </c>
      <c r="D692" s="19" t="s">
        <v>29</v>
      </c>
      <c r="E692" s="19" t="s">
        <v>453</v>
      </c>
      <c r="G692" s="19">
        <v>19</v>
      </c>
      <c r="H692" s="19" t="s">
        <v>215</v>
      </c>
      <c r="I692" s="19" t="s">
        <v>246</v>
      </c>
      <c r="J692" s="19" t="s">
        <v>217</v>
      </c>
      <c r="K692" s="18">
        <v>46084.554918981485</v>
      </c>
    </row>
    <row r="693" spans="1:11" x14ac:dyDescent="0.25">
      <c r="A693" s="16" t="s">
        <v>1144</v>
      </c>
      <c r="B693" s="20">
        <v>46063</v>
      </c>
      <c r="C693" s="16">
        <v>2</v>
      </c>
      <c r="D693" s="19" t="s">
        <v>29</v>
      </c>
      <c r="E693" s="19" t="s">
        <v>453</v>
      </c>
      <c r="G693" s="19">
        <v>71</v>
      </c>
      <c r="H693" s="19" t="s">
        <v>215</v>
      </c>
      <c r="I693" s="19" t="s">
        <v>246</v>
      </c>
      <c r="J693" s="19" t="s">
        <v>217</v>
      </c>
      <c r="K693" s="18">
        <v>46084.554965277777</v>
      </c>
    </row>
    <row r="694" spans="1:11" x14ac:dyDescent="0.25">
      <c r="A694" s="16" t="s">
        <v>1145</v>
      </c>
      <c r="B694" s="20">
        <v>46063</v>
      </c>
      <c r="C694" s="16">
        <v>2</v>
      </c>
      <c r="D694" s="19" t="s">
        <v>29</v>
      </c>
      <c r="E694" s="19" t="s">
        <v>453</v>
      </c>
      <c r="G694" s="19">
        <v>81</v>
      </c>
      <c r="H694" s="19" t="s">
        <v>215</v>
      </c>
      <c r="I694" s="19" t="s">
        <v>246</v>
      </c>
      <c r="J694" s="19" t="s">
        <v>217</v>
      </c>
      <c r="K694" s="18">
        <v>46084.554976851854</v>
      </c>
    </row>
    <row r="695" spans="1:11" x14ac:dyDescent="0.25">
      <c r="A695" s="16" t="s">
        <v>1146</v>
      </c>
      <c r="B695" s="20">
        <v>46063</v>
      </c>
      <c r="C695" s="16">
        <v>2</v>
      </c>
      <c r="D695" s="19" t="s">
        <v>29</v>
      </c>
      <c r="E695" s="19" t="s">
        <v>453</v>
      </c>
      <c r="G695" s="19">
        <v>35</v>
      </c>
      <c r="H695" s="19" t="s">
        <v>215</v>
      </c>
      <c r="I695" s="19" t="s">
        <v>246</v>
      </c>
      <c r="J695" s="19" t="s">
        <v>217</v>
      </c>
      <c r="K695" s="18">
        <v>46084.555023148147</v>
      </c>
    </row>
    <row r="696" spans="1:11" x14ac:dyDescent="0.25">
      <c r="A696" s="16" t="s">
        <v>1147</v>
      </c>
      <c r="B696" s="20">
        <v>46064</v>
      </c>
      <c r="C696" s="16">
        <v>2</v>
      </c>
      <c r="D696" s="19" t="s">
        <v>29</v>
      </c>
      <c r="E696" s="19" t="s">
        <v>453</v>
      </c>
      <c r="G696" s="19">
        <v>37</v>
      </c>
      <c r="H696" s="19" t="s">
        <v>215</v>
      </c>
      <c r="I696" s="19" t="s">
        <v>246</v>
      </c>
      <c r="J696" s="19" t="s">
        <v>217</v>
      </c>
      <c r="K696" s="18">
        <v>46084.556817129633</v>
      </c>
    </row>
    <row r="697" spans="1:11" x14ac:dyDescent="0.25">
      <c r="A697" s="16" t="s">
        <v>1148</v>
      </c>
      <c r="B697" s="20">
        <v>46064</v>
      </c>
      <c r="C697" s="16">
        <v>2</v>
      </c>
      <c r="D697" s="19" t="s">
        <v>29</v>
      </c>
      <c r="E697" s="19" t="s">
        <v>453</v>
      </c>
      <c r="G697" s="19">
        <v>26</v>
      </c>
      <c r="H697" s="19" t="s">
        <v>215</v>
      </c>
      <c r="I697" s="19" t="s">
        <v>246</v>
      </c>
      <c r="J697" s="19" t="s">
        <v>217</v>
      </c>
      <c r="K697" s="18">
        <v>46084.556828703702</v>
      </c>
    </row>
    <row r="698" spans="1:11" x14ac:dyDescent="0.25">
      <c r="A698" s="16" t="s">
        <v>1149</v>
      </c>
      <c r="B698" s="20">
        <v>46064</v>
      </c>
      <c r="C698" s="16">
        <v>2</v>
      </c>
      <c r="D698" s="19" t="s">
        <v>29</v>
      </c>
      <c r="E698" s="19" t="s">
        <v>453</v>
      </c>
      <c r="G698" s="19">
        <v>75</v>
      </c>
      <c r="H698" s="19" t="s">
        <v>215</v>
      </c>
      <c r="I698" s="19" t="s">
        <v>246</v>
      </c>
      <c r="J698" s="19" t="s">
        <v>217</v>
      </c>
      <c r="K698" s="18">
        <v>46084.556840277779</v>
      </c>
    </row>
    <row r="699" spans="1:11" x14ac:dyDescent="0.25">
      <c r="A699" s="16" t="s">
        <v>1150</v>
      </c>
      <c r="B699" s="20">
        <v>46064</v>
      </c>
      <c r="C699" s="16">
        <v>2</v>
      </c>
      <c r="D699" s="19" t="s">
        <v>29</v>
      </c>
      <c r="E699" s="19" t="s">
        <v>453</v>
      </c>
      <c r="G699" s="19">
        <v>15</v>
      </c>
      <c r="H699" s="19" t="s">
        <v>215</v>
      </c>
      <c r="I699" s="19" t="s">
        <v>246</v>
      </c>
      <c r="J699" s="19" t="s">
        <v>217</v>
      </c>
      <c r="K699" s="18">
        <v>46084.556863425925</v>
      </c>
    </row>
    <row r="700" spans="1:11" x14ac:dyDescent="0.25">
      <c r="A700" s="16" t="s">
        <v>1151</v>
      </c>
      <c r="B700" s="20">
        <v>46065</v>
      </c>
      <c r="C700" s="16">
        <v>2</v>
      </c>
      <c r="D700" s="19" t="s">
        <v>29</v>
      </c>
      <c r="E700" s="19" t="s">
        <v>453</v>
      </c>
      <c r="G700" s="19">
        <v>15</v>
      </c>
      <c r="H700" s="19" t="s">
        <v>215</v>
      </c>
      <c r="I700" s="19" t="s">
        <v>246</v>
      </c>
      <c r="J700" s="19" t="s">
        <v>217</v>
      </c>
      <c r="K700" s="18">
        <v>46084.55704861111</v>
      </c>
    </row>
    <row r="701" spans="1:11" x14ac:dyDescent="0.25">
      <c r="A701" s="16" t="s">
        <v>1152</v>
      </c>
      <c r="B701" s="20">
        <v>46065</v>
      </c>
      <c r="C701" s="16">
        <v>2</v>
      </c>
      <c r="D701" s="19" t="s">
        <v>29</v>
      </c>
      <c r="E701" s="19" t="s">
        <v>453</v>
      </c>
      <c r="G701" s="19">
        <v>76</v>
      </c>
      <c r="H701" s="19" t="s">
        <v>215</v>
      </c>
      <c r="I701" s="19" t="s">
        <v>246</v>
      </c>
      <c r="J701" s="19" t="s">
        <v>217</v>
      </c>
      <c r="K701" s="18">
        <v>46084.55709490741</v>
      </c>
    </row>
    <row r="702" spans="1:11" x14ac:dyDescent="0.25">
      <c r="A702" s="16" t="s">
        <v>1153</v>
      </c>
      <c r="B702" s="20">
        <v>46065</v>
      </c>
      <c r="C702" s="16">
        <v>2</v>
      </c>
      <c r="D702" s="19" t="s">
        <v>29</v>
      </c>
      <c r="E702" s="19" t="s">
        <v>453</v>
      </c>
      <c r="G702" s="19">
        <v>71</v>
      </c>
      <c r="H702" s="19" t="s">
        <v>215</v>
      </c>
      <c r="I702" s="19" t="s">
        <v>246</v>
      </c>
      <c r="J702" s="19" t="s">
        <v>217</v>
      </c>
      <c r="K702" s="18">
        <v>46084.557106481479</v>
      </c>
    </row>
    <row r="703" spans="1:11" x14ac:dyDescent="0.25">
      <c r="A703" s="16" t="s">
        <v>1154</v>
      </c>
      <c r="B703" s="20">
        <v>46065</v>
      </c>
      <c r="C703" s="16">
        <v>2</v>
      </c>
      <c r="D703" s="19" t="s">
        <v>29</v>
      </c>
      <c r="E703" s="19" t="s">
        <v>453</v>
      </c>
      <c r="G703" s="19">
        <v>18</v>
      </c>
      <c r="H703" s="19" t="s">
        <v>215</v>
      </c>
      <c r="I703" s="19" t="s">
        <v>246</v>
      </c>
      <c r="J703" s="19" t="s">
        <v>217</v>
      </c>
      <c r="K703" s="18">
        <v>46084.557118055556</v>
      </c>
    </row>
    <row r="704" spans="1:11" x14ac:dyDescent="0.25">
      <c r="A704" s="16" t="s">
        <v>1155</v>
      </c>
      <c r="B704" s="20">
        <v>46066</v>
      </c>
      <c r="C704" s="16">
        <v>2</v>
      </c>
      <c r="D704" s="19" t="s">
        <v>29</v>
      </c>
      <c r="E704" s="19" t="s">
        <v>453</v>
      </c>
      <c r="G704" s="19">
        <v>26</v>
      </c>
      <c r="H704" s="19" t="s">
        <v>215</v>
      </c>
      <c r="I704" s="19" t="s">
        <v>246</v>
      </c>
      <c r="J704" s="19" t="s">
        <v>217</v>
      </c>
      <c r="K704" s="18">
        <v>46084.557245370372</v>
      </c>
    </row>
    <row r="705" spans="1:11" x14ac:dyDescent="0.25">
      <c r="A705" s="16" t="s">
        <v>1156</v>
      </c>
      <c r="B705" s="20">
        <v>46067</v>
      </c>
      <c r="C705" s="16">
        <v>2</v>
      </c>
      <c r="D705" s="19" t="s">
        <v>29</v>
      </c>
      <c r="E705" s="19" t="s">
        <v>453</v>
      </c>
      <c r="G705" s="19">
        <v>64</v>
      </c>
      <c r="H705" s="19" t="s">
        <v>215</v>
      </c>
      <c r="I705" s="19" t="s">
        <v>246</v>
      </c>
      <c r="J705" s="19" t="s">
        <v>217</v>
      </c>
      <c r="K705" s="18">
        <v>46084.557349537034</v>
      </c>
    </row>
    <row r="706" spans="1:11" x14ac:dyDescent="0.25">
      <c r="A706" s="16" t="s">
        <v>1157</v>
      </c>
      <c r="B706" s="20">
        <v>46067</v>
      </c>
      <c r="C706" s="16">
        <v>2</v>
      </c>
      <c r="D706" s="19" t="s">
        <v>29</v>
      </c>
      <c r="E706" s="19" t="s">
        <v>453</v>
      </c>
      <c r="G706" s="19">
        <v>20</v>
      </c>
      <c r="H706" s="19" t="s">
        <v>215</v>
      </c>
      <c r="I706" s="19" t="s">
        <v>246</v>
      </c>
      <c r="J706" s="19" t="s">
        <v>217</v>
      </c>
      <c r="K706" s="18">
        <v>46084.557349537034</v>
      </c>
    </row>
    <row r="707" spans="1:11" x14ac:dyDescent="0.25">
      <c r="A707" s="16" t="s">
        <v>1158</v>
      </c>
      <c r="B707" s="20">
        <v>46067</v>
      </c>
      <c r="C707" s="16">
        <v>2</v>
      </c>
      <c r="D707" s="19" t="s">
        <v>29</v>
      </c>
      <c r="E707" s="19" t="s">
        <v>453</v>
      </c>
      <c r="G707" s="19">
        <v>27</v>
      </c>
      <c r="H707" s="19" t="s">
        <v>215</v>
      </c>
      <c r="I707" s="19" t="s">
        <v>246</v>
      </c>
      <c r="J707" s="19" t="s">
        <v>217</v>
      </c>
      <c r="K707" s="18">
        <v>46084.557384259257</v>
      </c>
    </row>
    <row r="708" spans="1:11" x14ac:dyDescent="0.25">
      <c r="A708" s="16" t="s">
        <v>1159</v>
      </c>
      <c r="B708" s="20">
        <v>46068</v>
      </c>
      <c r="C708" s="16">
        <v>2</v>
      </c>
      <c r="D708" s="19" t="s">
        <v>29</v>
      </c>
      <c r="E708" s="19" t="s">
        <v>453</v>
      </c>
      <c r="G708" s="19">
        <v>25</v>
      </c>
      <c r="H708" s="19" t="s">
        <v>215</v>
      </c>
      <c r="I708" s="19" t="s">
        <v>246</v>
      </c>
      <c r="J708" s="19" t="s">
        <v>217</v>
      </c>
      <c r="K708" s="18">
        <v>46084.557604166665</v>
      </c>
    </row>
    <row r="709" spans="1:11" x14ac:dyDescent="0.25">
      <c r="A709" s="16" t="s">
        <v>1160</v>
      </c>
      <c r="B709" s="20">
        <v>46069</v>
      </c>
      <c r="C709" s="16">
        <v>2</v>
      </c>
      <c r="D709" s="19" t="s">
        <v>29</v>
      </c>
      <c r="E709" s="19" t="s">
        <v>453</v>
      </c>
      <c r="G709" s="19">
        <v>70</v>
      </c>
      <c r="H709" s="19" t="s">
        <v>215</v>
      </c>
      <c r="I709" s="19" t="s">
        <v>246</v>
      </c>
      <c r="J709" s="19" t="s">
        <v>217</v>
      </c>
      <c r="K709" s="18">
        <v>46084.557719907411</v>
      </c>
    </row>
    <row r="710" spans="1:11" x14ac:dyDescent="0.25">
      <c r="A710" s="16" t="s">
        <v>1161</v>
      </c>
      <c r="B710" s="20">
        <v>46069</v>
      </c>
      <c r="C710" s="16">
        <v>2</v>
      </c>
      <c r="D710" s="19" t="s">
        <v>29</v>
      </c>
      <c r="E710" s="19" t="s">
        <v>453</v>
      </c>
      <c r="G710" s="19">
        <v>63</v>
      </c>
      <c r="H710" s="19" t="s">
        <v>215</v>
      </c>
      <c r="I710" s="19" t="s">
        <v>246</v>
      </c>
      <c r="J710" s="19" t="s">
        <v>217</v>
      </c>
      <c r="K710" s="18">
        <v>46084.55777777778</v>
      </c>
    </row>
    <row r="711" spans="1:11" x14ac:dyDescent="0.25">
      <c r="A711" s="16" t="s">
        <v>1162</v>
      </c>
      <c r="B711" s="20">
        <v>46069</v>
      </c>
      <c r="C711" s="16">
        <v>2</v>
      </c>
      <c r="D711" s="19" t="s">
        <v>29</v>
      </c>
      <c r="E711" s="19" t="s">
        <v>453</v>
      </c>
      <c r="G711" s="19">
        <v>61</v>
      </c>
      <c r="H711" s="19" t="s">
        <v>215</v>
      </c>
      <c r="I711" s="19" t="s">
        <v>246</v>
      </c>
      <c r="J711" s="19" t="s">
        <v>217</v>
      </c>
      <c r="K711" s="18">
        <v>46084.557824074072</v>
      </c>
    </row>
    <row r="712" spans="1:11" x14ac:dyDescent="0.25">
      <c r="A712" s="16" t="s">
        <v>1163</v>
      </c>
      <c r="B712" s="20">
        <v>46069</v>
      </c>
      <c r="C712" s="16">
        <v>2</v>
      </c>
      <c r="D712" s="19" t="s">
        <v>29</v>
      </c>
      <c r="E712" s="19" t="s">
        <v>453</v>
      </c>
      <c r="G712" s="19">
        <v>70</v>
      </c>
      <c r="H712" s="19" t="s">
        <v>215</v>
      </c>
      <c r="I712" s="19" t="s">
        <v>246</v>
      </c>
      <c r="J712" s="19" t="s">
        <v>217</v>
      </c>
      <c r="K712" s="18">
        <v>46084.557847222219</v>
      </c>
    </row>
    <row r="713" spans="1:11" x14ac:dyDescent="0.25">
      <c r="A713" s="16" t="s">
        <v>1164</v>
      </c>
      <c r="B713" s="20">
        <v>46069</v>
      </c>
      <c r="C713" s="16">
        <v>2</v>
      </c>
      <c r="D713" s="19" t="s">
        <v>29</v>
      </c>
      <c r="E713" s="19" t="s">
        <v>453</v>
      </c>
      <c r="G713" s="19">
        <v>15</v>
      </c>
      <c r="H713" s="19" t="s">
        <v>215</v>
      </c>
      <c r="I713" s="19" t="s">
        <v>246</v>
      </c>
      <c r="J713" s="19" t="s">
        <v>217</v>
      </c>
      <c r="K713" s="18">
        <v>46084.557870370372</v>
      </c>
    </row>
    <row r="714" spans="1:11" x14ac:dyDescent="0.25">
      <c r="A714" s="16" t="s">
        <v>1165</v>
      </c>
      <c r="B714" s="20">
        <v>46070</v>
      </c>
      <c r="C714" s="16">
        <v>2</v>
      </c>
      <c r="D714" s="19" t="s">
        <v>29</v>
      </c>
      <c r="E714" s="19" t="s">
        <v>453</v>
      </c>
      <c r="G714" s="19">
        <v>77</v>
      </c>
      <c r="H714" s="19" t="s">
        <v>215</v>
      </c>
      <c r="I714" s="19" t="s">
        <v>246</v>
      </c>
      <c r="J714" s="19" t="s">
        <v>217</v>
      </c>
      <c r="K714" s="18">
        <v>46084.558240740742</v>
      </c>
    </row>
    <row r="715" spans="1:11" x14ac:dyDescent="0.25">
      <c r="A715" s="16" t="s">
        <v>1166</v>
      </c>
      <c r="B715" s="20">
        <v>46070</v>
      </c>
      <c r="C715" s="16">
        <v>2</v>
      </c>
      <c r="D715" s="19" t="s">
        <v>29</v>
      </c>
      <c r="E715" s="19" t="s">
        <v>453</v>
      </c>
      <c r="G715" s="19">
        <v>39</v>
      </c>
      <c r="H715" s="19" t="s">
        <v>215</v>
      </c>
      <c r="I715" s="19" t="s">
        <v>246</v>
      </c>
      <c r="J715" s="19" t="s">
        <v>217</v>
      </c>
      <c r="K715" s="18">
        <v>46084.558275462965</v>
      </c>
    </row>
    <row r="716" spans="1:11" x14ac:dyDescent="0.25">
      <c r="A716" s="16" t="s">
        <v>1167</v>
      </c>
      <c r="B716" s="20">
        <v>46070</v>
      </c>
      <c r="C716" s="16">
        <v>2</v>
      </c>
      <c r="D716" s="19" t="s">
        <v>29</v>
      </c>
      <c r="E716" s="19" t="s">
        <v>453</v>
      </c>
      <c r="G716" s="19">
        <v>78</v>
      </c>
      <c r="H716" s="19" t="s">
        <v>215</v>
      </c>
      <c r="I716" s="19" t="s">
        <v>246</v>
      </c>
      <c r="J716" s="19" t="s">
        <v>217</v>
      </c>
      <c r="K716" s="18">
        <v>46084.558287037034</v>
      </c>
    </row>
    <row r="717" spans="1:11" x14ac:dyDescent="0.25">
      <c r="A717" s="16" t="s">
        <v>1168</v>
      </c>
      <c r="B717" s="20">
        <v>46071</v>
      </c>
      <c r="C717" s="16">
        <v>2</v>
      </c>
      <c r="D717" s="19" t="s">
        <v>29</v>
      </c>
      <c r="E717" s="19" t="s">
        <v>453</v>
      </c>
      <c r="G717" s="19">
        <v>29</v>
      </c>
      <c r="H717" s="19" t="s">
        <v>215</v>
      </c>
      <c r="I717" s="19" t="s">
        <v>246</v>
      </c>
      <c r="J717" s="19" t="s">
        <v>217</v>
      </c>
      <c r="K717" s="18">
        <v>46084.55841435185</v>
      </c>
    </row>
    <row r="718" spans="1:11" x14ac:dyDescent="0.25">
      <c r="A718" s="16" t="s">
        <v>1169</v>
      </c>
      <c r="B718" s="20">
        <v>46072</v>
      </c>
      <c r="C718" s="16">
        <v>2</v>
      </c>
      <c r="D718" s="19" t="s">
        <v>29</v>
      </c>
      <c r="E718" s="19" t="s">
        <v>453</v>
      </c>
      <c r="G718" s="19">
        <v>60</v>
      </c>
      <c r="H718" s="19" t="s">
        <v>215</v>
      </c>
      <c r="I718" s="19" t="s">
        <v>246</v>
      </c>
      <c r="J718" s="19" t="s">
        <v>217</v>
      </c>
      <c r="K718" s="18">
        <v>46084.558518518519</v>
      </c>
    </row>
    <row r="719" spans="1:11" x14ac:dyDescent="0.25">
      <c r="A719" s="16" t="s">
        <v>1170</v>
      </c>
      <c r="B719" s="20">
        <v>46074</v>
      </c>
      <c r="C719" s="16">
        <v>2</v>
      </c>
      <c r="D719" s="19" t="s">
        <v>29</v>
      </c>
      <c r="E719" s="19" t="s">
        <v>453</v>
      </c>
      <c r="G719" s="19">
        <v>55</v>
      </c>
      <c r="H719" s="19" t="s">
        <v>215</v>
      </c>
      <c r="I719" s="19" t="s">
        <v>246</v>
      </c>
      <c r="J719" s="19" t="s">
        <v>217</v>
      </c>
      <c r="K719" s="18">
        <v>46084.558819444443</v>
      </c>
    </row>
    <row r="720" spans="1:11" x14ac:dyDescent="0.25">
      <c r="A720" s="16" t="s">
        <v>1171</v>
      </c>
      <c r="B720" s="20">
        <v>46074</v>
      </c>
      <c r="C720" s="16">
        <v>2</v>
      </c>
      <c r="D720" s="19" t="s">
        <v>29</v>
      </c>
      <c r="E720" s="19" t="s">
        <v>453</v>
      </c>
      <c r="G720" s="19">
        <v>70</v>
      </c>
      <c r="H720" s="19" t="s">
        <v>215</v>
      </c>
      <c r="I720" s="19" t="s">
        <v>246</v>
      </c>
      <c r="J720" s="19" t="s">
        <v>217</v>
      </c>
      <c r="K720" s="18">
        <v>46084.558865740742</v>
      </c>
    </row>
    <row r="721" spans="1:11" x14ac:dyDescent="0.25">
      <c r="A721" s="16" t="s">
        <v>1172</v>
      </c>
      <c r="B721" s="20">
        <v>46075</v>
      </c>
      <c r="C721" s="16">
        <v>2</v>
      </c>
      <c r="D721" s="19" t="s">
        <v>29</v>
      </c>
      <c r="E721" s="19" t="s">
        <v>453</v>
      </c>
      <c r="G721" s="19">
        <v>18</v>
      </c>
      <c r="H721" s="19" t="s">
        <v>215</v>
      </c>
      <c r="I721" s="19" t="s">
        <v>246</v>
      </c>
      <c r="J721" s="19" t="s">
        <v>217</v>
      </c>
      <c r="K721" s="18">
        <v>46084.558981481481</v>
      </c>
    </row>
    <row r="722" spans="1:11" x14ac:dyDescent="0.25">
      <c r="A722" s="16" t="s">
        <v>1173</v>
      </c>
      <c r="B722" s="20">
        <v>46076</v>
      </c>
      <c r="C722" s="16">
        <v>2</v>
      </c>
      <c r="D722" s="19" t="s">
        <v>29</v>
      </c>
      <c r="E722" s="19" t="s">
        <v>453</v>
      </c>
      <c r="G722" s="19">
        <v>32</v>
      </c>
      <c r="H722" s="19" t="s">
        <v>215</v>
      </c>
      <c r="I722" s="19" t="s">
        <v>246</v>
      </c>
      <c r="J722" s="19" t="s">
        <v>217</v>
      </c>
      <c r="K722" s="18">
        <v>46084.55909722222</v>
      </c>
    </row>
    <row r="723" spans="1:11" x14ac:dyDescent="0.25">
      <c r="A723" s="16" t="s">
        <v>1174</v>
      </c>
      <c r="B723" s="20">
        <v>46076</v>
      </c>
      <c r="C723" s="16">
        <v>2</v>
      </c>
      <c r="D723" s="19" t="s">
        <v>29</v>
      </c>
      <c r="E723" s="19" t="s">
        <v>453</v>
      </c>
      <c r="G723" s="19">
        <v>84</v>
      </c>
      <c r="H723" s="19" t="s">
        <v>215</v>
      </c>
      <c r="I723" s="19" t="s">
        <v>246</v>
      </c>
      <c r="J723" s="19" t="s">
        <v>217</v>
      </c>
      <c r="K723" s="18">
        <v>46084.559120370373</v>
      </c>
    </row>
    <row r="724" spans="1:11" x14ac:dyDescent="0.25">
      <c r="A724" s="16" t="s">
        <v>1175</v>
      </c>
      <c r="B724" s="20">
        <v>46076</v>
      </c>
      <c r="C724" s="16">
        <v>2</v>
      </c>
      <c r="D724" s="19" t="s">
        <v>29</v>
      </c>
      <c r="E724" s="19" t="s">
        <v>453</v>
      </c>
      <c r="G724" s="19">
        <v>46</v>
      </c>
      <c r="H724" s="19" t="s">
        <v>215</v>
      </c>
      <c r="I724" s="19" t="s">
        <v>246</v>
      </c>
      <c r="J724" s="19" t="s">
        <v>217</v>
      </c>
      <c r="K724" s="18">
        <v>46084.559131944443</v>
      </c>
    </row>
    <row r="725" spans="1:11" x14ac:dyDescent="0.25">
      <c r="A725" s="16" t="s">
        <v>1176</v>
      </c>
      <c r="B725" s="20">
        <v>46077</v>
      </c>
      <c r="C725" s="16">
        <v>2</v>
      </c>
      <c r="D725" s="19" t="s">
        <v>29</v>
      </c>
      <c r="E725" s="19" t="s">
        <v>453</v>
      </c>
      <c r="G725" s="19">
        <v>79</v>
      </c>
      <c r="H725" s="19" t="s">
        <v>215</v>
      </c>
      <c r="I725" s="19" t="s">
        <v>246</v>
      </c>
      <c r="J725" s="19" t="s">
        <v>217</v>
      </c>
      <c r="K725" s="18">
        <v>46084.559247685182</v>
      </c>
    </row>
    <row r="726" spans="1:11" x14ac:dyDescent="0.25">
      <c r="A726" s="16" t="s">
        <v>1177</v>
      </c>
      <c r="B726" s="20">
        <v>46077</v>
      </c>
      <c r="C726" s="16">
        <v>2</v>
      </c>
      <c r="D726" s="19" t="s">
        <v>29</v>
      </c>
      <c r="E726" s="19" t="s">
        <v>453</v>
      </c>
      <c r="G726" s="19">
        <v>71</v>
      </c>
      <c r="H726" s="19" t="s">
        <v>215</v>
      </c>
      <c r="I726" s="19" t="s">
        <v>246</v>
      </c>
      <c r="J726" s="19" t="s">
        <v>217</v>
      </c>
      <c r="K726" s="18">
        <v>46084.559270833335</v>
      </c>
    </row>
    <row r="727" spans="1:11" x14ac:dyDescent="0.25">
      <c r="A727" s="16" t="s">
        <v>1178</v>
      </c>
      <c r="B727" s="20">
        <v>46077</v>
      </c>
      <c r="C727" s="16">
        <v>2</v>
      </c>
      <c r="D727" s="19" t="s">
        <v>29</v>
      </c>
      <c r="E727" s="19" t="s">
        <v>453</v>
      </c>
      <c r="G727" s="19">
        <v>51</v>
      </c>
      <c r="H727" s="19" t="s">
        <v>215</v>
      </c>
      <c r="I727" s="19" t="s">
        <v>246</v>
      </c>
      <c r="J727" s="19" t="s">
        <v>217</v>
      </c>
      <c r="K727" s="18">
        <v>46084.559282407405</v>
      </c>
    </row>
    <row r="728" spans="1:11" x14ac:dyDescent="0.25">
      <c r="A728" s="16" t="s">
        <v>1179</v>
      </c>
      <c r="B728" s="20">
        <v>46077</v>
      </c>
      <c r="C728" s="16">
        <v>2</v>
      </c>
      <c r="D728" s="19" t="s">
        <v>29</v>
      </c>
      <c r="E728" s="19" t="s">
        <v>453</v>
      </c>
      <c r="G728" s="19">
        <v>40</v>
      </c>
      <c r="H728" s="19" t="s">
        <v>215</v>
      </c>
      <c r="I728" s="19" t="s">
        <v>246</v>
      </c>
      <c r="J728" s="19" t="s">
        <v>217</v>
      </c>
      <c r="K728" s="18">
        <v>46084.559293981481</v>
      </c>
    </row>
    <row r="729" spans="1:11" x14ac:dyDescent="0.25">
      <c r="A729" s="16" t="s">
        <v>1180</v>
      </c>
      <c r="B729" s="20">
        <v>46078</v>
      </c>
      <c r="C729" s="16">
        <v>2</v>
      </c>
      <c r="D729" s="19" t="s">
        <v>29</v>
      </c>
      <c r="E729" s="19" t="s">
        <v>453</v>
      </c>
      <c r="G729" s="19">
        <v>47</v>
      </c>
      <c r="H729" s="19" t="s">
        <v>215</v>
      </c>
      <c r="I729" s="19" t="s">
        <v>246</v>
      </c>
      <c r="J729" s="19" t="s">
        <v>217</v>
      </c>
      <c r="K729" s="18">
        <v>46084.559502314813</v>
      </c>
    </row>
    <row r="730" spans="1:11" x14ac:dyDescent="0.25">
      <c r="A730" s="16" t="s">
        <v>1181</v>
      </c>
      <c r="B730" s="20">
        <v>46078</v>
      </c>
      <c r="C730" s="16">
        <v>2</v>
      </c>
      <c r="D730" s="19" t="s">
        <v>29</v>
      </c>
      <c r="E730" s="19" t="s">
        <v>453</v>
      </c>
      <c r="G730" s="19">
        <v>84</v>
      </c>
      <c r="H730" s="19" t="s">
        <v>215</v>
      </c>
      <c r="I730" s="19" t="s">
        <v>246</v>
      </c>
      <c r="J730" s="19" t="s">
        <v>217</v>
      </c>
      <c r="K730" s="18">
        <v>46084.559537037036</v>
      </c>
    </row>
    <row r="731" spans="1:11" x14ac:dyDescent="0.25">
      <c r="A731" s="16" t="s">
        <v>1182</v>
      </c>
      <c r="B731" s="20">
        <v>46079</v>
      </c>
      <c r="C731" s="16">
        <v>2</v>
      </c>
      <c r="D731" s="19" t="s">
        <v>29</v>
      </c>
      <c r="E731" s="19" t="s">
        <v>453</v>
      </c>
      <c r="G731" s="19">
        <v>44</v>
      </c>
      <c r="H731" s="19" t="s">
        <v>215</v>
      </c>
      <c r="I731" s="19" t="s">
        <v>246</v>
      </c>
      <c r="J731" s="19" t="s">
        <v>217</v>
      </c>
      <c r="K731" s="18">
        <v>46084.559675925928</v>
      </c>
    </row>
    <row r="732" spans="1:11" x14ac:dyDescent="0.25">
      <c r="A732" s="16" t="s">
        <v>1183</v>
      </c>
      <c r="B732" s="20">
        <v>46079</v>
      </c>
      <c r="C732" s="16">
        <v>2</v>
      </c>
      <c r="D732" s="19" t="s">
        <v>29</v>
      </c>
      <c r="E732" s="19" t="s">
        <v>453</v>
      </c>
      <c r="G732" s="19">
        <v>22</v>
      </c>
      <c r="H732" s="19" t="s">
        <v>215</v>
      </c>
      <c r="I732" s="19" t="s">
        <v>246</v>
      </c>
      <c r="J732" s="19" t="s">
        <v>217</v>
      </c>
      <c r="K732" s="18">
        <v>46084.559687499997</v>
      </c>
    </row>
    <row r="733" spans="1:11" x14ac:dyDescent="0.25">
      <c r="A733" s="16" t="s">
        <v>1184</v>
      </c>
      <c r="B733" s="20">
        <v>46079</v>
      </c>
      <c r="C733" s="16">
        <v>2</v>
      </c>
      <c r="D733" s="19" t="s">
        <v>29</v>
      </c>
      <c r="E733" s="19" t="s">
        <v>453</v>
      </c>
      <c r="G733" s="19">
        <v>23</v>
      </c>
      <c r="H733" s="19" t="s">
        <v>215</v>
      </c>
      <c r="I733" s="19" t="s">
        <v>246</v>
      </c>
      <c r="J733" s="19" t="s">
        <v>217</v>
      </c>
      <c r="K733" s="18">
        <v>46084.559699074074</v>
      </c>
    </row>
    <row r="734" spans="1:11" x14ac:dyDescent="0.25">
      <c r="A734" s="16" t="s">
        <v>1185</v>
      </c>
      <c r="B734" s="20">
        <v>46080</v>
      </c>
      <c r="C734" s="16">
        <v>2</v>
      </c>
      <c r="D734" s="19" t="s">
        <v>29</v>
      </c>
      <c r="E734" s="19" t="s">
        <v>453</v>
      </c>
      <c r="G734" s="19">
        <v>47</v>
      </c>
      <c r="H734" s="19" t="s">
        <v>215</v>
      </c>
      <c r="I734" s="19" t="s">
        <v>246</v>
      </c>
      <c r="J734" s="19" t="s">
        <v>217</v>
      </c>
      <c r="K734" s="18">
        <v>46084.55982638889</v>
      </c>
    </row>
    <row r="735" spans="1:11" x14ac:dyDescent="0.25">
      <c r="A735" s="16" t="s">
        <v>1186</v>
      </c>
      <c r="B735" s="20">
        <v>46080</v>
      </c>
      <c r="C735" s="16">
        <v>2</v>
      </c>
      <c r="D735" s="19" t="s">
        <v>29</v>
      </c>
      <c r="E735" s="19" t="s">
        <v>453</v>
      </c>
      <c r="G735" s="19">
        <v>20</v>
      </c>
      <c r="H735" s="19" t="s">
        <v>215</v>
      </c>
      <c r="I735" s="19" t="s">
        <v>246</v>
      </c>
      <c r="J735" s="19" t="s">
        <v>217</v>
      </c>
      <c r="K735" s="18">
        <v>46084.55982638889</v>
      </c>
    </row>
    <row r="736" spans="1:11" x14ac:dyDescent="0.25">
      <c r="A736" s="16" t="s">
        <v>1187</v>
      </c>
      <c r="B736" s="20">
        <v>46080</v>
      </c>
      <c r="C736" s="16">
        <v>2</v>
      </c>
      <c r="D736" s="19" t="s">
        <v>29</v>
      </c>
      <c r="E736" s="19" t="s">
        <v>453</v>
      </c>
      <c r="G736" s="19">
        <v>86</v>
      </c>
      <c r="H736" s="19" t="s">
        <v>215</v>
      </c>
      <c r="I736" s="19" t="s">
        <v>246</v>
      </c>
      <c r="J736" s="19" t="s">
        <v>217</v>
      </c>
      <c r="K736" s="18">
        <v>46084.559837962966</v>
      </c>
    </row>
    <row r="737" spans="1:11" x14ac:dyDescent="0.25">
      <c r="A737" s="16" t="s">
        <v>1188</v>
      </c>
      <c r="B737" s="20">
        <v>46080</v>
      </c>
      <c r="C737" s="16">
        <v>2</v>
      </c>
      <c r="D737" s="19" t="s">
        <v>29</v>
      </c>
      <c r="E737" s="19" t="s">
        <v>453</v>
      </c>
      <c r="G737" s="19">
        <v>49</v>
      </c>
      <c r="H737" s="19" t="s">
        <v>215</v>
      </c>
      <c r="I737" s="19" t="s">
        <v>246</v>
      </c>
      <c r="J737" s="19" t="s">
        <v>217</v>
      </c>
      <c r="K737" s="18">
        <v>46084.559849537036</v>
      </c>
    </row>
    <row r="738" spans="1:11" x14ac:dyDescent="0.25">
      <c r="A738" s="16" t="s">
        <v>1189</v>
      </c>
      <c r="B738" s="20">
        <v>46080</v>
      </c>
      <c r="C738" s="16">
        <v>2</v>
      </c>
      <c r="D738" s="19" t="s">
        <v>29</v>
      </c>
      <c r="E738" s="19" t="s">
        <v>453</v>
      </c>
      <c r="G738" s="19">
        <v>63</v>
      </c>
      <c r="H738" s="19" t="s">
        <v>215</v>
      </c>
      <c r="I738" s="19" t="s">
        <v>246</v>
      </c>
      <c r="J738" s="19" t="s">
        <v>217</v>
      </c>
      <c r="K738" s="18">
        <v>46084.559861111113</v>
      </c>
    </row>
    <row r="739" spans="1:11" x14ac:dyDescent="0.25">
      <c r="A739" s="16" t="s">
        <v>1190</v>
      </c>
      <c r="B739" s="20">
        <v>46081</v>
      </c>
      <c r="C739" s="16">
        <v>2</v>
      </c>
      <c r="D739" s="19" t="s">
        <v>29</v>
      </c>
      <c r="E739" s="19" t="s">
        <v>453</v>
      </c>
      <c r="G739" s="19">
        <v>55</v>
      </c>
      <c r="H739" s="19" t="s">
        <v>215</v>
      </c>
      <c r="I739" s="19" t="s">
        <v>246</v>
      </c>
      <c r="J739" s="19" t="s">
        <v>217</v>
      </c>
      <c r="K739" s="18">
        <v>46084.559988425928</v>
      </c>
    </row>
    <row r="740" spans="1:11" x14ac:dyDescent="0.25">
      <c r="A740" s="16" t="s">
        <v>1191</v>
      </c>
      <c r="B740" s="20">
        <v>46081</v>
      </c>
      <c r="C740" s="16">
        <v>2</v>
      </c>
      <c r="D740" s="19" t="s">
        <v>29</v>
      </c>
      <c r="E740" s="19" t="s">
        <v>453</v>
      </c>
      <c r="G740" s="19">
        <v>13</v>
      </c>
      <c r="H740" s="19" t="s">
        <v>215</v>
      </c>
      <c r="I740" s="19" t="s">
        <v>246</v>
      </c>
      <c r="J740" s="19" t="s">
        <v>217</v>
      </c>
      <c r="K740" s="18">
        <v>46084.560011574074</v>
      </c>
    </row>
    <row r="741" spans="1:11" x14ac:dyDescent="0.25">
      <c r="A741" s="16" t="s">
        <v>1192</v>
      </c>
      <c r="B741" s="20">
        <v>46055</v>
      </c>
      <c r="C741" s="16">
        <v>2</v>
      </c>
      <c r="D741" s="19" t="s">
        <v>31</v>
      </c>
      <c r="E741" s="19" t="s">
        <v>453</v>
      </c>
      <c r="G741" s="19">
        <v>89</v>
      </c>
      <c r="H741" s="19" t="s">
        <v>215</v>
      </c>
      <c r="I741" s="19" t="s">
        <v>216</v>
      </c>
      <c r="J741" s="19" t="s">
        <v>217</v>
      </c>
      <c r="K741" s="18">
        <v>46084.56391203704</v>
      </c>
    </row>
    <row r="742" spans="1:11" x14ac:dyDescent="0.25">
      <c r="A742" s="16" t="s">
        <v>1193</v>
      </c>
      <c r="B742" s="20">
        <v>46056</v>
      </c>
      <c r="C742" s="16">
        <v>2</v>
      </c>
      <c r="D742" s="19" t="s">
        <v>31</v>
      </c>
      <c r="E742" s="19" t="s">
        <v>453</v>
      </c>
      <c r="G742" s="19">
        <v>81</v>
      </c>
      <c r="H742" s="19" t="s">
        <v>215</v>
      </c>
      <c r="I742" s="19" t="s">
        <v>216</v>
      </c>
      <c r="J742" s="19" t="s">
        <v>217</v>
      </c>
      <c r="K742" s="18">
        <v>46084.564016203702</v>
      </c>
    </row>
    <row r="743" spans="1:11" x14ac:dyDescent="0.25">
      <c r="A743" s="16" t="s">
        <v>1194</v>
      </c>
      <c r="B743" s="20">
        <v>46056</v>
      </c>
      <c r="C743" s="16">
        <v>2</v>
      </c>
      <c r="D743" s="19" t="s">
        <v>31</v>
      </c>
      <c r="E743" s="19" t="s">
        <v>453</v>
      </c>
      <c r="G743" s="19">
        <v>32</v>
      </c>
      <c r="H743" s="19" t="s">
        <v>215</v>
      </c>
      <c r="I743" s="19" t="s">
        <v>216</v>
      </c>
      <c r="J743" s="19" t="s">
        <v>217</v>
      </c>
      <c r="K743" s="18">
        <v>46084.564039351855</v>
      </c>
    </row>
    <row r="744" spans="1:11" x14ac:dyDescent="0.25">
      <c r="A744" s="16" t="s">
        <v>1195</v>
      </c>
      <c r="B744" s="20">
        <v>46056</v>
      </c>
      <c r="C744" s="16">
        <v>2</v>
      </c>
      <c r="D744" s="19" t="s">
        <v>31</v>
      </c>
      <c r="E744" s="19" t="s">
        <v>453</v>
      </c>
      <c r="G744" s="19">
        <v>61</v>
      </c>
      <c r="H744" s="19" t="s">
        <v>215</v>
      </c>
      <c r="I744" s="19" t="s">
        <v>216</v>
      </c>
      <c r="J744" s="19" t="s">
        <v>217</v>
      </c>
      <c r="K744" s="18">
        <v>46084.564050925925</v>
      </c>
    </row>
    <row r="745" spans="1:11" x14ac:dyDescent="0.25">
      <c r="A745" s="16" t="s">
        <v>1196</v>
      </c>
      <c r="B745" s="20">
        <v>46056</v>
      </c>
      <c r="C745" s="16">
        <v>2</v>
      </c>
      <c r="D745" s="19" t="s">
        <v>31</v>
      </c>
      <c r="E745" s="19" t="s">
        <v>453</v>
      </c>
      <c r="G745" s="19">
        <v>43</v>
      </c>
      <c r="H745" s="19" t="s">
        <v>215</v>
      </c>
      <c r="I745" s="19" t="s">
        <v>216</v>
      </c>
      <c r="J745" s="19" t="s">
        <v>217</v>
      </c>
      <c r="K745" s="18">
        <v>46084.564062500001</v>
      </c>
    </row>
    <row r="746" spans="1:11" x14ac:dyDescent="0.25">
      <c r="A746" s="16" t="s">
        <v>1197</v>
      </c>
      <c r="B746" s="20">
        <v>46056</v>
      </c>
      <c r="C746" s="16">
        <v>2</v>
      </c>
      <c r="D746" s="19" t="s">
        <v>31</v>
      </c>
      <c r="E746" s="19" t="s">
        <v>453</v>
      </c>
      <c r="G746" s="19">
        <v>23</v>
      </c>
      <c r="H746" s="19" t="s">
        <v>215</v>
      </c>
      <c r="I746" s="19" t="s">
        <v>216</v>
      </c>
      <c r="J746" s="19" t="s">
        <v>217</v>
      </c>
      <c r="K746" s="18">
        <v>46084.564074074071</v>
      </c>
    </row>
    <row r="747" spans="1:11" x14ac:dyDescent="0.25">
      <c r="A747" s="16" t="s">
        <v>1198</v>
      </c>
      <c r="B747" s="20">
        <v>46056</v>
      </c>
      <c r="C747" s="16">
        <v>2</v>
      </c>
      <c r="D747" s="19" t="s">
        <v>31</v>
      </c>
      <c r="E747" s="19" t="s">
        <v>453</v>
      </c>
      <c r="G747" s="19">
        <v>44</v>
      </c>
      <c r="H747" s="19" t="s">
        <v>215</v>
      </c>
      <c r="I747" s="19" t="s">
        <v>216</v>
      </c>
      <c r="J747" s="19" t="s">
        <v>217</v>
      </c>
      <c r="K747" s="18">
        <v>46084.564085648148</v>
      </c>
    </row>
    <row r="748" spans="1:11" x14ac:dyDescent="0.25">
      <c r="A748" s="16" t="s">
        <v>1199</v>
      </c>
      <c r="B748" s="20">
        <v>46057</v>
      </c>
      <c r="C748" s="16">
        <v>2</v>
      </c>
      <c r="D748" s="19" t="s">
        <v>31</v>
      </c>
      <c r="E748" s="19" t="s">
        <v>453</v>
      </c>
      <c r="G748" s="19">
        <v>26</v>
      </c>
      <c r="H748" s="19" t="s">
        <v>215</v>
      </c>
      <c r="I748" s="19" t="s">
        <v>216</v>
      </c>
      <c r="J748" s="19" t="s">
        <v>217</v>
      </c>
      <c r="K748" s="18">
        <v>46084.564201388886</v>
      </c>
    </row>
    <row r="749" spans="1:11" x14ac:dyDescent="0.25">
      <c r="A749" s="16" t="s">
        <v>1200</v>
      </c>
      <c r="B749" s="20">
        <v>46057</v>
      </c>
      <c r="C749" s="16">
        <v>2</v>
      </c>
      <c r="D749" s="19" t="s">
        <v>31</v>
      </c>
      <c r="E749" s="19" t="s">
        <v>453</v>
      </c>
      <c r="G749" s="19">
        <v>49</v>
      </c>
      <c r="H749" s="19" t="s">
        <v>215</v>
      </c>
      <c r="I749" s="19" t="s">
        <v>216</v>
      </c>
      <c r="J749" s="19" t="s">
        <v>217</v>
      </c>
      <c r="K749" s="18">
        <v>46084.564236111109</v>
      </c>
    </row>
    <row r="750" spans="1:11" x14ac:dyDescent="0.25">
      <c r="A750" s="16" t="s">
        <v>1201</v>
      </c>
      <c r="B750" s="20">
        <v>46057</v>
      </c>
      <c r="C750" s="16">
        <v>2</v>
      </c>
      <c r="D750" s="19" t="s">
        <v>31</v>
      </c>
      <c r="E750" s="19" t="s">
        <v>453</v>
      </c>
      <c r="G750" s="19">
        <v>30</v>
      </c>
      <c r="H750" s="19" t="s">
        <v>215</v>
      </c>
      <c r="I750" s="19" t="s">
        <v>216</v>
      </c>
      <c r="J750" s="19" t="s">
        <v>217</v>
      </c>
      <c r="K750" s="18">
        <v>46084.564293981479</v>
      </c>
    </row>
    <row r="751" spans="1:11" x14ac:dyDescent="0.25">
      <c r="A751" s="16" t="s">
        <v>1202</v>
      </c>
      <c r="B751" s="20">
        <v>46058</v>
      </c>
      <c r="C751" s="16">
        <v>2</v>
      </c>
      <c r="D751" s="19" t="s">
        <v>31</v>
      </c>
      <c r="E751" s="19" t="s">
        <v>453</v>
      </c>
      <c r="G751" s="19">
        <v>89</v>
      </c>
      <c r="H751" s="19" t="s">
        <v>215</v>
      </c>
      <c r="I751" s="19" t="s">
        <v>216</v>
      </c>
      <c r="J751" s="19" t="s">
        <v>217</v>
      </c>
      <c r="K751" s="18">
        <v>46084.564421296294</v>
      </c>
    </row>
    <row r="752" spans="1:11" x14ac:dyDescent="0.25">
      <c r="A752" s="16" t="s">
        <v>1203</v>
      </c>
      <c r="B752" s="20">
        <v>46058</v>
      </c>
      <c r="C752" s="16">
        <v>2</v>
      </c>
      <c r="D752" s="19" t="s">
        <v>31</v>
      </c>
      <c r="E752" s="19" t="s">
        <v>453</v>
      </c>
      <c r="G752" s="19">
        <v>72</v>
      </c>
      <c r="H752" s="19" t="s">
        <v>215</v>
      </c>
      <c r="I752" s="19" t="s">
        <v>216</v>
      </c>
      <c r="J752" s="19" t="s">
        <v>217</v>
      </c>
      <c r="K752" s="18">
        <v>46084.564432870371</v>
      </c>
    </row>
    <row r="753" spans="1:11" x14ac:dyDescent="0.25">
      <c r="A753" s="16" t="s">
        <v>1204</v>
      </c>
      <c r="B753" s="20">
        <v>46059</v>
      </c>
      <c r="C753" s="16">
        <v>2</v>
      </c>
      <c r="D753" s="19" t="s">
        <v>31</v>
      </c>
      <c r="E753" s="19" t="s">
        <v>453</v>
      </c>
      <c r="G753" s="19">
        <v>36</v>
      </c>
      <c r="H753" s="19" t="s">
        <v>215</v>
      </c>
      <c r="I753" s="19" t="s">
        <v>216</v>
      </c>
      <c r="J753" s="19" t="s">
        <v>217</v>
      </c>
      <c r="K753" s="18">
        <v>46084.565347222226</v>
      </c>
    </row>
    <row r="754" spans="1:11" x14ac:dyDescent="0.25">
      <c r="A754" s="16" t="s">
        <v>1205</v>
      </c>
      <c r="B754" s="20">
        <v>46060</v>
      </c>
      <c r="C754" s="16">
        <v>2</v>
      </c>
      <c r="D754" s="19" t="s">
        <v>31</v>
      </c>
      <c r="E754" s="19" t="s">
        <v>453</v>
      </c>
      <c r="G754" s="19">
        <v>57</v>
      </c>
      <c r="H754" s="19" t="s">
        <v>215</v>
      </c>
      <c r="I754" s="19" t="s">
        <v>216</v>
      </c>
      <c r="J754" s="19" t="s">
        <v>217</v>
      </c>
      <c r="K754" s="18">
        <v>46084.565833333334</v>
      </c>
    </row>
    <row r="755" spans="1:11" x14ac:dyDescent="0.25">
      <c r="A755" s="16" t="s">
        <v>1206</v>
      </c>
      <c r="B755" s="20">
        <v>46060</v>
      </c>
      <c r="C755" s="16">
        <v>2</v>
      </c>
      <c r="D755" s="19" t="s">
        <v>31</v>
      </c>
      <c r="E755" s="19" t="s">
        <v>453</v>
      </c>
      <c r="G755" s="19">
        <v>20</v>
      </c>
      <c r="H755" s="19" t="s">
        <v>215</v>
      </c>
      <c r="I755" s="19" t="s">
        <v>216</v>
      </c>
      <c r="J755" s="19" t="s">
        <v>217</v>
      </c>
      <c r="K755" s="18">
        <v>46084.565868055557</v>
      </c>
    </row>
    <row r="756" spans="1:11" x14ac:dyDescent="0.25">
      <c r="A756" s="16" t="s">
        <v>1207</v>
      </c>
      <c r="B756" s="20">
        <v>46061</v>
      </c>
      <c r="C756" s="16">
        <v>2</v>
      </c>
      <c r="D756" s="19" t="s">
        <v>31</v>
      </c>
      <c r="E756" s="19" t="s">
        <v>453</v>
      </c>
      <c r="G756" s="19">
        <v>66</v>
      </c>
      <c r="H756" s="19" t="s">
        <v>215</v>
      </c>
      <c r="I756" s="19" t="s">
        <v>216</v>
      </c>
      <c r="J756" s="19" t="s">
        <v>217</v>
      </c>
      <c r="K756" s="18">
        <v>46084.566134259258</v>
      </c>
    </row>
    <row r="757" spans="1:11" x14ac:dyDescent="0.25">
      <c r="A757" s="16" t="s">
        <v>1208</v>
      </c>
      <c r="B757" s="20">
        <v>46061</v>
      </c>
      <c r="C757" s="16">
        <v>2</v>
      </c>
      <c r="D757" s="19" t="s">
        <v>31</v>
      </c>
      <c r="E757" s="19" t="s">
        <v>453</v>
      </c>
      <c r="G757" s="19">
        <v>84</v>
      </c>
      <c r="H757" s="19" t="s">
        <v>215</v>
      </c>
      <c r="I757" s="19" t="s">
        <v>216</v>
      </c>
      <c r="J757" s="19" t="s">
        <v>217</v>
      </c>
      <c r="K757" s="18">
        <v>46084.566145833334</v>
      </c>
    </row>
    <row r="758" spans="1:11" x14ac:dyDescent="0.25">
      <c r="A758" s="16" t="s">
        <v>1209</v>
      </c>
      <c r="B758" s="20">
        <v>46063</v>
      </c>
      <c r="C758" s="16">
        <v>2</v>
      </c>
      <c r="D758" s="19" t="s">
        <v>31</v>
      </c>
      <c r="E758" s="19" t="s">
        <v>453</v>
      </c>
      <c r="G758" s="19">
        <v>38</v>
      </c>
      <c r="H758" s="19" t="s">
        <v>215</v>
      </c>
      <c r="I758" s="19" t="s">
        <v>216</v>
      </c>
      <c r="J758" s="19" t="s">
        <v>217</v>
      </c>
      <c r="K758" s="18">
        <v>46084.568599537037</v>
      </c>
    </row>
    <row r="759" spans="1:11" x14ac:dyDescent="0.25">
      <c r="A759" s="16" t="s">
        <v>1210</v>
      </c>
      <c r="B759" s="20">
        <v>46063</v>
      </c>
      <c r="C759" s="16">
        <v>2</v>
      </c>
      <c r="D759" s="19" t="s">
        <v>31</v>
      </c>
      <c r="E759" s="19" t="s">
        <v>453</v>
      </c>
      <c r="G759" s="19">
        <v>58</v>
      </c>
      <c r="H759" s="19" t="s">
        <v>215</v>
      </c>
      <c r="I759" s="19" t="s">
        <v>216</v>
      </c>
      <c r="J759" s="19" t="s">
        <v>217</v>
      </c>
      <c r="K759" s="18">
        <v>46084.568611111114</v>
      </c>
    </row>
    <row r="760" spans="1:11" x14ac:dyDescent="0.25">
      <c r="A760" s="16" t="s">
        <v>1211</v>
      </c>
      <c r="B760" s="20">
        <v>46063</v>
      </c>
      <c r="C760" s="16">
        <v>2</v>
      </c>
      <c r="D760" s="19" t="s">
        <v>31</v>
      </c>
      <c r="E760" s="19" t="s">
        <v>453</v>
      </c>
      <c r="G760" s="19">
        <v>37</v>
      </c>
      <c r="H760" s="19" t="s">
        <v>215</v>
      </c>
      <c r="I760" s="19" t="s">
        <v>216</v>
      </c>
      <c r="J760" s="19" t="s">
        <v>217</v>
      </c>
      <c r="K760" s="18">
        <v>46084.56863425926</v>
      </c>
    </row>
    <row r="761" spans="1:11" x14ac:dyDescent="0.25">
      <c r="A761" s="16" t="s">
        <v>1212</v>
      </c>
      <c r="B761" s="20">
        <v>46064</v>
      </c>
      <c r="C761" s="16">
        <v>2</v>
      </c>
      <c r="D761" s="19" t="s">
        <v>31</v>
      </c>
      <c r="E761" s="19" t="s">
        <v>453</v>
      </c>
      <c r="G761" s="19">
        <v>91</v>
      </c>
      <c r="H761" s="19" t="s">
        <v>215</v>
      </c>
      <c r="I761" s="19" t="s">
        <v>216</v>
      </c>
      <c r="J761" s="19" t="s">
        <v>217</v>
      </c>
      <c r="K761" s="18">
        <v>46084.569884259261</v>
      </c>
    </row>
    <row r="762" spans="1:11" x14ac:dyDescent="0.25">
      <c r="A762" s="16" t="s">
        <v>1213</v>
      </c>
      <c r="B762" s="20">
        <v>46065</v>
      </c>
      <c r="C762" s="16">
        <v>2</v>
      </c>
      <c r="D762" s="19" t="s">
        <v>31</v>
      </c>
      <c r="E762" s="19" t="s">
        <v>453</v>
      </c>
      <c r="G762" s="19">
        <v>80</v>
      </c>
      <c r="H762" s="19" t="s">
        <v>215</v>
      </c>
      <c r="I762" s="19" t="s">
        <v>216</v>
      </c>
      <c r="J762" s="19" t="s">
        <v>217</v>
      </c>
      <c r="K762" s="18">
        <v>46084.570104166669</v>
      </c>
    </row>
    <row r="763" spans="1:11" x14ac:dyDescent="0.25">
      <c r="A763" s="16" t="s">
        <v>1214</v>
      </c>
      <c r="B763" s="20">
        <v>46065</v>
      </c>
      <c r="C763" s="16">
        <v>2</v>
      </c>
      <c r="D763" s="19" t="s">
        <v>31</v>
      </c>
      <c r="E763" s="19" t="s">
        <v>453</v>
      </c>
      <c r="G763" s="19">
        <v>64</v>
      </c>
      <c r="H763" s="19" t="s">
        <v>215</v>
      </c>
      <c r="I763" s="19" t="s">
        <v>216</v>
      </c>
      <c r="J763" s="19" t="s">
        <v>217</v>
      </c>
      <c r="K763" s="18">
        <v>46084.570150462961</v>
      </c>
    </row>
    <row r="764" spans="1:11" x14ac:dyDescent="0.25">
      <c r="A764" s="16" t="s">
        <v>1215</v>
      </c>
      <c r="B764" s="20">
        <v>46065</v>
      </c>
      <c r="C764" s="16">
        <v>2</v>
      </c>
      <c r="D764" s="19" t="s">
        <v>31</v>
      </c>
      <c r="E764" s="19" t="s">
        <v>453</v>
      </c>
      <c r="G764" s="19">
        <v>82</v>
      </c>
      <c r="H764" s="19" t="s">
        <v>215</v>
      </c>
      <c r="I764" s="19" t="s">
        <v>216</v>
      </c>
      <c r="J764" s="19" t="s">
        <v>217</v>
      </c>
      <c r="K764" s="18">
        <v>46084.570150462961</v>
      </c>
    </row>
    <row r="765" spans="1:11" x14ac:dyDescent="0.25">
      <c r="A765" s="16" t="s">
        <v>1216</v>
      </c>
      <c r="B765" s="20">
        <v>46066</v>
      </c>
      <c r="C765" s="16">
        <v>2</v>
      </c>
      <c r="D765" s="19" t="s">
        <v>31</v>
      </c>
      <c r="E765" s="19" t="s">
        <v>453</v>
      </c>
      <c r="G765" s="19">
        <v>74</v>
      </c>
      <c r="H765" s="19" t="s">
        <v>215</v>
      </c>
      <c r="I765" s="19" t="s">
        <v>216</v>
      </c>
      <c r="J765" s="19" t="s">
        <v>217</v>
      </c>
      <c r="K765" s="18">
        <v>46084.5703125</v>
      </c>
    </row>
    <row r="766" spans="1:11" x14ac:dyDescent="0.25">
      <c r="A766" s="16" t="s">
        <v>1217</v>
      </c>
      <c r="B766" s="20">
        <v>46067</v>
      </c>
      <c r="C766" s="16">
        <v>2</v>
      </c>
      <c r="D766" s="19" t="s">
        <v>31</v>
      </c>
      <c r="E766" s="19" t="s">
        <v>453</v>
      </c>
      <c r="G766" s="19">
        <v>54</v>
      </c>
      <c r="H766" s="19" t="s">
        <v>215</v>
      </c>
      <c r="I766" s="19" t="s">
        <v>216</v>
      </c>
      <c r="J766" s="19" t="s">
        <v>217</v>
      </c>
      <c r="K766" s="18">
        <v>46084.570462962962</v>
      </c>
    </row>
    <row r="767" spans="1:11" x14ac:dyDescent="0.25">
      <c r="A767" s="16" t="s">
        <v>1218</v>
      </c>
      <c r="B767" s="20">
        <v>46067</v>
      </c>
      <c r="C767" s="16">
        <v>2</v>
      </c>
      <c r="D767" s="19" t="s">
        <v>31</v>
      </c>
      <c r="E767" s="19" t="s">
        <v>453</v>
      </c>
      <c r="G767" s="19">
        <v>36</v>
      </c>
      <c r="H767" s="19" t="s">
        <v>215</v>
      </c>
      <c r="I767" s="19" t="s">
        <v>216</v>
      </c>
      <c r="J767" s="19" t="s">
        <v>217</v>
      </c>
      <c r="K767" s="18">
        <v>46084.570474537039</v>
      </c>
    </row>
    <row r="768" spans="1:11" x14ac:dyDescent="0.25">
      <c r="A768" s="16" t="s">
        <v>1219</v>
      </c>
      <c r="B768" s="20">
        <v>46067</v>
      </c>
      <c r="C768" s="16">
        <v>2</v>
      </c>
      <c r="D768" s="19" t="s">
        <v>31</v>
      </c>
      <c r="E768" s="19" t="s">
        <v>453</v>
      </c>
      <c r="G768" s="19">
        <v>48</v>
      </c>
      <c r="H768" s="19" t="s">
        <v>215</v>
      </c>
      <c r="I768" s="19" t="s">
        <v>216</v>
      </c>
      <c r="J768" s="19" t="s">
        <v>217</v>
      </c>
      <c r="K768" s="18">
        <v>46084.570486111108</v>
      </c>
    </row>
    <row r="769" spans="1:11" x14ac:dyDescent="0.25">
      <c r="A769" s="16" t="s">
        <v>1220</v>
      </c>
      <c r="B769" s="20">
        <v>46067</v>
      </c>
      <c r="C769" s="16">
        <v>2</v>
      </c>
      <c r="D769" s="19" t="s">
        <v>31</v>
      </c>
      <c r="E769" s="19" t="s">
        <v>453</v>
      </c>
      <c r="G769" s="19">
        <v>55</v>
      </c>
      <c r="H769" s="19" t="s">
        <v>215</v>
      </c>
      <c r="I769" s="19" t="s">
        <v>216</v>
      </c>
      <c r="J769" s="19" t="s">
        <v>217</v>
      </c>
      <c r="K769" s="18">
        <v>46084.570486111108</v>
      </c>
    </row>
    <row r="770" spans="1:11" x14ac:dyDescent="0.25">
      <c r="A770" s="16" t="s">
        <v>1221</v>
      </c>
      <c r="B770" s="20">
        <v>46068</v>
      </c>
      <c r="C770" s="16">
        <v>2</v>
      </c>
      <c r="D770" s="19" t="s">
        <v>31</v>
      </c>
      <c r="E770" s="19" t="s">
        <v>453</v>
      </c>
      <c r="G770" s="19">
        <v>81</v>
      </c>
      <c r="H770" s="19" t="s">
        <v>215</v>
      </c>
      <c r="I770" s="19" t="s">
        <v>216</v>
      </c>
      <c r="J770" s="19" t="s">
        <v>217</v>
      </c>
      <c r="K770" s="18">
        <v>46084.57068287037</v>
      </c>
    </row>
    <row r="771" spans="1:11" x14ac:dyDescent="0.25">
      <c r="A771" s="16" t="s">
        <v>1222</v>
      </c>
      <c r="B771" s="20">
        <v>46068</v>
      </c>
      <c r="C771" s="16">
        <v>2</v>
      </c>
      <c r="D771" s="19" t="s">
        <v>31</v>
      </c>
      <c r="E771" s="19" t="s">
        <v>453</v>
      </c>
      <c r="G771" s="19">
        <v>16</v>
      </c>
      <c r="H771" s="19" t="s">
        <v>215</v>
      </c>
      <c r="I771" s="19" t="s">
        <v>216</v>
      </c>
      <c r="J771" s="19" t="s">
        <v>217</v>
      </c>
      <c r="K771" s="18">
        <v>46084.570752314816</v>
      </c>
    </row>
    <row r="772" spans="1:11" x14ac:dyDescent="0.25">
      <c r="A772" s="16" t="s">
        <v>1223</v>
      </c>
      <c r="B772" s="20">
        <v>46069</v>
      </c>
      <c r="C772" s="16">
        <v>2</v>
      </c>
      <c r="D772" s="19" t="s">
        <v>31</v>
      </c>
      <c r="E772" s="19" t="s">
        <v>453</v>
      </c>
      <c r="G772" s="19">
        <v>96</v>
      </c>
      <c r="H772" s="19" t="s">
        <v>215</v>
      </c>
      <c r="I772" s="19" t="s">
        <v>216</v>
      </c>
      <c r="J772" s="19" t="s">
        <v>217</v>
      </c>
      <c r="K772" s="18">
        <v>46084.570902777778</v>
      </c>
    </row>
    <row r="773" spans="1:11" x14ac:dyDescent="0.25">
      <c r="A773" s="16" t="s">
        <v>1224</v>
      </c>
      <c r="B773" s="20">
        <v>46070</v>
      </c>
      <c r="C773" s="16">
        <v>2</v>
      </c>
      <c r="D773" s="19" t="s">
        <v>31</v>
      </c>
      <c r="E773" s="19" t="s">
        <v>453</v>
      </c>
      <c r="G773" s="19">
        <v>25</v>
      </c>
      <c r="H773" s="19" t="s">
        <v>215</v>
      </c>
      <c r="I773" s="19" t="s">
        <v>216</v>
      </c>
      <c r="J773" s="19" t="s">
        <v>217</v>
      </c>
      <c r="K773" s="18">
        <v>46084.57130787037</v>
      </c>
    </row>
    <row r="774" spans="1:11" x14ac:dyDescent="0.25">
      <c r="A774" s="16" t="s">
        <v>1225</v>
      </c>
      <c r="B774" s="20">
        <v>46071</v>
      </c>
      <c r="C774" s="16">
        <v>2</v>
      </c>
      <c r="D774" s="19" t="s">
        <v>31</v>
      </c>
      <c r="E774" s="19" t="s">
        <v>453</v>
      </c>
      <c r="G774" s="19">
        <v>92</v>
      </c>
      <c r="H774" s="19" t="s">
        <v>215</v>
      </c>
      <c r="I774" s="19" t="s">
        <v>216</v>
      </c>
      <c r="J774" s="19" t="s">
        <v>217</v>
      </c>
      <c r="K774" s="18">
        <v>46084.571446759262</v>
      </c>
    </row>
    <row r="775" spans="1:11" x14ac:dyDescent="0.25">
      <c r="A775" s="16" t="s">
        <v>1226</v>
      </c>
      <c r="B775" s="20">
        <v>46072</v>
      </c>
      <c r="C775" s="16">
        <v>2</v>
      </c>
      <c r="D775" s="19" t="s">
        <v>31</v>
      </c>
      <c r="E775" s="19" t="s">
        <v>453</v>
      </c>
      <c r="G775" s="19">
        <v>21</v>
      </c>
      <c r="H775" s="19" t="s">
        <v>215</v>
      </c>
      <c r="I775" s="19" t="s">
        <v>216</v>
      </c>
      <c r="J775" s="19" t="s">
        <v>217</v>
      </c>
      <c r="K775" s="18">
        <v>46084.571608796294</v>
      </c>
    </row>
    <row r="776" spans="1:11" x14ac:dyDescent="0.25">
      <c r="A776" s="16" t="s">
        <v>1227</v>
      </c>
      <c r="B776" s="20">
        <v>46072</v>
      </c>
      <c r="C776" s="16">
        <v>2</v>
      </c>
      <c r="D776" s="19" t="s">
        <v>31</v>
      </c>
      <c r="E776" s="19" t="s">
        <v>453</v>
      </c>
      <c r="G776" s="19">
        <v>71</v>
      </c>
      <c r="H776" s="19" t="s">
        <v>215</v>
      </c>
      <c r="I776" s="19" t="s">
        <v>216</v>
      </c>
      <c r="J776" s="19" t="s">
        <v>217</v>
      </c>
      <c r="K776" s="18">
        <v>46084.571631944447</v>
      </c>
    </row>
    <row r="777" spans="1:11" x14ac:dyDescent="0.25">
      <c r="A777" s="16" t="s">
        <v>1228</v>
      </c>
      <c r="B777" s="20">
        <v>46072</v>
      </c>
      <c r="C777" s="16">
        <v>2</v>
      </c>
      <c r="D777" s="19" t="s">
        <v>31</v>
      </c>
      <c r="E777" s="19" t="s">
        <v>453</v>
      </c>
      <c r="G777" s="19">
        <v>79</v>
      </c>
      <c r="H777" s="19" t="s">
        <v>215</v>
      </c>
      <c r="I777" s="19" t="s">
        <v>216</v>
      </c>
      <c r="J777" s="19" t="s">
        <v>217</v>
      </c>
      <c r="K777" s="18">
        <v>46084.571655092594</v>
      </c>
    </row>
    <row r="778" spans="1:11" x14ac:dyDescent="0.25">
      <c r="A778" s="16" t="s">
        <v>1229</v>
      </c>
      <c r="B778" s="20">
        <v>46072</v>
      </c>
      <c r="C778" s="16">
        <v>2</v>
      </c>
      <c r="D778" s="19" t="s">
        <v>31</v>
      </c>
      <c r="E778" s="19" t="s">
        <v>453</v>
      </c>
      <c r="G778" s="19">
        <v>36</v>
      </c>
      <c r="H778" s="19" t="s">
        <v>215</v>
      </c>
      <c r="I778" s="19" t="s">
        <v>216</v>
      </c>
      <c r="J778" s="19" t="s">
        <v>217</v>
      </c>
      <c r="K778" s="18">
        <v>46084.571666666663</v>
      </c>
    </row>
    <row r="779" spans="1:11" x14ac:dyDescent="0.25">
      <c r="A779" s="16" t="s">
        <v>1230</v>
      </c>
      <c r="B779" s="20">
        <v>46073</v>
      </c>
      <c r="C779" s="16">
        <v>2</v>
      </c>
      <c r="D779" s="19" t="s">
        <v>31</v>
      </c>
      <c r="E779" s="19" t="s">
        <v>453</v>
      </c>
      <c r="G779" s="19">
        <v>28</v>
      </c>
      <c r="H779" s="19" t="s">
        <v>215</v>
      </c>
      <c r="I779" s="19" t="s">
        <v>216</v>
      </c>
      <c r="J779" s="19" t="s">
        <v>217</v>
      </c>
      <c r="K779" s="18">
        <v>46084.571793981479</v>
      </c>
    </row>
    <row r="780" spans="1:11" x14ac:dyDescent="0.25">
      <c r="A780" s="16" t="s">
        <v>1231</v>
      </c>
      <c r="B780" s="20">
        <v>46073</v>
      </c>
      <c r="C780" s="16">
        <v>2</v>
      </c>
      <c r="D780" s="19" t="s">
        <v>31</v>
      </c>
      <c r="E780" s="19" t="s">
        <v>453</v>
      </c>
      <c r="G780" s="19">
        <v>19</v>
      </c>
      <c r="H780" s="19" t="s">
        <v>215</v>
      </c>
      <c r="I780" s="19" t="s">
        <v>216</v>
      </c>
      <c r="J780" s="19" t="s">
        <v>217</v>
      </c>
      <c r="K780" s="18">
        <v>46084.571817129632</v>
      </c>
    </row>
    <row r="781" spans="1:11" x14ac:dyDescent="0.25">
      <c r="A781" s="16" t="s">
        <v>1232</v>
      </c>
      <c r="B781" s="20">
        <v>46074</v>
      </c>
      <c r="C781" s="16">
        <v>2</v>
      </c>
      <c r="D781" s="19" t="s">
        <v>31</v>
      </c>
      <c r="E781" s="19" t="s">
        <v>453</v>
      </c>
      <c r="G781" s="19">
        <v>15</v>
      </c>
      <c r="H781" s="19" t="s">
        <v>215</v>
      </c>
      <c r="I781" s="19" t="s">
        <v>216</v>
      </c>
      <c r="J781" s="19" t="s">
        <v>217</v>
      </c>
      <c r="K781" s="18">
        <v>46084.572789351849</v>
      </c>
    </row>
    <row r="782" spans="1:11" x14ac:dyDescent="0.25">
      <c r="A782" s="16" t="s">
        <v>1233</v>
      </c>
      <c r="B782" s="20">
        <v>46075</v>
      </c>
      <c r="C782" s="16">
        <v>2</v>
      </c>
      <c r="D782" s="19" t="s">
        <v>31</v>
      </c>
      <c r="E782" s="19" t="s">
        <v>453</v>
      </c>
      <c r="G782" s="19">
        <v>21</v>
      </c>
      <c r="H782" s="19" t="s">
        <v>215</v>
      </c>
      <c r="I782" s="19" t="s">
        <v>216</v>
      </c>
      <c r="J782" s="19" t="s">
        <v>217</v>
      </c>
      <c r="K782" s="18">
        <v>46084.572905092595</v>
      </c>
    </row>
    <row r="783" spans="1:11" x14ac:dyDescent="0.25">
      <c r="A783" s="16" t="s">
        <v>1234</v>
      </c>
      <c r="B783" s="20">
        <v>46076</v>
      </c>
      <c r="C783" s="16">
        <v>2</v>
      </c>
      <c r="D783" s="19" t="s">
        <v>31</v>
      </c>
      <c r="E783" s="19" t="s">
        <v>453</v>
      </c>
      <c r="G783" s="19">
        <v>23</v>
      </c>
      <c r="H783" s="19" t="s">
        <v>215</v>
      </c>
      <c r="I783" s="19" t="s">
        <v>216</v>
      </c>
      <c r="J783" s="19" t="s">
        <v>217</v>
      </c>
      <c r="K783" s="18">
        <v>46084.573020833333</v>
      </c>
    </row>
    <row r="784" spans="1:11" x14ac:dyDescent="0.25">
      <c r="A784" s="16" t="s">
        <v>1235</v>
      </c>
      <c r="B784" s="20">
        <v>46076</v>
      </c>
      <c r="C784" s="16">
        <v>2</v>
      </c>
      <c r="D784" s="19" t="s">
        <v>31</v>
      </c>
      <c r="E784" s="19" t="s">
        <v>453</v>
      </c>
      <c r="G784" s="19">
        <v>85</v>
      </c>
      <c r="H784" s="19" t="s">
        <v>215</v>
      </c>
      <c r="I784" s="19" t="s">
        <v>216</v>
      </c>
      <c r="J784" s="19" t="s">
        <v>217</v>
      </c>
      <c r="K784" s="18">
        <v>46084.57304398148</v>
      </c>
    </row>
    <row r="785" spans="1:11" x14ac:dyDescent="0.25">
      <c r="A785" s="16" t="s">
        <v>1236</v>
      </c>
      <c r="B785" s="20">
        <v>46077</v>
      </c>
      <c r="C785" s="16">
        <v>2</v>
      </c>
      <c r="D785" s="19" t="s">
        <v>31</v>
      </c>
      <c r="E785" s="19" t="s">
        <v>453</v>
      </c>
      <c r="G785" s="19">
        <v>65</v>
      </c>
      <c r="H785" s="19" t="s">
        <v>215</v>
      </c>
      <c r="I785" s="19" t="s">
        <v>216</v>
      </c>
      <c r="J785" s="19" t="s">
        <v>217</v>
      </c>
      <c r="K785" s="18">
        <v>46084.573344907411</v>
      </c>
    </row>
    <row r="786" spans="1:11" x14ac:dyDescent="0.25">
      <c r="A786" s="16" t="s">
        <v>1237</v>
      </c>
      <c r="B786" s="20">
        <v>46078</v>
      </c>
      <c r="C786" s="16">
        <v>2</v>
      </c>
      <c r="D786" s="19" t="s">
        <v>31</v>
      </c>
      <c r="E786" s="19" t="s">
        <v>453</v>
      </c>
      <c r="G786" s="19">
        <v>19</v>
      </c>
      <c r="H786" s="19" t="s">
        <v>215</v>
      </c>
      <c r="I786" s="19" t="s">
        <v>216</v>
      </c>
      <c r="J786" s="19" t="s">
        <v>217</v>
      </c>
      <c r="K786" s="18">
        <v>46084.573483796295</v>
      </c>
    </row>
    <row r="787" spans="1:11" x14ac:dyDescent="0.25">
      <c r="A787" s="16" t="s">
        <v>1238</v>
      </c>
      <c r="B787" s="20">
        <v>46079</v>
      </c>
      <c r="C787" s="16">
        <v>2</v>
      </c>
      <c r="D787" s="19" t="s">
        <v>31</v>
      </c>
      <c r="E787" s="19" t="s">
        <v>453</v>
      </c>
      <c r="G787" s="19">
        <v>19</v>
      </c>
      <c r="H787" s="19" t="s">
        <v>215</v>
      </c>
      <c r="I787" s="19" t="s">
        <v>216</v>
      </c>
      <c r="J787" s="19" t="s">
        <v>217</v>
      </c>
      <c r="K787" s="18">
        <v>46084.573599537034</v>
      </c>
    </row>
    <row r="788" spans="1:11" x14ac:dyDescent="0.25">
      <c r="A788" s="16" t="s">
        <v>1239</v>
      </c>
      <c r="B788" s="20">
        <v>46079</v>
      </c>
      <c r="C788" s="16">
        <v>2</v>
      </c>
      <c r="D788" s="19" t="s">
        <v>31</v>
      </c>
      <c r="E788" s="19" t="s">
        <v>453</v>
      </c>
      <c r="G788" s="19">
        <v>40</v>
      </c>
      <c r="H788" s="19" t="s">
        <v>215</v>
      </c>
      <c r="I788" s="19" t="s">
        <v>216</v>
      </c>
      <c r="J788" s="19" t="s">
        <v>217</v>
      </c>
      <c r="K788" s="18">
        <v>46084.573634259257</v>
      </c>
    </row>
    <row r="789" spans="1:11" x14ac:dyDescent="0.25">
      <c r="A789" s="16" t="s">
        <v>1240</v>
      </c>
      <c r="B789" s="20">
        <v>46079</v>
      </c>
      <c r="C789" s="16">
        <v>2</v>
      </c>
      <c r="D789" s="19" t="s">
        <v>31</v>
      </c>
      <c r="E789" s="19" t="s">
        <v>453</v>
      </c>
      <c r="G789" s="19">
        <v>24</v>
      </c>
      <c r="H789" s="19" t="s">
        <v>215</v>
      </c>
      <c r="I789" s="19" t="s">
        <v>216</v>
      </c>
      <c r="J789" s="19" t="s">
        <v>217</v>
      </c>
      <c r="K789" s="18">
        <v>46084.57366898148</v>
      </c>
    </row>
    <row r="790" spans="1:11" x14ac:dyDescent="0.25">
      <c r="A790" s="16" t="s">
        <v>1241</v>
      </c>
      <c r="B790" s="20">
        <v>46080</v>
      </c>
      <c r="C790" s="16">
        <v>2</v>
      </c>
      <c r="D790" s="19" t="s">
        <v>31</v>
      </c>
      <c r="E790" s="19" t="s">
        <v>453</v>
      </c>
      <c r="G790" s="19">
        <v>61</v>
      </c>
      <c r="H790" s="19" t="s">
        <v>215</v>
      </c>
      <c r="I790" s="19" t="s">
        <v>216</v>
      </c>
      <c r="J790" s="19" t="s">
        <v>217</v>
      </c>
      <c r="K790" s="18">
        <v>46084.573784722219</v>
      </c>
    </row>
    <row r="791" spans="1:11" x14ac:dyDescent="0.25">
      <c r="A791" s="16" t="s">
        <v>1242</v>
      </c>
      <c r="B791" s="20">
        <v>46080</v>
      </c>
      <c r="C791" s="16">
        <v>2</v>
      </c>
      <c r="D791" s="19" t="s">
        <v>31</v>
      </c>
      <c r="E791" s="19" t="s">
        <v>453</v>
      </c>
      <c r="G791" s="19">
        <v>43</v>
      </c>
      <c r="H791" s="19" t="s">
        <v>215</v>
      </c>
      <c r="I791" s="19" t="s">
        <v>216</v>
      </c>
      <c r="J791" s="19" t="s">
        <v>217</v>
      </c>
      <c r="K791" s="18">
        <v>46084.573819444442</v>
      </c>
    </row>
    <row r="792" spans="1:11" x14ac:dyDescent="0.25">
      <c r="A792" s="16" t="s">
        <v>1243</v>
      </c>
      <c r="B792" s="20">
        <v>46081</v>
      </c>
      <c r="C792" s="16">
        <v>2</v>
      </c>
      <c r="D792" s="19" t="s">
        <v>31</v>
      </c>
      <c r="E792" s="19" t="s">
        <v>453</v>
      </c>
      <c r="G792" s="19">
        <v>31</v>
      </c>
      <c r="H792" s="19" t="s">
        <v>215</v>
      </c>
      <c r="I792" s="19" t="s">
        <v>216</v>
      </c>
      <c r="J792" s="19" t="s">
        <v>217</v>
      </c>
      <c r="K792" s="18">
        <v>46084.573923611111</v>
      </c>
    </row>
    <row r="793" spans="1:11" x14ac:dyDescent="0.25">
      <c r="A793" s="16" t="s">
        <v>1244</v>
      </c>
      <c r="B793" s="20">
        <v>46081</v>
      </c>
      <c r="C793" s="16">
        <v>2</v>
      </c>
      <c r="D793" s="19" t="s">
        <v>31</v>
      </c>
      <c r="E793" s="19" t="s">
        <v>453</v>
      </c>
      <c r="G793" s="19">
        <v>26</v>
      </c>
      <c r="H793" s="19" t="s">
        <v>215</v>
      </c>
      <c r="I793" s="19" t="s">
        <v>216</v>
      </c>
      <c r="J793" s="19" t="s">
        <v>217</v>
      </c>
      <c r="K793" s="18">
        <v>46084.573946759258</v>
      </c>
    </row>
    <row r="794" spans="1:11" x14ac:dyDescent="0.25">
      <c r="A794" s="16" t="s">
        <v>1245</v>
      </c>
      <c r="B794" s="20">
        <v>46054</v>
      </c>
      <c r="C794" s="16">
        <v>2</v>
      </c>
      <c r="D794" s="19" t="s">
        <v>33</v>
      </c>
      <c r="E794" s="19" t="s">
        <v>453</v>
      </c>
      <c r="G794" s="19">
        <v>3</v>
      </c>
      <c r="H794" s="19" t="s">
        <v>215</v>
      </c>
      <c r="I794" s="19" t="s">
        <v>216</v>
      </c>
      <c r="J794" s="19" t="s">
        <v>217</v>
      </c>
      <c r="K794" s="18">
        <v>46084.5778125</v>
      </c>
    </row>
    <row r="795" spans="1:11" x14ac:dyDescent="0.25">
      <c r="A795" s="16" t="s">
        <v>1246</v>
      </c>
      <c r="B795" s="20">
        <v>46054</v>
      </c>
      <c r="C795" s="16">
        <v>2</v>
      </c>
      <c r="D795" s="19" t="s">
        <v>33</v>
      </c>
      <c r="E795" s="19" t="s">
        <v>453</v>
      </c>
      <c r="G795" s="19">
        <v>3</v>
      </c>
      <c r="H795" s="19" t="s">
        <v>215</v>
      </c>
      <c r="I795" s="19" t="s">
        <v>216</v>
      </c>
      <c r="J795" s="19" t="s">
        <v>217</v>
      </c>
      <c r="K795" s="18">
        <v>46084.577916666669</v>
      </c>
    </row>
    <row r="796" spans="1:11" x14ac:dyDescent="0.25">
      <c r="A796" s="16" t="s">
        <v>1247</v>
      </c>
      <c r="B796" s="20">
        <v>46054</v>
      </c>
      <c r="C796" s="16">
        <v>2</v>
      </c>
      <c r="D796" s="19" t="s">
        <v>33</v>
      </c>
      <c r="E796" s="19" t="s">
        <v>453</v>
      </c>
      <c r="G796" s="19">
        <v>11</v>
      </c>
      <c r="H796" s="19" t="s">
        <v>215</v>
      </c>
      <c r="I796" s="19" t="s">
        <v>246</v>
      </c>
      <c r="J796" s="19" t="s">
        <v>217</v>
      </c>
      <c r="K796" s="18">
        <v>46084.577986111108</v>
      </c>
    </row>
    <row r="797" spans="1:11" x14ac:dyDescent="0.25">
      <c r="A797" s="16" t="s">
        <v>1248</v>
      </c>
      <c r="B797" s="20">
        <v>46054</v>
      </c>
      <c r="C797" s="16">
        <v>2</v>
      </c>
      <c r="D797" s="19" t="s">
        <v>35</v>
      </c>
      <c r="E797" s="19" t="s">
        <v>453</v>
      </c>
      <c r="G797" s="19">
        <v>33</v>
      </c>
      <c r="H797" s="19" t="s">
        <v>215</v>
      </c>
      <c r="I797" s="19" t="s">
        <v>216</v>
      </c>
      <c r="J797" s="19" t="s">
        <v>217</v>
      </c>
      <c r="K797" s="18">
        <v>46084.617488425924</v>
      </c>
    </row>
    <row r="798" spans="1:11" x14ac:dyDescent="0.25">
      <c r="A798" s="16" t="s">
        <v>1249</v>
      </c>
      <c r="B798" s="20">
        <v>46054</v>
      </c>
      <c r="C798" s="16">
        <v>2</v>
      </c>
      <c r="D798" s="19" t="s">
        <v>35</v>
      </c>
      <c r="E798" s="19" t="s">
        <v>453</v>
      </c>
      <c r="G798" s="19">
        <v>27</v>
      </c>
      <c r="H798" s="19" t="s">
        <v>215</v>
      </c>
      <c r="I798" s="19" t="s">
        <v>216</v>
      </c>
      <c r="J798" s="19" t="s">
        <v>217</v>
      </c>
      <c r="K798" s="18">
        <v>46084.617534722223</v>
      </c>
    </row>
    <row r="799" spans="1:11" x14ac:dyDescent="0.25">
      <c r="A799" s="16" t="s">
        <v>1250</v>
      </c>
      <c r="B799" s="20">
        <v>46054</v>
      </c>
      <c r="C799" s="16">
        <v>2</v>
      </c>
      <c r="D799" s="19" t="s">
        <v>35</v>
      </c>
      <c r="E799" s="19" t="s">
        <v>453</v>
      </c>
      <c r="G799" s="19">
        <v>26</v>
      </c>
      <c r="H799" s="19" t="s">
        <v>215</v>
      </c>
      <c r="I799" s="19" t="s">
        <v>216</v>
      </c>
      <c r="J799" s="19" t="s">
        <v>217</v>
      </c>
      <c r="K799" s="18">
        <v>46084.617546296293</v>
      </c>
    </row>
    <row r="800" spans="1:11" x14ac:dyDescent="0.25">
      <c r="A800" s="16" t="s">
        <v>1251</v>
      </c>
      <c r="B800" s="20">
        <v>46054</v>
      </c>
      <c r="C800" s="16">
        <v>2</v>
      </c>
      <c r="D800" s="19" t="s">
        <v>35</v>
      </c>
      <c r="E800" s="19" t="s">
        <v>453</v>
      </c>
      <c r="G800" s="19">
        <v>25</v>
      </c>
      <c r="H800" s="19" t="s">
        <v>215</v>
      </c>
      <c r="I800" s="19" t="s">
        <v>216</v>
      </c>
      <c r="J800" s="19" t="s">
        <v>217</v>
      </c>
      <c r="K800" s="18">
        <v>46084.617546296293</v>
      </c>
    </row>
    <row r="801" spans="1:11" x14ac:dyDescent="0.25">
      <c r="A801" s="16" t="s">
        <v>1252</v>
      </c>
      <c r="B801" s="20">
        <v>46054</v>
      </c>
      <c r="C801" s="16">
        <v>2</v>
      </c>
      <c r="D801" s="19" t="s">
        <v>35</v>
      </c>
      <c r="E801" s="19" t="s">
        <v>453</v>
      </c>
      <c r="G801" s="19">
        <v>42</v>
      </c>
      <c r="H801" s="19" t="s">
        <v>215</v>
      </c>
      <c r="I801" s="19" t="s">
        <v>216</v>
      </c>
      <c r="J801" s="19" t="s">
        <v>217</v>
      </c>
      <c r="K801" s="18">
        <v>46084.61755787037</v>
      </c>
    </row>
    <row r="802" spans="1:11" x14ac:dyDescent="0.25">
      <c r="A802" s="16" t="s">
        <v>1253</v>
      </c>
      <c r="B802" s="20">
        <v>46055</v>
      </c>
      <c r="C802" s="16">
        <v>2</v>
      </c>
      <c r="D802" s="19" t="s">
        <v>35</v>
      </c>
      <c r="E802" s="19" t="s">
        <v>453</v>
      </c>
      <c r="G802" s="19">
        <v>33</v>
      </c>
      <c r="H802" s="19" t="s">
        <v>215</v>
      </c>
      <c r="I802" s="19" t="s">
        <v>216</v>
      </c>
      <c r="J802" s="19" t="s">
        <v>217</v>
      </c>
      <c r="K802" s="18">
        <v>46084.617743055554</v>
      </c>
    </row>
    <row r="803" spans="1:11" x14ac:dyDescent="0.25">
      <c r="A803" s="16" t="s">
        <v>1254</v>
      </c>
      <c r="B803" s="20">
        <v>46056</v>
      </c>
      <c r="C803" s="16">
        <v>2</v>
      </c>
      <c r="D803" s="19" t="s">
        <v>35</v>
      </c>
      <c r="E803" s="19" t="s">
        <v>453</v>
      </c>
      <c r="G803" s="19">
        <v>33</v>
      </c>
      <c r="H803" s="19" t="s">
        <v>215</v>
      </c>
      <c r="I803" s="19" t="s">
        <v>216</v>
      </c>
      <c r="J803" s="19" t="s">
        <v>217</v>
      </c>
      <c r="K803" s="18">
        <v>46084.617951388886</v>
      </c>
    </row>
    <row r="804" spans="1:11" x14ac:dyDescent="0.25">
      <c r="A804" s="16" t="s">
        <v>1255</v>
      </c>
      <c r="B804" s="20">
        <v>46056</v>
      </c>
      <c r="C804" s="16">
        <v>2</v>
      </c>
      <c r="D804" s="19" t="s">
        <v>35</v>
      </c>
      <c r="E804" s="19" t="s">
        <v>453</v>
      </c>
      <c r="G804" s="19">
        <v>28</v>
      </c>
      <c r="H804" s="19" t="s">
        <v>215</v>
      </c>
      <c r="I804" s="19" t="s">
        <v>216</v>
      </c>
      <c r="J804" s="19" t="s">
        <v>217</v>
      </c>
      <c r="K804" s="18">
        <v>46084.617951388886</v>
      </c>
    </row>
    <row r="805" spans="1:11" x14ac:dyDescent="0.25">
      <c r="A805" s="16" t="s">
        <v>1256</v>
      </c>
      <c r="B805" s="20">
        <v>46056</v>
      </c>
      <c r="C805" s="16">
        <v>2</v>
      </c>
      <c r="D805" s="19" t="s">
        <v>35</v>
      </c>
      <c r="E805" s="19" t="s">
        <v>453</v>
      </c>
      <c r="G805" s="19">
        <v>37</v>
      </c>
      <c r="H805" s="19" t="s">
        <v>215</v>
      </c>
      <c r="I805" s="19" t="s">
        <v>216</v>
      </c>
      <c r="J805" s="19" t="s">
        <v>217</v>
      </c>
      <c r="K805" s="18">
        <v>46084.617986111109</v>
      </c>
    </row>
    <row r="806" spans="1:11" x14ac:dyDescent="0.25">
      <c r="A806" s="16" t="s">
        <v>1257</v>
      </c>
      <c r="B806" s="20">
        <v>46056</v>
      </c>
      <c r="C806" s="16">
        <v>2</v>
      </c>
      <c r="D806" s="19" t="s">
        <v>35</v>
      </c>
      <c r="E806" s="19" t="s">
        <v>453</v>
      </c>
      <c r="G806" s="19">
        <v>37</v>
      </c>
      <c r="H806" s="19" t="s">
        <v>215</v>
      </c>
      <c r="I806" s="19" t="s">
        <v>216</v>
      </c>
      <c r="J806" s="19" t="s">
        <v>217</v>
      </c>
      <c r="K806" s="18">
        <v>46084.618009259262</v>
      </c>
    </row>
    <row r="807" spans="1:11" x14ac:dyDescent="0.25">
      <c r="A807" s="16" t="s">
        <v>1258</v>
      </c>
      <c r="B807" s="20">
        <v>46056</v>
      </c>
      <c r="C807" s="16">
        <v>2</v>
      </c>
      <c r="D807" s="19" t="s">
        <v>35</v>
      </c>
      <c r="E807" s="19" t="s">
        <v>453</v>
      </c>
      <c r="G807" s="19">
        <v>26</v>
      </c>
      <c r="H807" s="19" t="s">
        <v>215</v>
      </c>
      <c r="I807" s="19" t="s">
        <v>216</v>
      </c>
      <c r="J807" s="19" t="s">
        <v>217</v>
      </c>
      <c r="K807" s="18">
        <v>46084.618009259262</v>
      </c>
    </row>
    <row r="808" spans="1:11" x14ac:dyDescent="0.25">
      <c r="A808" s="16" t="s">
        <v>1259</v>
      </c>
      <c r="B808" s="20">
        <v>46056</v>
      </c>
      <c r="C808" s="16">
        <v>2</v>
      </c>
      <c r="D808" s="19" t="s">
        <v>35</v>
      </c>
      <c r="E808" s="19" t="s">
        <v>453</v>
      </c>
      <c r="G808" s="19">
        <v>32</v>
      </c>
      <c r="H808" s="19" t="s">
        <v>215</v>
      </c>
      <c r="I808" s="19" t="s">
        <v>216</v>
      </c>
      <c r="J808" s="19" t="s">
        <v>217</v>
      </c>
      <c r="K808" s="18">
        <v>46084.618020833332</v>
      </c>
    </row>
    <row r="809" spans="1:11" x14ac:dyDescent="0.25">
      <c r="A809" s="16" t="s">
        <v>1260</v>
      </c>
      <c r="B809" s="20">
        <v>46056</v>
      </c>
      <c r="C809" s="16">
        <v>2</v>
      </c>
      <c r="D809" s="19" t="s">
        <v>35</v>
      </c>
      <c r="E809" s="19" t="s">
        <v>453</v>
      </c>
      <c r="G809" s="19">
        <v>41</v>
      </c>
      <c r="H809" s="19" t="s">
        <v>215</v>
      </c>
      <c r="I809" s="19" t="s">
        <v>216</v>
      </c>
      <c r="J809" s="19" t="s">
        <v>217</v>
      </c>
      <c r="K809" s="18">
        <v>46084.618043981478</v>
      </c>
    </row>
    <row r="810" spans="1:11" x14ac:dyDescent="0.25">
      <c r="A810" s="16" t="s">
        <v>1261</v>
      </c>
      <c r="B810" s="20">
        <v>46057</v>
      </c>
      <c r="C810" s="16">
        <v>2</v>
      </c>
      <c r="D810" s="19" t="s">
        <v>35</v>
      </c>
      <c r="E810" s="19" t="s">
        <v>453</v>
      </c>
      <c r="G810" s="19">
        <v>31</v>
      </c>
      <c r="H810" s="19" t="s">
        <v>215</v>
      </c>
      <c r="I810" s="19" t="s">
        <v>216</v>
      </c>
      <c r="J810" s="19" t="s">
        <v>217</v>
      </c>
      <c r="K810" s="18">
        <v>46084.618252314816</v>
      </c>
    </row>
    <row r="811" spans="1:11" x14ac:dyDescent="0.25">
      <c r="A811" s="16" t="s">
        <v>1262</v>
      </c>
      <c r="B811" s="20">
        <v>46057</v>
      </c>
      <c r="C811" s="16">
        <v>2</v>
      </c>
      <c r="D811" s="19" t="s">
        <v>35</v>
      </c>
      <c r="E811" s="19" t="s">
        <v>453</v>
      </c>
      <c r="G811" s="19">
        <v>39</v>
      </c>
      <c r="H811" s="19" t="s">
        <v>215</v>
      </c>
      <c r="I811" s="19" t="s">
        <v>216</v>
      </c>
      <c r="J811" s="19" t="s">
        <v>217</v>
      </c>
      <c r="K811" s="18">
        <v>46084.618263888886</v>
      </c>
    </row>
    <row r="812" spans="1:11" x14ac:dyDescent="0.25">
      <c r="A812" s="16" t="s">
        <v>1263</v>
      </c>
      <c r="B812" s="20">
        <v>46057</v>
      </c>
      <c r="C812" s="16">
        <v>2</v>
      </c>
      <c r="D812" s="19" t="s">
        <v>35</v>
      </c>
      <c r="E812" s="19" t="s">
        <v>453</v>
      </c>
      <c r="G812" s="19">
        <v>21</v>
      </c>
      <c r="H812" s="19" t="s">
        <v>215</v>
      </c>
      <c r="I812" s="19" t="s">
        <v>216</v>
      </c>
      <c r="J812" s="19" t="s">
        <v>217</v>
      </c>
      <c r="K812" s="18">
        <v>46084.618275462963</v>
      </c>
    </row>
    <row r="813" spans="1:11" x14ac:dyDescent="0.25">
      <c r="A813" s="16" t="s">
        <v>1264</v>
      </c>
      <c r="B813" s="20">
        <v>46057</v>
      </c>
      <c r="C813" s="16">
        <v>2</v>
      </c>
      <c r="D813" s="19" t="s">
        <v>35</v>
      </c>
      <c r="E813" s="19" t="s">
        <v>453</v>
      </c>
      <c r="G813" s="19">
        <v>23</v>
      </c>
      <c r="H813" s="19" t="s">
        <v>215</v>
      </c>
      <c r="I813" s="19" t="s">
        <v>216</v>
      </c>
      <c r="J813" s="19" t="s">
        <v>217</v>
      </c>
      <c r="K813" s="18">
        <v>46084.618275462963</v>
      </c>
    </row>
    <row r="814" spans="1:11" x14ac:dyDescent="0.25">
      <c r="A814" s="16" t="s">
        <v>1265</v>
      </c>
      <c r="B814" s="20">
        <v>46058</v>
      </c>
      <c r="C814" s="16">
        <v>2</v>
      </c>
      <c r="D814" s="19" t="s">
        <v>35</v>
      </c>
      <c r="E814" s="19" t="s">
        <v>453</v>
      </c>
      <c r="G814" s="19">
        <v>18</v>
      </c>
      <c r="H814" s="19" t="s">
        <v>215</v>
      </c>
      <c r="I814" s="19" t="s">
        <v>216</v>
      </c>
      <c r="J814" s="19" t="s">
        <v>217</v>
      </c>
      <c r="K814" s="18">
        <v>46084.618437500001</v>
      </c>
    </row>
    <row r="815" spans="1:11" x14ac:dyDescent="0.25">
      <c r="A815" s="16" t="s">
        <v>1266</v>
      </c>
      <c r="B815" s="20">
        <v>46058</v>
      </c>
      <c r="C815" s="16">
        <v>2</v>
      </c>
      <c r="D815" s="19" t="s">
        <v>35</v>
      </c>
      <c r="E815" s="19" t="s">
        <v>453</v>
      </c>
      <c r="G815" s="19">
        <v>44</v>
      </c>
      <c r="H815" s="19" t="s">
        <v>215</v>
      </c>
      <c r="I815" s="19" t="s">
        <v>216</v>
      </c>
      <c r="J815" s="19" t="s">
        <v>217</v>
      </c>
      <c r="K815" s="18">
        <v>46084.618437500001</v>
      </c>
    </row>
    <row r="816" spans="1:11" x14ac:dyDescent="0.25">
      <c r="A816" s="16" t="s">
        <v>1267</v>
      </c>
      <c r="B816" s="20">
        <v>46058</v>
      </c>
      <c r="C816" s="16">
        <v>2</v>
      </c>
      <c r="D816" s="19" t="s">
        <v>35</v>
      </c>
      <c r="E816" s="19" t="s">
        <v>453</v>
      </c>
      <c r="G816" s="19">
        <v>40</v>
      </c>
      <c r="H816" s="19" t="s">
        <v>215</v>
      </c>
      <c r="I816" s="19" t="s">
        <v>216</v>
      </c>
      <c r="J816" s="19" t="s">
        <v>217</v>
      </c>
      <c r="K816" s="18">
        <v>46084.618449074071</v>
      </c>
    </row>
    <row r="817" spans="1:11" x14ac:dyDescent="0.25">
      <c r="A817" s="16" t="s">
        <v>1268</v>
      </c>
      <c r="B817" s="20">
        <v>46059</v>
      </c>
      <c r="C817" s="16">
        <v>2</v>
      </c>
      <c r="D817" s="19" t="s">
        <v>35</v>
      </c>
      <c r="E817" s="19" t="s">
        <v>453</v>
      </c>
      <c r="G817" s="19">
        <v>21</v>
      </c>
      <c r="H817" s="19" t="s">
        <v>215</v>
      </c>
      <c r="I817" s="19" t="s">
        <v>216</v>
      </c>
      <c r="J817" s="19" t="s">
        <v>217</v>
      </c>
      <c r="K817" s="18">
        <v>46084.61855324074</v>
      </c>
    </row>
    <row r="818" spans="1:11" x14ac:dyDescent="0.25">
      <c r="A818" s="16" t="s">
        <v>1269</v>
      </c>
      <c r="B818" s="20">
        <v>46059</v>
      </c>
      <c r="C818" s="16">
        <v>2</v>
      </c>
      <c r="D818" s="19" t="s">
        <v>35</v>
      </c>
      <c r="E818" s="19" t="s">
        <v>453</v>
      </c>
      <c r="G818" s="19">
        <v>21</v>
      </c>
      <c r="H818" s="19" t="s">
        <v>215</v>
      </c>
      <c r="I818" s="19" t="s">
        <v>216</v>
      </c>
      <c r="J818" s="19" t="s">
        <v>217</v>
      </c>
      <c r="K818" s="18">
        <v>46084.618576388886</v>
      </c>
    </row>
    <row r="819" spans="1:11" x14ac:dyDescent="0.25">
      <c r="A819" s="16" t="s">
        <v>1270</v>
      </c>
      <c r="B819" s="20">
        <v>46059</v>
      </c>
      <c r="C819" s="16">
        <v>2</v>
      </c>
      <c r="D819" s="19" t="s">
        <v>35</v>
      </c>
      <c r="E819" s="19" t="s">
        <v>453</v>
      </c>
      <c r="G819" s="19">
        <v>36</v>
      </c>
      <c r="H819" s="19" t="s">
        <v>215</v>
      </c>
      <c r="I819" s="19" t="s">
        <v>216</v>
      </c>
      <c r="J819" s="19" t="s">
        <v>217</v>
      </c>
      <c r="K819" s="18">
        <v>46084.618576388886</v>
      </c>
    </row>
    <row r="820" spans="1:11" x14ac:dyDescent="0.25">
      <c r="A820" s="16" t="s">
        <v>1271</v>
      </c>
      <c r="B820" s="20">
        <v>46059</v>
      </c>
      <c r="C820" s="16">
        <v>2</v>
      </c>
      <c r="D820" s="19" t="s">
        <v>35</v>
      </c>
      <c r="E820" s="19" t="s">
        <v>453</v>
      </c>
      <c r="G820" s="19">
        <v>38</v>
      </c>
      <c r="H820" s="19" t="s">
        <v>215</v>
      </c>
      <c r="I820" s="19" t="s">
        <v>216</v>
      </c>
      <c r="J820" s="19" t="s">
        <v>217</v>
      </c>
      <c r="K820" s="18">
        <v>46084.618587962963</v>
      </c>
    </row>
    <row r="821" spans="1:11" x14ac:dyDescent="0.25">
      <c r="A821" s="16" t="s">
        <v>1272</v>
      </c>
      <c r="B821" s="20">
        <v>46060</v>
      </c>
      <c r="C821" s="16">
        <v>2</v>
      </c>
      <c r="D821" s="19" t="s">
        <v>35</v>
      </c>
      <c r="E821" s="19" t="s">
        <v>453</v>
      </c>
      <c r="G821" s="19">
        <v>38</v>
      </c>
      <c r="H821" s="19" t="s">
        <v>215</v>
      </c>
      <c r="I821" s="19" t="s">
        <v>216</v>
      </c>
      <c r="J821" s="19" t="s">
        <v>217</v>
      </c>
      <c r="K821" s="18">
        <v>46084.618726851855</v>
      </c>
    </row>
    <row r="822" spans="1:11" x14ac:dyDescent="0.25">
      <c r="A822" s="16" t="s">
        <v>1273</v>
      </c>
      <c r="B822" s="20">
        <v>46060</v>
      </c>
      <c r="C822" s="16">
        <v>2</v>
      </c>
      <c r="D822" s="19" t="s">
        <v>35</v>
      </c>
      <c r="E822" s="19" t="s">
        <v>453</v>
      </c>
      <c r="G822" s="19">
        <v>26</v>
      </c>
      <c r="H822" s="19" t="s">
        <v>215</v>
      </c>
      <c r="I822" s="19" t="s">
        <v>216</v>
      </c>
      <c r="J822" s="19" t="s">
        <v>217</v>
      </c>
      <c r="K822" s="18">
        <v>46084.618726851855</v>
      </c>
    </row>
    <row r="823" spans="1:11" x14ac:dyDescent="0.25">
      <c r="A823" s="16" t="s">
        <v>1274</v>
      </c>
      <c r="B823" s="20">
        <v>46062</v>
      </c>
      <c r="C823" s="16">
        <v>2</v>
      </c>
      <c r="D823" s="19" t="s">
        <v>35</v>
      </c>
      <c r="E823" s="19" t="s">
        <v>453</v>
      </c>
      <c r="G823" s="19">
        <v>46</v>
      </c>
      <c r="H823" s="19" t="s">
        <v>215</v>
      </c>
      <c r="I823" s="19" t="s">
        <v>216</v>
      </c>
      <c r="J823" s="19" t="s">
        <v>217</v>
      </c>
      <c r="K823" s="18">
        <v>46084.618981481479</v>
      </c>
    </row>
    <row r="824" spans="1:11" x14ac:dyDescent="0.25">
      <c r="A824" s="16" t="s">
        <v>1275</v>
      </c>
      <c r="B824" s="20">
        <v>46062</v>
      </c>
      <c r="C824" s="16">
        <v>2</v>
      </c>
      <c r="D824" s="19" t="s">
        <v>35</v>
      </c>
      <c r="E824" s="19" t="s">
        <v>453</v>
      </c>
      <c r="G824" s="19">
        <v>38</v>
      </c>
      <c r="H824" s="19" t="s">
        <v>215</v>
      </c>
      <c r="I824" s="19" t="s">
        <v>216</v>
      </c>
      <c r="J824" s="19" t="s">
        <v>217</v>
      </c>
      <c r="K824" s="18">
        <v>46084.619004629632</v>
      </c>
    </row>
    <row r="825" spans="1:11" x14ac:dyDescent="0.25">
      <c r="A825" s="16" t="s">
        <v>1276</v>
      </c>
      <c r="B825" s="20">
        <v>46063</v>
      </c>
      <c r="C825" s="16">
        <v>2</v>
      </c>
      <c r="D825" s="19" t="s">
        <v>35</v>
      </c>
      <c r="E825" s="19" t="s">
        <v>453</v>
      </c>
      <c r="G825" s="19">
        <v>46</v>
      </c>
      <c r="H825" s="19" t="s">
        <v>215</v>
      </c>
      <c r="I825" s="19" t="s">
        <v>216</v>
      </c>
      <c r="J825" s="19" t="s">
        <v>217</v>
      </c>
      <c r="K825" s="18">
        <v>46084.619571759256</v>
      </c>
    </row>
    <row r="826" spans="1:11" x14ac:dyDescent="0.25">
      <c r="A826" s="16" t="s">
        <v>1277</v>
      </c>
      <c r="B826" s="20">
        <v>46063</v>
      </c>
      <c r="C826" s="16">
        <v>2</v>
      </c>
      <c r="D826" s="19" t="s">
        <v>35</v>
      </c>
      <c r="E826" s="19" t="s">
        <v>453</v>
      </c>
      <c r="G826" s="19">
        <v>19</v>
      </c>
      <c r="H826" s="19" t="s">
        <v>215</v>
      </c>
      <c r="I826" s="19" t="s">
        <v>216</v>
      </c>
      <c r="J826" s="19" t="s">
        <v>217</v>
      </c>
      <c r="K826" s="18">
        <v>46084.619583333333</v>
      </c>
    </row>
    <row r="827" spans="1:11" x14ac:dyDescent="0.25">
      <c r="A827" s="16" t="s">
        <v>1278</v>
      </c>
      <c r="B827" s="20">
        <v>46064</v>
      </c>
      <c r="C827" s="16">
        <v>2</v>
      </c>
      <c r="D827" s="19" t="s">
        <v>35</v>
      </c>
      <c r="E827" s="19" t="s">
        <v>453</v>
      </c>
      <c r="G827" s="19">
        <v>32</v>
      </c>
      <c r="H827" s="19" t="s">
        <v>215</v>
      </c>
      <c r="I827" s="19" t="s">
        <v>216</v>
      </c>
      <c r="J827" s="19" t="s">
        <v>217</v>
      </c>
      <c r="K827" s="18">
        <v>46084.619699074072</v>
      </c>
    </row>
    <row r="828" spans="1:11" x14ac:dyDescent="0.25">
      <c r="A828" s="16" t="s">
        <v>1279</v>
      </c>
      <c r="B828" s="20">
        <v>46064</v>
      </c>
      <c r="C828" s="16">
        <v>2</v>
      </c>
      <c r="D828" s="19" t="s">
        <v>35</v>
      </c>
      <c r="E828" s="19" t="s">
        <v>453</v>
      </c>
      <c r="G828" s="19">
        <v>41</v>
      </c>
      <c r="H828" s="19" t="s">
        <v>215</v>
      </c>
      <c r="I828" s="19" t="s">
        <v>216</v>
      </c>
      <c r="J828" s="19" t="s">
        <v>217</v>
      </c>
      <c r="K828" s="18">
        <v>46084.619710648149</v>
      </c>
    </row>
    <row r="829" spans="1:11" x14ac:dyDescent="0.25">
      <c r="A829" s="16" t="s">
        <v>1280</v>
      </c>
      <c r="B829" s="20">
        <v>46064</v>
      </c>
      <c r="C829" s="16">
        <v>2</v>
      </c>
      <c r="D829" s="19" t="s">
        <v>35</v>
      </c>
      <c r="E829" s="19" t="s">
        <v>453</v>
      </c>
      <c r="G829" s="19">
        <v>24</v>
      </c>
      <c r="H829" s="19" t="s">
        <v>215</v>
      </c>
      <c r="I829" s="19" t="s">
        <v>216</v>
      </c>
      <c r="J829" s="19" t="s">
        <v>217</v>
      </c>
      <c r="K829" s="18">
        <v>46084.619722222225</v>
      </c>
    </row>
    <row r="830" spans="1:11" x14ac:dyDescent="0.25">
      <c r="A830" s="16" t="s">
        <v>1281</v>
      </c>
      <c r="B830" s="20">
        <v>46064</v>
      </c>
      <c r="C830" s="16">
        <v>2</v>
      </c>
      <c r="D830" s="19" t="s">
        <v>35</v>
      </c>
      <c r="E830" s="19" t="s">
        <v>453</v>
      </c>
      <c r="G830" s="19">
        <v>35</v>
      </c>
      <c r="H830" s="19" t="s">
        <v>215</v>
      </c>
      <c r="I830" s="19" t="s">
        <v>216</v>
      </c>
      <c r="J830" s="19" t="s">
        <v>217</v>
      </c>
      <c r="K830" s="18">
        <v>46084.619722222225</v>
      </c>
    </row>
    <row r="831" spans="1:11" x14ac:dyDescent="0.25">
      <c r="A831" s="16" t="s">
        <v>1282</v>
      </c>
      <c r="B831" s="20">
        <v>46065</v>
      </c>
      <c r="C831" s="16">
        <v>2</v>
      </c>
      <c r="D831" s="19" t="s">
        <v>35</v>
      </c>
      <c r="E831" s="19" t="s">
        <v>453</v>
      </c>
      <c r="G831" s="19">
        <v>22</v>
      </c>
      <c r="H831" s="19" t="s">
        <v>215</v>
      </c>
      <c r="I831" s="19" t="s">
        <v>216</v>
      </c>
      <c r="J831" s="19" t="s">
        <v>217</v>
      </c>
      <c r="K831" s="18">
        <v>46084.620428240742</v>
      </c>
    </row>
    <row r="832" spans="1:11" x14ac:dyDescent="0.25">
      <c r="A832" s="16" t="s">
        <v>1283</v>
      </c>
      <c r="B832" s="20">
        <v>46066</v>
      </c>
      <c r="C832" s="16">
        <v>2</v>
      </c>
      <c r="D832" s="19" t="s">
        <v>35</v>
      </c>
      <c r="E832" s="19" t="s">
        <v>453</v>
      </c>
      <c r="G832" s="19">
        <v>35</v>
      </c>
      <c r="H832" s="19" t="s">
        <v>215</v>
      </c>
      <c r="I832" s="19" t="s">
        <v>216</v>
      </c>
      <c r="J832" s="19" t="s">
        <v>217</v>
      </c>
      <c r="K832" s="18">
        <v>46084.620567129627</v>
      </c>
    </row>
    <row r="833" spans="1:11" x14ac:dyDescent="0.25">
      <c r="A833" s="16" t="s">
        <v>1284</v>
      </c>
      <c r="B833" s="20">
        <v>46066</v>
      </c>
      <c r="C833" s="16">
        <v>2</v>
      </c>
      <c r="D833" s="19" t="s">
        <v>35</v>
      </c>
      <c r="E833" s="19" t="s">
        <v>453</v>
      </c>
      <c r="G833" s="19">
        <v>25</v>
      </c>
      <c r="H833" s="19" t="s">
        <v>215</v>
      </c>
      <c r="I833" s="19" t="s">
        <v>216</v>
      </c>
      <c r="J833" s="19" t="s">
        <v>217</v>
      </c>
      <c r="K833" s="18">
        <v>46084.620578703703</v>
      </c>
    </row>
    <row r="834" spans="1:11" x14ac:dyDescent="0.25">
      <c r="A834" s="16" t="s">
        <v>1285</v>
      </c>
      <c r="B834" s="20">
        <v>46067</v>
      </c>
      <c r="C834" s="16">
        <v>2</v>
      </c>
      <c r="D834" s="19" t="s">
        <v>35</v>
      </c>
      <c r="E834" s="19" t="s">
        <v>453</v>
      </c>
      <c r="G834" s="19">
        <v>33</v>
      </c>
      <c r="H834" s="19" t="s">
        <v>215</v>
      </c>
      <c r="I834" s="19" t="s">
        <v>216</v>
      </c>
      <c r="J834" s="19" t="s">
        <v>217</v>
      </c>
      <c r="K834" s="18">
        <v>46084.620682870373</v>
      </c>
    </row>
    <row r="835" spans="1:11" x14ac:dyDescent="0.25">
      <c r="A835" s="16" t="s">
        <v>1286</v>
      </c>
      <c r="B835" s="20">
        <v>46069</v>
      </c>
      <c r="C835" s="16">
        <v>2</v>
      </c>
      <c r="D835" s="19" t="s">
        <v>35</v>
      </c>
      <c r="E835" s="19" t="s">
        <v>453</v>
      </c>
      <c r="G835" s="19">
        <v>22</v>
      </c>
      <c r="H835" s="19" t="s">
        <v>215</v>
      </c>
      <c r="I835" s="19" t="s">
        <v>216</v>
      </c>
      <c r="J835" s="19" t="s">
        <v>217</v>
      </c>
      <c r="K835" s="18">
        <v>46084.620949074073</v>
      </c>
    </row>
    <row r="836" spans="1:11" x14ac:dyDescent="0.25">
      <c r="A836" s="16" t="s">
        <v>1287</v>
      </c>
      <c r="B836" s="20">
        <v>46069</v>
      </c>
      <c r="C836" s="16">
        <v>2</v>
      </c>
      <c r="D836" s="19" t="s">
        <v>35</v>
      </c>
      <c r="E836" s="19" t="s">
        <v>453</v>
      </c>
      <c r="G836" s="19">
        <v>23</v>
      </c>
      <c r="H836" s="19" t="s">
        <v>215</v>
      </c>
      <c r="I836" s="19" t="s">
        <v>216</v>
      </c>
      <c r="J836" s="19" t="s">
        <v>217</v>
      </c>
      <c r="K836" s="18">
        <v>46084.620972222219</v>
      </c>
    </row>
    <row r="837" spans="1:11" x14ac:dyDescent="0.25">
      <c r="A837" s="16" t="s">
        <v>1288</v>
      </c>
      <c r="B837" s="20">
        <v>46069</v>
      </c>
      <c r="C837" s="16">
        <v>2</v>
      </c>
      <c r="D837" s="19" t="s">
        <v>35</v>
      </c>
      <c r="E837" s="19" t="s">
        <v>453</v>
      </c>
      <c r="G837" s="19">
        <v>29</v>
      </c>
      <c r="H837" s="19" t="s">
        <v>215</v>
      </c>
      <c r="I837" s="19" t="s">
        <v>216</v>
      </c>
      <c r="J837" s="19" t="s">
        <v>217</v>
      </c>
      <c r="K837" s="18">
        <v>46084.620983796296</v>
      </c>
    </row>
    <row r="838" spans="1:11" x14ac:dyDescent="0.25">
      <c r="A838" s="16" t="s">
        <v>1289</v>
      </c>
      <c r="B838" s="20">
        <v>46069</v>
      </c>
      <c r="C838" s="16">
        <v>2</v>
      </c>
      <c r="D838" s="19" t="s">
        <v>35</v>
      </c>
      <c r="E838" s="19" t="s">
        <v>453</v>
      </c>
      <c r="G838" s="19">
        <v>30</v>
      </c>
      <c r="H838" s="19" t="s">
        <v>215</v>
      </c>
      <c r="I838" s="19" t="s">
        <v>216</v>
      </c>
      <c r="J838" s="19" t="s">
        <v>217</v>
      </c>
      <c r="K838" s="18">
        <v>46084.620995370373</v>
      </c>
    </row>
    <row r="839" spans="1:11" x14ac:dyDescent="0.25">
      <c r="A839" s="16" t="s">
        <v>1290</v>
      </c>
      <c r="B839" s="20">
        <v>46069</v>
      </c>
      <c r="C839" s="16">
        <v>2</v>
      </c>
      <c r="D839" s="19" t="s">
        <v>35</v>
      </c>
      <c r="E839" s="19" t="s">
        <v>453</v>
      </c>
      <c r="G839" s="19">
        <v>31</v>
      </c>
      <c r="H839" s="19" t="s">
        <v>215</v>
      </c>
      <c r="I839" s="19" t="s">
        <v>216</v>
      </c>
      <c r="J839" s="19" t="s">
        <v>217</v>
      </c>
      <c r="K839" s="18">
        <v>46084.621030092596</v>
      </c>
    </row>
    <row r="840" spans="1:11" x14ac:dyDescent="0.25">
      <c r="A840" s="16" t="s">
        <v>1291</v>
      </c>
      <c r="B840" s="20">
        <v>46070</v>
      </c>
      <c r="C840" s="16">
        <v>2</v>
      </c>
      <c r="D840" s="19" t="s">
        <v>35</v>
      </c>
      <c r="E840" s="19" t="s">
        <v>453</v>
      </c>
      <c r="G840" s="19">
        <v>34</v>
      </c>
      <c r="H840" s="19" t="s">
        <v>215</v>
      </c>
      <c r="I840" s="19" t="s">
        <v>216</v>
      </c>
      <c r="J840" s="19" t="s">
        <v>217</v>
      </c>
      <c r="K840" s="18">
        <v>46084.621168981481</v>
      </c>
    </row>
    <row r="841" spans="1:11" x14ac:dyDescent="0.25">
      <c r="A841" s="16" t="s">
        <v>1292</v>
      </c>
      <c r="B841" s="20">
        <v>46070</v>
      </c>
      <c r="C841" s="16">
        <v>2</v>
      </c>
      <c r="D841" s="19" t="s">
        <v>35</v>
      </c>
      <c r="E841" s="19" t="s">
        <v>453</v>
      </c>
      <c r="G841" s="19">
        <v>29</v>
      </c>
      <c r="H841" s="19" t="s">
        <v>215</v>
      </c>
      <c r="I841" s="19" t="s">
        <v>216</v>
      </c>
      <c r="J841" s="19" t="s">
        <v>217</v>
      </c>
      <c r="K841" s="18">
        <v>46084.621180555558</v>
      </c>
    </row>
    <row r="842" spans="1:11" x14ac:dyDescent="0.25">
      <c r="A842" s="16" t="s">
        <v>1293</v>
      </c>
      <c r="B842" s="20">
        <v>46071</v>
      </c>
      <c r="C842" s="16">
        <v>2</v>
      </c>
      <c r="D842" s="19" t="s">
        <v>35</v>
      </c>
      <c r="E842" s="19" t="s">
        <v>453</v>
      </c>
      <c r="G842" s="19">
        <v>30</v>
      </c>
      <c r="H842" s="19" t="s">
        <v>215</v>
      </c>
      <c r="I842" s="19" t="s">
        <v>216</v>
      </c>
      <c r="J842" s="19" t="s">
        <v>217</v>
      </c>
      <c r="K842" s="18">
        <v>46084.621307870373</v>
      </c>
    </row>
    <row r="843" spans="1:11" x14ac:dyDescent="0.25">
      <c r="A843" s="16" t="s">
        <v>1294</v>
      </c>
      <c r="B843" s="20">
        <v>46072</v>
      </c>
      <c r="C843" s="16">
        <v>2</v>
      </c>
      <c r="D843" s="19" t="s">
        <v>35</v>
      </c>
      <c r="E843" s="19" t="s">
        <v>453</v>
      </c>
      <c r="G843" s="19">
        <v>27</v>
      </c>
      <c r="H843" s="19" t="s">
        <v>215</v>
      </c>
      <c r="I843" s="19" t="s">
        <v>216</v>
      </c>
      <c r="J843" s="19" t="s">
        <v>217</v>
      </c>
      <c r="K843" s="18">
        <v>46084.621412037035</v>
      </c>
    </row>
    <row r="844" spans="1:11" x14ac:dyDescent="0.25">
      <c r="A844" s="16" t="s">
        <v>1295</v>
      </c>
      <c r="B844" s="20">
        <v>46072</v>
      </c>
      <c r="C844" s="16">
        <v>2</v>
      </c>
      <c r="D844" s="19" t="s">
        <v>35</v>
      </c>
      <c r="E844" s="19" t="s">
        <v>453</v>
      </c>
      <c r="G844" s="19">
        <v>27</v>
      </c>
      <c r="H844" s="19" t="s">
        <v>215</v>
      </c>
      <c r="I844" s="19" t="s">
        <v>216</v>
      </c>
      <c r="J844" s="19" t="s">
        <v>217</v>
      </c>
      <c r="K844" s="18">
        <v>46084.621412037035</v>
      </c>
    </row>
    <row r="845" spans="1:11" x14ac:dyDescent="0.25">
      <c r="A845" s="16" t="s">
        <v>1296</v>
      </c>
      <c r="B845" s="20">
        <v>46072</v>
      </c>
      <c r="C845" s="16">
        <v>2</v>
      </c>
      <c r="D845" s="19" t="s">
        <v>35</v>
      </c>
      <c r="E845" s="19" t="s">
        <v>453</v>
      </c>
      <c r="G845" s="19">
        <v>18</v>
      </c>
      <c r="H845" s="19" t="s">
        <v>215</v>
      </c>
      <c r="I845" s="19" t="s">
        <v>216</v>
      </c>
      <c r="J845" s="19" t="s">
        <v>217</v>
      </c>
      <c r="K845" s="18">
        <v>46084.621435185189</v>
      </c>
    </row>
    <row r="846" spans="1:11" x14ac:dyDescent="0.25">
      <c r="A846" s="16" t="s">
        <v>1297</v>
      </c>
      <c r="B846" s="20">
        <v>46073</v>
      </c>
      <c r="C846" s="16">
        <v>2</v>
      </c>
      <c r="D846" s="19" t="s">
        <v>35</v>
      </c>
      <c r="E846" s="19" t="s">
        <v>453</v>
      </c>
      <c r="G846" s="19">
        <v>30</v>
      </c>
      <c r="H846" s="19" t="s">
        <v>215</v>
      </c>
      <c r="I846" s="19" t="s">
        <v>216</v>
      </c>
      <c r="J846" s="19" t="s">
        <v>217</v>
      </c>
      <c r="K846" s="18">
        <v>46084.62159722222</v>
      </c>
    </row>
    <row r="847" spans="1:11" x14ac:dyDescent="0.25">
      <c r="A847" s="16" t="s">
        <v>1298</v>
      </c>
      <c r="B847" s="20">
        <v>46073</v>
      </c>
      <c r="C847" s="16">
        <v>2</v>
      </c>
      <c r="D847" s="19" t="s">
        <v>35</v>
      </c>
      <c r="E847" s="19" t="s">
        <v>453</v>
      </c>
      <c r="G847" s="19">
        <v>18</v>
      </c>
      <c r="H847" s="19" t="s">
        <v>215</v>
      </c>
      <c r="I847" s="19" t="s">
        <v>216</v>
      </c>
      <c r="J847" s="19" t="s">
        <v>217</v>
      </c>
      <c r="K847" s="18">
        <v>46084.621608796297</v>
      </c>
    </row>
    <row r="848" spans="1:11" x14ac:dyDescent="0.25">
      <c r="A848" s="16" t="s">
        <v>1299</v>
      </c>
      <c r="B848" s="20">
        <v>46073</v>
      </c>
      <c r="C848" s="16">
        <v>2</v>
      </c>
      <c r="D848" s="19" t="s">
        <v>35</v>
      </c>
      <c r="E848" s="19" t="s">
        <v>453</v>
      </c>
      <c r="G848" s="19">
        <v>34</v>
      </c>
      <c r="H848" s="19" t="s">
        <v>215</v>
      </c>
      <c r="I848" s="19" t="s">
        <v>216</v>
      </c>
      <c r="J848" s="19" t="s">
        <v>217</v>
      </c>
      <c r="K848" s="18">
        <v>46084.621620370373</v>
      </c>
    </row>
    <row r="849" spans="1:11" x14ac:dyDescent="0.25">
      <c r="A849" s="16" t="s">
        <v>1300</v>
      </c>
      <c r="B849" s="20">
        <v>46074</v>
      </c>
      <c r="C849" s="16">
        <v>2</v>
      </c>
      <c r="D849" s="19" t="s">
        <v>35</v>
      </c>
      <c r="E849" s="19" t="s">
        <v>453</v>
      </c>
      <c r="G849" s="19">
        <v>41</v>
      </c>
      <c r="H849" s="19" t="s">
        <v>215</v>
      </c>
      <c r="I849" s="19" t="s">
        <v>216</v>
      </c>
      <c r="J849" s="19" t="s">
        <v>217</v>
      </c>
      <c r="K849" s="18">
        <v>46084.621724537035</v>
      </c>
    </row>
    <row r="850" spans="1:11" x14ac:dyDescent="0.25">
      <c r="A850" s="16" t="s">
        <v>1301</v>
      </c>
      <c r="B850" s="20">
        <v>46074</v>
      </c>
      <c r="C850" s="16">
        <v>2</v>
      </c>
      <c r="D850" s="19" t="s">
        <v>35</v>
      </c>
      <c r="E850" s="19" t="s">
        <v>453</v>
      </c>
      <c r="G850" s="19">
        <v>38</v>
      </c>
      <c r="H850" s="19" t="s">
        <v>215</v>
      </c>
      <c r="I850" s="19" t="s">
        <v>216</v>
      </c>
      <c r="J850" s="19" t="s">
        <v>217</v>
      </c>
      <c r="K850" s="18">
        <v>46084.621736111112</v>
      </c>
    </row>
    <row r="851" spans="1:11" x14ac:dyDescent="0.25">
      <c r="A851" s="16" t="s">
        <v>1302</v>
      </c>
      <c r="B851" s="20">
        <v>46078</v>
      </c>
      <c r="C851" s="16">
        <v>2</v>
      </c>
      <c r="D851" s="19" t="s">
        <v>35</v>
      </c>
      <c r="E851" s="19" t="s">
        <v>453</v>
      </c>
      <c r="G851" s="19">
        <v>36</v>
      </c>
      <c r="H851" s="19" t="s">
        <v>215</v>
      </c>
      <c r="I851" s="19" t="s">
        <v>216</v>
      </c>
      <c r="J851" s="19" t="s">
        <v>217</v>
      </c>
      <c r="K851" s="18">
        <v>46084.622083333335</v>
      </c>
    </row>
    <row r="852" spans="1:11" x14ac:dyDescent="0.25">
      <c r="A852" s="16" t="s">
        <v>1303</v>
      </c>
      <c r="B852" s="20">
        <v>46080</v>
      </c>
      <c r="C852" s="16">
        <v>2</v>
      </c>
      <c r="D852" s="19" t="s">
        <v>35</v>
      </c>
      <c r="E852" s="19" t="s">
        <v>453</v>
      </c>
      <c r="G852" s="19">
        <v>31</v>
      </c>
      <c r="H852" s="19" t="s">
        <v>215</v>
      </c>
      <c r="I852" s="19" t="s">
        <v>216</v>
      </c>
      <c r="J852" s="19" t="s">
        <v>217</v>
      </c>
      <c r="K852" s="18">
        <v>46084.622314814813</v>
      </c>
    </row>
    <row r="853" spans="1:11" x14ac:dyDescent="0.25">
      <c r="A853" s="16" t="s">
        <v>1304</v>
      </c>
      <c r="B853" s="20">
        <v>46080</v>
      </c>
      <c r="C853" s="16">
        <v>2</v>
      </c>
      <c r="D853" s="19" t="s">
        <v>35</v>
      </c>
      <c r="E853" s="19" t="s">
        <v>453</v>
      </c>
      <c r="G853" s="19">
        <v>27</v>
      </c>
      <c r="H853" s="19" t="s">
        <v>215</v>
      </c>
      <c r="I853" s="19" t="s">
        <v>216</v>
      </c>
      <c r="J853" s="19" t="s">
        <v>217</v>
      </c>
      <c r="K853" s="18">
        <v>46084.622337962966</v>
      </c>
    </row>
    <row r="854" spans="1:11" x14ac:dyDescent="0.25">
      <c r="A854" s="16" t="s">
        <v>1305</v>
      </c>
      <c r="B854" s="20">
        <v>46080</v>
      </c>
      <c r="C854" s="16">
        <v>2</v>
      </c>
      <c r="D854" s="19" t="s">
        <v>35</v>
      </c>
      <c r="E854" s="19" t="s">
        <v>453</v>
      </c>
      <c r="G854" s="19">
        <v>38</v>
      </c>
      <c r="H854" s="19" t="s">
        <v>215</v>
      </c>
      <c r="I854" s="19" t="s">
        <v>216</v>
      </c>
      <c r="J854" s="19" t="s">
        <v>217</v>
      </c>
      <c r="K854" s="18">
        <v>46084.622361111113</v>
      </c>
    </row>
    <row r="855" spans="1:11" x14ac:dyDescent="0.25">
      <c r="A855" s="16" t="s">
        <v>1306</v>
      </c>
      <c r="B855" s="20">
        <v>46081</v>
      </c>
      <c r="C855" s="16">
        <v>2</v>
      </c>
      <c r="D855" s="19" t="s">
        <v>35</v>
      </c>
      <c r="E855" s="19" t="s">
        <v>453</v>
      </c>
      <c r="G855" s="19">
        <v>27</v>
      </c>
      <c r="H855" s="19" t="s">
        <v>215</v>
      </c>
      <c r="I855" s="19" t="s">
        <v>216</v>
      </c>
      <c r="J855" s="19" t="s">
        <v>217</v>
      </c>
      <c r="K855" s="18">
        <v>46084.622511574074</v>
      </c>
    </row>
    <row r="856" spans="1:11" x14ac:dyDescent="0.25">
      <c r="A856" s="16" t="s">
        <v>1307</v>
      </c>
      <c r="B856" s="20">
        <v>46081</v>
      </c>
      <c r="C856" s="16">
        <v>2</v>
      </c>
      <c r="D856" s="19" t="s">
        <v>35</v>
      </c>
      <c r="E856" s="19" t="s">
        <v>453</v>
      </c>
      <c r="G856" s="19">
        <v>24</v>
      </c>
      <c r="H856" s="19" t="s">
        <v>215</v>
      </c>
      <c r="I856" s="19" t="s">
        <v>216</v>
      </c>
      <c r="J856" s="19" t="s">
        <v>217</v>
      </c>
      <c r="K856" s="18">
        <v>46084.622534722221</v>
      </c>
    </row>
    <row r="857" spans="1:11" x14ac:dyDescent="0.25">
      <c r="A857" s="16" t="s">
        <v>1308</v>
      </c>
      <c r="B857" s="20">
        <v>46081</v>
      </c>
      <c r="C857" s="16">
        <v>2</v>
      </c>
      <c r="D857" s="19" t="s">
        <v>35</v>
      </c>
      <c r="E857" s="19" t="s">
        <v>453</v>
      </c>
      <c r="G857" s="19">
        <v>23</v>
      </c>
      <c r="H857" s="19" t="s">
        <v>215</v>
      </c>
      <c r="I857" s="19" t="s">
        <v>216</v>
      </c>
      <c r="J857" s="19" t="s">
        <v>217</v>
      </c>
      <c r="K857" s="18">
        <v>46084.622604166667</v>
      </c>
    </row>
    <row r="858" spans="1:11" x14ac:dyDescent="0.25">
      <c r="A858" s="16" t="s">
        <v>1309</v>
      </c>
      <c r="B858" s="20">
        <v>46055</v>
      </c>
      <c r="C858" s="16">
        <v>2</v>
      </c>
      <c r="D858" s="19" t="s">
        <v>39</v>
      </c>
      <c r="E858" s="19" t="s">
        <v>453</v>
      </c>
      <c r="G858" s="19">
        <v>23</v>
      </c>
      <c r="H858" s="19" t="s">
        <v>215</v>
      </c>
      <c r="I858" s="19" t="s">
        <v>216</v>
      </c>
      <c r="J858" s="19" t="s">
        <v>217</v>
      </c>
      <c r="K858" s="18">
        <v>46084.632187499999</v>
      </c>
    </row>
    <row r="859" spans="1:11" x14ac:dyDescent="0.25">
      <c r="A859" s="16" t="s">
        <v>1310</v>
      </c>
      <c r="B859" s="20">
        <v>46055</v>
      </c>
      <c r="C859" s="16">
        <v>2</v>
      </c>
      <c r="D859" s="19" t="s">
        <v>39</v>
      </c>
      <c r="E859" s="19" t="s">
        <v>453</v>
      </c>
      <c r="G859" s="19">
        <v>31</v>
      </c>
      <c r="H859" s="19" t="s">
        <v>215</v>
      </c>
      <c r="I859" s="19" t="s">
        <v>216</v>
      </c>
      <c r="J859" s="19" t="s">
        <v>217</v>
      </c>
      <c r="K859" s="18">
        <v>46084.632199074076</v>
      </c>
    </row>
    <row r="860" spans="1:11" x14ac:dyDescent="0.25">
      <c r="A860" s="16" t="s">
        <v>1311</v>
      </c>
      <c r="B860" s="20">
        <v>46055</v>
      </c>
      <c r="C860" s="16">
        <v>2</v>
      </c>
      <c r="D860" s="19" t="s">
        <v>39</v>
      </c>
      <c r="E860" s="19" t="s">
        <v>453</v>
      </c>
      <c r="G860" s="19">
        <v>21</v>
      </c>
      <c r="H860" s="19" t="s">
        <v>215</v>
      </c>
      <c r="I860" s="19" t="s">
        <v>216</v>
      </c>
      <c r="J860" s="19" t="s">
        <v>217</v>
      </c>
      <c r="K860" s="18">
        <v>46084.632199074076</v>
      </c>
    </row>
    <row r="861" spans="1:11" x14ac:dyDescent="0.25">
      <c r="A861" s="16" t="s">
        <v>1312</v>
      </c>
      <c r="B861" s="20">
        <v>46056</v>
      </c>
      <c r="C861" s="16">
        <v>2</v>
      </c>
      <c r="D861" s="19" t="s">
        <v>39</v>
      </c>
      <c r="E861" s="19" t="s">
        <v>453</v>
      </c>
      <c r="G861" s="19">
        <v>22</v>
      </c>
      <c r="H861" s="19" t="s">
        <v>215</v>
      </c>
      <c r="I861" s="19" t="s">
        <v>216</v>
      </c>
      <c r="J861" s="19" t="s">
        <v>217</v>
      </c>
      <c r="K861" s="18">
        <v>46084.632291666669</v>
      </c>
    </row>
    <row r="862" spans="1:11" x14ac:dyDescent="0.25">
      <c r="A862" s="16" t="s">
        <v>1313</v>
      </c>
      <c r="B862" s="20">
        <v>46056</v>
      </c>
      <c r="C862" s="16">
        <v>2</v>
      </c>
      <c r="D862" s="19" t="s">
        <v>39</v>
      </c>
      <c r="E862" s="19" t="s">
        <v>453</v>
      </c>
      <c r="G862" s="19">
        <v>20</v>
      </c>
      <c r="H862" s="19" t="s">
        <v>215</v>
      </c>
      <c r="I862" s="19" t="s">
        <v>216</v>
      </c>
      <c r="J862" s="19" t="s">
        <v>217</v>
      </c>
      <c r="K862" s="18">
        <v>46084.632314814815</v>
      </c>
    </row>
    <row r="863" spans="1:11" x14ac:dyDescent="0.25">
      <c r="A863" s="16" t="s">
        <v>1314</v>
      </c>
      <c r="B863" s="20">
        <v>46056</v>
      </c>
      <c r="C863" s="16">
        <v>2</v>
      </c>
      <c r="D863" s="19" t="s">
        <v>39</v>
      </c>
      <c r="E863" s="19" t="s">
        <v>453</v>
      </c>
      <c r="G863" s="19">
        <v>33</v>
      </c>
      <c r="H863" s="19" t="s">
        <v>215</v>
      </c>
      <c r="I863" s="19" t="s">
        <v>216</v>
      </c>
      <c r="J863" s="19" t="s">
        <v>217</v>
      </c>
      <c r="K863" s="18">
        <v>46084.632314814815</v>
      </c>
    </row>
    <row r="864" spans="1:11" x14ac:dyDescent="0.25">
      <c r="A864" s="16" t="s">
        <v>1315</v>
      </c>
      <c r="B864" s="20">
        <v>46056</v>
      </c>
      <c r="C864" s="16">
        <v>2</v>
      </c>
      <c r="D864" s="19" t="s">
        <v>39</v>
      </c>
      <c r="E864" s="19" t="s">
        <v>453</v>
      </c>
      <c r="G864" s="19">
        <v>21</v>
      </c>
      <c r="H864" s="19" t="s">
        <v>215</v>
      </c>
      <c r="I864" s="19" t="s">
        <v>216</v>
      </c>
      <c r="J864" s="19" t="s">
        <v>217</v>
      </c>
      <c r="K864" s="18">
        <v>46084.632326388892</v>
      </c>
    </row>
    <row r="865" spans="1:11" x14ac:dyDescent="0.25">
      <c r="A865" s="16" t="s">
        <v>1316</v>
      </c>
      <c r="B865" s="20">
        <v>46056</v>
      </c>
      <c r="C865" s="16">
        <v>2</v>
      </c>
      <c r="D865" s="19" t="s">
        <v>39</v>
      </c>
      <c r="E865" s="19" t="s">
        <v>453</v>
      </c>
      <c r="G865" s="19">
        <v>31</v>
      </c>
      <c r="H865" s="19" t="s">
        <v>215</v>
      </c>
      <c r="I865" s="19" t="s">
        <v>216</v>
      </c>
      <c r="J865" s="19" t="s">
        <v>217</v>
      </c>
      <c r="K865" s="18">
        <v>46084.632581018515</v>
      </c>
    </row>
    <row r="866" spans="1:11" x14ac:dyDescent="0.25">
      <c r="A866" s="16" t="s">
        <v>1317</v>
      </c>
      <c r="B866" s="20">
        <v>46057</v>
      </c>
      <c r="C866" s="16">
        <v>2</v>
      </c>
      <c r="D866" s="19" t="s">
        <v>39</v>
      </c>
      <c r="E866" s="19" t="s">
        <v>453</v>
      </c>
      <c r="G866" s="19">
        <v>26</v>
      </c>
      <c r="H866" s="19" t="s">
        <v>215</v>
      </c>
      <c r="I866" s="19" t="s">
        <v>216</v>
      </c>
      <c r="J866" s="19" t="s">
        <v>217</v>
      </c>
      <c r="K866" s="18">
        <v>46084.633391203701</v>
      </c>
    </row>
    <row r="867" spans="1:11" x14ac:dyDescent="0.25">
      <c r="A867" s="16" t="s">
        <v>1318</v>
      </c>
      <c r="B867" s="20">
        <v>46057</v>
      </c>
      <c r="C867" s="16">
        <v>2</v>
      </c>
      <c r="D867" s="19" t="s">
        <v>39</v>
      </c>
      <c r="E867" s="19" t="s">
        <v>453</v>
      </c>
      <c r="G867" s="19">
        <v>35</v>
      </c>
      <c r="H867" s="19" t="s">
        <v>215</v>
      </c>
      <c r="I867" s="19" t="s">
        <v>216</v>
      </c>
      <c r="J867" s="19" t="s">
        <v>217</v>
      </c>
      <c r="K867" s="18">
        <v>46084.633402777778</v>
      </c>
    </row>
    <row r="868" spans="1:11" x14ac:dyDescent="0.25">
      <c r="A868" s="16" t="s">
        <v>1319</v>
      </c>
      <c r="B868" s="20">
        <v>46057</v>
      </c>
      <c r="C868" s="16">
        <v>2</v>
      </c>
      <c r="D868" s="19" t="s">
        <v>39</v>
      </c>
      <c r="E868" s="19" t="s">
        <v>453</v>
      </c>
      <c r="G868" s="19">
        <v>23</v>
      </c>
      <c r="H868" s="19" t="s">
        <v>215</v>
      </c>
      <c r="I868" s="19" t="s">
        <v>216</v>
      </c>
      <c r="J868" s="19" t="s">
        <v>217</v>
      </c>
      <c r="K868" s="18">
        <v>46084.633414351854</v>
      </c>
    </row>
    <row r="869" spans="1:11" x14ac:dyDescent="0.25">
      <c r="A869" s="16" t="s">
        <v>1320</v>
      </c>
      <c r="B869" s="20">
        <v>46057</v>
      </c>
      <c r="C869" s="16">
        <v>2</v>
      </c>
      <c r="D869" s="19" t="s">
        <v>39</v>
      </c>
      <c r="E869" s="19" t="s">
        <v>453</v>
      </c>
      <c r="G869" s="19">
        <v>37</v>
      </c>
      <c r="H869" s="19" t="s">
        <v>215</v>
      </c>
      <c r="I869" s="19" t="s">
        <v>216</v>
      </c>
      <c r="J869" s="19" t="s">
        <v>217</v>
      </c>
      <c r="K869" s="18">
        <v>46084.633425925924</v>
      </c>
    </row>
    <row r="870" spans="1:11" x14ac:dyDescent="0.25">
      <c r="A870" s="16" t="s">
        <v>1321</v>
      </c>
      <c r="B870" s="20">
        <v>46057</v>
      </c>
      <c r="C870" s="16">
        <v>2</v>
      </c>
      <c r="D870" s="19" t="s">
        <v>39</v>
      </c>
      <c r="E870" s="19" t="s">
        <v>453</v>
      </c>
      <c r="G870" s="19">
        <v>36</v>
      </c>
      <c r="H870" s="19" t="s">
        <v>215</v>
      </c>
      <c r="I870" s="19" t="s">
        <v>216</v>
      </c>
      <c r="J870" s="19" t="s">
        <v>217</v>
      </c>
      <c r="K870" s="18">
        <v>46084.633437500001</v>
      </c>
    </row>
    <row r="871" spans="1:11" x14ac:dyDescent="0.25">
      <c r="A871" s="16" t="s">
        <v>1322</v>
      </c>
      <c r="B871" s="20">
        <v>46057</v>
      </c>
      <c r="C871" s="16">
        <v>2</v>
      </c>
      <c r="D871" s="19" t="s">
        <v>39</v>
      </c>
      <c r="E871" s="19" t="s">
        <v>453</v>
      </c>
      <c r="G871" s="19">
        <v>27</v>
      </c>
      <c r="H871" s="19" t="s">
        <v>215</v>
      </c>
      <c r="I871" s="19" t="s">
        <v>216</v>
      </c>
      <c r="J871" s="19" t="s">
        <v>217</v>
      </c>
      <c r="K871" s="18">
        <v>46084.633449074077</v>
      </c>
    </row>
    <row r="872" spans="1:11" x14ac:dyDescent="0.25">
      <c r="A872" s="16" t="s">
        <v>1323</v>
      </c>
      <c r="B872" s="20">
        <v>46057</v>
      </c>
      <c r="C872" s="16">
        <v>2</v>
      </c>
      <c r="D872" s="19" t="s">
        <v>39</v>
      </c>
      <c r="E872" s="19" t="s">
        <v>453</v>
      </c>
      <c r="G872" s="19">
        <v>26</v>
      </c>
      <c r="H872" s="19" t="s">
        <v>215</v>
      </c>
      <c r="I872" s="19" t="s">
        <v>216</v>
      </c>
      <c r="J872" s="19" t="s">
        <v>217</v>
      </c>
      <c r="K872" s="18">
        <v>46084.633460648147</v>
      </c>
    </row>
    <row r="873" spans="1:11" x14ac:dyDescent="0.25">
      <c r="A873" s="16" t="s">
        <v>1324</v>
      </c>
      <c r="B873" s="20">
        <v>46058</v>
      </c>
      <c r="C873" s="16">
        <v>2</v>
      </c>
      <c r="D873" s="19" t="s">
        <v>39</v>
      </c>
      <c r="E873" s="19" t="s">
        <v>453</v>
      </c>
      <c r="G873" s="19">
        <v>20</v>
      </c>
      <c r="H873" s="19" t="s">
        <v>215</v>
      </c>
      <c r="I873" s="19" t="s">
        <v>216</v>
      </c>
      <c r="J873" s="19" t="s">
        <v>217</v>
      </c>
      <c r="K873" s="18">
        <v>46084.633703703701</v>
      </c>
    </row>
    <row r="874" spans="1:11" x14ac:dyDescent="0.25">
      <c r="A874" s="16" t="s">
        <v>1325</v>
      </c>
      <c r="B874" s="20">
        <v>46059</v>
      </c>
      <c r="C874" s="16">
        <v>2</v>
      </c>
      <c r="D874" s="19" t="s">
        <v>39</v>
      </c>
      <c r="E874" s="19" t="s">
        <v>453</v>
      </c>
      <c r="G874" s="19">
        <v>21</v>
      </c>
      <c r="H874" s="19" t="s">
        <v>215</v>
      </c>
      <c r="I874" s="19" t="s">
        <v>216</v>
      </c>
      <c r="J874" s="19" t="s">
        <v>217</v>
      </c>
      <c r="K874" s="18">
        <v>46084.633784722224</v>
      </c>
    </row>
    <row r="875" spans="1:11" x14ac:dyDescent="0.25">
      <c r="A875" s="16" t="s">
        <v>1326</v>
      </c>
      <c r="B875" s="20">
        <v>46059</v>
      </c>
      <c r="C875" s="16">
        <v>2</v>
      </c>
      <c r="D875" s="19" t="s">
        <v>39</v>
      </c>
      <c r="E875" s="19" t="s">
        <v>453</v>
      </c>
      <c r="G875" s="19">
        <v>18</v>
      </c>
      <c r="H875" s="19" t="s">
        <v>215</v>
      </c>
      <c r="I875" s="19" t="s">
        <v>216</v>
      </c>
      <c r="J875" s="19" t="s">
        <v>217</v>
      </c>
      <c r="K875" s="18">
        <v>46084.633796296293</v>
      </c>
    </row>
    <row r="876" spans="1:11" x14ac:dyDescent="0.25">
      <c r="A876" s="16" t="s">
        <v>1327</v>
      </c>
      <c r="B876" s="20">
        <v>46059</v>
      </c>
      <c r="C876" s="16">
        <v>2</v>
      </c>
      <c r="D876" s="19" t="s">
        <v>39</v>
      </c>
      <c r="E876" s="19" t="s">
        <v>453</v>
      </c>
      <c r="G876" s="19">
        <v>32</v>
      </c>
      <c r="H876" s="19" t="s">
        <v>215</v>
      </c>
      <c r="I876" s="19" t="s">
        <v>216</v>
      </c>
      <c r="J876" s="19" t="s">
        <v>217</v>
      </c>
      <c r="K876" s="18">
        <v>46084.633831018517</v>
      </c>
    </row>
    <row r="877" spans="1:11" x14ac:dyDescent="0.25">
      <c r="A877" s="16" t="s">
        <v>1328</v>
      </c>
      <c r="B877" s="20">
        <v>46060</v>
      </c>
      <c r="C877" s="16">
        <v>2</v>
      </c>
      <c r="D877" s="19" t="s">
        <v>39</v>
      </c>
      <c r="E877" s="19" t="s">
        <v>453</v>
      </c>
      <c r="G877" s="19">
        <v>25</v>
      </c>
      <c r="H877" s="19" t="s">
        <v>215</v>
      </c>
      <c r="I877" s="19" t="s">
        <v>216</v>
      </c>
      <c r="J877" s="19" t="s">
        <v>217</v>
      </c>
      <c r="K877" s="18">
        <v>46084.633923611109</v>
      </c>
    </row>
    <row r="878" spans="1:11" x14ac:dyDescent="0.25">
      <c r="A878" s="16" t="s">
        <v>1329</v>
      </c>
      <c r="B878" s="20">
        <v>46060</v>
      </c>
      <c r="C878" s="16">
        <v>2</v>
      </c>
      <c r="D878" s="19" t="s">
        <v>39</v>
      </c>
      <c r="E878" s="19" t="s">
        <v>453</v>
      </c>
      <c r="G878" s="19">
        <v>24</v>
      </c>
      <c r="H878" s="19" t="s">
        <v>215</v>
      </c>
      <c r="I878" s="19" t="s">
        <v>216</v>
      </c>
      <c r="J878" s="19" t="s">
        <v>217</v>
      </c>
      <c r="K878" s="18">
        <v>46084.633935185186</v>
      </c>
    </row>
    <row r="879" spans="1:11" x14ac:dyDescent="0.25">
      <c r="A879" s="16" t="s">
        <v>1330</v>
      </c>
      <c r="B879" s="20">
        <v>46061</v>
      </c>
      <c r="C879" s="16">
        <v>2</v>
      </c>
      <c r="D879" s="19" t="s">
        <v>39</v>
      </c>
      <c r="E879" s="19" t="s">
        <v>453</v>
      </c>
      <c r="G879" s="19">
        <v>41</v>
      </c>
      <c r="H879" s="19" t="s">
        <v>215</v>
      </c>
      <c r="I879" s="19" t="s">
        <v>216</v>
      </c>
      <c r="J879" s="19" t="s">
        <v>217</v>
      </c>
      <c r="K879" s="18">
        <v>46084.634039351855</v>
      </c>
    </row>
    <row r="880" spans="1:11" x14ac:dyDescent="0.25">
      <c r="A880" s="16" t="s">
        <v>1331</v>
      </c>
      <c r="B880" s="20">
        <v>46062</v>
      </c>
      <c r="C880" s="16">
        <v>2</v>
      </c>
      <c r="D880" s="19" t="s">
        <v>39</v>
      </c>
      <c r="E880" s="19" t="s">
        <v>453</v>
      </c>
      <c r="G880" s="19">
        <v>23</v>
      </c>
      <c r="H880" s="19" t="s">
        <v>215</v>
      </c>
      <c r="I880" s="19" t="s">
        <v>216</v>
      </c>
      <c r="J880" s="19" t="s">
        <v>217</v>
      </c>
      <c r="K880" s="18">
        <v>46084.63417824074</v>
      </c>
    </row>
    <row r="881" spans="1:11" x14ac:dyDescent="0.25">
      <c r="A881" s="16" t="s">
        <v>1332</v>
      </c>
      <c r="B881" s="20">
        <v>46062</v>
      </c>
      <c r="C881" s="16">
        <v>2</v>
      </c>
      <c r="D881" s="19" t="s">
        <v>39</v>
      </c>
      <c r="E881" s="19" t="s">
        <v>453</v>
      </c>
      <c r="G881" s="19">
        <v>44</v>
      </c>
      <c r="H881" s="19" t="s">
        <v>215</v>
      </c>
      <c r="I881" s="19" t="s">
        <v>216</v>
      </c>
      <c r="J881" s="19" t="s">
        <v>217</v>
      </c>
      <c r="K881" s="18">
        <v>46084.634189814817</v>
      </c>
    </row>
    <row r="882" spans="1:11" x14ac:dyDescent="0.25">
      <c r="A882" s="16" t="s">
        <v>1333</v>
      </c>
      <c r="B882" s="20">
        <v>46062</v>
      </c>
      <c r="C882" s="16">
        <v>2</v>
      </c>
      <c r="D882" s="19" t="s">
        <v>39</v>
      </c>
      <c r="E882" s="19" t="s">
        <v>453</v>
      </c>
      <c r="G882" s="19">
        <v>32</v>
      </c>
      <c r="H882" s="19" t="s">
        <v>215</v>
      </c>
      <c r="I882" s="19" t="s">
        <v>216</v>
      </c>
      <c r="J882" s="19" t="s">
        <v>217</v>
      </c>
      <c r="K882" s="18">
        <v>46084.634201388886</v>
      </c>
    </row>
    <row r="883" spans="1:11" x14ac:dyDescent="0.25">
      <c r="A883" s="16" t="s">
        <v>1334</v>
      </c>
      <c r="B883" s="20">
        <v>46062</v>
      </c>
      <c r="C883" s="16">
        <v>2</v>
      </c>
      <c r="D883" s="19" t="s">
        <v>39</v>
      </c>
      <c r="E883" s="19" t="s">
        <v>453</v>
      </c>
      <c r="G883" s="19">
        <v>17</v>
      </c>
      <c r="H883" s="19" t="s">
        <v>215</v>
      </c>
      <c r="I883" s="19" t="s">
        <v>216</v>
      </c>
      <c r="J883" s="19" t="s">
        <v>217</v>
      </c>
      <c r="K883" s="18">
        <v>46084.634212962963</v>
      </c>
    </row>
    <row r="884" spans="1:11" x14ac:dyDescent="0.25">
      <c r="A884" s="16" t="s">
        <v>1335</v>
      </c>
      <c r="B884" s="20">
        <v>46062</v>
      </c>
      <c r="C884" s="16">
        <v>2</v>
      </c>
      <c r="D884" s="19" t="s">
        <v>39</v>
      </c>
      <c r="E884" s="19" t="s">
        <v>453</v>
      </c>
      <c r="G884" s="19">
        <v>27</v>
      </c>
      <c r="H884" s="19" t="s">
        <v>215</v>
      </c>
      <c r="I884" s="19" t="s">
        <v>216</v>
      </c>
      <c r="J884" s="19" t="s">
        <v>217</v>
      </c>
      <c r="K884" s="18">
        <v>46084.63422453704</v>
      </c>
    </row>
    <row r="885" spans="1:11" x14ac:dyDescent="0.25">
      <c r="A885" s="16" t="s">
        <v>1336</v>
      </c>
      <c r="B885" s="20">
        <v>46062</v>
      </c>
      <c r="C885" s="16">
        <v>2</v>
      </c>
      <c r="D885" s="19" t="s">
        <v>39</v>
      </c>
      <c r="E885" s="19" t="s">
        <v>453</v>
      </c>
      <c r="G885" s="19">
        <v>27</v>
      </c>
      <c r="H885" s="19" t="s">
        <v>215</v>
      </c>
      <c r="I885" s="19" t="s">
        <v>216</v>
      </c>
      <c r="J885" s="19" t="s">
        <v>217</v>
      </c>
      <c r="K885" s="18">
        <v>46084.63422453704</v>
      </c>
    </row>
    <row r="886" spans="1:11" x14ac:dyDescent="0.25">
      <c r="A886" s="16" t="s">
        <v>1337</v>
      </c>
      <c r="B886" s="20">
        <v>46062</v>
      </c>
      <c r="C886" s="16">
        <v>2</v>
      </c>
      <c r="D886" s="19" t="s">
        <v>39</v>
      </c>
      <c r="E886" s="19" t="s">
        <v>453</v>
      </c>
      <c r="G886" s="19">
        <v>26</v>
      </c>
      <c r="H886" s="19" t="s">
        <v>215</v>
      </c>
      <c r="I886" s="19" t="s">
        <v>216</v>
      </c>
      <c r="J886" s="19" t="s">
        <v>217</v>
      </c>
      <c r="K886" s="18">
        <v>46084.634236111109</v>
      </c>
    </row>
    <row r="887" spans="1:11" x14ac:dyDescent="0.25">
      <c r="A887" s="16" t="s">
        <v>1338</v>
      </c>
      <c r="B887" s="20">
        <v>46062</v>
      </c>
      <c r="C887" s="16">
        <v>2</v>
      </c>
      <c r="D887" s="19" t="s">
        <v>39</v>
      </c>
      <c r="E887" s="19" t="s">
        <v>453</v>
      </c>
      <c r="G887" s="19">
        <v>29</v>
      </c>
      <c r="H887" s="19" t="s">
        <v>215</v>
      </c>
      <c r="I887" s="19" t="s">
        <v>216</v>
      </c>
      <c r="J887" s="19" t="s">
        <v>217</v>
      </c>
      <c r="K887" s="18">
        <v>46084.634247685186</v>
      </c>
    </row>
    <row r="888" spans="1:11" x14ac:dyDescent="0.25">
      <c r="A888" s="16" t="s">
        <v>1339</v>
      </c>
      <c r="B888" s="20">
        <v>46062</v>
      </c>
      <c r="C888" s="16">
        <v>2</v>
      </c>
      <c r="D888" s="19" t="s">
        <v>39</v>
      </c>
      <c r="E888" s="19" t="s">
        <v>453</v>
      </c>
      <c r="G888" s="19">
        <v>25</v>
      </c>
      <c r="H888" s="19" t="s">
        <v>215</v>
      </c>
      <c r="I888" s="19" t="s">
        <v>216</v>
      </c>
      <c r="J888" s="19" t="s">
        <v>217</v>
      </c>
      <c r="K888" s="18">
        <v>46084.634259259263</v>
      </c>
    </row>
    <row r="889" spans="1:11" x14ac:dyDescent="0.25">
      <c r="A889" s="16" t="s">
        <v>1340</v>
      </c>
      <c r="B889" s="20">
        <v>46063</v>
      </c>
      <c r="C889" s="16">
        <v>2</v>
      </c>
      <c r="D889" s="19" t="s">
        <v>39</v>
      </c>
      <c r="E889" s="19" t="s">
        <v>453</v>
      </c>
      <c r="G889" s="19">
        <v>23</v>
      </c>
      <c r="H889" s="19" t="s">
        <v>215</v>
      </c>
      <c r="I889" s="19" t="s">
        <v>216</v>
      </c>
      <c r="J889" s="19" t="s">
        <v>217</v>
      </c>
      <c r="K889" s="18">
        <v>46084.634375000001</v>
      </c>
    </row>
    <row r="890" spans="1:11" x14ac:dyDescent="0.25">
      <c r="A890" s="16" t="s">
        <v>1341</v>
      </c>
      <c r="B890" s="20">
        <v>46063</v>
      </c>
      <c r="C890" s="16">
        <v>2</v>
      </c>
      <c r="D890" s="19" t="s">
        <v>39</v>
      </c>
      <c r="E890" s="19" t="s">
        <v>453</v>
      </c>
      <c r="G890" s="19">
        <v>32</v>
      </c>
      <c r="H890" s="19" t="s">
        <v>215</v>
      </c>
      <c r="I890" s="19" t="s">
        <v>216</v>
      </c>
      <c r="J890" s="19" t="s">
        <v>217</v>
      </c>
      <c r="K890" s="18">
        <v>46084.634386574071</v>
      </c>
    </row>
    <row r="891" spans="1:11" x14ac:dyDescent="0.25">
      <c r="A891" s="16" t="s">
        <v>1342</v>
      </c>
      <c r="B891" s="20">
        <v>46063</v>
      </c>
      <c r="C891" s="16">
        <v>2</v>
      </c>
      <c r="D891" s="19" t="s">
        <v>39</v>
      </c>
      <c r="E891" s="19" t="s">
        <v>453</v>
      </c>
      <c r="G891" s="19">
        <v>36</v>
      </c>
      <c r="H891" s="19" t="s">
        <v>215</v>
      </c>
      <c r="I891" s="19" t="s">
        <v>216</v>
      </c>
      <c r="J891" s="19" t="s">
        <v>217</v>
      </c>
      <c r="K891" s="18">
        <v>46084.634409722225</v>
      </c>
    </row>
    <row r="892" spans="1:11" x14ac:dyDescent="0.25">
      <c r="A892" s="16" t="s">
        <v>1343</v>
      </c>
      <c r="B892" s="20">
        <v>46064</v>
      </c>
      <c r="C892" s="16">
        <v>2</v>
      </c>
      <c r="D892" s="19" t="s">
        <v>39</v>
      </c>
      <c r="E892" s="19" t="s">
        <v>453</v>
      </c>
      <c r="G892" s="19">
        <v>45</v>
      </c>
      <c r="H892" s="19" t="s">
        <v>215</v>
      </c>
      <c r="I892" s="19" t="s">
        <v>216</v>
      </c>
      <c r="J892" s="19" t="s">
        <v>217</v>
      </c>
      <c r="K892" s="18">
        <v>46084.634513888886</v>
      </c>
    </row>
    <row r="893" spans="1:11" x14ac:dyDescent="0.25">
      <c r="A893" s="16" t="s">
        <v>1344</v>
      </c>
      <c r="B893" s="20">
        <v>46065</v>
      </c>
      <c r="C893" s="16">
        <v>2</v>
      </c>
      <c r="D893" s="19" t="s">
        <v>39</v>
      </c>
      <c r="E893" s="19" t="s">
        <v>453</v>
      </c>
      <c r="G893" s="19">
        <v>38</v>
      </c>
      <c r="H893" s="19" t="s">
        <v>215</v>
      </c>
      <c r="I893" s="19" t="s">
        <v>216</v>
      </c>
      <c r="J893" s="19" t="s">
        <v>217</v>
      </c>
      <c r="K893" s="18">
        <v>46084.634629629632</v>
      </c>
    </row>
    <row r="894" spans="1:11" x14ac:dyDescent="0.25">
      <c r="A894" s="16" t="s">
        <v>1345</v>
      </c>
      <c r="B894" s="20">
        <v>46065</v>
      </c>
      <c r="C894" s="16">
        <v>2</v>
      </c>
      <c r="D894" s="19" t="s">
        <v>39</v>
      </c>
      <c r="E894" s="19" t="s">
        <v>453</v>
      </c>
      <c r="G894" s="19">
        <v>29</v>
      </c>
      <c r="H894" s="19" t="s">
        <v>215</v>
      </c>
      <c r="I894" s="19" t="s">
        <v>216</v>
      </c>
      <c r="J894" s="19" t="s">
        <v>217</v>
      </c>
      <c r="K894" s="18">
        <v>46084.634641203702</v>
      </c>
    </row>
    <row r="895" spans="1:11" x14ac:dyDescent="0.25">
      <c r="A895" s="16" t="s">
        <v>1346</v>
      </c>
      <c r="B895" s="20">
        <v>46066</v>
      </c>
      <c r="C895" s="16">
        <v>2</v>
      </c>
      <c r="D895" s="19" t="s">
        <v>39</v>
      </c>
      <c r="E895" s="19" t="s">
        <v>453</v>
      </c>
      <c r="G895" s="19">
        <v>28</v>
      </c>
      <c r="H895" s="19" t="s">
        <v>215</v>
      </c>
      <c r="I895" s="19" t="s">
        <v>216</v>
      </c>
      <c r="J895" s="19" t="s">
        <v>217</v>
      </c>
      <c r="K895" s="18">
        <v>46084.634722222225</v>
      </c>
    </row>
    <row r="896" spans="1:11" x14ac:dyDescent="0.25">
      <c r="A896" s="16" t="s">
        <v>1347</v>
      </c>
      <c r="B896" s="20">
        <v>46066</v>
      </c>
      <c r="C896" s="16">
        <v>2</v>
      </c>
      <c r="D896" s="19" t="s">
        <v>39</v>
      </c>
      <c r="E896" s="19" t="s">
        <v>453</v>
      </c>
      <c r="G896" s="19">
        <v>19</v>
      </c>
      <c r="H896" s="19" t="s">
        <v>215</v>
      </c>
      <c r="I896" s="19" t="s">
        <v>216</v>
      </c>
      <c r="J896" s="19" t="s">
        <v>217</v>
      </c>
      <c r="K896" s="18">
        <v>46084.634745370371</v>
      </c>
    </row>
    <row r="897" spans="1:11" x14ac:dyDescent="0.25">
      <c r="A897" s="16" t="s">
        <v>1348</v>
      </c>
      <c r="B897" s="20">
        <v>46067</v>
      </c>
      <c r="C897" s="16">
        <v>2</v>
      </c>
      <c r="D897" s="19" t="s">
        <v>39</v>
      </c>
      <c r="E897" s="19" t="s">
        <v>453</v>
      </c>
      <c r="G897" s="19">
        <v>22</v>
      </c>
      <c r="H897" s="19" t="s">
        <v>215</v>
      </c>
      <c r="I897" s="19" t="s">
        <v>216</v>
      </c>
      <c r="J897" s="19" t="s">
        <v>217</v>
      </c>
      <c r="K897" s="18">
        <v>46084.634872685187</v>
      </c>
    </row>
    <row r="898" spans="1:11" x14ac:dyDescent="0.25">
      <c r="A898" s="16" t="s">
        <v>1349</v>
      </c>
      <c r="B898" s="20">
        <v>46068</v>
      </c>
      <c r="C898" s="16">
        <v>2</v>
      </c>
      <c r="D898" s="19" t="s">
        <v>39</v>
      </c>
      <c r="E898" s="19" t="s">
        <v>453</v>
      </c>
      <c r="G898" s="19">
        <v>40</v>
      </c>
      <c r="H898" s="19" t="s">
        <v>215</v>
      </c>
      <c r="I898" s="19" t="s">
        <v>216</v>
      </c>
      <c r="J898" s="19" t="s">
        <v>217</v>
      </c>
      <c r="K898" s="18">
        <v>46084.635000000002</v>
      </c>
    </row>
    <row r="899" spans="1:11" x14ac:dyDescent="0.25">
      <c r="A899" s="16" t="s">
        <v>1350</v>
      </c>
      <c r="B899" s="20">
        <v>46068</v>
      </c>
      <c r="C899" s="16">
        <v>2</v>
      </c>
      <c r="D899" s="19" t="s">
        <v>39</v>
      </c>
      <c r="E899" s="19" t="s">
        <v>453</v>
      </c>
      <c r="G899" s="19">
        <v>21</v>
      </c>
      <c r="H899" s="19" t="s">
        <v>215</v>
      </c>
      <c r="I899" s="19" t="s">
        <v>216</v>
      </c>
      <c r="J899" s="19" t="s">
        <v>217</v>
      </c>
      <c r="K899" s="18">
        <v>46084.635011574072</v>
      </c>
    </row>
    <row r="900" spans="1:11" x14ac:dyDescent="0.25">
      <c r="A900" s="16" t="s">
        <v>1351</v>
      </c>
      <c r="B900" s="20">
        <v>46069</v>
      </c>
      <c r="C900" s="16">
        <v>2</v>
      </c>
      <c r="D900" s="19" t="s">
        <v>39</v>
      </c>
      <c r="E900" s="19" t="s">
        <v>453</v>
      </c>
      <c r="G900" s="19">
        <v>25</v>
      </c>
      <c r="H900" s="19" t="s">
        <v>215</v>
      </c>
      <c r="I900" s="19" t="s">
        <v>216</v>
      </c>
      <c r="J900" s="19" t="s">
        <v>217</v>
      </c>
      <c r="K900" s="18">
        <v>46084.635104166664</v>
      </c>
    </row>
    <row r="901" spans="1:11" x14ac:dyDescent="0.25">
      <c r="A901" s="16" t="s">
        <v>1352</v>
      </c>
      <c r="B901" s="20">
        <v>46069</v>
      </c>
      <c r="C901" s="16">
        <v>2</v>
      </c>
      <c r="D901" s="19" t="s">
        <v>39</v>
      </c>
      <c r="E901" s="19" t="s">
        <v>453</v>
      </c>
      <c r="G901" s="19">
        <v>27</v>
      </c>
      <c r="H901" s="19" t="s">
        <v>215</v>
      </c>
      <c r="I901" s="19" t="s">
        <v>216</v>
      </c>
      <c r="J901" s="19" t="s">
        <v>217</v>
      </c>
      <c r="K901" s="18">
        <v>46084.635115740741</v>
      </c>
    </row>
    <row r="902" spans="1:11" x14ac:dyDescent="0.25">
      <c r="A902" s="16" t="s">
        <v>1353</v>
      </c>
      <c r="B902" s="20">
        <v>46069</v>
      </c>
      <c r="C902" s="16">
        <v>2</v>
      </c>
      <c r="D902" s="19" t="s">
        <v>39</v>
      </c>
      <c r="E902" s="19" t="s">
        <v>453</v>
      </c>
      <c r="G902" s="19">
        <v>34</v>
      </c>
      <c r="H902" s="19" t="s">
        <v>215</v>
      </c>
      <c r="I902" s="19" t="s">
        <v>216</v>
      </c>
      <c r="J902" s="19" t="s">
        <v>217</v>
      </c>
      <c r="K902" s="18">
        <v>46084.635127314818</v>
      </c>
    </row>
    <row r="903" spans="1:11" x14ac:dyDescent="0.25">
      <c r="A903" s="16" t="s">
        <v>1354</v>
      </c>
      <c r="B903" s="20">
        <v>46069</v>
      </c>
      <c r="C903" s="16">
        <v>2</v>
      </c>
      <c r="D903" s="19" t="s">
        <v>39</v>
      </c>
      <c r="E903" s="19" t="s">
        <v>453</v>
      </c>
      <c r="G903" s="19">
        <v>28</v>
      </c>
      <c r="H903" s="19" t="s">
        <v>215</v>
      </c>
      <c r="I903" s="19" t="s">
        <v>216</v>
      </c>
      <c r="J903" s="19" t="s">
        <v>217</v>
      </c>
      <c r="K903" s="18">
        <v>46084.635127314818</v>
      </c>
    </row>
    <row r="904" spans="1:11" x14ac:dyDescent="0.25">
      <c r="A904" s="16" t="s">
        <v>1355</v>
      </c>
      <c r="B904" s="20">
        <v>46070</v>
      </c>
      <c r="C904" s="16">
        <v>2</v>
      </c>
      <c r="D904" s="19" t="s">
        <v>39</v>
      </c>
      <c r="E904" s="19" t="s">
        <v>453</v>
      </c>
      <c r="G904" s="19">
        <v>43</v>
      </c>
      <c r="H904" s="19" t="s">
        <v>215</v>
      </c>
      <c r="I904" s="19" t="s">
        <v>216</v>
      </c>
      <c r="J904" s="19" t="s">
        <v>217</v>
      </c>
      <c r="K904" s="18">
        <v>46084.635231481479</v>
      </c>
    </row>
    <row r="905" spans="1:11" x14ac:dyDescent="0.25">
      <c r="A905" s="16" t="s">
        <v>1356</v>
      </c>
      <c r="B905" s="20">
        <v>46070</v>
      </c>
      <c r="C905" s="16">
        <v>2</v>
      </c>
      <c r="D905" s="19" t="s">
        <v>39</v>
      </c>
      <c r="E905" s="19" t="s">
        <v>453</v>
      </c>
      <c r="G905" s="19">
        <v>26</v>
      </c>
      <c r="H905" s="19" t="s">
        <v>215</v>
      </c>
      <c r="I905" s="19" t="s">
        <v>216</v>
      </c>
      <c r="J905" s="19" t="s">
        <v>217</v>
      </c>
      <c r="K905" s="18">
        <v>46084.635243055556</v>
      </c>
    </row>
    <row r="906" spans="1:11" x14ac:dyDescent="0.25">
      <c r="A906" s="16" t="s">
        <v>1357</v>
      </c>
      <c r="B906" s="20">
        <v>46071</v>
      </c>
      <c r="C906" s="16">
        <v>2</v>
      </c>
      <c r="D906" s="19" t="s">
        <v>39</v>
      </c>
      <c r="E906" s="19" t="s">
        <v>453</v>
      </c>
      <c r="G906" s="19">
        <v>29</v>
      </c>
      <c r="H906" s="19" t="s">
        <v>215</v>
      </c>
      <c r="I906" s="19" t="s">
        <v>216</v>
      </c>
      <c r="J906" s="19" t="s">
        <v>217</v>
      </c>
      <c r="K906" s="18">
        <v>46084.636307870373</v>
      </c>
    </row>
    <row r="907" spans="1:11" x14ac:dyDescent="0.25">
      <c r="A907" s="16" t="s">
        <v>1358</v>
      </c>
      <c r="B907" s="20">
        <v>46071</v>
      </c>
      <c r="C907" s="16">
        <v>2</v>
      </c>
      <c r="D907" s="19" t="s">
        <v>39</v>
      </c>
      <c r="E907" s="19" t="s">
        <v>453</v>
      </c>
      <c r="G907" s="19">
        <v>39</v>
      </c>
      <c r="H907" s="19" t="s">
        <v>215</v>
      </c>
      <c r="I907" s="19" t="s">
        <v>216</v>
      </c>
      <c r="J907" s="19" t="s">
        <v>217</v>
      </c>
      <c r="K907" s="18">
        <v>46084.636354166665</v>
      </c>
    </row>
    <row r="908" spans="1:11" x14ac:dyDescent="0.25">
      <c r="A908" s="16" t="s">
        <v>1359</v>
      </c>
      <c r="B908" s="20">
        <v>46071</v>
      </c>
      <c r="C908" s="16">
        <v>2</v>
      </c>
      <c r="D908" s="19" t="s">
        <v>39</v>
      </c>
      <c r="E908" s="19" t="s">
        <v>453</v>
      </c>
      <c r="G908" s="19">
        <v>15</v>
      </c>
      <c r="H908" s="19" t="s">
        <v>215</v>
      </c>
      <c r="I908" s="19" t="s">
        <v>216</v>
      </c>
      <c r="J908" s="19" t="s">
        <v>217</v>
      </c>
      <c r="K908" s="18">
        <v>46084.636365740742</v>
      </c>
    </row>
    <row r="909" spans="1:11" x14ac:dyDescent="0.25">
      <c r="A909" s="16" t="s">
        <v>1360</v>
      </c>
      <c r="B909" s="20">
        <v>46071</v>
      </c>
      <c r="C909" s="16">
        <v>2</v>
      </c>
      <c r="D909" s="19" t="s">
        <v>39</v>
      </c>
      <c r="E909" s="19" t="s">
        <v>453</v>
      </c>
      <c r="G909" s="19">
        <v>33</v>
      </c>
      <c r="H909" s="19" t="s">
        <v>215</v>
      </c>
      <c r="I909" s="19" t="s">
        <v>216</v>
      </c>
      <c r="J909" s="19" t="s">
        <v>217</v>
      </c>
      <c r="K909" s="18">
        <v>46084.636377314811</v>
      </c>
    </row>
    <row r="910" spans="1:11" x14ac:dyDescent="0.25">
      <c r="A910" s="16" t="s">
        <v>1361</v>
      </c>
      <c r="B910" s="20">
        <v>46072</v>
      </c>
      <c r="C910" s="16">
        <v>2</v>
      </c>
      <c r="D910" s="19" t="s">
        <v>39</v>
      </c>
      <c r="E910" s="19" t="s">
        <v>453</v>
      </c>
      <c r="G910" s="19">
        <v>25</v>
      </c>
      <c r="H910" s="19" t="s">
        <v>215</v>
      </c>
      <c r="I910" s="19" t="s">
        <v>216</v>
      </c>
      <c r="J910" s="19" t="s">
        <v>217</v>
      </c>
      <c r="K910" s="18">
        <v>46084.64739583333</v>
      </c>
    </row>
    <row r="911" spans="1:11" x14ac:dyDescent="0.25">
      <c r="A911" s="16" t="s">
        <v>1362</v>
      </c>
      <c r="B911" s="20">
        <v>46073</v>
      </c>
      <c r="C911" s="16">
        <v>2</v>
      </c>
      <c r="D911" s="19" t="s">
        <v>39</v>
      </c>
      <c r="E911" s="19" t="s">
        <v>453</v>
      </c>
      <c r="G911" s="19">
        <v>29</v>
      </c>
      <c r="H911" s="19" t="s">
        <v>215</v>
      </c>
      <c r="I911" s="19" t="s">
        <v>216</v>
      </c>
      <c r="J911" s="19" t="s">
        <v>217</v>
      </c>
      <c r="K911" s="18">
        <v>46084.647546296299</v>
      </c>
    </row>
    <row r="912" spans="1:11" x14ac:dyDescent="0.25">
      <c r="A912" s="16" t="s">
        <v>1363</v>
      </c>
      <c r="B912" s="20">
        <v>46074</v>
      </c>
      <c r="C912" s="16">
        <v>2</v>
      </c>
      <c r="D912" s="19" t="s">
        <v>39</v>
      </c>
      <c r="E912" s="19" t="s">
        <v>453</v>
      </c>
      <c r="G912" s="19">
        <v>41</v>
      </c>
      <c r="H912" s="19" t="s">
        <v>215</v>
      </c>
      <c r="I912" s="19" t="s">
        <v>216</v>
      </c>
      <c r="J912" s="19" t="s">
        <v>217</v>
      </c>
      <c r="K912" s="18">
        <v>46084.647685185184</v>
      </c>
    </row>
    <row r="913" spans="1:11" x14ac:dyDescent="0.25">
      <c r="A913" s="16" t="s">
        <v>1364</v>
      </c>
      <c r="B913" s="20">
        <v>46075</v>
      </c>
      <c r="C913" s="16">
        <v>2</v>
      </c>
      <c r="D913" s="19" t="s">
        <v>39</v>
      </c>
      <c r="E913" s="19" t="s">
        <v>453</v>
      </c>
      <c r="G913" s="19">
        <v>23</v>
      </c>
      <c r="H913" s="19" t="s">
        <v>215</v>
      </c>
      <c r="I913" s="19" t="s">
        <v>216</v>
      </c>
      <c r="J913" s="19" t="s">
        <v>217</v>
      </c>
      <c r="K913" s="18">
        <v>46084.647800925923</v>
      </c>
    </row>
    <row r="914" spans="1:11" x14ac:dyDescent="0.25">
      <c r="A914" s="16" t="s">
        <v>1365</v>
      </c>
      <c r="B914" s="20">
        <v>46076</v>
      </c>
      <c r="C914" s="16">
        <v>2</v>
      </c>
      <c r="D914" s="19" t="s">
        <v>39</v>
      </c>
      <c r="E914" s="19" t="s">
        <v>453</v>
      </c>
      <c r="G914" s="19">
        <v>32</v>
      </c>
      <c r="H914" s="19" t="s">
        <v>215</v>
      </c>
      <c r="I914" s="19" t="s">
        <v>216</v>
      </c>
      <c r="J914" s="19" t="s">
        <v>217</v>
      </c>
      <c r="K914" s="18">
        <v>46084.647916666669</v>
      </c>
    </row>
    <row r="915" spans="1:11" x14ac:dyDescent="0.25">
      <c r="A915" s="16" t="s">
        <v>1366</v>
      </c>
      <c r="B915" s="20">
        <v>46076</v>
      </c>
      <c r="C915" s="16">
        <v>2</v>
      </c>
      <c r="D915" s="19" t="s">
        <v>39</v>
      </c>
      <c r="E915" s="19" t="s">
        <v>453</v>
      </c>
      <c r="G915" s="19">
        <v>18</v>
      </c>
      <c r="H915" s="19" t="s">
        <v>215</v>
      </c>
      <c r="I915" s="19" t="s">
        <v>216</v>
      </c>
      <c r="J915" s="19" t="s">
        <v>217</v>
      </c>
      <c r="K915" s="18">
        <v>46084.647928240738</v>
      </c>
    </row>
    <row r="916" spans="1:11" x14ac:dyDescent="0.25">
      <c r="A916" s="16" t="s">
        <v>1367</v>
      </c>
      <c r="B916" s="20">
        <v>46076</v>
      </c>
      <c r="C916" s="16">
        <v>2</v>
      </c>
      <c r="D916" s="19" t="s">
        <v>39</v>
      </c>
      <c r="E916" s="19" t="s">
        <v>453</v>
      </c>
      <c r="G916" s="19">
        <v>25</v>
      </c>
      <c r="H916" s="19" t="s">
        <v>215</v>
      </c>
      <c r="I916" s="19" t="s">
        <v>216</v>
      </c>
      <c r="J916" s="19" t="s">
        <v>217</v>
      </c>
      <c r="K916" s="18">
        <v>46084.647939814815</v>
      </c>
    </row>
    <row r="917" spans="1:11" x14ac:dyDescent="0.25">
      <c r="A917" s="16" t="s">
        <v>1368</v>
      </c>
      <c r="B917" s="20">
        <v>46076</v>
      </c>
      <c r="C917" s="16">
        <v>2</v>
      </c>
      <c r="D917" s="19" t="s">
        <v>39</v>
      </c>
      <c r="E917" s="19" t="s">
        <v>453</v>
      </c>
      <c r="G917" s="19">
        <v>39</v>
      </c>
      <c r="H917" s="19" t="s">
        <v>215</v>
      </c>
      <c r="I917" s="19" t="s">
        <v>216</v>
      </c>
      <c r="J917" s="19" t="s">
        <v>217</v>
      </c>
      <c r="K917" s="18">
        <v>46084.647951388892</v>
      </c>
    </row>
    <row r="918" spans="1:11" x14ac:dyDescent="0.25">
      <c r="A918" s="16" t="s">
        <v>1369</v>
      </c>
      <c r="B918" s="20">
        <v>46076</v>
      </c>
      <c r="C918" s="16">
        <v>2</v>
      </c>
      <c r="D918" s="19" t="s">
        <v>39</v>
      </c>
      <c r="E918" s="19" t="s">
        <v>453</v>
      </c>
      <c r="G918" s="19">
        <v>31</v>
      </c>
      <c r="H918" s="19" t="s">
        <v>215</v>
      </c>
      <c r="I918" s="19" t="s">
        <v>216</v>
      </c>
      <c r="J918" s="19" t="s">
        <v>217</v>
      </c>
      <c r="K918" s="18">
        <v>46084.647962962961</v>
      </c>
    </row>
    <row r="919" spans="1:11" x14ac:dyDescent="0.25">
      <c r="A919" s="16" t="s">
        <v>1370</v>
      </c>
      <c r="B919" s="20">
        <v>46076</v>
      </c>
      <c r="C919" s="16">
        <v>2</v>
      </c>
      <c r="D919" s="19" t="s">
        <v>39</v>
      </c>
      <c r="E919" s="19" t="s">
        <v>453</v>
      </c>
      <c r="G919" s="19">
        <v>27</v>
      </c>
      <c r="H919" s="19" t="s">
        <v>215</v>
      </c>
      <c r="I919" s="19" t="s">
        <v>216</v>
      </c>
      <c r="J919" s="19" t="s">
        <v>217</v>
      </c>
      <c r="K919" s="18">
        <v>46084.647974537038</v>
      </c>
    </row>
    <row r="920" spans="1:11" x14ac:dyDescent="0.25">
      <c r="A920" s="16" t="s">
        <v>1371</v>
      </c>
      <c r="B920" s="20">
        <v>46076</v>
      </c>
      <c r="C920" s="16">
        <v>2</v>
      </c>
      <c r="D920" s="19" t="s">
        <v>39</v>
      </c>
      <c r="E920" s="19" t="s">
        <v>453</v>
      </c>
      <c r="G920" s="19">
        <v>19</v>
      </c>
      <c r="H920" s="19" t="s">
        <v>215</v>
      </c>
      <c r="I920" s="19" t="s">
        <v>216</v>
      </c>
      <c r="J920" s="19" t="s">
        <v>217</v>
      </c>
      <c r="K920" s="18">
        <v>46084.647986111115</v>
      </c>
    </row>
    <row r="921" spans="1:11" x14ac:dyDescent="0.25">
      <c r="A921" s="16" t="s">
        <v>1372</v>
      </c>
      <c r="B921" s="20">
        <v>46077</v>
      </c>
      <c r="C921" s="16">
        <v>2</v>
      </c>
      <c r="D921" s="19" t="s">
        <v>39</v>
      </c>
      <c r="E921" s="19" t="s">
        <v>453</v>
      </c>
      <c r="G921" s="19">
        <v>27</v>
      </c>
      <c r="H921" s="19" t="s">
        <v>215</v>
      </c>
      <c r="I921" s="19" t="s">
        <v>216</v>
      </c>
      <c r="J921" s="19" t="s">
        <v>217</v>
      </c>
      <c r="K921" s="18">
        <v>46084.648125</v>
      </c>
    </row>
    <row r="922" spans="1:11" x14ac:dyDescent="0.25">
      <c r="A922" s="16" t="s">
        <v>1373</v>
      </c>
      <c r="B922" s="20">
        <v>46077</v>
      </c>
      <c r="C922" s="16">
        <v>2</v>
      </c>
      <c r="D922" s="19" t="s">
        <v>39</v>
      </c>
      <c r="E922" s="19" t="s">
        <v>453</v>
      </c>
      <c r="G922" s="19">
        <v>27</v>
      </c>
      <c r="H922" s="19" t="s">
        <v>215</v>
      </c>
      <c r="I922" s="19" t="s">
        <v>216</v>
      </c>
      <c r="J922" s="19" t="s">
        <v>217</v>
      </c>
      <c r="K922" s="18">
        <v>46084.648159722223</v>
      </c>
    </row>
    <row r="923" spans="1:11" x14ac:dyDescent="0.25">
      <c r="A923" s="16" t="s">
        <v>1374</v>
      </c>
      <c r="B923" s="20">
        <v>46077</v>
      </c>
      <c r="C923" s="16">
        <v>2</v>
      </c>
      <c r="D923" s="19" t="s">
        <v>39</v>
      </c>
      <c r="E923" s="19" t="s">
        <v>453</v>
      </c>
      <c r="G923" s="19">
        <v>22</v>
      </c>
      <c r="H923" s="19" t="s">
        <v>215</v>
      </c>
      <c r="I923" s="19" t="s">
        <v>216</v>
      </c>
      <c r="J923" s="19" t="s">
        <v>217</v>
      </c>
      <c r="K923" s="18">
        <v>46084.6481712963</v>
      </c>
    </row>
    <row r="924" spans="1:11" x14ac:dyDescent="0.25">
      <c r="A924" s="16" t="s">
        <v>1375</v>
      </c>
      <c r="B924" s="20">
        <v>46077</v>
      </c>
      <c r="C924" s="16">
        <v>2</v>
      </c>
      <c r="D924" s="19" t="s">
        <v>39</v>
      </c>
      <c r="E924" s="19" t="s">
        <v>453</v>
      </c>
      <c r="G924" s="19">
        <v>15</v>
      </c>
      <c r="H924" s="19" t="s">
        <v>215</v>
      </c>
      <c r="I924" s="19" t="s">
        <v>216</v>
      </c>
      <c r="J924" s="19" t="s">
        <v>217</v>
      </c>
      <c r="K924" s="18">
        <v>46084.6481712963</v>
      </c>
    </row>
    <row r="925" spans="1:11" x14ac:dyDescent="0.25">
      <c r="A925" s="16" t="s">
        <v>1376</v>
      </c>
      <c r="B925" s="20">
        <v>46078</v>
      </c>
      <c r="C925" s="16">
        <v>2</v>
      </c>
      <c r="D925" s="19" t="s">
        <v>39</v>
      </c>
      <c r="E925" s="19" t="s">
        <v>453</v>
      </c>
      <c r="G925" s="19">
        <v>25</v>
      </c>
      <c r="H925" s="19" t="s">
        <v>215</v>
      </c>
      <c r="I925" s="19" t="s">
        <v>216</v>
      </c>
      <c r="J925" s="19" t="s">
        <v>217</v>
      </c>
      <c r="K925" s="18">
        <v>46084.648298611108</v>
      </c>
    </row>
    <row r="926" spans="1:11" x14ac:dyDescent="0.25">
      <c r="A926" s="16" t="s">
        <v>1377</v>
      </c>
      <c r="B926" s="20">
        <v>46078</v>
      </c>
      <c r="C926" s="16">
        <v>2</v>
      </c>
      <c r="D926" s="19" t="s">
        <v>39</v>
      </c>
      <c r="E926" s="19" t="s">
        <v>453</v>
      </c>
      <c r="G926" s="19">
        <v>33</v>
      </c>
      <c r="H926" s="19" t="s">
        <v>215</v>
      </c>
      <c r="I926" s="19" t="s">
        <v>216</v>
      </c>
      <c r="J926" s="19" t="s">
        <v>217</v>
      </c>
      <c r="K926" s="18">
        <v>46084.648310185185</v>
      </c>
    </row>
    <row r="927" spans="1:11" x14ac:dyDescent="0.25">
      <c r="A927" s="16" t="s">
        <v>1378</v>
      </c>
      <c r="B927" s="20">
        <v>46078</v>
      </c>
      <c r="C927" s="16">
        <v>2</v>
      </c>
      <c r="D927" s="19" t="s">
        <v>39</v>
      </c>
      <c r="E927" s="19" t="s">
        <v>453</v>
      </c>
      <c r="G927" s="19">
        <v>43</v>
      </c>
      <c r="H927" s="19" t="s">
        <v>215</v>
      </c>
      <c r="I927" s="19" t="s">
        <v>216</v>
      </c>
      <c r="J927" s="19" t="s">
        <v>217</v>
      </c>
      <c r="K927" s="18">
        <v>46084.648321759261</v>
      </c>
    </row>
    <row r="928" spans="1:11" x14ac:dyDescent="0.25">
      <c r="A928" s="16" t="s">
        <v>1379</v>
      </c>
      <c r="B928" s="20">
        <v>46078</v>
      </c>
      <c r="C928" s="16">
        <v>2</v>
      </c>
      <c r="D928" s="19" t="s">
        <v>39</v>
      </c>
      <c r="E928" s="19" t="s">
        <v>453</v>
      </c>
      <c r="G928" s="19">
        <v>25</v>
      </c>
      <c r="H928" s="19" t="s">
        <v>215</v>
      </c>
      <c r="I928" s="19" t="s">
        <v>216</v>
      </c>
      <c r="J928" s="19" t="s">
        <v>217</v>
      </c>
      <c r="K928" s="18">
        <v>46084.648321759261</v>
      </c>
    </row>
    <row r="929" spans="1:11" x14ac:dyDescent="0.25">
      <c r="A929" s="16" t="s">
        <v>1380</v>
      </c>
      <c r="B929" s="20">
        <v>46078</v>
      </c>
      <c r="C929" s="16">
        <v>2</v>
      </c>
      <c r="D929" s="19" t="s">
        <v>39</v>
      </c>
      <c r="E929" s="19" t="s">
        <v>453</v>
      </c>
      <c r="G929" s="19">
        <v>28</v>
      </c>
      <c r="H929" s="19" t="s">
        <v>215</v>
      </c>
      <c r="I929" s="19" t="s">
        <v>216</v>
      </c>
      <c r="J929" s="19" t="s">
        <v>217</v>
      </c>
      <c r="K929" s="18">
        <v>46084.648333333331</v>
      </c>
    </row>
    <row r="930" spans="1:11" x14ac:dyDescent="0.25">
      <c r="A930" s="16" t="s">
        <v>1381</v>
      </c>
      <c r="B930" s="20">
        <v>46078</v>
      </c>
      <c r="C930" s="16">
        <v>2</v>
      </c>
      <c r="D930" s="19" t="s">
        <v>39</v>
      </c>
      <c r="E930" s="19" t="s">
        <v>453</v>
      </c>
      <c r="G930" s="19">
        <v>29</v>
      </c>
      <c r="H930" s="19" t="s">
        <v>215</v>
      </c>
      <c r="I930" s="19" t="s">
        <v>216</v>
      </c>
      <c r="J930" s="19" t="s">
        <v>217</v>
      </c>
      <c r="K930" s="18">
        <v>46084.648344907408</v>
      </c>
    </row>
    <row r="931" spans="1:11" x14ac:dyDescent="0.25">
      <c r="A931" s="16" t="s">
        <v>1382</v>
      </c>
      <c r="B931" s="20">
        <v>46078</v>
      </c>
      <c r="C931" s="16">
        <v>2</v>
      </c>
      <c r="D931" s="19" t="s">
        <v>39</v>
      </c>
      <c r="E931" s="19" t="s">
        <v>453</v>
      </c>
      <c r="G931" s="19">
        <v>35</v>
      </c>
      <c r="H931" s="19" t="s">
        <v>215</v>
      </c>
      <c r="I931" s="19" t="s">
        <v>216</v>
      </c>
      <c r="J931" s="19" t="s">
        <v>217</v>
      </c>
      <c r="K931" s="18">
        <v>46084.648356481484</v>
      </c>
    </row>
    <row r="932" spans="1:11" x14ac:dyDescent="0.25">
      <c r="A932" s="16" t="s">
        <v>1383</v>
      </c>
      <c r="B932" s="20">
        <v>46078</v>
      </c>
      <c r="C932" s="16">
        <v>2</v>
      </c>
      <c r="D932" s="19" t="s">
        <v>39</v>
      </c>
      <c r="E932" s="19" t="s">
        <v>453</v>
      </c>
      <c r="G932" s="19">
        <v>30</v>
      </c>
      <c r="H932" s="19" t="s">
        <v>215</v>
      </c>
      <c r="I932" s="19" t="s">
        <v>216</v>
      </c>
      <c r="J932" s="19" t="s">
        <v>217</v>
      </c>
      <c r="K932" s="18">
        <v>46084.648368055554</v>
      </c>
    </row>
    <row r="933" spans="1:11" x14ac:dyDescent="0.25">
      <c r="A933" s="16" t="s">
        <v>1384</v>
      </c>
      <c r="B933" s="20">
        <v>46078</v>
      </c>
      <c r="C933" s="16">
        <v>2</v>
      </c>
      <c r="D933" s="19" t="s">
        <v>39</v>
      </c>
      <c r="E933" s="19" t="s">
        <v>453</v>
      </c>
      <c r="G933" s="19">
        <v>25</v>
      </c>
      <c r="H933" s="19" t="s">
        <v>215</v>
      </c>
      <c r="I933" s="19" t="s">
        <v>216</v>
      </c>
      <c r="J933" s="19" t="s">
        <v>217</v>
      </c>
      <c r="K933" s="18">
        <v>46084.751817129632</v>
      </c>
    </row>
    <row r="934" spans="1:11" x14ac:dyDescent="0.25">
      <c r="A934" s="16" t="s">
        <v>1385</v>
      </c>
      <c r="B934" s="20">
        <v>46079</v>
      </c>
      <c r="C934" s="16">
        <v>2</v>
      </c>
      <c r="D934" s="19" t="s">
        <v>39</v>
      </c>
      <c r="E934" s="19" t="s">
        <v>453</v>
      </c>
      <c r="G934" s="19">
        <v>23</v>
      </c>
      <c r="H934" s="19" t="s">
        <v>215</v>
      </c>
      <c r="I934" s="19" t="s">
        <v>216</v>
      </c>
      <c r="J934" s="19" t="s">
        <v>217</v>
      </c>
      <c r="K934" s="18">
        <v>46084.649027777778</v>
      </c>
    </row>
    <row r="935" spans="1:11" x14ac:dyDescent="0.25">
      <c r="A935" s="16" t="s">
        <v>1386</v>
      </c>
      <c r="B935" s="20">
        <v>46079</v>
      </c>
      <c r="C935" s="16">
        <v>2</v>
      </c>
      <c r="D935" s="19" t="s">
        <v>39</v>
      </c>
      <c r="E935" s="19" t="s">
        <v>453</v>
      </c>
      <c r="G935" s="19">
        <v>42</v>
      </c>
      <c r="H935" s="19" t="s">
        <v>215</v>
      </c>
      <c r="I935" s="19" t="s">
        <v>216</v>
      </c>
      <c r="J935" s="19" t="s">
        <v>217</v>
      </c>
      <c r="K935" s="18">
        <v>46084.649074074077</v>
      </c>
    </row>
    <row r="936" spans="1:11" x14ac:dyDescent="0.25">
      <c r="A936" s="16" t="s">
        <v>1387</v>
      </c>
      <c r="B936" s="20">
        <v>46079</v>
      </c>
      <c r="C936" s="16">
        <v>2</v>
      </c>
      <c r="D936" s="19" t="s">
        <v>39</v>
      </c>
      <c r="E936" s="19" t="s">
        <v>453</v>
      </c>
      <c r="G936" s="19">
        <v>26</v>
      </c>
      <c r="H936" s="19" t="s">
        <v>215</v>
      </c>
      <c r="I936" s="19" t="s">
        <v>216</v>
      </c>
      <c r="J936" s="19" t="s">
        <v>217</v>
      </c>
      <c r="K936" s="18">
        <v>46084.649085648147</v>
      </c>
    </row>
    <row r="937" spans="1:11" x14ac:dyDescent="0.25">
      <c r="A937" s="16" t="s">
        <v>1388</v>
      </c>
      <c r="B937" s="20">
        <v>46080</v>
      </c>
      <c r="C937" s="16">
        <v>2</v>
      </c>
      <c r="D937" s="19" t="s">
        <v>39</v>
      </c>
      <c r="E937" s="19" t="s">
        <v>453</v>
      </c>
      <c r="G937" s="19">
        <v>27</v>
      </c>
      <c r="H937" s="19" t="s">
        <v>215</v>
      </c>
      <c r="I937" s="19" t="s">
        <v>216</v>
      </c>
      <c r="J937" s="19" t="s">
        <v>217</v>
      </c>
      <c r="K937" s="18">
        <v>46084.649212962962</v>
      </c>
    </row>
    <row r="938" spans="1:11" x14ac:dyDescent="0.25">
      <c r="A938" s="16" t="s">
        <v>1389</v>
      </c>
      <c r="B938" s="20">
        <v>46081</v>
      </c>
      <c r="C938" s="16">
        <v>2</v>
      </c>
      <c r="D938" s="19" t="s">
        <v>39</v>
      </c>
      <c r="E938" s="19" t="s">
        <v>453</v>
      </c>
      <c r="G938" s="19">
        <v>38</v>
      </c>
      <c r="H938" s="19" t="s">
        <v>215</v>
      </c>
      <c r="I938" s="19" t="s">
        <v>216</v>
      </c>
      <c r="J938" s="19" t="s">
        <v>217</v>
      </c>
      <c r="K938" s="18">
        <v>46084.649305555555</v>
      </c>
    </row>
    <row r="939" spans="1:11" x14ac:dyDescent="0.25">
      <c r="A939" s="16" t="s">
        <v>1390</v>
      </c>
      <c r="B939" s="20">
        <v>46054</v>
      </c>
      <c r="C939" s="16">
        <v>2</v>
      </c>
      <c r="D939" s="19" t="s">
        <v>37</v>
      </c>
      <c r="E939" s="19" t="s">
        <v>453</v>
      </c>
      <c r="G939" s="19">
        <v>14</v>
      </c>
      <c r="H939" s="19" t="s">
        <v>215</v>
      </c>
      <c r="I939" s="19" t="s">
        <v>216</v>
      </c>
      <c r="J939" s="19" t="s">
        <v>217</v>
      </c>
      <c r="K939" s="18">
        <v>46084.65693287037</v>
      </c>
    </row>
    <row r="940" spans="1:11" x14ac:dyDescent="0.25">
      <c r="A940" s="16" t="s">
        <v>1391</v>
      </c>
      <c r="B940" s="20">
        <v>46054</v>
      </c>
      <c r="C940" s="16">
        <v>2</v>
      </c>
      <c r="D940" s="19" t="s">
        <v>37</v>
      </c>
      <c r="E940" s="19" t="s">
        <v>453</v>
      </c>
      <c r="G940" s="19">
        <v>29</v>
      </c>
      <c r="H940" s="19" t="s">
        <v>215</v>
      </c>
      <c r="I940" s="19" t="s">
        <v>216</v>
      </c>
      <c r="J940" s="19" t="s">
        <v>217</v>
      </c>
      <c r="K940" s="18">
        <v>46084.656851851854</v>
      </c>
    </row>
    <row r="941" spans="1:11" x14ac:dyDescent="0.25">
      <c r="A941" s="16" t="s">
        <v>1392</v>
      </c>
      <c r="B941" s="20">
        <v>46054</v>
      </c>
      <c r="C941" s="16">
        <v>2</v>
      </c>
      <c r="D941" s="19" t="s">
        <v>37</v>
      </c>
      <c r="E941" s="19" t="s">
        <v>453</v>
      </c>
      <c r="G941" s="19">
        <v>24</v>
      </c>
      <c r="H941" s="19" t="s">
        <v>215</v>
      </c>
      <c r="I941" s="19" t="s">
        <v>216</v>
      </c>
      <c r="J941" s="19" t="s">
        <v>217</v>
      </c>
      <c r="K941" s="18">
        <v>46084.656539351854</v>
      </c>
    </row>
    <row r="942" spans="1:11" x14ac:dyDescent="0.25">
      <c r="A942" s="16" t="s">
        <v>1393</v>
      </c>
      <c r="B942" s="20">
        <v>46054</v>
      </c>
      <c r="C942" s="16">
        <v>2</v>
      </c>
      <c r="D942" s="19" t="s">
        <v>37</v>
      </c>
      <c r="E942" s="19" t="s">
        <v>453</v>
      </c>
      <c r="G942" s="19">
        <v>27</v>
      </c>
      <c r="H942" s="19" t="s">
        <v>215</v>
      </c>
      <c r="I942" s="19" t="s">
        <v>216</v>
      </c>
      <c r="J942" s="19" t="s">
        <v>217</v>
      </c>
      <c r="K942" s="18">
        <v>46084.656111111108</v>
      </c>
    </row>
    <row r="943" spans="1:11" x14ac:dyDescent="0.25">
      <c r="A943" s="16" t="s">
        <v>1394</v>
      </c>
      <c r="B943" s="20">
        <v>46054</v>
      </c>
      <c r="C943" s="16">
        <v>2</v>
      </c>
      <c r="D943" s="19" t="s">
        <v>37</v>
      </c>
      <c r="E943" s="19" t="s">
        <v>453</v>
      </c>
      <c r="G943" s="19">
        <v>26</v>
      </c>
      <c r="H943" s="19" t="s">
        <v>215</v>
      </c>
      <c r="I943" s="19" t="s">
        <v>216</v>
      </c>
      <c r="J943" s="19" t="s">
        <v>217</v>
      </c>
      <c r="K943" s="18">
        <v>46084.65697916667</v>
      </c>
    </row>
    <row r="944" spans="1:11" x14ac:dyDescent="0.25">
      <c r="A944" s="16" t="s">
        <v>1395</v>
      </c>
      <c r="B944" s="20">
        <v>46055</v>
      </c>
      <c r="C944" s="16">
        <v>2</v>
      </c>
      <c r="D944" s="19" t="s">
        <v>37</v>
      </c>
      <c r="E944" s="19" t="s">
        <v>453</v>
      </c>
      <c r="G944" s="19">
        <v>26</v>
      </c>
      <c r="H944" s="19" t="s">
        <v>215</v>
      </c>
      <c r="I944" s="19" t="s">
        <v>216</v>
      </c>
      <c r="J944" s="19" t="s">
        <v>217</v>
      </c>
      <c r="K944" s="18">
        <v>46084.657083333332</v>
      </c>
    </row>
    <row r="945" spans="1:11" x14ac:dyDescent="0.25">
      <c r="A945" s="16" t="s">
        <v>1396</v>
      </c>
      <c r="B945" s="20">
        <v>46055</v>
      </c>
      <c r="C945" s="16">
        <v>2</v>
      </c>
      <c r="D945" s="19" t="s">
        <v>37</v>
      </c>
      <c r="E945" s="19" t="s">
        <v>453</v>
      </c>
      <c r="G945" s="19">
        <v>29</v>
      </c>
      <c r="H945" s="19" t="s">
        <v>215</v>
      </c>
      <c r="I945" s="19" t="s">
        <v>216</v>
      </c>
      <c r="J945" s="19" t="s">
        <v>217</v>
      </c>
      <c r="K945" s="18">
        <v>46084.657106481478</v>
      </c>
    </row>
    <row r="946" spans="1:11" x14ac:dyDescent="0.25">
      <c r="A946" s="16" t="s">
        <v>1397</v>
      </c>
      <c r="B946" s="20">
        <v>46055</v>
      </c>
      <c r="C946" s="16">
        <v>2</v>
      </c>
      <c r="D946" s="19" t="s">
        <v>37</v>
      </c>
      <c r="E946" s="19" t="s">
        <v>453</v>
      </c>
      <c r="G946" s="19">
        <v>14</v>
      </c>
      <c r="H946" s="19" t="s">
        <v>215</v>
      </c>
      <c r="I946" s="19" t="s">
        <v>216</v>
      </c>
      <c r="J946" s="19" t="s">
        <v>217</v>
      </c>
      <c r="K946" s="18">
        <v>46084.657106481478</v>
      </c>
    </row>
    <row r="947" spans="1:11" x14ac:dyDescent="0.25">
      <c r="A947" s="16" t="s">
        <v>1398</v>
      </c>
      <c r="B947" s="20">
        <v>46055</v>
      </c>
      <c r="C947" s="16">
        <v>2</v>
      </c>
      <c r="D947" s="19" t="s">
        <v>37</v>
      </c>
      <c r="E947" s="19" t="s">
        <v>453</v>
      </c>
      <c r="G947" s="19">
        <v>38</v>
      </c>
      <c r="H947" s="19" t="s">
        <v>215</v>
      </c>
      <c r="I947" s="19" t="s">
        <v>216</v>
      </c>
      <c r="J947" s="19" t="s">
        <v>217</v>
      </c>
      <c r="K947" s="18">
        <v>46084.657129629632</v>
      </c>
    </row>
    <row r="948" spans="1:11" x14ac:dyDescent="0.25">
      <c r="A948" s="16" t="s">
        <v>1399</v>
      </c>
      <c r="B948" s="20">
        <v>46055</v>
      </c>
      <c r="C948" s="16">
        <v>2</v>
      </c>
      <c r="D948" s="19" t="s">
        <v>37</v>
      </c>
      <c r="E948" s="19" t="s">
        <v>453</v>
      </c>
      <c r="G948" s="19">
        <v>28</v>
      </c>
      <c r="H948" s="19" t="s">
        <v>215</v>
      </c>
      <c r="I948" s="19" t="s">
        <v>216</v>
      </c>
      <c r="J948" s="19" t="s">
        <v>217</v>
      </c>
      <c r="K948" s="18">
        <v>46084.657141203701</v>
      </c>
    </row>
    <row r="949" spans="1:11" x14ac:dyDescent="0.25">
      <c r="A949" s="16" t="s">
        <v>1400</v>
      </c>
      <c r="B949" s="20">
        <v>46056</v>
      </c>
      <c r="C949" s="16">
        <v>2</v>
      </c>
      <c r="D949" s="19" t="s">
        <v>37</v>
      </c>
      <c r="E949" s="19" t="s">
        <v>453</v>
      </c>
      <c r="G949" s="19">
        <v>40</v>
      </c>
      <c r="H949" s="19" t="s">
        <v>215</v>
      </c>
      <c r="I949" s="19" t="s">
        <v>216</v>
      </c>
      <c r="J949" s="19" t="s">
        <v>217</v>
      </c>
      <c r="K949" s="18">
        <v>46084.657222222224</v>
      </c>
    </row>
    <row r="950" spans="1:11" x14ac:dyDescent="0.25">
      <c r="A950" s="16" t="s">
        <v>1401</v>
      </c>
      <c r="B950" s="20">
        <v>46056</v>
      </c>
      <c r="C950" s="16">
        <v>2</v>
      </c>
      <c r="D950" s="19" t="s">
        <v>37</v>
      </c>
      <c r="E950" s="19" t="s">
        <v>453</v>
      </c>
      <c r="G950" s="19">
        <v>32</v>
      </c>
      <c r="H950" s="19" t="s">
        <v>215</v>
      </c>
      <c r="I950" s="19" t="s">
        <v>216</v>
      </c>
      <c r="J950" s="19" t="s">
        <v>217</v>
      </c>
      <c r="K950" s="18">
        <v>46084.657233796293</v>
      </c>
    </row>
    <row r="951" spans="1:11" x14ac:dyDescent="0.25">
      <c r="A951" s="16" t="s">
        <v>1402</v>
      </c>
      <c r="B951" s="20">
        <v>46056</v>
      </c>
      <c r="C951" s="16">
        <v>2</v>
      </c>
      <c r="D951" s="19" t="s">
        <v>37</v>
      </c>
      <c r="E951" s="19" t="s">
        <v>453</v>
      </c>
      <c r="G951" s="19">
        <v>16</v>
      </c>
      <c r="H951" s="19" t="s">
        <v>215</v>
      </c>
      <c r="I951" s="19" t="s">
        <v>216</v>
      </c>
      <c r="J951" s="19" t="s">
        <v>217</v>
      </c>
      <c r="K951" s="18">
        <v>46084.65724537037</v>
      </c>
    </row>
    <row r="952" spans="1:11" x14ac:dyDescent="0.25">
      <c r="A952" s="16" t="s">
        <v>1403</v>
      </c>
      <c r="B952" s="20">
        <v>46056</v>
      </c>
      <c r="C952" s="16">
        <v>2</v>
      </c>
      <c r="D952" s="19" t="s">
        <v>37</v>
      </c>
      <c r="E952" s="19" t="s">
        <v>453</v>
      </c>
      <c r="G952" s="19">
        <v>41</v>
      </c>
      <c r="H952" s="19" t="s">
        <v>215</v>
      </c>
      <c r="I952" s="19" t="s">
        <v>216</v>
      </c>
      <c r="J952" s="19" t="s">
        <v>217</v>
      </c>
      <c r="K952" s="18">
        <v>46084.657256944447</v>
      </c>
    </row>
    <row r="953" spans="1:11" x14ac:dyDescent="0.25">
      <c r="A953" s="16" t="s">
        <v>1404</v>
      </c>
      <c r="B953" s="20">
        <v>46056</v>
      </c>
      <c r="C953" s="16">
        <v>2</v>
      </c>
      <c r="D953" s="19" t="s">
        <v>37</v>
      </c>
      <c r="E953" s="19" t="s">
        <v>453</v>
      </c>
      <c r="G953" s="19">
        <v>36</v>
      </c>
      <c r="H953" s="19" t="s">
        <v>215</v>
      </c>
      <c r="I953" s="19" t="s">
        <v>216</v>
      </c>
      <c r="J953" s="19" t="s">
        <v>217</v>
      </c>
      <c r="K953" s="18">
        <v>46084.657268518517</v>
      </c>
    </row>
    <row r="954" spans="1:11" x14ac:dyDescent="0.25">
      <c r="A954" s="16" t="s">
        <v>1405</v>
      </c>
      <c r="B954" s="20">
        <v>46056</v>
      </c>
      <c r="C954" s="16">
        <v>2</v>
      </c>
      <c r="D954" s="19" t="s">
        <v>37</v>
      </c>
      <c r="E954" s="19" t="s">
        <v>453</v>
      </c>
      <c r="G954" s="19">
        <v>33</v>
      </c>
      <c r="H954" s="19" t="s">
        <v>215</v>
      </c>
      <c r="I954" s="19" t="s">
        <v>216</v>
      </c>
      <c r="J954" s="19" t="s">
        <v>217</v>
      </c>
      <c r="K954" s="18">
        <v>46084.657280092593</v>
      </c>
    </row>
    <row r="955" spans="1:11" x14ac:dyDescent="0.25">
      <c r="A955" s="16" t="s">
        <v>1406</v>
      </c>
      <c r="B955" s="20">
        <v>46056</v>
      </c>
      <c r="C955" s="16">
        <v>2</v>
      </c>
      <c r="D955" s="19" t="s">
        <v>37</v>
      </c>
      <c r="E955" s="19" t="s">
        <v>453</v>
      </c>
      <c r="G955" s="19">
        <v>32</v>
      </c>
      <c r="H955" s="19" t="s">
        <v>215</v>
      </c>
      <c r="I955" s="19" t="s">
        <v>216</v>
      </c>
      <c r="J955" s="19" t="s">
        <v>217</v>
      </c>
      <c r="K955" s="18">
        <v>46084.657280092593</v>
      </c>
    </row>
    <row r="956" spans="1:11" x14ac:dyDescent="0.25">
      <c r="A956" s="16" t="s">
        <v>1407</v>
      </c>
      <c r="B956" s="20">
        <v>46056</v>
      </c>
      <c r="C956" s="16">
        <v>2</v>
      </c>
      <c r="D956" s="19" t="s">
        <v>37</v>
      </c>
      <c r="E956" s="19" t="s">
        <v>453</v>
      </c>
      <c r="G956" s="19">
        <v>21</v>
      </c>
      <c r="H956" s="19" t="s">
        <v>215</v>
      </c>
      <c r="I956" s="19" t="s">
        <v>216</v>
      </c>
      <c r="J956" s="19" t="s">
        <v>217</v>
      </c>
      <c r="K956" s="18">
        <v>46084.65730324074</v>
      </c>
    </row>
    <row r="957" spans="1:11" x14ac:dyDescent="0.25">
      <c r="A957" s="16" t="s">
        <v>1408</v>
      </c>
      <c r="B957" s="20">
        <v>46057</v>
      </c>
      <c r="C957" s="16">
        <v>2</v>
      </c>
      <c r="D957" s="19" t="s">
        <v>37</v>
      </c>
      <c r="E957" s="19" t="s">
        <v>453</v>
      </c>
      <c r="G957" s="19">
        <v>27</v>
      </c>
      <c r="H957" s="19" t="s">
        <v>215</v>
      </c>
      <c r="I957" s="19" t="s">
        <v>216</v>
      </c>
      <c r="J957" s="19" t="s">
        <v>217</v>
      </c>
      <c r="K957" s="18">
        <v>46084.657395833332</v>
      </c>
    </row>
    <row r="958" spans="1:11" x14ac:dyDescent="0.25">
      <c r="A958" s="16" t="s">
        <v>1409</v>
      </c>
      <c r="B958" s="20">
        <v>46057</v>
      </c>
      <c r="C958" s="16">
        <v>2</v>
      </c>
      <c r="D958" s="19" t="s">
        <v>37</v>
      </c>
      <c r="E958" s="19" t="s">
        <v>453</v>
      </c>
      <c r="G958" s="19">
        <v>18</v>
      </c>
      <c r="H958" s="19" t="s">
        <v>215</v>
      </c>
      <c r="I958" s="19" t="s">
        <v>216</v>
      </c>
      <c r="J958" s="19" t="s">
        <v>217</v>
      </c>
      <c r="K958" s="18">
        <v>46084.657407407409</v>
      </c>
    </row>
    <row r="959" spans="1:11" x14ac:dyDescent="0.25">
      <c r="A959" s="16" t="s">
        <v>1410</v>
      </c>
      <c r="B959" s="20">
        <v>46057</v>
      </c>
      <c r="C959" s="16">
        <v>2</v>
      </c>
      <c r="D959" s="19" t="s">
        <v>37</v>
      </c>
      <c r="E959" s="19" t="s">
        <v>453</v>
      </c>
      <c r="G959" s="19">
        <v>20</v>
      </c>
      <c r="H959" s="19" t="s">
        <v>215</v>
      </c>
      <c r="I959" s="19" t="s">
        <v>216</v>
      </c>
      <c r="J959" s="19" t="s">
        <v>217</v>
      </c>
      <c r="K959" s="18">
        <v>46084.657407407409</v>
      </c>
    </row>
    <row r="960" spans="1:11" x14ac:dyDescent="0.25">
      <c r="A960" s="16" t="s">
        <v>1411</v>
      </c>
      <c r="B960" s="20">
        <v>46057</v>
      </c>
      <c r="C960" s="16">
        <v>2</v>
      </c>
      <c r="D960" s="19" t="s">
        <v>37</v>
      </c>
      <c r="E960" s="19" t="s">
        <v>453</v>
      </c>
      <c r="G960" s="19">
        <v>30</v>
      </c>
      <c r="H960" s="19" t="s">
        <v>215</v>
      </c>
      <c r="I960" s="19" t="s">
        <v>216</v>
      </c>
      <c r="J960" s="19" t="s">
        <v>217</v>
      </c>
      <c r="K960" s="18">
        <v>46084.657418981478</v>
      </c>
    </row>
    <row r="961" spans="1:11" x14ac:dyDescent="0.25">
      <c r="A961" s="16" t="s">
        <v>1412</v>
      </c>
      <c r="B961" s="20">
        <v>46058</v>
      </c>
      <c r="C961" s="16">
        <v>2</v>
      </c>
      <c r="D961" s="19" t="s">
        <v>37</v>
      </c>
      <c r="E961" s="19" t="s">
        <v>453</v>
      </c>
      <c r="G961" s="19">
        <v>38</v>
      </c>
      <c r="H961" s="19" t="s">
        <v>215</v>
      </c>
      <c r="I961" s="19" t="s">
        <v>216</v>
      </c>
      <c r="J961" s="19" t="s">
        <v>217</v>
      </c>
      <c r="K961" s="18">
        <v>46084.657534722224</v>
      </c>
    </row>
    <row r="962" spans="1:11" x14ac:dyDescent="0.25">
      <c r="A962" s="16" t="s">
        <v>1413</v>
      </c>
      <c r="B962" s="20">
        <v>46058</v>
      </c>
      <c r="C962" s="16">
        <v>2</v>
      </c>
      <c r="D962" s="19" t="s">
        <v>37</v>
      </c>
      <c r="E962" s="19" t="s">
        <v>453</v>
      </c>
      <c r="G962" s="19">
        <v>32</v>
      </c>
      <c r="H962" s="19" t="s">
        <v>215</v>
      </c>
      <c r="I962" s="19" t="s">
        <v>216</v>
      </c>
      <c r="J962" s="19" t="s">
        <v>217</v>
      </c>
      <c r="K962" s="18">
        <v>46084.657546296294</v>
      </c>
    </row>
    <row r="963" spans="1:11" x14ac:dyDescent="0.25">
      <c r="A963" s="16" t="s">
        <v>1414</v>
      </c>
      <c r="B963" s="20">
        <v>46058</v>
      </c>
      <c r="C963" s="16">
        <v>2</v>
      </c>
      <c r="D963" s="19" t="s">
        <v>37</v>
      </c>
      <c r="E963" s="19" t="s">
        <v>453</v>
      </c>
      <c r="G963" s="19">
        <v>23</v>
      </c>
      <c r="H963" s="19" t="s">
        <v>215</v>
      </c>
      <c r="I963" s="19" t="s">
        <v>216</v>
      </c>
      <c r="J963" s="19" t="s">
        <v>217</v>
      </c>
      <c r="K963" s="18">
        <v>46084.657557870371</v>
      </c>
    </row>
    <row r="964" spans="1:11" x14ac:dyDescent="0.25">
      <c r="A964" s="16" t="s">
        <v>1415</v>
      </c>
      <c r="B964" s="20">
        <v>46059</v>
      </c>
      <c r="C964" s="16">
        <v>2</v>
      </c>
      <c r="D964" s="19" t="s">
        <v>37</v>
      </c>
      <c r="E964" s="19" t="s">
        <v>453</v>
      </c>
      <c r="G964" s="19">
        <v>24</v>
      </c>
      <c r="H964" s="19" t="s">
        <v>215</v>
      </c>
      <c r="I964" s="19" t="s">
        <v>216</v>
      </c>
      <c r="J964" s="19" t="s">
        <v>217</v>
      </c>
      <c r="K964" s="18">
        <v>46084.657650462963</v>
      </c>
    </row>
    <row r="965" spans="1:11" x14ac:dyDescent="0.25">
      <c r="A965" s="16" t="s">
        <v>1416</v>
      </c>
      <c r="B965" s="20">
        <v>46059</v>
      </c>
      <c r="C965" s="16">
        <v>2</v>
      </c>
      <c r="D965" s="19" t="s">
        <v>37</v>
      </c>
      <c r="E965" s="19" t="s">
        <v>453</v>
      </c>
      <c r="G965" s="19">
        <v>37</v>
      </c>
      <c r="H965" s="19" t="s">
        <v>215</v>
      </c>
      <c r="I965" s="19" t="s">
        <v>216</v>
      </c>
      <c r="J965" s="19" t="s">
        <v>217</v>
      </c>
      <c r="K965" s="18">
        <v>46084.65766203704</v>
      </c>
    </row>
    <row r="966" spans="1:11" x14ac:dyDescent="0.25">
      <c r="A966" s="16" t="s">
        <v>1417</v>
      </c>
      <c r="B966" s="20">
        <v>46059</v>
      </c>
      <c r="C966" s="16">
        <v>2</v>
      </c>
      <c r="D966" s="19" t="s">
        <v>37</v>
      </c>
      <c r="E966" s="19" t="s">
        <v>453</v>
      </c>
      <c r="G966" s="19">
        <v>38</v>
      </c>
      <c r="H966" s="19" t="s">
        <v>215</v>
      </c>
      <c r="I966" s="19" t="s">
        <v>216</v>
      </c>
      <c r="J966" s="19" t="s">
        <v>217</v>
      </c>
      <c r="K966" s="18">
        <v>46084.657685185186</v>
      </c>
    </row>
    <row r="967" spans="1:11" x14ac:dyDescent="0.25">
      <c r="A967" s="16" t="s">
        <v>1418</v>
      </c>
      <c r="B967" s="20">
        <v>46059</v>
      </c>
      <c r="C967" s="16">
        <v>2</v>
      </c>
      <c r="D967" s="19" t="s">
        <v>37</v>
      </c>
      <c r="E967" s="19" t="s">
        <v>453</v>
      </c>
      <c r="G967" s="19">
        <v>22</v>
      </c>
      <c r="H967" s="19" t="s">
        <v>215</v>
      </c>
      <c r="I967" s="19" t="s">
        <v>216</v>
      </c>
      <c r="J967" s="19" t="s">
        <v>217</v>
      </c>
      <c r="K967" s="18">
        <v>46084.657685185186</v>
      </c>
    </row>
    <row r="968" spans="1:11" x14ac:dyDescent="0.25">
      <c r="A968" s="16" t="s">
        <v>1419</v>
      </c>
      <c r="B968" s="20">
        <v>46060</v>
      </c>
      <c r="C968" s="16">
        <v>2</v>
      </c>
      <c r="D968" s="19" t="s">
        <v>37</v>
      </c>
      <c r="E968" s="19" t="s">
        <v>453</v>
      </c>
      <c r="G968" s="19">
        <v>24</v>
      </c>
      <c r="H968" s="19" t="s">
        <v>215</v>
      </c>
      <c r="I968" s="19" t="s">
        <v>216</v>
      </c>
      <c r="J968" s="19" t="s">
        <v>217</v>
      </c>
      <c r="K968" s="18">
        <v>46084.657777777778</v>
      </c>
    </row>
    <row r="969" spans="1:11" x14ac:dyDescent="0.25">
      <c r="A969" s="16" t="s">
        <v>1420</v>
      </c>
      <c r="B969" s="20">
        <v>46060</v>
      </c>
      <c r="C969" s="16">
        <v>2</v>
      </c>
      <c r="D969" s="19" t="s">
        <v>37</v>
      </c>
      <c r="E969" s="19" t="s">
        <v>453</v>
      </c>
      <c r="G969" s="19">
        <v>22</v>
      </c>
      <c r="H969" s="19" t="s">
        <v>215</v>
      </c>
      <c r="I969" s="19" t="s">
        <v>216</v>
      </c>
      <c r="J969" s="19" t="s">
        <v>217</v>
      </c>
      <c r="K969" s="18">
        <v>46084.657777777778</v>
      </c>
    </row>
    <row r="970" spans="1:11" x14ac:dyDescent="0.25">
      <c r="A970" s="16" t="s">
        <v>1421</v>
      </c>
      <c r="B970" s="20">
        <v>46060</v>
      </c>
      <c r="C970" s="16">
        <v>2</v>
      </c>
      <c r="D970" s="19" t="s">
        <v>37</v>
      </c>
      <c r="E970" s="19" t="s">
        <v>453</v>
      </c>
      <c r="G970" s="19">
        <v>28</v>
      </c>
      <c r="H970" s="19" t="s">
        <v>215</v>
      </c>
      <c r="I970" s="19" t="s">
        <v>216</v>
      </c>
      <c r="J970" s="19" t="s">
        <v>217</v>
      </c>
      <c r="K970" s="18">
        <v>46084.657789351855</v>
      </c>
    </row>
    <row r="971" spans="1:11" x14ac:dyDescent="0.25">
      <c r="A971" s="16" t="s">
        <v>1422</v>
      </c>
      <c r="B971" s="20">
        <v>46061</v>
      </c>
      <c r="C971" s="16">
        <v>2</v>
      </c>
      <c r="D971" s="19" t="s">
        <v>37</v>
      </c>
      <c r="E971" s="19" t="s">
        <v>453</v>
      </c>
      <c r="G971" s="19">
        <v>31</v>
      </c>
      <c r="H971" s="19" t="s">
        <v>215</v>
      </c>
      <c r="I971" s="19" t="s">
        <v>216</v>
      </c>
      <c r="J971" s="19" t="s">
        <v>217</v>
      </c>
      <c r="K971" s="18">
        <v>46084.657870370371</v>
      </c>
    </row>
    <row r="972" spans="1:11" x14ac:dyDescent="0.25">
      <c r="A972" s="16" t="s">
        <v>1423</v>
      </c>
      <c r="B972" s="20">
        <v>46061</v>
      </c>
      <c r="C972" s="16">
        <v>2</v>
      </c>
      <c r="D972" s="19" t="s">
        <v>37</v>
      </c>
      <c r="E972" s="19" t="s">
        <v>453</v>
      </c>
      <c r="G972" s="19">
        <v>26</v>
      </c>
      <c r="H972" s="19" t="s">
        <v>215</v>
      </c>
      <c r="I972" s="19" t="s">
        <v>216</v>
      </c>
      <c r="J972" s="19" t="s">
        <v>217</v>
      </c>
      <c r="K972" s="18">
        <v>46084.657881944448</v>
      </c>
    </row>
    <row r="973" spans="1:11" x14ac:dyDescent="0.25">
      <c r="A973" s="16" t="s">
        <v>1424</v>
      </c>
      <c r="B973" s="20">
        <v>46061</v>
      </c>
      <c r="C973" s="16">
        <v>2</v>
      </c>
      <c r="D973" s="19" t="s">
        <v>37</v>
      </c>
      <c r="E973" s="19" t="s">
        <v>453</v>
      </c>
      <c r="G973" s="19">
        <v>28</v>
      </c>
      <c r="H973" s="19" t="s">
        <v>215</v>
      </c>
      <c r="I973" s="19" t="s">
        <v>216</v>
      </c>
      <c r="J973" s="19" t="s">
        <v>217</v>
      </c>
      <c r="K973" s="18">
        <v>46084.657905092594</v>
      </c>
    </row>
    <row r="974" spans="1:11" x14ac:dyDescent="0.25">
      <c r="A974" s="16" t="s">
        <v>1425</v>
      </c>
      <c r="B974" s="20">
        <v>46062</v>
      </c>
      <c r="C974" s="16">
        <v>2</v>
      </c>
      <c r="D974" s="19" t="s">
        <v>37</v>
      </c>
      <c r="E974" s="19" t="s">
        <v>453</v>
      </c>
      <c r="G974" s="19">
        <v>27</v>
      </c>
      <c r="H974" s="19" t="s">
        <v>215</v>
      </c>
      <c r="I974" s="19" t="s">
        <v>216</v>
      </c>
      <c r="J974" s="19" t="s">
        <v>217</v>
      </c>
      <c r="K974" s="18">
        <v>46084.657986111109</v>
      </c>
    </row>
    <row r="975" spans="1:11" x14ac:dyDescent="0.25">
      <c r="A975" s="16" t="s">
        <v>1426</v>
      </c>
      <c r="B975" s="20">
        <v>46062</v>
      </c>
      <c r="C975" s="16">
        <v>2</v>
      </c>
      <c r="D975" s="19" t="s">
        <v>37</v>
      </c>
      <c r="E975" s="19" t="s">
        <v>453</v>
      </c>
      <c r="G975" s="19">
        <v>40</v>
      </c>
      <c r="H975" s="19" t="s">
        <v>215</v>
      </c>
      <c r="I975" s="19" t="s">
        <v>216</v>
      </c>
      <c r="J975" s="19" t="s">
        <v>217</v>
      </c>
      <c r="K975" s="18">
        <v>46084.657986111109</v>
      </c>
    </row>
    <row r="976" spans="1:11" x14ac:dyDescent="0.25">
      <c r="A976" s="16" t="s">
        <v>1427</v>
      </c>
      <c r="B976" s="20">
        <v>46062</v>
      </c>
      <c r="C976" s="16">
        <v>2</v>
      </c>
      <c r="D976" s="19" t="s">
        <v>37</v>
      </c>
      <c r="E976" s="19" t="s">
        <v>453</v>
      </c>
      <c r="G976" s="19">
        <v>28</v>
      </c>
      <c r="H976" s="19" t="s">
        <v>215</v>
      </c>
      <c r="I976" s="19" t="s">
        <v>216</v>
      </c>
      <c r="J976" s="19" t="s">
        <v>217</v>
      </c>
      <c r="K976" s="18">
        <v>46084.657997685186</v>
      </c>
    </row>
    <row r="977" spans="1:11" x14ac:dyDescent="0.25">
      <c r="A977" s="16" t="s">
        <v>1428</v>
      </c>
      <c r="B977" s="20">
        <v>46062</v>
      </c>
      <c r="C977" s="16">
        <v>2</v>
      </c>
      <c r="D977" s="19" t="s">
        <v>37</v>
      </c>
      <c r="E977" s="19" t="s">
        <v>453</v>
      </c>
      <c r="G977" s="19">
        <v>29</v>
      </c>
      <c r="H977" s="19" t="s">
        <v>215</v>
      </c>
      <c r="I977" s="19" t="s">
        <v>216</v>
      </c>
      <c r="J977" s="19" t="s">
        <v>217</v>
      </c>
      <c r="K977" s="18">
        <v>46084.658009259256</v>
      </c>
    </row>
    <row r="978" spans="1:11" x14ac:dyDescent="0.25">
      <c r="A978" s="16" t="s">
        <v>1429</v>
      </c>
      <c r="B978" s="20">
        <v>46062</v>
      </c>
      <c r="C978" s="16">
        <v>2</v>
      </c>
      <c r="D978" s="19" t="s">
        <v>37</v>
      </c>
      <c r="E978" s="19" t="s">
        <v>453</v>
      </c>
      <c r="G978" s="19">
        <v>36</v>
      </c>
      <c r="H978" s="19" t="s">
        <v>215</v>
      </c>
      <c r="I978" s="19" t="s">
        <v>216</v>
      </c>
      <c r="J978" s="19" t="s">
        <v>217</v>
      </c>
      <c r="K978" s="18">
        <v>46084.658020833333</v>
      </c>
    </row>
    <row r="979" spans="1:11" x14ac:dyDescent="0.25">
      <c r="A979" s="16" t="s">
        <v>1430</v>
      </c>
      <c r="B979" s="20">
        <v>46062</v>
      </c>
      <c r="C979" s="16">
        <v>2</v>
      </c>
      <c r="D979" s="19" t="s">
        <v>37</v>
      </c>
      <c r="E979" s="19" t="s">
        <v>453</v>
      </c>
      <c r="G979" s="19">
        <v>27</v>
      </c>
      <c r="H979" s="19" t="s">
        <v>215</v>
      </c>
      <c r="I979" s="19" t="s">
        <v>216</v>
      </c>
      <c r="J979" s="19" t="s">
        <v>217</v>
      </c>
      <c r="K979" s="18">
        <v>46084.658032407409</v>
      </c>
    </row>
    <row r="980" spans="1:11" x14ac:dyDescent="0.25">
      <c r="A980" s="16" t="s">
        <v>1431</v>
      </c>
      <c r="B980" s="20">
        <v>46062</v>
      </c>
      <c r="C980" s="16">
        <v>2</v>
      </c>
      <c r="D980" s="19" t="s">
        <v>37</v>
      </c>
      <c r="E980" s="19" t="s">
        <v>453</v>
      </c>
      <c r="G980" s="19">
        <v>20</v>
      </c>
      <c r="H980" s="19" t="s">
        <v>215</v>
      </c>
      <c r="I980" s="19" t="s">
        <v>216</v>
      </c>
      <c r="J980" s="19" t="s">
        <v>217</v>
      </c>
      <c r="K980" s="18">
        <v>46084.658032407409</v>
      </c>
    </row>
    <row r="981" spans="1:11" x14ac:dyDescent="0.25">
      <c r="A981" s="16" t="s">
        <v>1432</v>
      </c>
      <c r="B981" s="20">
        <v>46063</v>
      </c>
      <c r="C981" s="16">
        <v>2</v>
      </c>
      <c r="D981" s="19" t="s">
        <v>37</v>
      </c>
      <c r="E981" s="19" t="s">
        <v>453</v>
      </c>
      <c r="G981" s="19">
        <v>30</v>
      </c>
      <c r="H981" s="19" t="s">
        <v>215</v>
      </c>
      <c r="I981" s="19" t="s">
        <v>216</v>
      </c>
      <c r="J981" s="19" t="s">
        <v>217</v>
      </c>
      <c r="K981" s="18">
        <v>46084.658148148148</v>
      </c>
    </row>
    <row r="982" spans="1:11" x14ac:dyDescent="0.25">
      <c r="A982" s="16" t="s">
        <v>1433</v>
      </c>
      <c r="B982" s="20">
        <v>46063</v>
      </c>
      <c r="C982" s="16">
        <v>2</v>
      </c>
      <c r="D982" s="19" t="s">
        <v>37</v>
      </c>
      <c r="E982" s="19" t="s">
        <v>453</v>
      </c>
      <c r="G982" s="19">
        <v>28</v>
      </c>
      <c r="H982" s="19" t="s">
        <v>215</v>
      </c>
      <c r="I982" s="19" t="s">
        <v>216</v>
      </c>
      <c r="J982" s="19" t="s">
        <v>217</v>
      </c>
      <c r="K982" s="18">
        <v>46084.658148148148</v>
      </c>
    </row>
    <row r="983" spans="1:11" x14ac:dyDescent="0.25">
      <c r="A983" s="16" t="s">
        <v>1434</v>
      </c>
      <c r="B983" s="20">
        <v>46063</v>
      </c>
      <c r="C983" s="16">
        <v>2</v>
      </c>
      <c r="D983" s="19" t="s">
        <v>37</v>
      </c>
      <c r="E983" s="19" t="s">
        <v>453</v>
      </c>
      <c r="G983" s="19">
        <v>24</v>
      </c>
      <c r="H983" s="19" t="s">
        <v>215</v>
      </c>
      <c r="I983" s="19" t="s">
        <v>216</v>
      </c>
      <c r="J983" s="19" t="s">
        <v>217</v>
      </c>
      <c r="K983" s="18">
        <v>46084.658159722225</v>
      </c>
    </row>
    <row r="984" spans="1:11" x14ac:dyDescent="0.25">
      <c r="A984" s="16" t="s">
        <v>1435</v>
      </c>
      <c r="B984" s="20">
        <v>46063</v>
      </c>
      <c r="C984" s="16">
        <v>2</v>
      </c>
      <c r="D984" s="19" t="s">
        <v>37</v>
      </c>
      <c r="E984" s="19" t="s">
        <v>453</v>
      </c>
      <c r="G984" s="19">
        <v>35</v>
      </c>
      <c r="H984" s="19" t="s">
        <v>215</v>
      </c>
      <c r="I984" s="19" t="s">
        <v>216</v>
      </c>
      <c r="J984" s="19" t="s">
        <v>217</v>
      </c>
      <c r="K984" s="18">
        <v>46084.658171296294</v>
      </c>
    </row>
    <row r="985" spans="1:11" x14ac:dyDescent="0.25">
      <c r="A985" s="16" t="s">
        <v>1436</v>
      </c>
      <c r="B985" s="20">
        <v>46063</v>
      </c>
      <c r="C985" s="16">
        <v>2</v>
      </c>
      <c r="D985" s="19" t="s">
        <v>37</v>
      </c>
      <c r="E985" s="19" t="s">
        <v>453</v>
      </c>
      <c r="G985" s="19">
        <v>31</v>
      </c>
      <c r="H985" s="19" t="s">
        <v>215</v>
      </c>
      <c r="I985" s="19" t="s">
        <v>216</v>
      </c>
      <c r="J985" s="19" t="s">
        <v>217</v>
      </c>
      <c r="K985" s="18">
        <v>46084.658182870371</v>
      </c>
    </row>
    <row r="986" spans="1:11" x14ac:dyDescent="0.25">
      <c r="A986" s="16" t="s">
        <v>1437</v>
      </c>
      <c r="B986" s="20">
        <v>46063</v>
      </c>
      <c r="C986" s="16">
        <v>2</v>
      </c>
      <c r="D986" s="19" t="s">
        <v>37</v>
      </c>
      <c r="E986" s="19" t="s">
        <v>453</v>
      </c>
      <c r="G986" s="19">
        <v>39</v>
      </c>
      <c r="H986" s="19" t="s">
        <v>215</v>
      </c>
      <c r="I986" s="19" t="s">
        <v>216</v>
      </c>
      <c r="J986" s="19" t="s">
        <v>217</v>
      </c>
      <c r="K986" s="18">
        <v>46084.658206018517</v>
      </c>
    </row>
    <row r="987" spans="1:11" x14ac:dyDescent="0.25">
      <c r="A987" s="16" t="s">
        <v>1438</v>
      </c>
      <c r="B987" s="20">
        <v>46064</v>
      </c>
      <c r="C987" s="16">
        <v>2</v>
      </c>
      <c r="D987" s="19" t="s">
        <v>37</v>
      </c>
      <c r="E987" s="19" t="s">
        <v>453</v>
      </c>
      <c r="G987" s="19">
        <v>30</v>
      </c>
      <c r="H987" s="19" t="s">
        <v>215</v>
      </c>
      <c r="I987" s="19" t="s">
        <v>216</v>
      </c>
      <c r="J987" s="19" t="s">
        <v>217</v>
      </c>
      <c r="K987" s="18">
        <v>46084.658310185187</v>
      </c>
    </row>
    <row r="988" spans="1:11" x14ac:dyDescent="0.25">
      <c r="A988" s="16" t="s">
        <v>1439</v>
      </c>
      <c r="B988" s="20">
        <v>46064</v>
      </c>
      <c r="C988" s="16">
        <v>2</v>
      </c>
      <c r="D988" s="19" t="s">
        <v>37</v>
      </c>
      <c r="E988" s="19" t="s">
        <v>453</v>
      </c>
      <c r="G988" s="19">
        <v>31</v>
      </c>
      <c r="H988" s="19" t="s">
        <v>215</v>
      </c>
      <c r="I988" s="19" t="s">
        <v>216</v>
      </c>
      <c r="J988" s="19" t="s">
        <v>217</v>
      </c>
      <c r="K988" s="18">
        <v>46084.658321759256</v>
      </c>
    </row>
    <row r="989" spans="1:11" x14ac:dyDescent="0.25">
      <c r="A989" s="16" t="s">
        <v>1440</v>
      </c>
      <c r="B989" s="20">
        <v>46064</v>
      </c>
      <c r="C989" s="16">
        <v>2</v>
      </c>
      <c r="D989" s="19" t="s">
        <v>37</v>
      </c>
      <c r="E989" s="19" t="s">
        <v>453</v>
      </c>
      <c r="G989" s="19">
        <v>36</v>
      </c>
      <c r="H989" s="19" t="s">
        <v>215</v>
      </c>
      <c r="I989" s="19" t="s">
        <v>216</v>
      </c>
      <c r="J989" s="19" t="s">
        <v>217</v>
      </c>
      <c r="K989" s="18">
        <v>46084.658333333333</v>
      </c>
    </row>
    <row r="990" spans="1:11" x14ac:dyDescent="0.25">
      <c r="A990" s="16" t="s">
        <v>1441</v>
      </c>
      <c r="B990" s="20">
        <v>46064</v>
      </c>
      <c r="C990" s="16">
        <v>2</v>
      </c>
      <c r="D990" s="19" t="s">
        <v>37</v>
      </c>
      <c r="E990" s="19" t="s">
        <v>453</v>
      </c>
      <c r="G990" s="19">
        <v>23</v>
      </c>
      <c r="H990" s="19" t="s">
        <v>215</v>
      </c>
      <c r="I990" s="19" t="s">
        <v>216</v>
      </c>
      <c r="J990" s="19" t="s">
        <v>217</v>
      </c>
      <c r="K990" s="18">
        <v>46084.658333333333</v>
      </c>
    </row>
    <row r="991" spans="1:11" x14ac:dyDescent="0.25">
      <c r="A991" s="16" t="s">
        <v>1442</v>
      </c>
      <c r="B991" s="20">
        <v>46065</v>
      </c>
      <c r="C991" s="16">
        <v>2</v>
      </c>
      <c r="D991" s="19" t="s">
        <v>37</v>
      </c>
      <c r="E991" s="19" t="s">
        <v>453</v>
      </c>
      <c r="G991" s="19">
        <v>30</v>
      </c>
      <c r="H991" s="19" t="s">
        <v>215</v>
      </c>
      <c r="I991" s="19" t="s">
        <v>216</v>
      </c>
      <c r="J991" s="19" t="s">
        <v>217</v>
      </c>
      <c r="K991" s="18">
        <v>46084.658425925925</v>
      </c>
    </row>
    <row r="992" spans="1:11" x14ac:dyDescent="0.25">
      <c r="A992" s="16" t="s">
        <v>1443</v>
      </c>
      <c r="B992" s="20">
        <v>46065</v>
      </c>
      <c r="C992" s="16">
        <v>2</v>
      </c>
      <c r="D992" s="19" t="s">
        <v>37</v>
      </c>
      <c r="E992" s="19" t="s">
        <v>453</v>
      </c>
      <c r="G992" s="19">
        <v>32</v>
      </c>
      <c r="H992" s="19" t="s">
        <v>215</v>
      </c>
      <c r="I992" s="19" t="s">
        <v>216</v>
      </c>
      <c r="J992" s="19" t="s">
        <v>217</v>
      </c>
      <c r="K992" s="18">
        <v>46084.658449074072</v>
      </c>
    </row>
    <row r="993" spans="1:11" x14ac:dyDescent="0.25">
      <c r="A993" s="16" t="s">
        <v>1444</v>
      </c>
      <c r="B993" s="20">
        <v>46065</v>
      </c>
      <c r="C993" s="16">
        <v>2</v>
      </c>
      <c r="D993" s="19" t="s">
        <v>37</v>
      </c>
      <c r="E993" s="19" t="s">
        <v>453</v>
      </c>
      <c r="G993" s="19">
        <v>35</v>
      </c>
      <c r="H993" s="19" t="s">
        <v>215</v>
      </c>
      <c r="I993" s="19" t="s">
        <v>216</v>
      </c>
      <c r="J993" s="19" t="s">
        <v>217</v>
      </c>
      <c r="K993" s="18">
        <v>46084.658460648148</v>
      </c>
    </row>
    <row r="994" spans="1:11" x14ac:dyDescent="0.25">
      <c r="A994" s="16" t="s">
        <v>1445</v>
      </c>
      <c r="B994" s="20">
        <v>46065</v>
      </c>
      <c r="C994" s="16">
        <v>2</v>
      </c>
      <c r="D994" s="19" t="s">
        <v>37</v>
      </c>
      <c r="E994" s="19" t="s">
        <v>453</v>
      </c>
      <c r="G994" s="19">
        <v>18</v>
      </c>
      <c r="H994" s="19" t="s">
        <v>215</v>
      </c>
      <c r="I994" s="19" t="s">
        <v>216</v>
      </c>
      <c r="J994" s="19" t="s">
        <v>217</v>
      </c>
      <c r="K994" s="18">
        <v>46084.658472222225</v>
      </c>
    </row>
    <row r="995" spans="1:11" x14ac:dyDescent="0.25">
      <c r="A995" s="16" t="s">
        <v>1446</v>
      </c>
      <c r="B995" s="20">
        <v>46065</v>
      </c>
      <c r="C995" s="16">
        <v>2</v>
      </c>
      <c r="D995" s="19" t="s">
        <v>37</v>
      </c>
      <c r="E995" s="19" t="s">
        <v>453</v>
      </c>
      <c r="G995" s="19">
        <v>22</v>
      </c>
      <c r="H995" s="19" t="s">
        <v>215</v>
      </c>
      <c r="I995" s="19" t="s">
        <v>216</v>
      </c>
      <c r="J995" s="19" t="s">
        <v>217</v>
      </c>
      <c r="K995" s="18">
        <v>46084.658472222225</v>
      </c>
    </row>
    <row r="996" spans="1:11" x14ac:dyDescent="0.25">
      <c r="A996" s="16" t="s">
        <v>1447</v>
      </c>
      <c r="B996" s="20">
        <v>46065</v>
      </c>
      <c r="C996" s="16">
        <v>2</v>
      </c>
      <c r="D996" s="19" t="s">
        <v>37</v>
      </c>
      <c r="E996" s="19" t="s">
        <v>453</v>
      </c>
      <c r="G996" s="19">
        <v>27</v>
      </c>
      <c r="H996" s="19" t="s">
        <v>215</v>
      </c>
      <c r="I996" s="19" t="s">
        <v>216</v>
      </c>
      <c r="J996" s="19" t="s">
        <v>217</v>
      </c>
      <c r="K996" s="18">
        <v>46084.658483796295</v>
      </c>
    </row>
    <row r="997" spans="1:11" x14ac:dyDescent="0.25">
      <c r="A997" s="16" t="s">
        <v>1448</v>
      </c>
      <c r="B997" s="20">
        <v>46066</v>
      </c>
      <c r="C997" s="16">
        <v>2</v>
      </c>
      <c r="D997" s="19" t="s">
        <v>37</v>
      </c>
      <c r="E997" s="19" t="s">
        <v>453</v>
      </c>
      <c r="G997" s="19">
        <v>38</v>
      </c>
      <c r="H997" s="19" t="s">
        <v>215</v>
      </c>
      <c r="I997" s="19" t="s">
        <v>216</v>
      </c>
      <c r="J997" s="19" t="s">
        <v>217</v>
      </c>
      <c r="K997" s="18">
        <v>46084.658564814818</v>
      </c>
    </row>
    <row r="998" spans="1:11" x14ac:dyDescent="0.25">
      <c r="A998" s="16" t="s">
        <v>1449</v>
      </c>
      <c r="B998" s="20">
        <v>46066</v>
      </c>
      <c r="C998" s="16">
        <v>2</v>
      </c>
      <c r="D998" s="19" t="s">
        <v>37</v>
      </c>
      <c r="E998" s="19" t="s">
        <v>453</v>
      </c>
      <c r="G998" s="19">
        <v>25</v>
      </c>
      <c r="H998" s="19" t="s">
        <v>215</v>
      </c>
      <c r="I998" s="19" t="s">
        <v>216</v>
      </c>
      <c r="J998" s="19" t="s">
        <v>217</v>
      </c>
      <c r="K998" s="18">
        <v>46084.658576388887</v>
      </c>
    </row>
    <row r="999" spans="1:11" x14ac:dyDescent="0.25">
      <c r="A999" s="16" t="s">
        <v>1450</v>
      </c>
      <c r="B999" s="20">
        <v>46066</v>
      </c>
      <c r="C999" s="16">
        <v>2</v>
      </c>
      <c r="D999" s="19" t="s">
        <v>37</v>
      </c>
      <c r="E999" s="19" t="s">
        <v>453</v>
      </c>
      <c r="G999" s="19">
        <v>28</v>
      </c>
      <c r="H999" s="19" t="s">
        <v>215</v>
      </c>
      <c r="I999" s="19" t="s">
        <v>216</v>
      </c>
      <c r="J999" s="19" t="s">
        <v>217</v>
      </c>
      <c r="K999" s="18">
        <v>46084.658599537041</v>
      </c>
    </row>
    <row r="1000" spans="1:11" x14ac:dyDescent="0.25">
      <c r="A1000" s="16" t="s">
        <v>1451</v>
      </c>
      <c r="B1000" s="20">
        <v>46066</v>
      </c>
      <c r="C1000" s="16">
        <v>2</v>
      </c>
      <c r="D1000" s="19" t="s">
        <v>37</v>
      </c>
      <c r="E1000" s="19" t="s">
        <v>453</v>
      </c>
      <c r="G1000" s="19">
        <v>25</v>
      </c>
      <c r="H1000" s="19" t="s">
        <v>215</v>
      </c>
      <c r="I1000" s="19" t="s">
        <v>216</v>
      </c>
      <c r="J1000" s="19" t="s">
        <v>217</v>
      </c>
      <c r="K1000" s="18">
        <v>46084.658622685187</v>
      </c>
    </row>
    <row r="1001" spans="1:11" x14ac:dyDescent="0.25">
      <c r="A1001" s="16" t="s">
        <v>1452</v>
      </c>
      <c r="B1001" s="20">
        <v>46066</v>
      </c>
      <c r="C1001" s="16">
        <v>2</v>
      </c>
      <c r="D1001" s="19" t="s">
        <v>37</v>
      </c>
      <c r="E1001" s="19" t="s">
        <v>453</v>
      </c>
      <c r="G1001" s="19">
        <v>28</v>
      </c>
      <c r="H1001" s="19" t="s">
        <v>215</v>
      </c>
      <c r="I1001" s="19" t="s">
        <v>216</v>
      </c>
      <c r="J1001" s="19" t="s">
        <v>217</v>
      </c>
      <c r="K1001" s="18">
        <v>46084.658645833333</v>
      </c>
    </row>
    <row r="1002" spans="1:11" x14ac:dyDescent="0.25">
      <c r="A1002" s="16" t="s">
        <v>1453</v>
      </c>
      <c r="B1002" s="20">
        <v>46067</v>
      </c>
      <c r="C1002" s="16">
        <v>2</v>
      </c>
      <c r="D1002" s="19" t="s">
        <v>37</v>
      </c>
      <c r="E1002" s="19" t="s">
        <v>453</v>
      </c>
      <c r="G1002" s="19">
        <v>26</v>
      </c>
      <c r="H1002" s="19" t="s">
        <v>215</v>
      </c>
      <c r="I1002" s="19" t="s">
        <v>216</v>
      </c>
      <c r="J1002" s="19" t="s">
        <v>217</v>
      </c>
      <c r="K1002" s="18">
        <v>46084.658761574072</v>
      </c>
    </row>
    <row r="1003" spans="1:11" x14ac:dyDescent="0.25">
      <c r="A1003" s="16" t="s">
        <v>1454</v>
      </c>
      <c r="B1003" s="20">
        <v>46067</v>
      </c>
      <c r="C1003" s="16">
        <v>2</v>
      </c>
      <c r="D1003" s="19" t="s">
        <v>37</v>
      </c>
      <c r="E1003" s="19" t="s">
        <v>453</v>
      </c>
      <c r="G1003" s="19">
        <v>21</v>
      </c>
      <c r="H1003" s="19" t="s">
        <v>215</v>
      </c>
      <c r="I1003" s="19" t="s">
        <v>216</v>
      </c>
      <c r="J1003" s="19" t="s">
        <v>217</v>
      </c>
      <c r="K1003" s="18">
        <v>46084.658773148149</v>
      </c>
    </row>
    <row r="1004" spans="1:11" x14ac:dyDescent="0.25">
      <c r="A1004" s="16" t="s">
        <v>1455</v>
      </c>
      <c r="B1004" s="20">
        <v>46067</v>
      </c>
      <c r="C1004" s="16">
        <v>2</v>
      </c>
      <c r="D1004" s="19" t="s">
        <v>37</v>
      </c>
      <c r="E1004" s="19" t="s">
        <v>453</v>
      </c>
      <c r="G1004" s="19">
        <v>31</v>
      </c>
      <c r="H1004" s="19" t="s">
        <v>215</v>
      </c>
      <c r="I1004" s="19" t="s">
        <v>216</v>
      </c>
      <c r="J1004" s="19" t="s">
        <v>217</v>
      </c>
      <c r="K1004" s="18">
        <v>46084.658784722225</v>
      </c>
    </row>
    <row r="1005" spans="1:11" x14ac:dyDescent="0.25">
      <c r="A1005" s="16" t="s">
        <v>1456</v>
      </c>
      <c r="B1005" s="20">
        <v>46067</v>
      </c>
      <c r="C1005" s="16">
        <v>2</v>
      </c>
      <c r="D1005" s="19" t="s">
        <v>37</v>
      </c>
      <c r="E1005" s="19" t="s">
        <v>453</v>
      </c>
      <c r="G1005" s="19">
        <v>15</v>
      </c>
      <c r="H1005" s="19" t="s">
        <v>215</v>
      </c>
      <c r="I1005" s="19" t="s">
        <v>216</v>
      </c>
      <c r="J1005" s="19" t="s">
        <v>217</v>
      </c>
      <c r="K1005" s="18">
        <v>46084.658784722225</v>
      </c>
    </row>
    <row r="1006" spans="1:11" x14ac:dyDescent="0.25">
      <c r="A1006" s="16" t="s">
        <v>1457</v>
      </c>
      <c r="B1006" s="20">
        <v>46068</v>
      </c>
      <c r="C1006" s="16">
        <v>2</v>
      </c>
      <c r="D1006" s="19" t="s">
        <v>37</v>
      </c>
      <c r="E1006" s="19" t="s">
        <v>453</v>
      </c>
      <c r="G1006" s="19">
        <v>36</v>
      </c>
      <c r="H1006" s="19" t="s">
        <v>215</v>
      </c>
      <c r="I1006" s="19" t="s">
        <v>216</v>
      </c>
      <c r="J1006" s="19" t="s">
        <v>217</v>
      </c>
      <c r="K1006" s="18">
        <v>46084.658877314818</v>
      </c>
    </row>
    <row r="1007" spans="1:11" x14ac:dyDescent="0.25">
      <c r="A1007" s="16" t="s">
        <v>1458</v>
      </c>
      <c r="B1007" s="20">
        <v>46068</v>
      </c>
      <c r="C1007" s="16">
        <v>2</v>
      </c>
      <c r="D1007" s="19" t="s">
        <v>37</v>
      </c>
      <c r="E1007" s="19" t="s">
        <v>453</v>
      </c>
      <c r="G1007" s="19">
        <v>29</v>
      </c>
      <c r="H1007" s="19" t="s">
        <v>215</v>
      </c>
      <c r="I1007" s="19" t="s">
        <v>216</v>
      </c>
      <c r="J1007" s="19" t="s">
        <v>217</v>
      </c>
      <c r="K1007" s="18">
        <v>46084.658888888887</v>
      </c>
    </row>
    <row r="1008" spans="1:11" x14ac:dyDescent="0.25">
      <c r="A1008" s="16" t="s">
        <v>1459</v>
      </c>
      <c r="B1008" s="20">
        <v>46068</v>
      </c>
      <c r="C1008" s="16">
        <v>2</v>
      </c>
      <c r="D1008" s="19" t="s">
        <v>37</v>
      </c>
      <c r="E1008" s="19" t="s">
        <v>453</v>
      </c>
      <c r="G1008" s="19">
        <v>26</v>
      </c>
      <c r="H1008" s="19" t="s">
        <v>215</v>
      </c>
      <c r="I1008" s="19" t="s">
        <v>216</v>
      </c>
      <c r="J1008" s="19" t="s">
        <v>217</v>
      </c>
      <c r="K1008" s="18">
        <v>46084.658912037034</v>
      </c>
    </row>
    <row r="1009" spans="1:11" x14ac:dyDescent="0.25">
      <c r="A1009" s="16" t="s">
        <v>1460</v>
      </c>
      <c r="B1009" s="20">
        <v>46068</v>
      </c>
      <c r="C1009" s="16">
        <v>2</v>
      </c>
      <c r="D1009" s="19" t="s">
        <v>37</v>
      </c>
      <c r="E1009" s="19" t="s">
        <v>453</v>
      </c>
      <c r="G1009" s="19">
        <v>44</v>
      </c>
      <c r="H1009" s="19" t="s">
        <v>215</v>
      </c>
      <c r="I1009" s="19" t="s">
        <v>216</v>
      </c>
      <c r="J1009" s="19" t="s">
        <v>217</v>
      </c>
      <c r="K1009" s="18">
        <v>46084.658935185187</v>
      </c>
    </row>
    <row r="1010" spans="1:11" x14ac:dyDescent="0.25">
      <c r="A1010" s="16" t="s">
        <v>1461</v>
      </c>
      <c r="B1010" s="20">
        <v>46068</v>
      </c>
      <c r="C1010" s="16">
        <v>2</v>
      </c>
      <c r="D1010" s="19" t="s">
        <v>37</v>
      </c>
      <c r="E1010" s="19" t="s">
        <v>453</v>
      </c>
      <c r="G1010" s="19">
        <v>22</v>
      </c>
      <c r="H1010" s="19" t="s">
        <v>215</v>
      </c>
      <c r="I1010" s="19" t="s">
        <v>216</v>
      </c>
      <c r="J1010" s="19" t="s">
        <v>217</v>
      </c>
      <c r="K1010" s="18">
        <v>46084.658935185187</v>
      </c>
    </row>
    <row r="1011" spans="1:11" x14ac:dyDescent="0.25">
      <c r="A1011" s="16" t="s">
        <v>1462</v>
      </c>
      <c r="B1011" s="20">
        <v>46068</v>
      </c>
      <c r="C1011" s="16">
        <v>2</v>
      </c>
      <c r="D1011" s="19" t="s">
        <v>37</v>
      </c>
      <c r="E1011" s="19" t="s">
        <v>453</v>
      </c>
      <c r="G1011" s="19">
        <v>25</v>
      </c>
      <c r="H1011" s="19" t="s">
        <v>215</v>
      </c>
      <c r="I1011" s="19" t="s">
        <v>216</v>
      </c>
      <c r="J1011" s="19" t="s">
        <v>217</v>
      </c>
      <c r="K1011" s="18">
        <v>46084.65898148148</v>
      </c>
    </row>
    <row r="1012" spans="1:11" x14ac:dyDescent="0.25">
      <c r="A1012" s="16" t="s">
        <v>1463</v>
      </c>
      <c r="B1012" s="20">
        <v>46069</v>
      </c>
      <c r="C1012" s="16">
        <v>2</v>
      </c>
      <c r="D1012" s="19" t="s">
        <v>37</v>
      </c>
      <c r="E1012" s="19" t="s">
        <v>453</v>
      </c>
      <c r="G1012" s="19">
        <v>35</v>
      </c>
      <c r="H1012" s="19" t="s">
        <v>215</v>
      </c>
      <c r="I1012" s="19" t="s">
        <v>216</v>
      </c>
      <c r="J1012" s="19" t="s">
        <v>217</v>
      </c>
      <c r="K1012" s="18">
        <v>46084.659097222226</v>
      </c>
    </row>
    <row r="1013" spans="1:11" x14ac:dyDescent="0.25">
      <c r="A1013" s="16" t="s">
        <v>1464</v>
      </c>
      <c r="B1013" s="20">
        <v>46070</v>
      </c>
      <c r="C1013" s="16">
        <v>2</v>
      </c>
      <c r="D1013" s="19" t="s">
        <v>37</v>
      </c>
      <c r="E1013" s="19" t="s">
        <v>453</v>
      </c>
      <c r="G1013" s="19">
        <v>22</v>
      </c>
      <c r="H1013" s="19" t="s">
        <v>215</v>
      </c>
      <c r="I1013" s="19" t="s">
        <v>216</v>
      </c>
      <c r="J1013" s="19" t="s">
        <v>217</v>
      </c>
      <c r="K1013" s="18">
        <v>46084.659201388888</v>
      </c>
    </row>
    <row r="1014" spans="1:11" x14ac:dyDescent="0.25">
      <c r="A1014" s="16" t="s">
        <v>1465</v>
      </c>
      <c r="B1014" s="20">
        <v>46070</v>
      </c>
      <c r="C1014" s="16">
        <v>2</v>
      </c>
      <c r="D1014" s="19" t="s">
        <v>37</v>
      </c>
      <c r="E1014" s="19" t="s">
        <v>453</v>
      </c>
      <c r="G1014" s="19">
        <v>30</v>
      </c>
      <c r="H1014" s="19" t="s">
        <v>215</v>
      </c>
      <c r="I1014" s="19" t="s">
        <v>216</v>
      </c>
      <c r="J1014" s="19" t="s">
        <v>217</v>
      </c>
      <c r="K1014" s="18">
        <v>46084.659212962964</v>
      </c>
    </row>
    <row r="1015" spans="1:11" x14ac:dyDescent="0.25">
      <c r="A1015" s="16" t="s">
        <v>1466</v>
      </c>
      <c r="B1015" s="20">
        <v>46070</v>
      </c>
      <c r="C1015" s="16">
        <v>2</v>
      </c>
      <c r="D1015" s="19" t="s">
        <v>37</v>
      </c>
      <c r="E1015" s="19" t="s">
        <v>453</v>
      </c>
      <c r="G1015" s="19">
        <v>30</v>
      </c>
      <c r="H1015" s="19" t="s">
        <v>215</v>
      </c>
      <c r="I1015" s="19" t="s">
        <v>216</v>
      </c>
      <c r="J1015" s="19" t="s">
        <v>217</v>
      </c>
      <c r="K1015" s="18">
        <v>46084.659224537034</v>
      </c>
    </row>
    <row r="1016" spans="1:11" x14ac:dyDescent="0.25">
      <c r="A1016" s="16" t="s">
        <v>1467</v>
      </c>
      <c r="B1016" s="20">
        <v>46070</v>
      </c>
      <c r="C1016" s="16">
        <v>2</v>
      </c>
      <c r="D1016" s="19" t="s">
        <v>37</v>
      </c>
      <c r="E1016" s="19" t="s">
        <v>453</v>
      </c>
      <c r="G1016" s="19">
        <v>18</v>
      </c>
      <c r="H1016" s="19" t="s">
        <v>215</v>
      </c>
      <c r="I1016" s="19" t="s">
        <v>216</v>
      </c>
      <c r="J1016" s="19" t="s">
        <v>217</v>
      </c>
      <c r="K1016" s="18">
        <v>46084.659236111111</v>
      </c>
    </row>
    <row r="1017" spans="1:11" x14ac:dyDescent="0.25">
      <c r="A1017" s="16" t="s">
        <v>1468</v>
      </c>
      <c r="B1017" s="20">
        <v>46071</v>
      </c>
      <c r="C1017" s="16">
        <v>2</v>
      </c>
      <c r="D1017" s="19" t="s">
        <v>37</v>
      </c>
      <c r="E1017" s="19" t="s">
        <v>453</v>
      </c>
      <c r="G1017" s="19">
        <v>25</v>
      </c>
      <c r="H1017" s="19" t="s">
        <v>215</v>
      </c>
      <c r="I1017" s="19" t="s">
        <v>216</v>
      </c>
      <c r="J1017" s="19" t="s">
        <v>217</v>
      </c>
      <c r="K1017" s="18">
        <v>46084.65934027778</v>
      </c>
    </row>
    <row r="1018" spans="1:11" x14ac:dyDescent="0.25">
      <c r="A1018" s="16" t="s">
        <v>1469</v>
      </c>
      <c r="B1018" s="20">
        <v>46071</v>
      </c>
      <c r="C1018" s="16">
        <v>2</v>
      </c>
      <c r="D1018" s="19" t="s">
        <v>37</v>
      </c>
      <c r="E1018" s="19" t="s">
        <v>453</v>
      </c>
      <c r="G1018" s="19">
        <v>30</v>
      </c>
      <c r="H1018" s="19" t="s">
        <v>215</v>
      </c>
      <c r="I1018" s="19" t="s">
        <v>216</v>
      </c>
      <c r="J1018" s="19" t="s">
        <v>217</v>
      </c>
      <c r="K1018" s="18">
        <v>46084.659351851849</v>
      </c>
    </row>
    <row r="1019" spans="1:11" x14ac:dyDescent="0.25">
      <c r="A1019" s="16" t="s">
        <v>1470</v>
      </c>
      <c r="B1019" s="20">
        <v>46071</v>
      </c>
      <c r="C1019" s="16">
        <v>2</v>
      </c>
      <c r="D1019" s="19" t="s">
        <v>37</v>
      </c>
      <c r="E1019" s="19" t="s">
        <v>453</v>
      </c>
      <c r="G1019" s="19">
        <v>25</v>
      </c>
      <c r="H1019" s="19" t="s">
        <v>215</v>
      </c>
      <c r="I1019" s="19" t="s">
        <v>216</v>
      </c>
      <c r="J1019" s="19" t="s">
        <v>217</v>
      </c>
      <c r="K1019" s="18">
        <v>46084.659351851849</v>
      </c>
    </row>
    <row r="1020" spans="1:11" x14ac:dyDescent="0.25">
      <c r="A1020" s="16" t="s">
        <v>1471</v>
      </c>
      <c r="B1020" s="20">
        <v>46071</v>
      </c>
      <c r="C1020" s="16">
        <v>2</v>
      </c>
      <c r="D1020" s="19" t="s">
        <v>37</v>
      </c>
      <c r="E1020" s="19" t="s">
        <v>453</v>
      </c>
      <c r="G1020" s="19">
        <v>41</v>
      </c>
      <c r="H1020" s="19" t="s">
        <v>215</v>
      </c>
      <c r="I1020" s="19" t="s">
        <v>216</v>
      </c>
      <c r="J1020" s="19" t="s">
        <v>217</v>
      </c>
      <c r="K1020" s="18">
        <v>46084.659363425926</v>
      </c>
    </row>
    <row r="1021" spans="1:11" x14ac:dyDescent="0.25">
      <c r="A1021" s="16" t="s">
        <v>1472</v>
      </c>
      <c r="B1021" s="20">
        <v>46071</v>
      </c>
      <c r="C1021" s="16">
        <v>2</v>
      </c>
      <c r="D1021" s="19" t="s">
        <v>37</v>
      </c>
      <c r="E1021" s="19" t="s">
        <v>453</v>
      </c>
      <c r="G1021" s="19">
        <v>20</v>
      </c>
      <c r="H1021" s="19" t="s">
        <v>215</v>
      </c>
      <c r="I1021" s="19" t="s">
        <v>216</v>
      </c>
      <c r="J1021" s="19" t="s">
        <v>217</v>
      </c>
      <c r="K1021" s="18">
        <v>46084.659375000003</v>
      </c>
    </row>
    <row r="1022" spans="1:11" x14ac:dyDescent="0.25">
      <c r="A1022" s="16" t="s">
        <v>1473</v>
      </c>
      <c r="B1022" s="20">
        <v>46071</v>
      </c>
      <c r="C1022" s="16">
        <v>2</v>
      </c>
      <c r="D1022" s="19" t="s">
        <v>37</v>
      </c>
      <c r="E1022" s="19" t="s">
        <v>453</v>
      </c>
      <c r="G1022" s="19">
        <v>41</v>
      </c>
      <c r="H1022" s="19" t="s">
        <v>215</v>
      </c>
      <c r="I1022" s="19" t="s">
        <v>216</v>
      </c>
      <c r="J1022" s="19" t="s">
        <v>217</v>
      </c>
      <c r="K1022" s="18">
        <v>46084.659386574072</v>
      </c>
    </row>
    <row r="1023" spans="1:11" x14ac:dyDescent="0.25">
      <c r="A1023" s="16" t="s">
        <v>1474</v>
      </c>
      <c r="B1023" s="20">
        <v>46071</v>
      </c>
      <c r="C1023" s="16">
        <v>2</v>
      </c>
      <c r="D1023" s="19" t="s">
        <v>37</v>
      </c>
      <c r="E1023" s="19" t="s">
        <v>453</v>
      </c>
      <c r="G1023" s="19">
        <v>25</v>
      </c>
      <c r="H1023" s="19" t="s">
        <v>215</v>
      </c>
      <c r="I1023" s="19" t="s">
        <v>216</v>
      </c>
      <c r="J1023" s="19" t="s">
        <v>217</v>
      </c>
      <c r="K1023" s="18">
        <v>46084.659386574072</v>
      </c>
    </row>
    <row r="1024" spans="1:11" x14ac:dyDescent="0.25">
      <c r="A1024" s="16" t="s">
        <v>1475</v>
      </c>
      <c r="B1024" s="20">
        <v>46071</v>
      </c>
      <c r="C1024" s="16">
        <v>2</v>
      </c>
      <c r="D1024" s="19" t="s">
        <v>37</v>
      </c>
      <c r="E1024" s="19" t="s">
        <v>453</v>
      </c>
      <c r="G1024" s="19">
        <v>37</v>
      </c>
      <c r="H1024" s="19" t="s">
        <v>215</v>
      </c>
      <c r="I1024" s="19" t="s">
        <v>216</v>
      </c>
      <c r="J1024" s="19" t="s">
        <v>217</v>
      </c>
      <c r="K1024" s="18">
        <v>46084.659398148149</v>
      </c>
    </row>
    <row r="1025" spans="1:11" x14ac:dyDescent="0.25">
      <c r="A1025" s="16" t="s">
        <v>1476</v>
      </c>
      <c r="B1025" s="20">
        <v>46071</v>
      </c>
      <c r="C1025" s="16">
        <v>2</v>
      </c>
      <c r="D1025" s="19" t="s">
        <v>37</v>
      </c>
      <c r="E1025" s="19" t="s">
        <v>453</v>
      </c>
      <c r="G1025" s="19">
        <v>21</v>
      </c>
      <c r="H1025" s="19" t="s">
        <v>215</v>
      </c>
      <c r="I1025" s="19" t="s">
        <v>216</v>
      </c>
      <c r="J1025" s="19" t="s">
        <v>217</v>
      </c>
      <c r="K1025" s="18">
        <v>46084.659421296295</v>
      </c>
    </row>
    <row r="1026" spans="1:11" x14ac:dyDescent="0.25">
      <c r="A1026" s="16" t="s">
        <v>1477</v>
      </c>
      <c r="B1026" s="20">
        <v>46072</v>
      </c>
      <c r="C1026" s="16">
        <v>2</v>
      </c>
      <c r="D1026" s="19" t="s">
        <v>37</v>
      </c>
      <c r="E1026" s="19" t="s">
        <v>453</v>
      </c>
      <c r="G1026" s="19">
        <v>44</v>
      </c>
      <c r="H1026" s="19" t="s">
        <v>215</v>
      </c>
      <c r="I1026" s="19" t="s">
        <v>216</v>
      </c>
      <c r="J1026" s="19" t="s">
        <v>217</v>
      </c>
      <c r="K1026" s="18">
        <v>46084.659513888888</v>
      </c>
    </row>
    <row r="1027" spans="1:11" x14ac:dyDescent="0.25">
      <c r="A1027" s="16" t="s">
        <v>1478</v>
      </c>
      <c r="B1027" s="20">
        <v>46072</v>
      </c>
      <c r="C1027" s="16">
        <v>2</v>
      </c>
      <c r="D1027" s="19" t="s">
        <v>37</v>
      </c>
      <c r="E1027" s="19" t="s">
        <v>453</v>
      </c>
      <c r="G1027" s="19">
        <v>20</v>
      </c>
      <c r="H1027" s="19" t="s">
        <v>215</v>
      </c>
      <c r="I1027" s="19" t="s">
        <v>216</v>
      </c>
      <c r="J1027" s="19" t="s">
        <v>217</v>
      </c>
      <c r="K1027" s="18">
        <v>46084.659525462965</v>
      </c>
    </row>
    <row r="1028" spans="1:11" x14ac:dyDescent="0.25">
      <c r="A1028" s="16" t="s">
        <v>1479</v>
      </c>
      <c r="B1028" s="20">
        <v>46072</v>
      </c>
      <c r="C1028" s="16">
        <v>2</v>
      </c>
      <c r="D1028" s="19" t="s">
        <v>37</v>
      </c>
      <c r="E1028" s="19" t="s">
        <v>453</v>
      </c>
      <c r="G1028" s="19">
        <v>24</v>
      </c>
      <c r="H1028" s="19" t="s">
        <v>215</v>
      </c>
      <c r="I1028" s="19" t="s">
        <v>216</v>
      </c>
      <c r="J1028" s="19" t="s">
        <v>217</v>
      </c>
      <c r="K1028" s="18">
        <v>46084.659525462965</v>
      </c>
    </row>
    <row r="1029" spans="1:11" x14ac:dyDescent="0.25">
      <c r="A1029" s="16" t="s">
        <v>1480</v>
      </c>
      <c r="B1029" s="20">
        <v>46072</v>
      </c>
      <c r="C1029" s="16">
        <v>2</v>
      </c>
      <c r="D1029" s="19" t="s">
        <v>37</v>
      </c>
      <c r="E1029" s="19" t="s">
        <v>453</v>
      </c>
      <c r="G1029" s="19">
        <v>19</v>
      </c>
      <c r="H1029" s="19" t="s">
        <v>215</v>
      </c>
      <c r="I1029" s="19" t="s">
        <v>216</v>
      </c>
      <c r="J1029" s="19" t="s">
        <v>217</v>
      </c>
      <c r="K1029" s="18">
        <v>46084.659537037034</v>
      </c>
    </row>
    <row r="1030" spans="1:11" x14ac:dyDescent="0.25">
      <c r="A1030" s="16" t="s">
        <v>1481</v>
      </c>
      <c r="B1030" s="20">
        <v>46073</v>
      </c>
      <c r="C1030" s="16">
        <v>2</v>
      </c>
      <c r="D1030" s="19" t="s">
        <v>37</v>
      </c>
      <c r="E1030" s="19" t="s">
        <v>453</v>
      </c>
      <c r="G1030" s="19">
        <v>32</v>
      </c>
      <c r="H1030" s="19" t="s">
        <v>215</v>
      </c>
      <c r="I1030" s="19" t="s">
        <v>216</v>
      </c>
      <c r="J1030" s="19" t="s">
        <v>217</v>
      </c>
      <c r="K1030" s="18">
        <v>46084.659629629627</v>
      </c>
    </row>
    <row r="1031" spans="1:11" x14ac:dyDescent="0.25">
      <c r="A1031" s="16" t="s">
        <v>1482</v>
      </c>
      <c r="B1031" s="20">
        <v>46073</v>
      </c>
      <c r="C1031" s="16">
        <v>2</v>
      </c>
      <c r="D1031" s="19" t="s">
        <v>37</v>
      </c>
      <c r="E1031" s="19" t="s">
        <v>453</v>
      </c>
      <c r="G1031" s="19">
        <v>31</v>
      </c>
      <c r="H1031" s="19" t="s">
        <v>215</v>
      </c>
      <c r="I1031" s="19" t="s">
        <v>216</v>
      </c>
      <c r="J1031" s="19" t="s">
        <v>217</v>
      </c>
      <c r="K1031" s="18">
        <v>46084.659629629627</v>
      </c>
    </row>
    <row r="1032" spans="1:11" x14ac:dyDescent="0.25">
      <c r="A1032" s="16" t="s">
        <v>1483</v>
      </c>
      <c r="B1032" s="20">
        <v>46073</v>
      </c>
      <c r="C1032" s="16">
        <v>2</v>
      </c>
      <c r="D1032" s="19" t="s">
        <v>37</v>
      </c>
      <c r="E1032" s="19" t="s">
        <v>453</v>
      </c>
      <c r="G1032" s="19">
        <v>42</v>
      </c>
      <c r="H1032" s="19" t="s">
        <v>215</v>
      </c>
      <c r="I1032" s="19" t="s">
        <v>216</v>
      </c>
      <c r="J1032" s="19" t="s">
        <v>217</v>
      </c>
      <c r="K1032" s="18">
        <v>46084.65965277778</v>
      </c>
    </row>
    <row r="1033" spans="1:11" x14ac:dyDescent="0.25">
      <c r="A1033" s="16" t="s">
        <v>1484</v>
      </c>
      <c r="B1033" s="20">
        <v>46074</v>
      </c>
      <c r="C1033" s="16">
        <v>2</v>
      </c>
      <c r="D1033" s="19" t="s">
        <v>37</v>
      </c>
      <c r="E1033" s="19" t="s">
        <v>453</v>
      </c>
      <c r="G1033" s="19">
        <v>22</v>
      </c>
      <c r="H1033" s="19" t="s">
        <v>215</v>
      </c>
      <c r="I1033" s="19" t="s">
        <v>216</v>
      </c>
      <c r="J1033" s="19" t="s">
        <v>217</v>
      </c>
      <c r="K1033" s="18">
        <v>46084.659756944442</v>
      </c>
    </row>
    <row r="1034" spans="1:11" x14ac:dyDescent="0.25">
      <c r="A1034" s="16" t="s">
        <v>1485</v>
      </c>
      <c r="B1034" s="20">
        <v>46074</v>
      </c>
      <c r="C1034" s="16">
        <v>2</v>
      </c>
      <c r="D1034" s="19" t="s">
        <v>37</v>
      </c>
      <c r="E1034" s="19" t="s">
        <v>453</v>
      </c>
      <c r="G1034" s="19">
        <v>34</v>
      </c>
      <c r="H1034" s="19" t="s">
        <v>215</v>
      </c>
      <c r="I1034" s="19" t="s">
        <v>216</v>
      </c>
      <c r="J1034" s="19" t="s">
        <v>217</v>
      </c>
      <c r="K1034" s="18">
        <v>46084.659768518519</v>
      </c>
    </row>
    <row r="1035" spans="1:11" x14ac:dyDescent="0.25">
      <c r="A1035" s="16" t="s">
        <v>1486</v>
      </c>
      <c r="B1035" s="20">
        <v>46074</v>
      </c>
      <c r="C1035" s="16">
        <v>2</v>
      </c>
      <c r="D1035" s="19" t="s">
        <v>37</v>
      </c>
      <c r="E1035" s="19" t="s">
        <v>453</v>
      </c>
      <c r="G1035" s="19">
        <v>30</v>
      </c>
      <c r="H1035" s="19" t="s">
        <v>215</v>
      </c>
      <c r="I1035" s="19" t="s">
        <v>216</v>
      </c>
      <c r="J1035" s="19" t="s">
        <v>217</v>
      </c>
      <c r="K1035" s="18">
        <v>46084.659780092596</v>
      </c>
    </row>
    <row r="1036" spans="1:11" x14ac:dyDescent="0.25">
      <c r="A1036" s="16" t="s">
        <v>1487</v>
      </c>
      <c r="B1036" s="20">
        <v>46075</v>
      </c>
      <c r="C1036" s="16">
        <v>2</v>
      </c>
      <c r="D1036" s="19" t="s">
        <v>37</v>
      </c>
      <c r="E1036" s="19" t="s">
        <v>453</v>
      </c>
      <c r="G1036" s="19">
        <v>16</v>
      </c>
      <c r="H1036" s="19" t="s">
        <v>215</v>
      </c>
      <c r="I1036" s="19" t="s">
        <v>216</v>
      </c>
      <c r="J1036" s="19" t="s">
        <v>217</v>
      </c>
      <c r="K1036" s="18">
        <v>46084.659895833334</v>
      </c>
    </row>
    <row r="1037" spans="1:11" x14ac:dyDescent="0.25">
      <c r="A1037" s="16" t="s">
        <v>1488</v>
      </c>
      <c r="B1037" s="20">
        <v>46076</v>
      </c>
      <c r="C1037" s="16">
        <v>2</v>
      </c>
      <c r="D1037" s="19" t="s">
        <v>37</v>
      </c>
      <c r="E1037" s="19" t="s">
        <v>453</v>
      </c>
      <c r="G1037" s="19">
        <v>33</v>
      </c>
      <c r="H1037" s="19" t="s">
        <v>215</v>
      </c>
      <c r="I1037" s="19" t="s">
        <v>216</v>
      </c>
      <c r="J1037" s="19" t="s">
        <v>217</v>
      </c>
      <c r="K1037" s="18">
        <v>46084.66002314815</v>
      </c>
    </row>
    <row r="1038" spans="1:11" x14ac:dyDescent="0.25">
      <c r="A1038" s="16" t="s">
        <v>1489</v>
      </c>
      <c r="B1038" s="20">
        <v>46076</v>
      </c>
      <c r="C1038" s="16">
        <v>2</v>
      </c>
      <c r="D1038" s="19" t="s">
        <v>37</v>
      </c>
      <c r="E1038" s="19" t="s">
        <v>453</v>
      </c>
      <c r="G1038" s="19">
        <v>41</v>
      </c>
      <c r="H1038" s="19" t="s">
        <v>215</v>
      </c>
      <c r="I1038" s="19" t="s">
        <v>216</v>
      </c>
      <c r="J1038" s="19" t="s">
        <v>217</v>
      </c>
      <c r="K1038" s="18">
        <v>46084.660034722219</v>
      </c>
    </row>
    <row r="1039" spans="1:11" x14ac:dyDescent="0.25">
      <c r="A1039" s="16" t="s">
        <v>1490</v>
      </c>
      <c r="B1039" s="20">
        <v>46076</v>
      </c>
      <c r="C1039" s="16">
        <v>2</v>
      </c>
      <c r="D1039" s="19" t="s">
        <v>37</v>
      </c>
      <c r="E1039" s="19" t="s">
        <v>453</v>
      </c>
      <c r="G1039" s="19">
        <v>25</v>
      </c>
      <c r="H1039" s="19" t="s">
        <v>215</v>
      </c>
      <c r="I1039" s="19" t="s">
        <v>216</v>
      </c>
      <c r="J1039" s="19" t="s">
        <v>217</v>
      </c>
      <c r="K1039" s="18">
        <v>46084.660081018519</v>
      </c>
    </row>
    <row r="1040" spans="1:11" x14ac:dyDescent="0.25">
      <c r="A1040" s="16" t="s">
        <v>1491</v>
      </c>
      <c r="B1040" s="20">
        <v>46077</v>
      </c>
      <c r="C1040" s="16">
        <v>2</v>
      </c>
      <c r="D1040" s="19" t="s">
        <v>37</v>
      </c>
      <c r="E1040" s="19" t="s">
        <v>453</v>
      </c>
      <c r="G1040" s="19">
        <v>15</v>
      </c>
      <c r="H1040" s="19" t="s">
        <v>215</v>
      </c>
      <c r="I1040" s="19" t="s">
        <v>216</v>
      </c>
      <c r="J1040" s="19" t="s">
        <v>217</v>
      </c>
      <c r="K1040" s="18">
        <v>46084.660173611112</v>
      </c>
    </row>
    <row r="1041" spans="1:11" x14ac:dyDescent="0.25">
      <c r="A1041" s="16" t="s">
        <v>1492</v>
      </c>
      <c r="B1041" s="20">
        <v>46077</v>
      </c>
      <c r="C1041" s="16">
        <v>2</v>
      </c>
      <c r="D1041" s="19" t="s">
        <v>37</v>
      </c>
      <c r="E1041" s="19" t="s">
        <v>453</v>
      </c>
      <c r="G1041" s="19">
        <v>21</v>
      </c>
      <c r="H1041" s="19" t="s">
        <v>215</v>
      </c>
      <c r="I1041" s="19" t="s">
        <v>216</v>
      </c>
      <c r="J1041" s="19" t="s">
        <v>217</v>
      </c>
      <c r="K1041" s="18">
        <v>46084.660185185188</v>
      </c>
    </row>
    <row r="1042" spans="1:11" x14ac:dyDescent="0.25">
      <c r="A1042" s="16" t="s">
        <v>1493</v>
      </c>
      <c r="B1042" s="20">
        <v>46077</v>
      </c>
      <c r="C1042" s="16">
        <v>2</v>
      </c>
      <c r="D1042" s="19" t="s">
        <v>37</v>
      </c>
      <c r="E1042" s="19" t="s">
        <v>453</v>
      </c>
      <c r="G1042" s="19">
        <v>29</v>
      </c>
      <c r="H1042" s="19" t="s">
        <v>215</v>
      </c>
      <c r="I1042" s="19" t="s">
        <v>216</v>
      </c>
      <c r="J1042" s="19" t="s">
        <v>217</v>
      </c>
      <c r="K1042" s="18">
        <v>46084.660196759258</v>
      </c>
    </row>
    <row r="1043" spans="1:11" x14ac:dyDescent="0.25">
      <c r="A1043" s="16" t="s">
        <v>1494</v>
      </c>
      <c r="B1043" s="20">
        <v>46077</v>
      </c>
      <c r="C1043" s="16">
        <v>2</v>
      </c>
      <c r="D1043" s="19" t="s">
        <v>37</v>
      </c>
      <c r="E1043" s="19" t="s">
        <v>453</v>
      </c>
      <c r="G1043" s="19">
        <v>33</v>
      </c>
      <c r="H1043" s="19" t="s">
        <v>215</v>
      </c>
      <c r="I1043" s="19" t="s">
        <v>216</v>
      </c>
      <c r="J1043" s="19" t="s">
        <v>217</v>
      </c>
      <c r="K1043" s="18">
        <v>46084.660219907404</v>
      </c>
    </row>
    <row r="1044" spans="1:11" x14ac:dyDescent="0.25">
      <c r="A1044" s="16" t="s">
        <v>1495</v>
      </c>
      <c r="B1044" s="20">
        <v>46078</v>
      </c>
      <c r="C1044" s="16">
        <v>2</v>
      </c>
      <c r="D1044" s="19" t="s">
        <v>37</v>
      </c>
      <c r="E1044" s="19" t="s">
        <v>453</v>
      </c>
      <c r="G1044" s="19">
        <v>24</v>
      </c>
      <c r="H1044" s="19" t="s">
        <v>215</v>
      </c>
      <c r="I1044" s="19" t="s">
        <v>216</v>
      </c>
      <c r="J1044" s="19" t="s">
        <v>217</v>
      </c>
      <c r="K1044" s="18">
        <v>46084.660312499997</v>
      </c>
    </row>
    <row r="1045" spans="1:11" x14ac:dyDescent="0.25">
      <c r="A1045" s="16" t="s">
        <v>1496</v>
      </c>
      <c r="B1045" s="20">
        <v>46078</v>
      </c>
      <c r="C1045" s="16">
        <v>2</v>
      </c>
      <c r="D1045" s="19" t="s">
        <v>37</v>
      </c>
      <c r="E1045" s="19" t="s">
        <v>453</v>
      </c>
      <c r="G1045" s="19">
        <v>35</v>
      </c>
      <c r="H1045" s="19" t="s">
        <v>215</v>
      </c>
      <c r="I1045" s="19" t="s">
        <v>216</v>
      </c>
      <c r="J1045" s="19" t="s">
        <v>217</v>
      </c>
      <c r="K1045" s="18">
        <v>46084.660324074073</v>
      </c>
    </row>
    <row r="1046" spans="1:11" x14ac:dyDescent="0.25">
      <c r="A1046" s="16" t="s">
        <v>1497</v>
      </c>
      <c r="B1046" s="20">
        <v>46078</v>
      </c>
      <c r="C1046" s="16">
        <v>2</v>
      </c>
      <c r="D1046" s="19" t="s">
        <v>37</v>
      </c>
      <c r="E1046" s="19" t="s">
        <v>453</v>
      </c>
      <c r="G1046" s="19">
        <v>21</v>
      </c>
      <c r="H1046" s="19" t="s">
        <v>215</v>
      </c>
      <c r="I1046" s="19" t="s">
        <v>216</v>
      </c>
      <c r="J1046" s="19" t="s">
        <v>217</v>
      </c>
      <c r="K1046" s="18">
        <v>46084.66033564815</v>
      </c>
    </row>
    <row r="1047" spans="1:11" x14ac:dyDescent="0.25">
      <c r="A1047" s="16" t="s">
        <v>1498</v>
      </c>
      <c r="B1047" s="20">
        <v>46078</v>
      </c>
      <c r="C1047" s="16">
        <v>2</v>
      </c>
      <c r="D1047" s="19" t="s">
        <v>37</v>
      </c>
      <c r="E1047" s="19" t="s">
        <v>453</v>
      </c>
      <c r="G1047" s="19">
        <v>33</v>
      </c>
      <c r="H1047" s="19" t="s">
        <v>215</v>
      </c>
      <c r="I1047" s="19" t="s">
        <v>216</v>
      </c>
      <c r="J1047" s="19" t="s">
        <v>217</v>
      </c>
      <c r="K1047" s="18">
        <v>46084.66033564815</v>
      </c>
    </row>
    <row r="1048" spans="1:11" x14ac:dyDescent="0.25">
      <c r="A1048" s="16" t="s">
        <v>1499</v>
      </c>
      <c r="B1048" s="20">
        <v>46078</v>
      </c>
      <c r="C1048" s="16">
        <v>2</v>
      </c>
      <c r="D1048" s="19" t="s">
        <v>37</v>
      </c>
      <c r="E1048" s="19" t="s">
        <v>453</v>
      </c>
      <c r="G1048" s="19">
        <v>30</v>
      </c>
      <c r="H1048" s="19" t="s">
        <v>215</v>
      </c>
      <c r="I1048" s="19" t="s">
        <v>216</v>
      </c>
      <c r="J1048" s="19" t="s">
        <v>217</v>
      </c>
      <c r="K1048" s="18">
        <v>46084.66034722222</v>
      </c>
    </row>
    <row r="1049" spans="1:11" x14ac:dyDescent="0.25">
      <c r="A1049" s="16" t="s">
        <v>1500</v>
      </c>
      <c r="B1049" s="20">
        <v>46078</v>
      </c>
      <c r="C1049" s="16">
        <v>2</v>
      </c>
      <c r="D1049" s="19" t="s">
        <v>37</v>
      </c>
      <c r="E1049" s="19" t="s">
        <v>453</v>
      </c>
      <c r="G1049" s="19">
        <v>31</v>
      </c>
      <c r="H1049" s="19" t="s">
        <v>215</v>
      </c>
      <c r="I1049" s="19" t="s">
        <v>216</v>
      </c>
      <c r="J1049" s="19" t="s">
        <v>217</v>
      </c>
      <c r="K1049" s="18">
        <v>46084.66034722222</v>
      </c>
    </row>
    <row r="1050" spans="1:11" x14ac:dyDescent="0.25">
      <c r="A1050" s="16" t="s">
        <v>1501</v>
      </c>
      <c r="B1050" s="20">
        <v>46078</v>
      </c>
      <c r="C1050" s="16">
        <v>2</v>
      </c>
      <c r="D1050" s="19" t="s">
        <v>37</v>
      </c>
      <c r="E1050" s="19" t="s">
        <v>453</v>
      </c>
      <c r="G1050" s="19">
        <v>33</v>
      </c>
      <c r="H1050" s="19" t="s">
        <v>215</v>
      </c>
      <c r="I1050" s="19" t="s">
        <v>216</v>
      </c>
      <c r="J1050" s="19" t="s">
        <v>217</v>
      </c>
      <c r="K1050" s="18">
        <v>46084.660358796296</v>
      </c>
    </row>
    <row r="1051" spans="1:11" x14ac:dyDescent="0.25">
      <c r="A1051" s="16" t="s">
        <v>1502</v>
      </c>
      <c r="B1051" s="20">
        <v>46078</v>
      </c>
      <c r="C1051" s="16">
        <v>2</v>
      </c>
      <c r="D1051" s="19" t="s">
        <v>37</v>
      </c>
      <c r="E1051" s="19" t="s">
        <v>453</v>
      </c>
      <c r="G1051" s="19">
        <v>37</v>
      </c>
      <c r="H1051" s="19" t="s">
        <v>215</v>
      </c>
      <c r="I1051" s="19" t="s">
        <v>216</v>
      </c>
      <c r="J1051" s="19" t="s">
        <v>217</v>
      </c>
      <c r="K1051" s="18">
        <v>46084.660393518519</v>
      </c>
    </row>
    <row r="1052" spans="1:11" x14ac:dyDescent="0.25">
      <c r="A1052" s="16" t="s">
        <v>1503</v>
      </c>
      <c r="B1052" s="20">
        <v>46079</v>
      </c>
      <c r="C1052" s="16">
        <v>2</v>
      </c>
      <c r="D1052" s="19" t="s">
        <v>37</v>
      </c>
      <c r="E1052" s="19" t="s">
        <v>453</v>
      </c>
      <c r="G1052" s="19">
        <v>35</v>
      </c>
      <c r="H1052" s="19" t="s">
        <v>215</v>
      </c>
      <c r="I1052" s="19" t="s">
        <v>216</v>
      </c>
      <c r="J1052" s="19" t="s">
        <v>217</v>
      </c>
      <c r="K1052" s="18">
        <v>46084.660509259258</v>
      </c>
    </row>
    <row r="1053" spans="1:11" x14ac:dyDescent="0.25">
      <c r="A1053" s="16" t="s">
        <v>1504</v>
      </c>
      <c r="B1053" s="20">
        <v>46079</v>
      </c>
      <c r="C1053" s="16">
        <v>2</v>
      </c>
      <c r="D1053" s="19" t="s">
        <v>37</v>
      </c>
      <c r="E1053" s="19" t="s">
        <v>453</v>
      </c>
      <c r="G1053" s="19">
        <v>26</v>
      </c>
      <c r="H1053" s="19" t="s">
        <v>215</v>
      </c>
      <c r="I1053" s="19" t="s">
        <v>216</v>
      </c>
      <c r="J1053" s="19" t="s">
        <v>217</v>
      </c>
      <c r="K1053" s="18">
        <v>46084.660520833335</v>
      </c>
    </row>
    <row r="1054" spans="1:11" x14ac:dyDescent="0.25">
      <c r="A1054" s="16" t="s">
        <v>1505</v>
      </c>
      <c r="B1054" s="20">
        <v>46080</v>
      </c>
      <c r="C1054" s="16">
        <v>2</v>
      </c>
      <c r="D1054" s="19" t="s">
        <v>37</v>
      </c>
      <c r="E1054" s="19" t="s">
        <v>453</v>
      </c>
      <c r="G1054" s="19">
        <v>18</v>
      </c>
      <c r="H1054" s="19" t="s">
        <v>215</v>
      </c>
      <c r="I1054" s="19" t="s">
        <v>216</v>
      </c>
      <c r="J1054" s="19" t="s">
        <v>217</v>
      </c>
      <c r="K1054" s="18">
        <v>46084.660601851851</v>
      </c>
    </row>
    <row r="1055" spans="1:11" x14ac:dyDescent="0.25">
      <c r="A1055" s="16" t="s">
        <v>1506</v>
      </c>
      <c r="B1055" s="20">
        <v>46080</v>
      </c>
      <c r="C1055" s="16">
        <v>2</v>
      </c>
      <c r="D1055" s="19" t="s">
        <v>37</v>
      </c>
      <c r="E1055" s="19" t="s">
        <v>453</v>
      </c>
      <c r="G1055" s="19">
        <v>24</v>
      </c>
      <c r="H1055" s="19" t="s">
        <v>215</v>
      </c>
      <c r="I1055" s="19" t="s">
        <v>216</v>
      </c>
      <c r="J1055" s="19" t="s">
        <v>217</v>
      </c>
      <c r="K1055" s="18">
        <v>46084.660613425927</v>
      </c>
    </row>
    <row r="1056" spans="1:11" x14ac:dyDescent="0.25">
      <c r="A1056" s="16" t="s">
        <v>1507</v>
      </c>
      <c r="B1056" s="20">
        <v>46080</v>
      </c>
      <c r="C1056" s="16">
        <v>2</v>
      </c>
      <c r="D1056" s="19" t="s">
        <v>37</v>
      </c>
      <c r="E1056" s="19" t="s">
        <v>453</v>
      </c>
      <c r="G1056" s="19">
        <v>22</v>
      </c>
      <c r="H1056" s="19" t="s">
        <v>215</v>
      </c>
      <c r="I1056" s="19" t="s">
        <v>216</v>
      </c>
      <c r="J1056" s="19" t="s">
        <v>217</v>
      </c>
      <c r="K1056" s="18">
        <v>46084.660613425927</v>
      </c>
    </row>
    <row r="1057" spans="1:11" x14ac:dyDescent="0.25">
      <c r="A1057" s="16" t="s">
        <v>1508</v>
      </c>
      <c r="B1057" s="20">
        <v>46080</v>
      </c>
      <c r="C1057" s="16">
        <v>2</v>
      </c>
      <c r="D1057" s="19" t="s">
        <v>37</v>
      </c>
      <c r="E1057" s="19" t="s">
        <v>453</v>
      </c>
      <c r="G1057" s="19">
        <v>24</v>
      </c>
      <c r="H1057" s="19" t="s">
        <v>215</v>
      </c>
      <c r="I1057" s="19" t="s">
        <v>216</v>
      </c>
      <c r="J1057" s="19" t="s">
        <v>217</v>
      </c>
      <c r="K1057" s="18">
        <v>46084.660624999997</v>
      </c>
    </row>
    <row r="1058" spans="1:11" x14ac:dyDescent="0.25">
      <c r="A1058" s="16" t="s">
        <v>1509</v>
      </c>
      <c r="B1058" s="20">
        <v>46081</v>
      </c>
      <c r="C1058" s="16">
        <v>2</v>
      </c>
      <c r="D1058" s="19" t="s">
        <v>37</v>
      </c>
      <c r="E1058" s="19" t="s">
        <v>453</v>
      </c>
      <c r="G1058" s="19">
        <v>24</v>
      </c>
      <c r="H1058" s="19" t="s">
        <v>215</v>
      </c>
      <c r="I1058" s="19" t="s">
        <v>216</v>
      </c>
      <c r="J1058" s="19" t="s">
        <v>217</v>
      </c>
      <c r="K1058" s="18">
        <v>46084.660717592589</v>
      </c>
    </row>
    <row r="1059" spans="1:11" x14ac:dyDescent="0.25">
      <c r="A1059" s="16" t="s">
        <v>1510</v>
      </c>
      <c r="B1059" s="20">
        <v>46081</v>
      </c>
      <c r="C1059" s="16">
        <v>2</v>
      </c>
      <c r="D1059" s="19" t="s">
        <v>37</v>
      </c>
      <c r="E1059" s="19" t="s">
        <v>453</v>
      </c>
      <c r="G1059" s="19">
        <v>17</v>
      </c>
      <c r="H1059" s="19" t="s">
        <v>215</v>
      </c>
      <c r="I1059" s="19" t="s">
        <v>216</v>
      </c>
      <c r="J1059" s="19" t="s">
        <v>217</v>
      </c>
      <c r="K1059" s="18">
        <v>46084.660717592589</v>
      </c>
    </row>
    <row r="1060" spans="1:11" x14ac:dyDescent="0.25">
      <c r="A1060" s="16" t="s">
        <v>1511</v>
      </c>
      <c r="B1060" s="20">
        <v>46054</v>
      </c>
      <c r="C1060" s="16">
        <v>2</v>
      </c>
      <c r="D1060" s="19" t="s">
        <v>41</v>
      </c>
      <c r="E1060" s="19" t="s">
        <v>453</v>
      </c>
      <c r="G1060" s="19">
        <v>0</v>
      </c>
      <c r="H1060" s="19" t="s">
        <v>306</v>
      </c>
      <c r="I1060" s="19" t="s">
        <v>216</v>
      </c>
      <c r="J1060" s="19" t="s">
        <v>217</v>
      </c>
      <c r="K1060" s="18">
        <v>46084.661562499998</v>
      </c>
    </row>
    <row r="1061" spans="1:11" x14ac:dyDescent="0.25">
      <c r="A1061" s="16" t="s">
        <v>1512</v>
      </c>
      <c r="B1061" s="20">
        <v>46055</v>
      </c>
      <c r="C1061" s="16">
        <v>2</v>
      </c>
      <c r="D1061" s="19" t="s">
        <v>41</v>
      </c>
      <c r="E1061" s="19" t="s">
        <v>453</v>
      </c>
      <c r="G1061" s="19">
        <v>1</v>
      </c>
      <c r="H1061" s="19" t="s">
        <v>306</v>
      </c>
      <c r="I1061" s="19" t="s">
        <v>246</v>
      </c>
      <c r="J1061" s="19" t="s">
        <v>217</v>
      </c>
      <c r="K1061" s="18">
        <v>46084.664722222224</v>
      </c>
    </row>
    <row r="1062" spans="1:11" x14ac:dyDescent="0.25">
      <c r="A1062" s="16" t="s">
        <v>1513</v>
      </c>
      <c r="B1062" s="20">
        <v>46056</v>
      </c>
      <c r="C1062" s="16">
        <v>2</v>
      </c>
      <c r="D1062" s="19" t="s">
        <v>41</v>
      </c>
      <c r="E1062" s="19" t="s">
        <v>453</v>
      </c>
      <c r="G1062" s="19">
        <v>0</v>
      </c>
      <c r="H1062" s="19" t="s">
        <v>306</v>
      </c>
      <c r="I1062" s="19" t="s">
        <v>216</v>
      </c>
      <c r="J1062" s="19" t="s">
        <v>217</v>
      </c>
      <c r="K1062" s="18">
        <v>46084.665046296293</v>
      </c>
    </row>
    <row r="1063" spans="1:11" x14ac:dyDescent="0.25">
      <c r="A1063" s="16" t="s">
        <v>1514</v>
      </c>
      <c r="B1063" s="20">
        <v>46056</v>
      </c>
      <c r="C1063" s="16">
        <v>2</v>
      </c>
      <c r="D1063" s="19" t="s">
        <v>41</v>
      </c>
      <c r="E1063" s="19" t="s">
        <v>453</v>
      </c>
      <c r="G1063" s="19">
        <v>7</v>
      </c>
      <c r="H1063" s="19" t="s">
        <v>306</v>
      </c>
      <c r="I1063" s="19" t="s">
        <v>216</v>
      </c>
      <c r="J1063" s="19" t="s">
        <v>217</v>
      </c>
      <c r="K1063" s="18">
        <v>46084.665150462963</v>
      </c>
    </row>
    <row r="1064" spans="1:11" x14ac:dyDescent="0.25">
      <c r="A1064" s="16" t="s">
        <v>1515</v>
      </c>
      <c r="B1064" s="20">
        <v>46056</v>
      </c>
      <c r="C1064" s="16">
        <v>2</v>
      </c>
      <c r="D1064" s="19" t="s">
        <v>41</v>
      </c>
      <c r="E1064" s="19" t="s">
        <v>453</v>
      </c>
      <c r="G1064" s="19">
        <v>0</v>
      </c>
      <c r="H1064" s="19" t="s">
        <v>306</v>
      </c>
      <c r="I1064" s="19" t="s">
        <v>216</v>
      </c>
      <c r="J1064" s="19" t="s">
        <v>217</v>
      </c>
      <c r="K1064" s="18">
        <v>46084.665254629632</v>
      </c>
    </row>
    <row r="1065" spans="1:11" x14ac:dyDescent="0.25">
      <c r="A1065" s="16" t="s">
        <v>1516</v>
      </c>
      <c r="B1065" s="20">
        <v>46057</v>
      </c>
      <c r="C1065" s="16">
        <v>2</v>
      </c>
      <c r="D1065" s="19" t="s">
        <v>41</v>
      </c>
      <c r="E1065" s="19" t="s">
        <v>453</v>
      </c>
      <c r="G1065" s="19">
        <v>1</v>
      </c>
      <c r="H1065" s="19" t="s">
        <v>306</v>
      </c>
      <c r="I1065" s="19" t="s">
        <v>246</v>
      </c>
      <c r="J1065" s="19" t="s">
        <v>217</v>
      </c>
      <c r="K1065" s="18">
        <v>46084.66542824074</v>
      </c>
    </row>
    <row r="1066" spans="1:11" x14ac:dyDescent="0.25">
      <c r="A1066" s="16" t="s">
        <v>1517</v>
      </c>
      <c r="B1066" s="20">
        <v>46059</v>
      </c>
      <c r="C1066" s="16">
        <v>2</v>
      </c>
      <c r="D1066" s="19" t="s">
        <v>41</v>
      </c>
      <c r="E1066" s="19" t="s">
        <v>453</v>
      </c>
      <c r="G1066" s="19">
        <v>0</v>
      </c>
      <c r="H1066" s="19" t="s">
        <v>306</v>
      </c>
      <c r="I1066" s="19" t="s">
        <v>246</v>
      </c>
      <c r="J1066" s="19" t="s">
        <v>217</v>
      </c>
      <c r="K1066" s="18">
        <v>46084.665706018517</v>
      </c>
    </row>
    <row r="1067" spans="1:11" x14ac:dyDescent="0.25">
      <c r="A1067" s="16" t="s">
        <v>1518</v>
      </c>
      <c r="B1067" s="20">
        <v>46060</v>
      </c>
      <c r="C1067" s="16">
        <v>2</v>
      </c>
      <c r="D1067" s="19" t="s">
        <v>41</v>
      </c>
      <c r="E1067" s="19" t="s">
        <v>453</v>
      </c>
      <c r="G1067" s="19">
        <v>0</v>
      </c>
      <c r="H1067" s="19" t="s">
        <v>306</v>
      </c>
      <c r="I1067" s="19" t="s">
        <v>216</v>
      </c>
      <c r="J1067" s="19" t="s">
        <v>217</v>
      </c>
      <c r="K1067" s="18">
        <v>46084.665902777779</v>
      </c>
    </row>
    <row r="1068" spans="1:11" x14ac:dyDescent="0.25">
      <c r="A1068" s="16" t="s">
        <v>1519</v>
      </c>
      <c r="B1068" s="20">
        <v>46060</v>
      </c>
      <c r="C1068" s="16">
        <v>2</v>
      </c>
      <c r="D1068" s="19" t="s">
        <v>41</v>
      </c>
      <c r="E1068" s="19" t="s">
        <v>453</v>
      </c>
      <c r="G1068" s="19">
        <v>0</v>
      </c>
      <c r="H1068" s="19" t="s">
        <v>306</v>
      </c>
      <c r="I1068" s="19" t="s">
        <v>216</v>
      </c>
      <c r="J1068" s="19" t="s">
        <v>217</v>
      </c>
      <c r="K1068" s="18">
        <v>46084.666006944448</v>
      </c>
    </row>
    <row r="1069" spans="1:11" x14ac:dyDescent="0.25">
      <c r="A1069" s="16" t="s">
        <v>1520</v>
      </c>
      <c r="B1069" s="20">
        <v>46060</v>
      </c>
      <c r="C1069" s="16">
        <v>2</v>
      </c>
      <c r="D1069" s="19" t="s">
        <v>41</v>
      </c>
      <c r="E1069" s="19" t="s">
        <v>453</v>
      </c>
      <c r="G1069" s="19">
        <v>0</v>
      </c>
      <c r="H1069" s="19" t="s">
        <v>306</v>
      </c>
      <c r="I1069" s="19" t="s">
        <v>216</v>
      </c>
      <c r="J1069" s="19" t="s">
        <v>217</v>
      </c>
      <c r="K1069" s="18">
        <v>46084.666180555556</v>
      </c>
    </row>
    <row r="1070" spans="1:11" x14ac:dyDescent="0.25">
      <c r="A1070" s="16" t="s">
        <v>1521</v>
      </c>
      <c r="B1070" s="20">
        <v>46061</v>
      </c>
      <c r="C1070" s="16">
        <v>2</v>
      </c>
      <c r="D1070" s="19" t="s">
        <v>41</v>
      </c>
      <c r="E1070" s="19" t="s">
        <v>453</v>
      </c>
      <c r="G1070" s="19">
        <v>3</v>
      </c>
      <c r="H1070" s="19" t="s">
        <v>306</v>
      </c>
      <c r="I1070" s="19" t="s">
        <v>246</v>
      </c>
      <c r="J1070" s="19" t="s">
        <v>217</v>
      </c>
      <c r="K1070" s="18">
        <v>46084.666851851849</v>
      </c>
    </row>
    <row r="1071" spans="1:11" x14ac:dyDescent="0.25">
      <c r="A1071" s="16" t="s">
        <v>1522</v>
      </c>
      <c r="B1071" s="20">
        <v>46062</v>
      </c>
      <c r="C1071" s="16">
        <v>2</v>
      </c>
      <c r="D1071" s="19" t="s">
        <v>41</v>
      </c>
      <c r="E1071" s="19" t="s">
        <v>453</v>
      </c>
      <c r="G1071" s="19">
        <v>19</v>
      </c>
      <c r="H1071" s="19" t="s">
        <v>306</v>
      </c>
      <c r="I1071" s="19" t="s">
        <v>246</v>
      </c>
      <c r="J1071" s="19" t="s">
        <v>217</v>
      </c>
      <c r="K1071" s="18">
        <v>46084.667083333334</v>
      </c>
    </row>
    <row r="1072" spans="1:11" x14ac:dyDescent="0.25">
      <c r="A1072" s="16" t="s">
        <v>1523</v>
      </c>
      <c r="B1072" s="20">
        <v>46062</v>
      </c>
      <c r="C1072" s="16">
        <v>2</v>
      </c>
      <c r="D1072" s="19" t="s">
        <v>41</v>
      </c>
      <c r="E1072" s="19" t="s">
        <v>453</v>
      </c>
      <c r="G1072" s="19">
        <v>0</v>
      </c>
      <c r="H1072" s="19" t="s">
        <v>306</v>
      </c>
      <c r="I1072" s="19" t="s">
        <v>216</v>
      </c>
      <c r="J1072" s="19" t="s">
        <v>217</v>
      </c>
      <c r="K1072" s="18">
        <v>46084.667199074072</v>
      </c>
    </row>
    <row r="1073" spans="1:11" x14ac:dyDescent="0.25">
      <c r="A1073" s="16" t="s">
        <v>1524</v>
      </c>
      <c r="B1073" s="20">
        <v>46062</v>
      </c>
      <c r="C1073" s="16">
        <v>2</v>
      </c>
      <c r="D1073" s="19" t="s">
        <v>41</v>
      </c>
      <c r="E1073" s="19" t="s">
        <v>453</v>
      </c>
      <c r="G1073" s="19">
        <v>0</v>
      </c>
      <c r="H1073" s="19" t="s">
        <v>306</v>
      </c>
      <c r="I1073" s="19" t="s">
        <v>246</v>
      </c>
      <c r="J1073" s="19" t="s">
        <v>217</v>
      </c>
      <c r="K1073" s="18">
        <v>46084.667361111111</v>
      </c>
    </row>
    <row r="1074" spans="1:11" x14ac:dyDescent="0.25">
      <c r="A1074" s="16" t="s">
        <v>1525</v>
      </c>
      <c r="B1074" s="20">
        <v>46063</v>
      </c>
      <c r="C1074" s="16">
        <v>2</v>
      </c>
      <c r="D1074" s="19" t="s">
        <v>41</v>
      </c>
      <c r="E1074" s="19" t="s">
        <v>453</v>
      </c>
      <c r="G1074" s="19">
        <v>0</v>
      </c>
      <c r="H1074" s="19" t="s">
        <v>306</v>
      </c>
      <c r="I1074" s="19" t="s">
        <v>216</v>
      </c>
      <c r="J1074" s="19" t="s">
        <v>217</v>
      </c>
      <c r="K1074" s="18">
        <v>46084.667557870373</v>
      </c>
    </row>
    <row r="1075" spans="1:11" x14ac:dyDescent="0.25">
      <c r="A1075" s="16" t="s">
        <v>1526</v>
      </c>
      <c r="B1075" s="20">
        <v>46063</v>
      </c>
      <c r="C1075" s="16">
        <v>2</v>
      </c>
      <c r="D1075" s="19" t="s">
        <v>41</v>
      </c>
      <c r="E1075" s="19" t="s">
        <v>453</v>
      </c>
      <c r="G1075" s="19">
        <v>1</v>
      </c>
      <c r="H1075" s="19" t="s">
        <v>306</v>
      </c>
      <c r="I1075" s="19" t="s">
        <v>246</v>
      </c>
      <c r="J1075" s="19" t="s">
        <v>217</v>
      </c>
      <c r="K1075" s="18">
        <v>46084.667708333334</v>
      </c>
    </row>
    <row r="1076" spans="1:11" x14ac:dyDescent="0.25">
      <c r="A1076" s="16" t="s">
        <v>1527</v>
      </c>
      <c r="B1076" s="20">
        <v>46063</v>
      </c>
      <c r="C1076" s="16">
        <v>2</v>
      </c>
      <c r="D1076" s="19" t="s">
        <v>41</v>
      </c>
      <c r="E1076" s="19" t="s">
        <v>453</v>
      </c>
      <c r="G1076" s="19">
        <v>0</v>
      </c>
      <c r="H1076" s="19" t="s">
        <v>306</v>
      </c>
      <c r="I1076" s="19" t="s">
        <v>246</v>
      </c>
      <c r="J1076" s="19" t="s">
        <v>217</v>
      </c>
      <c r="K1076" s="18">
        <v>46084.667881944442</v>
      </c>
    </row>
    <row r="1077" spans="1:11" x14ac:dyDescent="0.25">
      <c r="A1077" s="16" t="s">
        <v>1528</v>
      </c>
      <c r="B1077" s="20">
        <v>46063</v>
      </c>
      <c r="C1077" s="16">
        <v>2</v>
      </c>
      <c r="D1077" s="19" t="s">
        <v>41</v>
      </c>
      <c r="E1077" s="19" t="s">
        <v>453</v>
      </c>
      <c r="G1077" s="19">
        <v>0</v>
      </c>
      <c r="H1077" s="19" t="s">
        <v>306</v>
      </c>
      <c r="I1077" s="19" t="s">
        <v>246</v>
      </c>
      <c r="J1077" s="19" t="s">
        <v>217</v>
      </c>
      <c r="K1077" s="18">
        <v>46084.667986111112</v>
      </c>
    </row>
    <row r="1078" spans="1:11" x14ac:dyDescent="0.25">
      <c r="A1078" s="16" t="s">
        <v>1529</v>
      </c>
      <c r="B1078" s="20">
        <v>46065</v>
      </c>
      <c r="C1078" s="16">
        <v>2</v>
      </c>
      <c r="D1078" s="19" t="s">
        <v>41</v>
      </c>
      <c r="E1078" s="19" t="s">
        <v>453</v>
      </c>
      <c r="G1078" s="19">
        <v>0</v>
      </c>
      <c r="H1078" s="19" t="s">
        <v>306</v>
      </c>
      <c r="I1078" s="19" t="s">
        <v>246</v>
      </c>
      <c r="J1078" s="19" t="s">
        <v>217</v>
      </c>
      <c r="K1078" s="18">
        <v>46084.668194444443</v>
      </c>
    </row>
    <row r="1079" spans="1:11" x14ac:dyDescent="0.25">
      <c r="A1079" s="16" t="s">
        <v>1530</v>
      </c>
      <c r="B1079" s="20">
        <v>46065</v>
      </c>
      <c r="C1079" s="16">
        <v>2</v>
      </c>
      <c r="D1079" s="19" t="s">
        <v>41</v>
      </c>
      <c r="E1079" s="19" t="s">
        <v>453</v>
      </c>
      <c r="G1079" s="19">
        <v>1</v>
      </c>
      <c r="H1079" s="19" t="s">
        <v>306</v>
      </c>
      <c r="I1079" s="19" t="s">
        <v>246</v>
      </c>
      <c r="J1079" s="19" t="s">
        <v>217</v>
      </c>
      <c r="K1079" s="18">
        <v>46084.668275462966</v>
      </c>
    </row>
    <row r="1080" spans="1:11" x14ac:dyDescent="0.25">
      <c r="A1080" s="16" t="s">
        <v>1531</v>
      </c>
      <c r="B1080" s="20">
        <v>46065</v>
      </c>
      <c r="C1080" s="16">
        <v>2</v>
      </c>
      <c r="D1080" s="19" t="s">
        <v>41</v>
      </c>
      <c r="E1080" s="19" t="s">
        <v>453</v>
      </c>
      <c r="G1080" s="19">
        <v>0</v>
      </c>
      <c r="H1080" s="19" t="s">
        <v>306</v>
      </c>
      <c r="I1080" s="19" t="s">
        <v>216</v>
      </c>
      <c r="J1080" s="19" t="s">
        <v>217</v>
      </c>
      <c r="K1080" s="18">
        <v>46084.668368055558</v>
      </c>
    </row>
    <row r="1081" spans="1:11" x14ac:dyDescent="0.25">
      <c r="A1081" s="16" t="s">
        <v>1532</v>
      </c>
      <c r="B1081" s="20">
        <v>46065</v>
      </c>
      <c r="C1081" s="16">
        <v>2</v>
      </c>
      <c r="D1081" s="19" t="s">
        <v>41</v>
      </c>
      <c r="E1081" s="19" t="s">
        <v>453</v>
      </c>
      <c r="G1081" s="19">
        <v>1</v>
      </c>
      <c r="H1081" s="19" t="s">
        <v>306</v>
      </c>
      <c r="I1081" s="19" t="s">
        <v>246</v>
      </c>
      <c r="J1081" s="19" t="s">
        <v>217</v>
      </c>
      <c r="K1081" s="18">
        <v>46084.66846064815</v>
      </c>
    </row>
    <row r="1082" spans="1:11" x14ac:dyDescent="0.25">
      <c r="A1082" s="16" t="s">
        <v>1533</v>
      </c>
      <c r="B1082" s="20">
        <v>46066</v>
      </c>
      <c r="C1082" s="16">
        <v>2</v>
      </c>
      <c r="D1082" s="19" t="s">
        <v>41</v>
      </c>
      <c r="E1082" s="19" t="s">
        <v>453</v>
      </c>
      <c r="G1082" s="19">
        <v>1</v>
      </c>
      <c r="H1082" s="19" t="s">
        <v>306</v>
      </c>
      <c r="I1082" s="19" t="s">
        <v>246</v>
      </c>
      <c r="J1082" s="19" t="s">
        <v>217</v>
      </c>
      <c r="K1082" s="18">
        <v>46084.668680555558</v>
      </c>
    </row>
    <row r="1083" spans="1:11" x14ac:dyDescent="0.25">
      <c r="A1083" s="16" t="s">
        <v>1534</v>
      </c>
      <c r="B1083" s="20">
        <v>46067</v>
      </c>
      <c r="C1083" s="16">
        <v>2</v>
      </c>
      <c r="D1083" s="19" t="s">
        <v>41</v>
      </c>
      <c r="E1083" s="19" t="s">
        <v>453</v>
      </c>
      <c r="G1083" s="19">
        <v>0</v>
      </c>
      <c r="H1083" s="19" t="s">
        <v>306</v>
      </c>
      <c r="I1083" s="19" t="s">
        <v>246</v>
      </c>
      <c r="J1083" s="19" t="s">
        <v>217</v>
      </c>
      <c r="K1083" s="18">
        <v>46084.668888888889</v>
      </c>
    </row>
    <row r="1084" spans="1:11" x14ac:dyDescent="0.25">
      <c r="A1084" s="16" t="s">
        <v>1535</v>
      </c>
      <c r="B1084" s="20">
        <v>46068</v>
      </c>
      <c r="C1084" s="16">
        <v>2</v>
      </c>
      <c r="D1084" s="19" t="s">
        <v>41</v>
      </c>
      <c r="E1084" s="19" t="s">
        <v>453</v>
      </c>
      <c r="G1084" s="19">
        <v>0</v>
      </c>
      <c r="H1084" s="19" t="s">
        <v>306</v>
      </c>
      <c r="I1084" s="19" t="s">
        <v>246</v>
      </c>
      <c r="J1084" s="19" t="s">
        <v>217</v>
      </c>
      <c r="K1084" s="18">
        <v>46084.66909722222</v>
      </c>
    </row>
    <row r="1085" spans="1:11" x14ac:dyDescent="0.25">
      <c r="A1085" s="16" t="s">
        <v>1536</v>
      </c>
      <c r="B1085" s="20">
        <v>46068</v>
      </c>
      <c r="C1085" s="16">
        <v>2</v>
      </c>
      <c r="D1085" s="19" t="s">
        <v>41</v>
      </c>
      <c r="E1085" s="19" t="s">
        <v>453</v>
      </c>
      <c r="G1085" s="19">
        <v>0</v>
      </c>
      <c r="H1085" s="19" t="s">
        <v>306</v>
      </c>
      <c r="I1085" s="19" t="s">
        <v>216</v>
      </c>
      <c r="J1085" s="19" t="s">
        <v>217</v>
      </c>
      <c r="K1085" s="18">
        <v>46084.66920138889</v>
      </c>
    </row>
    <row r="1086" spans="1:11" x14ac:dyDescent="0.25">
      <c r="A1086" s="16" t="s">
        <v>1537</v>
      </c>
      <c r="B1086" s="20">
        <v>46069</v>
      </c>
      <c r="C1086" s="16">
        <v>2</v>
      </c>
      <c r="D1086" s="19" t="s">
        <v>41</v>
      </c>
      <c r="E1086" s="19" t="s">
        <v>453</v>
      </c>
      <c r="G1086" s="19">
        <v>0</v>
      </c>
      <c r="H1086" s="19" t="s">
        <v>306</v>
      </c>
      <c r="I1086" s="19" t="s">
        <v>246</v>
      </c>
      <c r="J1086" s="19" t="s">
        <v>217</v>
      </c>
      <c r="K1086" s="18">
        <v>46084.669374999998</v>
      </c>
    </row>
    <row r="1087" spans="1:11" x14ac:dyDescent="0.25">
      <c r="A1087" s="16" t="s">
        <v>1538</v>
      </c>
      <c r="B1087" s="20">
        <v>46069</v>
      </c>
      <c r="C1087" s="16">
        <v>2</v>
      </c>
      <c r="D1087" s="19" t="s">
        <v>41</v>
      </c>
      <c r="E1087" s="19" t="s">
        <v>453</v>
      </c>
      <c r="G1087" s="19">
        <v>6</v>
      </c>
      <c r="H1087" s="19" t="s">
        <v>306</v>
      </c>
      <c r="I1087" s="19" t="s">
        <v>246</v>
      </c>
      <c r="J1087" s="19" t="s">
        <v>217</v>
      </c>
      <c r="K1087" s="18">
        <v>46084.669479166667</v>
      </c>
    </row>
    <row r="1088" spans="1:11" x14ac:dyDescent="0.25">
      <c r="A1088" s="16" t="s">
        <v>1539</v>
      </c>
      <c r="B1088" s="20">
        <v>46069</v>
      </c>
      <c r="C1088" s="16">
        <v>2</v>
      </c>
      <c r="D1088" s="19" t="s">
        <v>41</v>
      </c>
      <c r="E1088" s="19" t="s">
        <v>453</v>
      </c>
      <c r="G1088" s="19">
        <v>0</v>
      </c>
      <c r="H1088" s="19" t="s">
        <v>306</v>
      </c>
      <c r="I1088" s="19" t="s">
        <v>246</v>
      </c>
      <c r="J1088" s="19" t="s">
        <v>217</v>
      </c>
      <c r="K1088" s="18">
        <v>46084.669641203705</v>
      </c>
    </row>
    <row r="1089" spans="1:11" x14ac:dyDescent="0.25">
      <c r="A1089" s="16" t="s">
        <v>1540</v>
      </c>
      <c r="B1089" s="20">
        <v>46069</v>
      </c>
      <c r="C1089" s="16">
        <v>2</v>
      </c>
      <c r="D1089" s="19" t="s">
        <v>41</v>
      </c>
      <c r="E1089" s="19" t="s">
        <v>453</v>
      </c>
      <c r="G1089" s="19">
        <v>0</v>
      </c>
      <c r="H1089" s="19" t="s">
        <v>306</v>
      </c>
      <c r="I1089" s="19" t="s">
        <v>246</v>
      </c>
      <c r="J1089" s="19" t="s">
        <v>217</v>
      </c>
      <c r="K1089" s="18">
        <v>46084.669745370367</v>
      </c>
    </row>
    <row r="1090" spans="1:11" x14ac:dyDescent="0.25">
      <c r="A1090" s="16" t="s">
        <v>1541</v>
      </c>
      <c r="B1090" s="20">
        <v>46070</v>
      </c>
      <c r="C1090" s="16">
        <v>2</v>
      </c>
      <c r="D1090" s="19" t="s">
        <v>41</v>
      </c>
      <c r="E1090" s="19" t="s">
        <v>453</v>
      </c>
      <c r="G1090" s="19">
        <v>0</v>
      </c>
      <c r="H1090" s="19" t="s">
        <v>306</v>
      </c>
      <c r="I1090" s="19" t="s">
        <v>246</v>
      </c>
      <c r="J1090" s="19" t="s">
        <v>217</v>
      </c>
      <c r="K1090" s="18">
        <v>46084.669895833336</v>
      </c>
    </row>
    <row r="1091" spans="1:11" x14ac:dyDescent="0.25">
      <c r="A1091" s="16" t="s">
        <v>1542</v>
      </c>
      <c r="B1091" s="20">
        <v>46072</v>
      </c>
      <c r="C1091" s="16">
        <v>2</v>
      </c>
      <c r="D1091" s="19" t="s">
        <v>41</v>
      </c>
      <c r="E1091" s="19" t="s">
        <v>453</v>
      </c>
      <c r="G1091" s="19">
        <v>0</v>
      </c>
      <c r="H1091" s="19" t="s">
        <v>306</v>
      </c>
      <c r="I1091" s="19" t="s">
        <v>216</v>
      </c>
      <c r="J1091" s="19" t="s">
        <v>217</v>
      </c>
      <c r="K1091" s="18">
        <v>46084.67019675926</v>
      </c>
    </row>
    <row r="1092" spans="1:11" x14ac:dyDescent="0.25">
      <c r="A1092" s="16" t="s">
        <v>1543</v>
      </c>
      <c r="B1092" s="20">
        <v>46072</v>
      </c>
      <c r="C1092" s="16">
        <v>2</v>
      </c>
      <c r="D1092" s="19" t="s">
        <v>41</v>
      </c>
      <c r="E1092" s="19" t="s">
        <v>453</v>
      </c>
      <c r="G1092" s="19">
        <v>0</v>
      </c>
      <c r="H1092" s="19" t="s">
        <v>306</v>
      </c>
      <c r="I1092" s="19" t="s">
        <v>246</v>
      </c>
      <c r="J1092" s="19" t="s">
        <v>217</v>
      </c>
      <c r="K1092" s="18">
        <v>46084.670289351852</v>
      </c>
    </row>
    <row r="1093" spans="1:11" x14ac:dyDescent="0.25">
      <c r="A1093" s="16" t="s">
        <v>1544</v>
      </c>
      <c r="B1093" s="20">
        <v>46072</v>
      </c>
      <c r="C1093" s="16">
        <v>2</v>
      </c>
      <c r="D1093" s="19" t="s">
        <v>41</v>
      </c>
      <c r="E1093" s="19" t="s">
        <v>453</v>
      </c>
      <c r="G1093" s="19">
        <v>11</v>
      </c>
      <c r="H1093" s="19" t="s">
        <v>306</v>
      </c>
      <c r="I1093" s="19" t="s">
        <v>216</v>
      </c>
      <c r="J1093" s="19" t="s">
        <v>217</v>
      </c>
      <c r="K1093" s="18">
        <v>46084.670451388891</v>
      </c>
    </row>
    <row r="1094" spans="1:11" x14ac:dyDescent="0.25">
      <c r="A1094" s="16" t="s">
        <v>1545</v>
      </c>
      <c r="B1094" s="20">
        <v>46073</v>
      </c>
      <c r="C1094" s="16">
        <v>2</v>
      </c>
      <c r="D1094" s="19" t="s">
        <v>41</v>
      </c>
      <c r="E1094" s="19" t="s">
        <v>453</v>
      </c>
      <c r="G1094" s="19">
        <v>8</v>
      </c>
      <c r="H1094" s="19" t="s">
        <v>306</v>
      </c>
      <c r="I1094" s="19" t="s">
        <v>246</v>
      </c>
      <c r="J1094" s="19" t="s">
        <v>217</v>
      </c>
      <c r="K1094" s="18">
        <v>46084.670671296299</v>
      </c>
    </row>
    <row r="1095" spans="1:11" x14ac:dyDescent="0.25">
      <c r="A1095" s="16" t="s">
        <v>1546</v>
      </c>
      <c r="B1095" s="20">
        <v>46073</v>
      </c>
      <c r="C1095" s="16">
        <v>2</v>
      </c>
      <c r="D1095" s="19" t="s">
        <v>41</v>
      </c>
      <c r="E1095" s="19" t="s">
        <v>453</v>
      </c>
      <c r="G1095" s="19">
        <v>8</v>
      </c>
      <c r="H1095" s="19" t="s">
        <v>306</v>
      </c>
      <c r="I1095" s="19" t="s">
        <v>216</v>
      </c>
      <c r="J1095" s="19" t="s">
        <v>217</v>
      </c>
      <c r="K1095" s="18">
        <v>46084.670844907407</v>
      </c>
    </row>
    <row r="1096" spans="1:11" x14ac:dyDescent="0.25">
      <c r="A1096" s="16" t="s">
        <v>1547</v>
      </c>
      <c r="B1096" s="20">
        <v>46073</v>
      </c>
      <c r="C1096" s="16">
        <v>2</v>
      </c>
      <c r="D1096" s="19" t="s">
        <v>41</v>
      </c>
      <c r="E1096" s="19" t="s">
        <v>453</v>
      </c>
      <c r="G1096" s="19">
        <v>0</v>
      </c>
      <c r="H1096" s="19" t="s">
        <v>306</v>
      </c>
      <c r="I1096" s="19" t="s">
        <v>216</v>
      </c>
      <c r="J1096" s="19" t="s">
        <v>217</v>
      </c>
      <c r="K1096" s="18">
        <v>46084.670949074076</v>
      </c>
    </row>
    <row r="1097" spans="1:11" x14ac:dyDescent="0.25">
      <c r="A1097" s="16" t="s">
        <v>1548</v>
      </c>
      <c r="B1097" s="20">
        <v>46074</v>
      </c>
      <c r="C1097" s="16">
        <v>2</v>
      </c>
      <c r="D1097" s="19" t="s">
        <v>41</v>
      </c>
      <c r="E1097" s="19" t="s">
        <v>453</v>
      </c>
      <c r="G1097" s="19">
        <v>0</v>
      </c>
      <c r="H1097" s="19" t="s">
        <v>306</v>
      </c>
      <c r="I1097" s="19" t="s">
        <v>246</v>
      </c>
      <c r="J1097" s="19" t="s">
        <v>217</v>
      </c>
      <c r="K1097" s="18">
        <v>46084.671134259261</v>
      </c>
    </row>
    <row r="1098" spans="1:11" x14ac:dyDescent="0.25">
      <c r="A1098" s="16" t="s">
        <v>1549</v>
      </c>
      <c r="B1098" s="20">
        <v>46074</v>
      </c>
      <c r="C1098" s="16">
        <v>2</v>
      </c>
      <c r="D1098" s="19" t="s">
        <v>41</v>
      </c>
      <c r="E1098" s="19" t="s">
        <v>453</v>
      </c>
      <c r="G1098" s="19">
        <v>2</v>
      </c>
      <c r="H1098" s="19" t="s">
        <v>306</v>
      </c>
      <c r="I1098" s="19" t="s">
        <v>246</v>
      </c>
      <c r="J1098" s="19" t="s">
        <v>217</v>
      </c>
      <c r="K1098" s="18">
        <v>46084.671377314815</v>
      </c>
    </row>
    <row r="1099" spans="1:11" x14ac:dyDescent="0.25">
      <c r="A1099" s="16" t="s">
        <v>1550</v>
      </c>
      <c r="B1099" s="20">
        <v>46076</v>
      </c>
      <c r="C1099" s="16">
        <v>2</v>
      </c>
      <c r="D1099" s="19" t="s">
        <v>41</v>
      </c>
      <c r="E1099" s="19" t="s">
        <v>453</v>
      </c>
      <c r="G1099" s="19">
        <v>8</v>
      </c>
      <c r="H1099" s="19" t="s">
        <v>306</v>
      </c>
      <c r="I1099" s="19" t="s">
        <v>246</v>
      </c>
      <c r="J1099" s="19" t="s">
        <v>217</v>
      </c>
      <c r="K1099" s="18">
        <v>46084.671701388892</v>
      </c>
    </row>
    <row r="1100" spans="1:11" x14ac:dyDescent="0.25">
      <c r="A1100" s="16" t="s">
        <v>1551</v>
      </c>
      <c r="B1100" s="20">
        <v>46076</v>
      </c>
      <c r="C1100" s="16">
        <v>2</v>
      </c>
      <c r="D1100" s="19" t="s">
        <v>41</v>
      </c>
      <c r="E1100" s="19" t="s">
        <v>453</v>
      </c>
      <c r="G1100" s="19">
        <v>8</v>
      </c>
      <c r="H1100" s="19" t="s">
        <v>306</v>
      </c>
      <c r="I1100" s="19" t="s">
        <v>216</v>
      </c>
      <c r="J1100" s="19" t="s">
        <v>217</v>
      </c>
      <c r="K1100" s="18">
        <v>46084.671875</v>
      </c>
    </row>
    <row r="1101" spans="1:11" x14ac:dyDescent="0.25">
      <c r="A1101" s="16" t="s">
        <v>1552</v>
      </c>
      <c r="B1101" s="20">
        <v>46076</v>
      </c>
      <c r="C1101" s="16">
        <v>2</v>
      </c>
      <c r="D1101" s="19" t="s">
        <v>41</v>
      </c>
      <c r="E1101" s="19" t="s">
        <v>453</v>
      </c>
      <c r="G1101" s="19">
        <v>14</v>
      </c>
      <c r="H1101" s="19" t="s">
        <v>306</v>
      </c>
      <c r="I1101" s="19" t="s">
        <v>246</v>
      </c>
      <c r="J1101" s="19" t="s">
        <v>217</v>
      </c>
      <c r="K1101" s="18">
        <v>46084.671979166669</v>
      </c>
    </row>
    <row r="1102" spans="1:11" x14ac:dyDescent="0.25">
      <c r="A1102" s="16" t="s">
        <v>1553</v>
      </c>
      <c r="B1102" s="20">
        <v>46076</v>
      </c>
      <c r="C1102" s="16">
        <v>2</v>
      </c>
      <c r="D1102" s="19" t="s">
        <v>41</v>
      </c>
      <c r="E1102" s="19" t="s">
        <v>453</v>
      </c>
      <c r="G1102" s="19">
        <v>7</v>
      </c>
      <c r="H1102" s="19" t="s">
        <v>306</v>
      </c>
      <c r="I1102" s="19" t="s">
        <v>246</v>
      </c>
      <c r="J1102" s="19" t="s">
        <v>217</v>
      </c>
      <c r="K1102" s="18">
        <v>46084.672083333331</v>
      </c>
    </row>
    <row r="1103" spans="1:11" x14ac:dyDescent="0.25">
      <c r="A1103" s="16" t="s">
        <v>1554</v>
      </c>
      <c r="B1103" s="20">
        <v>46078</v>
      </c>
      <c r="C1103" s="16">
        <v>2</v>
      </c>
      <c r="D1103" s="19" t="s">
        <v>41</v>
      </c>
      <c r="E1103" s="19" t="s">
        <v>453</v>
      </c>
      <c r="G1103" s="19">
        <v>0</v>
      </c>
      <c r="H1103" s="19" t="s">
        <v>306</v>
      </c>
      <c r="I1103" s="19" t="s">
        <v>216</v>
      </c>
      <c r="J1103" s="19" t="s">
        <v>217</v>
      </c>
      <c r="K1103" s="18">
        <v>46084.672442129631</v>
      </c>
    </row>
    <row r="1104" spans="1:11" x14ac:dyDescent="0.25">
      <c r="A1104" s="16" t="s">
        <v>1555</v>
      </c>
      <c r="B1104" s="20">
        <v>46078</v>
      </c>
      <c r="C1104" s="16">
        <v>2</v>
      </c>
      <c r="D1104" s="19" t="s">
        <v>41</v>
      </c>
      <c r="E1104" s="19" t="s">
        <v>453</v>
      </c>
      <c r="G1104" s="19">
        <v>0</v>
      </c>
      <c r="H1104" s="19" t="s">
        <v>306</v>
      </c>
      <c r="I1104" s="19" t="s">
        <v>216</v>
      </c>
      <c r="J1104" s="19" t="s">
        <v>217</v>
      </c>
      <c r="K1104" s="18">
        <v>46084.672500000001</v>
      </c>
    </row>
    <row r="1105" spans="1:11" x14ac:dyDescent="0.25">
      <c r="A1105" s="16" t="s">
        <v>1556</v>
      </c>
      <c r="B1105" s="20">
        <v>46078</v>
      </c>
      <c r="C1105" s="16">
        <v>2</v>
      </c>
      <c r="D1105" s="19" t="s">
        <v>41</v>
      </c>
      <c r="E1105" s="19" t="s">
        <v>453</v>
      </c>
      <c r="G1105" s="19">
        <v>0</v>
      </c>
      <c r="H1105" s="19" t="s">
        <v>306</v>
      </c>
      <c r="I1105" s="19" t="s">
        <v>216</v>
      </c>
      <c r="J1105" s="19" t="s">
        <v>217</v>
      </c>
      <c r="K1105" s="18">
        <v>46084.672569444447</v>
      </c>
    </row>
    <row r="1106" spans="1:11" x14ac:dyDescent="0.25">
      <c r="A1106" s="16" t="s">
        <v>1557</v>
      </c>
      <c r="B1106" s="20">
        <v>46078</v>
      </c>
      <c r="C1106" s="16">
        <v>2</v>
      </c>
      <c r="D1106" s="19" t="s">
        <v>41</v>
      </c>
      <c r="E1106" s="19" t="s">
        <v>453</v>
      </c>
      <c r="G1106" s="19">
        <v>0</v>
      </c>
      <c r="H1106" s="19" t="s">
        <v>306</v>
      </c>
      <c r="I1106" s="19" t="s">
        <v>216</v>
      </c>
      <c r="J1106" s="19" t="s">
        <v>217</v>
      </c>
      <c r="K1106" s="18">
        <v>46084.672673611109</v>
      </c>
    </row>
    <row r="1107" spans="1:11" x14ac:dyDescent="0.25">
      <c r="A1107" s="16" t="s">
        <v>1558</v>
      </c>
      <c r="B1107" s="20">
        <v>46079</v>
      </c>
      <c r="C1107" s="16">
        <v>2</v>
      </c>
      <c r="D1107" s="19" t="s">
        <v>41</v>
      </c>
      <c r="E1107" s="19" t="s">
        <v>453</v>
      </c>
      <c r="G1107" s="19">
        <v>16</v>
      </c>
      <c r="H1107" s="19" t="s">
        <v>306</v>
      </c>
      <c r="I1107" s="19" t="s">
        <v>246</v>
      </c>
      <c r="J1107" s="19" t="s">
        <v>217</v>
      </c>
      <c r="K1107" s="18">
        <v>46084.672858796293</v>
      </c>
    </row>
    <row r="1108" spans="1:11" x14ac:dyDescent="0.25">
      <c r="A1108" s="16" t="s">
        <v>1559</v>
      </c>
      <c r="B1108" s="20">
        <v>46079</v>
      </c>
      <c r="C1108" s="16">
        <v>2</v>
      </c>
      <c r="D1108" s="19" t="s">
        <v>41</v>
      </c>
      <c r="E1108" s="19" t="s">
        <v>453</v>
      </c>
      <c r="G1108" s="19">
        <v>0</v>
      </c>
      <c r="H1108" s="19" t="s">
        <v>306</v>
      </c>
      <c r="I1108" s="19" t="s">
        <v>216</v>
      </c>
      <c r="J1108" s="19" t="s">
        <v>217</v>
      </c>
      <c r="K1108" s="18">
        <v>46084.672986111109</v>
      </c>
    </row>
    <row r="1109" spans="1:11" x14ac:dyDescent="0.25">
      <c r="A1109" s="16" t="s">
        <v>1560</v>
      </c>
      <c r="B1109" s="20">
        <v>46080</v>
      </c>
      <c r="C1109" s="16">
        <v>2</v>
      </c>
      <c r="D1109" s="19" t="s">
        <v>41</v>
      </c>
      <c r="E1109" s="19" t="s">
        <v>453</v>
      </c>
      <c r="G1109" s="19">
        <v>9</v>
      </c>
      <c r="H1109" s="19" t="s">
        <v>306</v>
      </c>
      <c r="I1109" s="19" t="s">
        <v>246</v>
      </c>
      <c r="J1109" s="19" t="s">
        <v>217</v>
      </c>
      <c r="K1109" s="18">
        <v>46084.673449074071</v>
      </c>
    </row>
    <row r="1110" spans="1:11" x14ac:dyDescent="0.25">
      <c r="A1110" s="16" t="s">
        <v>1561</v>
      </c>
      <c r="B1110" s="20">
        <v>46080</v>
      </c>
      <c r="C1110" s="16">
        <v>2</v>
      </c>
      <c r="D1110" s="19" t="s">
        <v>41</v>
      </c>
      <c r="E1110" s="19" t="s">
        <v>453</v>
      </c>
      <c r="G1110" s="19">
        <v>4</v>
      </c>
      <c r="H1110" s="19" t="s">
        <v>306</v>
      </c>
      <c r="I1110" s="19" t="s">
        <v>246</v>
      </c>
      <c r="J1110" s="19" t="s">
        <v>217</v>
      </c>
      <c r="K1110" s="18">
        <v>46084.673541666663</v>
      </c>
    </row>
    <row r="1111" spans="1:11" x14ac:dyDescent="0.25">
      <c r="A1111" s="16" t="s">
        <v>1562</v>
      </c>
      <c r="B1111" s="20">
        <v>46080</v>
      </c>
      <c r="C1111" s="16">
        <v>2</v>
      </c>
      <c r="D1111" s="19" t="s">
        <v>41</v>
      </c>
      <c r="E1111" s="19" t="s">
        <v>453</v>
      </c>
      <c r="G1111" s="19">
        <v>0</v>
      </c>
      <c r="H1111" s="19" t="s">
        <v>306</v>
      </c>
      <c r="I1111" s="19" t="s">
        <v>246</v>
      </c>
      <c r="J1111" s="19" t="s">
        <v>217</v>
      </c>
      <c r="K1111" s="18">
        <v>46084.673668981479</v>
      </c>
    </row>
    <row r="1112" spans="1:11" x14ac:dyDescent="0.25">
      <c r="A1112" s="16" t="s">
        <v>1563</v>
      </c>
      <c r="B1112" s="20">
        <v>46081</v>
      </c>
      <c r="C1112" s="16">
        <v>2</v>
      </c>
      <c r="D1112" s="19" t="s">
        <v>41</v>
      </c>
      <c r="E1112" s="19" t="s">
        <v>453</v>
      </c>
      <c r="G1112" s="19">
        <v>0</v>
      </c>
      <c r="H1112" s="19" t="s">
        <v>306</v>
      </c>
      <c r="I1112" s="19" t="s">
        <v>216</v>
      </c>
      <c r="J1112" s="19" t="s">
        <v>217</v>
      </c>
      <c r="K1112" s="18">
        <v>46084.67391203704</v>
      </c>
    </row>
    <row r="1113" spans="1:11" x14ac:dyDescent="0.25">
      <c r="A1113" s="16" t="s">
        <v>1564</v>
      </c>
      <c r="B1113" s="20">
        <v>46055</v>
      </c>
      <c r="C1113" s="16">
        <v>2</v>
      </c>
      <c r="D1113" s="19" t="s">
        <v>33</v>
      </c>
      <c r="E1113" s="19" t="s">
        <v>453</v>
      </c>
      <c r="G1113" s="19">
        <v>1</v>
      </c>
      <c r="H1113" s="19" t="s">
        <v>215</v>
      </c>
      <c r="I1113" s="19" t="s">
        <v>216</v>
      </c>
      <c r="J1113" s="19" t="s">
        <v>217</v>
      </c>
      <c r="K1113" s="18">
        <v>46084.678472222222</v>
      </c>
    </row>
    <row r="1114" spans="1:11" x14ac:dyDescent="0.25">
      <c r="A1114" s="16" t="s">
        <v>1565</v>
      </c>
      <c r="B1114" s="20">
        <v>46055</v>
      </c>
      <c r="C1114" s="16">
        <v>2</v>
      </c>
      <c r="D1114" s="19" t="s">
        <v>33</v>
      </c>
      <c r="E1114" s="19" t="s">
        <v>453</v>
      </c>
      <c r="G1114" s="19">
        <v>5</v>
      </c>
      <c r="H1114" s="19" t="s">
        <v>215</v>
      </c>
      <c r="I1114" s="19" t="s">
        <v>216</v>
      </c>
      <c r="J1114" s="19" t="s">
        <v>217</v>
      </c>
      <c r="K1114" s="18">
        <v>46084.678518518522</v>
      </c>
    </row>
    <row r="1115" spans="1:11" x14ac:dyDescent="0.25">
      <c r="A1115" s="16" t="s">
        <v>1566</v>
      </c>
      <c r="B1115" s="20">
        <v>46056</v>
      </c>
      <c r="C1115" s="16">
        <v>2</v>
      </c>
      <c r="D1115" s="19" t="s">
        <v>33</v>
      </c>
      <c r="E1115" s="19" t="s">
        <v>453</v>
      </c>
      <c r="G1115" s="19">
        <v>2</v>
      </c>
      <c r="H1115" s="19" t="s">
        <v>215</v>
      </c>
      <c r="I1115" s="19" t="s">
        <v>246</v>
      </c>
      <c r="J1115" s="19" t="s">
        <v>217</v>
      </c>
      <c r="K1115" s="18">
        <v>46084.67863425926</v>
      </c>
    </row>
    <row r="1116" spans="1:11" x14ac:dyDescent="0.25">
      <c r="A1116" s="16" t="s">
        <v>1567</v>
      </c>
      <c r="B1116" s="20">
        <v>46056</v>
      </c>
      <c r="C1116" s="16">
        <v>2</v>
      </c>
      <c r="D1116" s="19" t="s">
        <v>33</v>
      </c>
      <c r="E1116" s="19" t="s">
        <v>453</v>
      </c>
      <c r="G1116" s="19">
        <v>2</v>
      </c>
      <c r="H1116" s="19" t="s">
        <v>215</v>
      </c>
      <c r="I1116" s="19" t="s">
        <v>246</v>
      </c>
      <c r="J1116" s="19" t="s">
        <v>217</v>
      </c>
      <c r="K1116" s="18">
        <v>46084.678703703707</v>
      </c>
    </row>
    <row r="1117" spans="1:11" x14ac:dyDescent="0.25">
      <c r="A1117" s="16" t="s">
        <v>1568</v>
      </c>
      <c r="B1117" s="20">
        <v>46056</v>
      </c>
      <c r="C1117" s="16">
        <v>2</v>
      </c>
      <c r="D1117" s="19" t="s">
        <v>33</v>
      </c>
      <c r="E1117" s="19" t="s">
        <v>453</v>
      </c>
      <c r="G1117" s="19">
        <v>10</v>
      </c>
      <c r="H1117" s="19" t="s">
        <v>215</v>
      </c>
      <c r="I1117" s="19" t="s">
        <v>246</v>
      </c>
      <c r="J1117" s="19" t="s">
        <v>217</v>
      </c>
      <c r="K1117" s="18">
        <v>46084.678796296299</v>
      </c>
    </row>
    <row r="1118" spans="1:11" x14ac:dyDescent="0.25">
      <c r="A1118" s="16" t="s">
        <v>1569</v>
      </c>
      <c r="B1118" s="20">
        <v>46056</v>
      </c>
      <c r="C1118" s="16">
        <v>2</v>
      </c>
      <c r="D1118" s="19" t="s">
        <v>33</v>
      </c>
      <c r="E1118" s="19" t="s">
        <v>453</v>
      </c>
      <c r="G1118" s="19">
        <v>8</v>
      </c>
      <c r="H1118" s="19" t="s">
        <v>215</v>
      </c>
      <c r="I1118" s="19" t="s">
        <v>246</v>
      </c>
      <c r="J1118" s="19" t="s">
        <v>217</v>
      </c>
      <c r="K1118" s="18">
        <v>46084.678900462961</v>
      </c>
    </row>
    <row r="1119" spans="1:11" x14ac:dyDescent="0.25">
      <c r="A1119" s="16" t="s">
        <v>1570</v>
      </c>
      <c r="B1119" s="20">
        <v>46056</v>
      </c>
      <c r="C1119" s="16">
        <v>2</v>
      </c>
      <c r="D1119" s="19" t="s">
        <v>33</v>
      </c>
      <c r="E1119" s="19" t="s">
        <v>453</v>
      </c>
      <c r="G1119" s="19">
        <v>2</v>
      </c>
      <c r="H1119" s="19" t="s">
        <v>215</v>
      </c>
      <c r="I1119" s="19" t="s">
        <v>246</v>
      </c>
      <c r="J1119" s="19" t="s">
        <v>217</v>
      </c>
      <c r="K1119" s="18">
        <v>46084.678923611114</v>
      </c>
    </row>
    <row r="1120" spans="1:11" x14ac:dyDescent="0.25">
      <c r="A1120" s="16" t="s">
        <v>1571</v>
      </c>
      <c r="B1120" s="20">
        <v>46056</v>
      </c>
      <c r="C1120" s="16">
        <v>2</v>
      </c>
      <c r="D1120" s="19" t="s">
        <v>33</v>
      </c>
      <c r="E1120" s="19" t="s">
        <v>453</v>
      </c>
      <c r="G1120" s="19">
        <v>10</v>
      </c>
      <c r="H1120" s="19" t="s">
        <v>215</v>
      </c>
      <c r="I1120" s="19" t="s">
        <v>216</v>
      </c>
      <c r="J1120" s="19" t="s">
        <v>217</v>
      </c>
      <c r="K1120" s="18">
        <v>46084.678981481484</v>
      </c>
    </row>
    <row r="1121" spans="1:11" x14ac:dyDescent="0.25">
      <c r="A1121" s="16" t="s">
        <v>1572</v>
      </c>
      <c r="B1121" s="20">
        <v>46056</v>
      </c>
      <c r="C1121" s="16">
        <v>2</v>
      </c>
      <c r="D1121" s="19" t="s">
        <v>33</v>
      </c>
      <c r="E1121" s="19" t="s">
        <v>453</v>
      </c>
      <c r="G1121" s="19">
        <v>7</v>
      </c>
      <c r="H1121" s="19" t="s">
        <v>427</v>
      </c>
      <c r="I1121" s="19" t="s">
        <v>216</v>
      </c>
      <c r="J1121" s="19" t="s">
        <v>217</v>
      </c>
      <c r="K1121" s="18">
        <v>46084.679155092592</v>
      </c>
    </row>
    <row r="1122" spans="1:11" x14ac:dyDescent="0.25">
      <c r="A1122" s="16" t="s">
        <v>1573</v>
      </c>
      <c r="B1122" s="20">
        <v>46057</v>
      </c>
      <c r="C1122" s="16">
        <v>2</v>
      </c>
      <c r="D1122" s="19" t="s">
        <v>33</v>
      </c>
      <c r="E1122" s="19" t="s">
        <v>453</v>
      </c>
      <c r="G1122" s="19">
        <v>2</v>
      </c>
      <c r="H1122" s="19" t="s">
        <v>215</v>
      </c>
      <c r="I1122" s="19" t="s">
        <v>246</v>
      </c>
      <c r="J1122" s="19" t="s">
        <v>217</v>
      </c>
      <c r="K1122" s="18">
        <v>46084.679571759261</v>
      </c>
    </row>
    <row r="1123" spans="1:11" x14ac:dyDescent="0.25">
      <c r="A1123" s="16" t="s">
        <v>1574</v>
      </c>
      <c r="B1123" s="20">
        <v>46057</v>
      </c>
      <c r="C1123" s="16">
        <v>2</v>
      </c>
      <c r="D1123" s="19" t="s">
        <v>33</v>
      </c>
      <c r="E1123" s="19" t="s">
        <v>453</v>
      </c>
      <c r="G1123" s="19">
        <v>2</v>
      </c>
      <c r="H1123" s="19" t="s">
        <v>215</v>
      </c>
      <c r="I1123" s="19" t="s">
        <v>246</v>
      </c>
      <c r="J1123" s="19" t="s">
        <v>217</v>
      </c>
      <c r="K1123" s="18">
        <v>46084.679606481484</v>
      </c>
    </row>
    <row r="1124" spans="1:11" x14ac:dyDescent="0.25">
      <c r="A1124" s="16" t="s">
        <v>1575</v>
      </c>
      <c r="B1124" s="20">
        <v>46057</v>
      </c>
      <c r="C1124" s="16">
        <v>2</v>
      </c>
      <c r="D1124" s="19" t="s">
        <v>33</v>
      </c>
      <c r="E1124" s="19" t="s">
        <v>453</v>
      </c>
      <c r="G1124" s="19">
        <v>12</v>
      </c>
      <c r="H1124" s="19" t="s">
        <v>215</v>
      </c>
      <c r="I1124" s="19" t="s">
        <v>246</v>
      </c>
      <c r="J1124" s="19" t="s">
        <v>217</v>
      </c>
      <c r="K1124" s="18">
        <v>46084.679629629631</v>
      </c>
    </row>
    <row r="1125" spans="1:11" x14ac:dyDescent="0.25">
      <c r="A1125" s="16" t="s">
        <v>1576</v>
      </c>
      <c r="B1125" s="20">
        <v>46058</v>
      </c>
      <c r="C1125" s="16">
        <v>2</v>
      </c>
      <c r="D1125" s="19" t="s">
        <v>33</v>
      </c>
      <c r="E1125" s="19" t="s">
        <v>453</v>
      </c>
      <c r="G1125" s="19">
        <v>1</v>
      </c>
      <c r="H1125" s="19" t="s">
        <v>215</v>
      </c>
      <c r="I1125" s="19" t="s">
        <v>246</v>
      </c>
      <c r="J1125" s="19" t="s">
        <v>217</v>
      </c>
      <c r="K1125" s="18">
        <v>46084.679861111108</v>
      </c>
    </row>
    <row r="1126" spans="1:11" x14ac:dyDescent="0.25">
      <c r="A1126" s="16" t="s">
        <v>1577</v>
      </c>
      <c r="B1126" s="20">
        <v>46058</v>
      </c>
      <c r="C1126" s="16">
        <v>2</v>
      </c>
      <c r="D1126" s="19" t="s">
        <v>33</v>
      </c>
      <c r="E1126" s="19" t="s">
        <v>453</v>
      </c>
      <c r="G1126" s="19">
        <v>6</v>
      </c>
      <c r="H1126" s="19" t="s">
        <v>215</v>
      </c>
      <c r="I1126" s="19" t="s">
        <v>246</v>
      </c>
      <c r="J1126" s="19" t="s">
        <v>217</v>
      </c>
      <c r="K1126" s="18">
        <v>46084.679872685185</v>
      </c>
    </row>
    <row r="1127" spans="1:11" x14ac:dyDescent="0.25">
      <c r="A1127" s="16" t="s">
        <v>1578</v>
      </c>
      <c r="B1127" s="20">
        <v>46059</v>
      </c>
      <c r="C1127" s="16">
        <v>2</v>
      </c>
      <c r="D1127" s="19" t="s">
        <v>33</v>
      </c>
      <c r="E1127" s="19" t="s">
        <v>453</v>
      </c>
      <c r="G1127" s="19">
        <v>2</v>
      </c>
      <c r="H1127" s="19" t="s">
        <v>215</v>
      </c>
      <c r="I1127" s="19" t="s">
        <v>216</v>
      </c>
      <c r="J1127" s="19" t="s">
        <v>217</v>
      </c>
      <c r="K1127" s="18">
        <v>46084.680092592593</v>
      </c>
    </row>
    <row r="1128" spans="1:11" x14ac:dyDescent="0.25">
      <c r="A1128" s="16" t="s">
        <v>1579</v>
      </c>
      <c r="B1128" s="20">
        <v>46059</v>
      </c>
      <c r="C1128" s="16">
        <v>2</v>
      </c>
      <c r="D1128" s="19" t="s">
        <v>33</v>
      </c>
      <c r="E1128" s="19" t="s">
        <v>453</v>
      </c>
      <c r="G1128" s="19">
        <v>10</v>
      </c>
      <c r="H1128" s="19" t="s">
        <v>215</v>
      </c>
      <c r="I1128" s="19" t="s">
        <v>246</v>
      </c>
      <c r="J1128" s="19" t="s">
        <v>217</v>
      </c>
      <c r="K1128" s="18">
        <v>46084.680162037039</v>
      </c>
    </row>
    <row r="1129" spans="1:11" x14ac:dyDescent="0.25">
      <c r="A1129" s="16" t="s">
        <v>1580</v>
      </c>
      <c r="B1129" s="20">
        <v>46059</v>
      </c>
      <c r="C1129" s="16">
        <v>2</v>
      </c>
      <c r="D1129" s="19" t="s">
        <v>33</v>
      </c>
      <c r="E1129" s="19" t="s">
        <v>453</v>
      </c>
      <c r="G1129" s="19">
        <v>2</v>
      </c>
      <c r="H1129" s="19" t="s">
        <v>215</v>
      </c>
      <c r="I1129" s="19" t="s">
        <v>216</v>
      </c>
      <c r="J1129" s="19" t="s">
        <v>217</v>
      </c>
      <c r="K1129" s="18">
        <v>46084.680219907408</v>
      </c>
    </row>
    <row r="1130" spans="1:11" x14ac:dyDescent="0.25">
      <c r="A1130" s="16" t="s">
        <v>1581</v>
      </c>
      <c r="B1130" s="20">
        <v>46060</v>
      </c>
      <c r="C1130" s="16">
        <v>2</v>
      </c>
      <c r="D1130" s="19" t="s">
        <v>33</v>
      </c>
      <c r="E1130" s="19" t="s">
        <v>453</v>
      </c>
      <c r="G1130" s="19">
        <v>2</v>
      </c>
      <c r="H1130" s="19" t="s">
        <v>215</v>
      </c>
      <c r="I1130" s="19" t="s">
        <v>246</v>
      </c>
      <c r="J1130" s="19" t="s">
        <v>217</v>
      </c>
      <c r="K1130" s="18">
        <v>46084.680358796293</v>
      </c>
    </row>
    <row r="1131" spans="1:11" x14ac:dyDescent="0.25">
      <c r="A1131" s="16" t="s">
        <v>1582</v>
      </c>
      <c r="B1131" s="20">
        <v>46060</v>
      </c>
      <c r="C1131" s="16">
        <v>2</v>
      </c>
      <c r="D1131" s="19" t="s">
        <v>33</v>
      </c>
      <c r="E1131" s="19" t="s">
        <v>453</v>
      </c>
      <c r="G1131" s="19">
        <v>3</v>
      </c>
      <c r="H1131" s="19" t="s">
        <v>215</v>
      </c>
      <c r="I1131" s="19" t="s">
        <v>216</v>
      </c>
      <c r="J1131" s="19" t="s">
        <v>217</v>
      </c>
      <c r="K1131" s="18">
        <v>46084.680439814816</v>
      </c>
    </row>
    <row r="1132" spans="1:11" x14ac:dyDescent="0.25">
      <c r="A1132" s="16" t="s">
        <v>1583</v>
      </c>
      <c r="B1132" s="20">
        <v>46061</v>
      </c>
      <c r="C1132" s="16">
        <v>2</v>
      </c>
      <c r="D1132" s="19" t="s">
        <v>33</v>
      </c>
      <c r="E1132" s="19" t="s">
        <v>453</v>
      </c>
      <c r="G1132" s="19">
        <v>10</v>
      </c>
      <c r="H1132" s="19" t="s">
        <v>215</v>
      </c>
      <c r="I1132" s="19" t="s">
        <v>246</v>
      </c>
      <c r="J1132" s="19" t="s">
        <v>217</v>
      </c>
      <c r="K1132" s="18">
        <v>46084.680567129632</v>
      </c>
    </row>
    <row r="1133" spans="1:11" x14ac:dyDescent="0.25">
      <c r="A1133" s="16" t="s">
        <v>1584</v>
      </c>
      <c r="B1133" s="20">
        <v>46062</v>
      </c>
      <c r="C1133" s="16">
        <v>2</v>
      </c>
      <c r="D1133" s="19" t="s">
        <v>33</v>
      </c>
      <c r="E1133" s="19" t="s">
        <v>453</v>
      </c>
      <c r="G1133" s="19">
        <v>4</v>
      </c>
      <c r="H1133" s="19" t="s">
        <v>215</v>
      </c>
      <c r="I1133" s="19" t="s">
        <v>246</v>
      </c>
      <c r="J1133" s="19" t="s">
        <v>217</v>
      </c>
      <c r="K1133" s="18">
        <v>46084.680763888886</v>
      </c>
    </row>
    <row r="1134" spans="1:11" x14ac:dyDescent="0.25">
      <c r="A1134" s="16" t="s">
        <v>1585</v>
      </c>
      <c r="B1134" s="20">
        <v>46062</v>
      </c>
      <c r="C1134" s="16">
        <v>2</v>
      </c>
      <c r="D1134" s="19" t="s">
        <v>33</v>
      </c>
      <c r="E1134" s="19" t="s">
        <v>453</v>
      </c>
      <c r="G1134" s="19">
        <v>3</v>
      </c>
      <c r="H1134" s="19" t="s">
        <v>215</v>
      </c>
      <c r="I1134" s="19" t="s">
        <v>216</v>
      </c>
      <c r="J1134" s="19" t="s">
        <v>217</v>
      </c>
      <c r="K1134" s="18">
        <v>46084.680821759262</v>
      </c>
    </row>
    <row r="1135" spans="1:11" x14ac:dyDescent="0.25">
      <c r="A1135" s="16" t="s">
        <v>1586</v>
      </c>
      <c r="B1135" s="20">
        <v>46062</v>
      </c>
      <c r="C1135" s="16">
        <v>2</v>
      </c>
      <c r="D1135" s="19" t="s">
        <v>33</v>
      </c>
      <c r="E1135" s="19" t="s">
        <v>453</v>
      </c>
      <c r="G1135" s="19">
        <v>1</v>
      </c>
      <c r="H1135" s="19" t="s">
        <v>215</v>
      </c>
      <c r="I1135" s="19" t="s">
        <v>216</v>
      </c>
      <c r="J1135" s="19" t="s">
        <v>217</v>
      </c>
      <c r="K1135" s="18">
        <v>46084.680879629632</v>
      </c>
    </row>
    <row r="1136" spans="1:11" x14ac:dyDescent="0.25">
      <c r="A1136" s="16" t="s">
        <v>1587</v>
      </c>
      <c r="B1136" s="20">
        <v>46062</v>
      </c>
      <c r="C1136" s="16">
        <v>2</v>
      </c>
      <c r="D1136" s="19" t="s">
        <v>33</v>
      </c>
      <c r="E1136" s="19" t="s">
        <v>453</v>
      </c>
      <c r="G1136" s="19">
        <v>6</v>
      </c>
      <c r="H1136" s="19" t="s">
        <v>427</v>
      </c>
      <c r="I1136" s="19" t="s">
        <v>246</v>
      </c>
      <c r="J1136" s="19" t="s">
        <v>217</v>
      </c>
      <c r="K1136" s="18">
        <v>46084.680983796294</v>
      </c>
    </row>
    <row r="1137" spans="1:11" x14ac:dyDescent="0.25">
      <c r="A1137" s="16" t="s">
        <v>1588</v>
      </c>
      <c r="B1137" s="20">
        <v>46063</v>
      </c>
      <c r="C1137" s="16">
        <v>2</v>
      </c>
      <c r="D1137" s="19" t="s">
        <v>33</v>
      </c>
      <c r="E1137" s="19" t="s">
        <v>453</v>
      </c>
      <c r="G1137" s="19">
        <v>9</v>
      </c>
      <c r="H1137" s="19" t="s">
        <v>215</v>
      </c>
      <c r="I1137" s="19" t="s">
        <v>216</v>
      </c>
      <c r="J1137" s="19" t="s">
        <v>217</v>
      </c>
      <c r="K1137" s="18">
        <v>46084.68109953704</v>
      </c>
    </row>
    <row r="1138" spans="1:11" x14ac:dyDescent="0.25">
      <c r="A1138" s="16" t="s">
        <v>1589</v>
      </c>
      <c r="B1138" s="20">
        <v>46064</v>
      </c>
      <c r="C1138" s="16">
        <v>2</v>
      </c>
      <c r="D1138" s="19" t="s">
        <v>33</v>
      </c>
      <c r="E1138" s="19" t="s">
        <v>453</v>
      </c>
      <c r="G1138" s="19">
        <v>1</v>
      </c>
      <c r="H1138" s="19" t="s">
        <v>215</v>
      </c>
      <c r="I1138" s="19" t="s">
        <v>216</v>
      </c>
      <c r="J1138" s="19" t="s">
        <v>217</v>
      </c>
      <c r="K1138" s="18">
        <v>46084.681238425925</v>
      </c>
    </row>
    <row r="1139" spans="1:11" x14ac:dyDescent="0.25">
      <c r="A1139" s="16" t="s">
        <v>1590</v>
      </c>
      <c r="B1139" s="20">
        <v>46064</v>
      </c>
      <c r="C1139" s="16">
        <v>2</v>
      </c>
      <c r="D1139" s="19" t="s">
        <v>33</v>
      </c>
      <c r="E1139" s="19" t="s">
        <v>453</v>
      </c>
      <c r="G1139" s="19">
        <v>3</v>
      </c>
      <c r="H1139" s="19" t="s">
        <v>215</v>
      </c>
      <c r="I1139" s="19" t="s">
        <v>216</v>
      </c>
      <c r="J1139" s="19" t="s">
        <v>217</v>
      </c>
      <c r="K1139" s="18">
        <v>46084.681261574071</v>
      </c>
    </row>
    <row r="1140" spans="1:11" x14ac:dyDescent="0.25">
      <c r="A1140" s="16" t="s">
        <v>1591</v>
      </c>
      <c r="B1140" s="20">
        <v>46065</v>
      </c>
      <c r="C1140" s="16">
        <v>2</v>
      </c>
      <c r="D1140" s="19" t="s">
        <v>33</v>
      </c>
      <c r="E1140" s="19" t="s">
        <v>453</v>
      </c>
      <c r="G1140" s="19">
        <v>6</v>
      </c>
      <c r="H1140" s="19" t="s">
        <v>427</v>
      </c>
      <c r="I1140" s="19" t="s">
        <v>246</v>
      </c>
      <c r="J1140" s="19" t="s">
        <v>217</v>
      </c>
      <c r="K1140" s="18">
        <v>46084.681458333333</v>
      </c>
    </row>
    <row r="1141" spans="1:11" x14ac:dyDescent="0.25">
      <c r="A1141" s="16" t="s">
        <v>1592</v>
      </c>
      <c r="B1141" s="20">
        <v>46066</v>
      </c>
      <c r="C1141" s="16">
        <v>2</v>
      </c>
      <c r="D1141" s="19" t="s">
        <v>33</v>
      </c>
      <c r="E1141" s="19" t="s">
        <v>453</v>
      </c>
      <c r="G1141" s="19">
        <v>9</v>
      </c>
      <c r="H1141" s="19" t="s">
        <v>427</v>
      </c>
      <c r="I1141" s="19" t="s">
        <v>246</v>
      </c>
      <c r="J1141" s="19" t="s">
        <v>217</v>
      </c>
      <c r="K1141" s="18">
        <v>46084.681631944448</v>
      </c>
    </row>
    <row r="1142" spans="1:11" x14ac:dyDescent="0.25">
      <c r="A1142" s="16" t="s">
        <v>1593</v>
      </c>
      <c r="B1142" s="20">
        <v>46066</v>
      </c>
      <c r="C1142" s="16">
        <v>2</v>
      </c>
      <c r="D1142" s="19" t="s">
        <v>33</v>
      </c>
      <c r="E1142" s="19" t="s">
        <v>453</v>
      </c>
      <c r="G1142" s="19">
        <v>11</v>
      </c>
      <c r="H1142" s="19" t="s">
        <v>215</v>
      </c>
      <c r="I1142" s="19" t="s">
        <v>216</v>
      </c>
      <c r="J1142" s="19" t="s">
        <v>217</v>
      </c>
      <c r="K1142" s="18">
        <v>46084.681689814817</v>
      </c>
    </row>
    <row r="1143" spans="1:11" x14ac:dyDescent="0.25">
      <c r="A1143" s="16" t="s">
        <v>1594</v>
      </c>
      <c r="B1143" s="20">
        <v>46066</v>
      </c>
      <c r="C1143" s="16">
        <v>2</v>
      </c>
      <c r="D1143" s="19" t="s">
        <v>33</v>
      </c>
      <c r="E1143" s="19" t="s">
        <v>453</v>
      </c>
      <c r="G1143" s="19">
        <v>3</v>
      </c>
      <c r="H1143" s="19" t="s">
        <v>215</v>
      </c>
      <c r="I1143" s="19" t="s">
        <v>216</v>
      </c>
      <c r="J1143" s="19" t="s">
        <v>217</v>
      </c>
      <c r="K1143" s="18">
        <v>46084.681747685187</v>
      </c>
    </row>
    <row r="1144" spans="1:11" x14ac:dyDescent="0.25">
      <c r="A1144" s="16" t="s">
        <v>1595</v>
      </c>
      <c r="B1144" s="20">
        <v>46066</v>
      </c>
      <c r="C1144" s="16">
        <v>2</v>
      </c>
      <c r="D1144" s="19" t="s">
        <v>33</v>
      </c>
      <c r="E1144" s="19" t="s">
        <v>453</v>
      </c>
      <c r="G1144" s="19">
        <v>1</v>
      </c>
      <c r="H1144" s="19" t="s">
        <v>215</v>
      </c>
      <c r="I1144" s="19" t="s">
        <v>246</v>
      </c>
      <c r="J1144" s="19" t="s">
        <v>217</v>
      </c>
      <c r="K1144" s="18">
        <v>46084.681817129633</v>
      </c>
    </row>
    <row r="1145" spans="1:11" x14ac:dyDescent="0.25">
      <c r="A1145" s="16" t="s">
        <v>1596</v>
      </c>
      <c r="B1145" s="20">
        <v>46067</v>
      </c>
      <c r="C1145" s="16">
        <v>2</v>
      </c>
      <c r="D1145" s="19" t="s">
        <v>33</v>
      </c>
      <c r="E1145" s="19" t="s">
        <v>453</v>
      </c>
      <c r="G1145" s="19">
        <v>8</v>
      </c>
      <c r="H1145" s="19" t="s">
        <v>427</v>
      </c>
      <c r="I1145" s="19" t="s">
        <v>246</v>
      </c>
      <c r="J1145" s="19" t="s">
        <v>217</v>
      </c>
      <c r="K1145" s="18">
        <v>46084.682071759256</v>
      </c>
    </row>
    <row r="1146" spans="1:11" x14ac:dyDescent="0.25">
      <c r="A1146" s="16" t="s">
        <v>1597</v>
      </c>
      <c r="B1146" s="20">
        <v>46068</v>
      </c>
      <c r="C1146" s="16">
        <v>2</v>
      </c>
      <c r="D1146" s="19" t="s">
        <v>33</v>
      </c>
      <c r="E1146" s="19" t="s">
        <v>453</v>
      </c>
      <c r="G1146" s="19">
        <v>4</v>
      </c>
      <c r="H1146" s="19" t="s">
        <v>215</v>
      </c>
      <c r="I1146" s="19" t="s">
        <v>246</v>
      </c>
      <c r="J1146" s="19" t="s">
        <v>217</v>
      </c>
      <c r="K1146" s="18">
        <v>46084.682187500002</v>
      </c>
    </row>
    <row r="1147" spans="1:11" x14ac:dyDescent="0.25">
      <c r="A1147" s="16" t="s">
        <v>1598</v>
      </c>
      <c r="B1147" s="20">
        <v>46068</v>
      </c>
      <c r="C1147" s="16">
        <v>2</v>
      </c>
      <c r="D1147" s="19" t="s">
        <v>33</v>
      </c>
      <c r="E1147" s="19" t="s">
        <v>453</v>
      </c>
      <c r="G1147" s="19">
        <v>2</v>
      </c>
      <c r="H1147" s="19" t="s">
        <v>215</v>
      </c>
      <c r="I1147" s="19" t="s">
        <v>246</v>
      </c>
      <c r="J1147" s="19" t="s">
        <v>217</v>
      </c>
      <c r="K1147" s="18">
        <v>46084.682199074072</v>
      </c>
    </row>
    <row r="1148" spans="1:11" x14ac:dyDescent="0.25">
      <c r="A1148" s="16" t="s">
        <v>1599</v>
      </c>
      <c r="B1148" s="20">
        <v>46068</v>
      </c>
      <c r="C1148" s="16">
        <v>2</v>
      </c>
      <c r="D1148" s="19" t="s">
        <v>33</v>
      </c>
      <c r="E1148" s="19" t="s">
        <v>453</v>
      </c>
      <c r="G1148" s="19">
        <v>7</v>
      </c>
      <c r="H1148" s="19" t="s">
        <v>215</v>
      </c>
      <c r="I1148" s="19" t="s">
        <v>246</v>
      </c>
      <c r="J1148" s="19" t="s">
        <v>217</v>
      </c>
      <c r="K1148" s="18">
        <v>46084.682222222225</v>
      </c>
    </row>
    <row r="1149" spans="1:11" x14ac:dyDescent="0.25">
      <c r="A1149" s="16" t="s">
        <v>1600</v>
      </c>
      <c r="B1149" s="20">
        <v>46068</v>
      </c>
      <c r="C1149" s="16">
        <v>2</v>
      </c>
      <c r="D1149" s="19" t="s">
        <v>33</v>
      </c>
      <c r="E1149" s="19" t="s">
        <v>453</v>
      </c>
      <c r="G1149" s="19">
        <v>5</v>
      </c>
      <c r="H1149" s="19" t="s">
        <v>215</v>
      </c>
      <c r="I1149" s="19" t="s">
        <v>246</v>
      </c>
      <c r="J1149" s="19" t="s">
        <v>217</v>
      </c>
      <c r="K1149" s="18">
        <v>46084.682233796295</v>
      </c>
    </row>
    <row r="1150" spans="1:11" x14ac:dyDescent="0.25">
      <c r="A1150" s="16" t="s">
        <v>1601</v>
      </c>
      <c r="B1150" s="20">
        <v>46068</v>
      </c>
      <c r="C1150" s="16">
        <v>2</v>
      </c>
      <c r="D1150" s="19" t="s">
        <v>33</v>
      </c>
      <c r="E1150" s="19" t="s">
        <v>453</v>
      </c>
      <c r="G1150" s="19">
        <v>2</v>
      </c>
      <c r="H1150" s="19" t="s">
        <v>215</v>
      </c>
      <c r="I1150" s="19" t="s">
        <v>246</v>
      </c>
      <c r="J1150" s="19" t="s">
        <v>217</v>
      </c>
      <c r="K1150" s="18">
        <v>46084.682268518518</v>
      </c>
    </row>
    <row r="1151" spans="1:11" x14ac:dyDescent="0.25">
      <c r="A1151" s="16" t="s">
        <v>1602</v>
      </c>
      <c r="B1151" s="20">
        <v>46069</v>
      </c>
      <c r="C1151" s="16">
        <v>2</v>
      </c>
      <c r="D1151" s="19" t="s">
        <v>33</v>
      </c>
      <c r="E1151" s="19" t="s">
        <v>453</v>
      </c>
      <c r="G1151" s="19">
        <v>9</v>
      </c>
      <c r="H1151" s="19" t="s">
        <v>427</v>
      </c>
      <c r="I1151" s="19" t="s">
        <v>246</v>
      </c>
      <c r="J1151" s="19" t="s">
        <v>217</v>
      </c>
      <c r="K1151" s="18">
        <v>46084.682488425926</v>
      </c>
    </row>
    <row r="1152" spans="1:11" x14ac:dyDescent="0.25">
      <c r="A1152" s="16" t="s">
        <v>1603</v>
      </c>
      <c r="B1152" s="20">
        <v>46069</v>
      </c>
      <c r="C1152" s="16">
        <v>2</v>
      </c>
      <c r="D1152" s="19" t="s">
        <v>33</v>
      </c>
      <c r="E1152" s="19" t="s">
        <v>453</v>
      </c>
      <c r="G1152" s="19">
        <v>1</v>
      </c>
      <c r="H1152" s="19" t="s">
        <v>215</v>
      </c>
      <c r="I1152" s="19" t="s">
        <v>246</v>
      </c>
      <c r="J1152" s="19" t="s">
        <v>217</v>
      </c>
      <c r="K1152" s="18">
        <v>46084.682557870372</v>
      </c>
    </row>
    <row r="1153" spans="1:11" x14ac:dyDescent="0.25">
      <c r="A1153" s="16" t="s">
        <v>1604</v>
      </c>
      <c r="B1153" s="20">
        <v>46069</v>
      </c>
      <c r="C1153" s="16">
        <v>2</v>
      </c>
      <c r="D1153" s="19" t="s">
        <v>33</v>
      </c>
      <c r="E1153" s="19" t="s">
        <v>453</v>
      </c>
      <c r="G1153" s="19">
        <v>10</v>
      </c>
      <c r="H1153" s="19" t="s">
        <v>215</v>
      </c>
      <c r="I1153" s="19" t="s">
        <v>246</v>
      </c>
      <c r="J1153" s="19" t="s">
        <v>217</v>
      </c>
      <c r="K1153" s="18">
        <v>46084.682604166665</v>
      </c>
    </row>
    <row r="1154" spans="1:11" x14ac:dyDescent="0.25">
      <c r="A1154" s="16" t="s">
        <v>1605</v>
      </c>
      <c r="B1154" s="20">
        <v>46070</v>
      </c>
      <c r="C1154" s="16">
        <v>2</v>
      </c>
      <c r="D1154" s="19" t="s">
        <v>33</v>
      </c>
      <c r="E1154" s="19" t="s">
        <v>453</v>
      </c>
      <c r="G1154" s="19">
        <v>5</v>
      </c>
      <c r="H1154" s="19" t="s">
        <v>427</v>
      </c>
      <c r="I1154" s="19" t="s">
        <v>216</v>
      </c>
      <c r="J1154" s="19" t="s">
        <v>217</v>
      </c>
      <c r="K1154" s="18">
        <v>46084.684270833335</v>
      </c>
    </row>
    <row r="1155" spans="1:11" x14ac:dyDescent="0.25">
      <c r="A1155" s="16" t="s">
        <v>1606</v>
      </c>
      <c r="B1155" s="20">
        <v>46070</v>
      </c>
      <c r="C1155" s="16">
        <v>2</v>
      </c>
      <c r="D1155" s="19" t="s">
        <v>33</v>
      </c>
      <c r="E1155" s="19" t="s">
        <v>453</v>
      </c>
      <c r="G1155" s="19">
        <v>10</v>
      </c>
      <c r="H1155" s="19" t="s">
        <v>215</v>
      </c>
      <c r="I1155" s="19" t="s">
        <v>246</v>
      </c>
      <c r="J1155" s="19" t="s">
        <v>217</v>
      </c>
      <c r="K1155" s="18">
        <v>46084.684340277781</v>
      </c>
    </row>
    <row r="1156" spans="1:11" x14ac:dyDescent="0.25">
      <c r="A1156" s="16" t="s">
        <v>1607</v>
      </c>
      <c r="B1156" s="20">
        <v>46070</v>
      </c>
      <c r="C1156" s="16">
        <v>2</v>
      </c>
      <c r="D1156" s="19" t="s">
        <v>33</v>
      </c>
      <c r="E1156" s="19" t="s">
        <v>453</v>
      </c>
      <c r="G1156" s="19">
        <v>11</v>
      </c>
      <c r="H1156" s="19" t="s">
        <v>427</v>
      </c>
      <c r="I1156" s="19" t="s">
        <v>246</v>
      </c>
      <c r="J1156" s="19" t="s">
        <v>217</v>
      </c>
      <c r="K1156" s="18">
        <v>46084.684432870374</v>
      </c>
    </row>
    <row r="1157" spans="1:11" x14ac:dyDescent="0.25">
      <c r="A1157" s="16" t="s">
        <v>1608</v>
      </c>
      <c r="B1157" s="20">
        <v>46070</v>
      </c>
      <c r="C1157" s="16">
        <v>2</v>
      </c>
      <c r="D1157" s="19" t="s">
        <v>33</v>
      </c>
      <c r="E1157" s="19" t="s">
        <v>453</v>
      </c>
      <c r="G1157" s="19">
        <v>5</v>
      </c>
      <c r="H1157" s="19" t="s">
        <v>215</v>
      </c>
      <c r="I1157" s="19" t="s">
        <v>246</v>
      </c>
      <c r="J1157" s="19" t="s">
        <v>217</v>
      </c>
      <c r="K1157" s="18">
        <v>46084.684502314813</v>
      </c>
    </row>
    <row r="1158" spans="1:11" x14ac:dyDescent="0.25">
      <c r="A1158" s="16" t="s">
        <v>1609</v>
      </c>
      <c r="B1158" s="20">
        <v>46072</v>
      </c>
      <c r="C1158" s="16">
        <v>2</v>
      </c>
      <c r="D1158" s="19" t="s">
        <v>33</v>
      </c>
      <c r="E1158" s="19" t="s">
        <v>453</v>
      </c>
      <c r="G1158" s="19">
        <v>4</v>
      </c>
      <c r="H1158" s="19" t="s">
        <v>215</v>
      </c>
      <c r="I1158" s="19" t="s">
        <v>246</v>
      </c>
      <c r="J1158" s="19" t="s">
        <v>217</v>
      </c>
      <c r="K1158" s="18">
        <v>46084.684745370374</v>
      </c>
    </row>
    <row r="1159" spans="1:11" x14ac:dyDescent="0.25">
      <c r="A1159" s="16" t="s">
        <v>1610</v>
      </c>
      <c r="B1159" s="20">
        <v>46072</v>
      </c>
      <c r="C1159" s="16">
        <v>2</v>
      </c>
      <c r="D1159" s="19" t="s">
        <v>33</v>
      </c>
      <c r="E1159" s="19" t="s">
        <v>453</v>
      </c>
      <c r="G1159" s="19">
        <v>2</v>
      </c>
      <c r="H1159" s="19" t="s">
        <v>215</v>
      </c>
      <c r="I1159" s="19" t="s">
        <v>246</v>
      </c>
      <c r="J1159" s="19" t="s">
        <v>217</v>
      </c>
      <c r="K1159" s="18">
        <v>46084.684756944444</v>
      </c>
    </row>
    <row r="1160" spans="1:11" x14ac:dyDescent="0.25">
      <c r="A1160" s="16" t="s">
        <v>1611</v>
      </c>
      <c r="B1160" s="20">
        <v>46072</v>
      </c>
      <c r="C1160" s="16">
        <v>2</v>
      </c>
      <c r="D1160" s="19" t="s">
        <v>33</v>
      </c>
      <c r="E1160" s="19" t="s">
        <v>453</v>
      </c>
      <c r="G1160" s="19">
        <v>5</v>
      </c>
      <c r="H1160" s="19" t="s">
        <v>215</v>
      </c>
      <c r="I1160" s="19" t="s">
        <v>246</v>
      </c>
      <c r="J1160" s="19" t="s">
        <v>217</v>
      </c>
      <c r="K1160" s="18">
        <v>46084.68476851852</v>
      </c>
    </row>
    <row r="1161" spans="1:11" x14ac:dyDescent="0.25">
      <c r="A1161" s="16" t="s">
        <v>1612</v>
      </c>
      <c r="B1161" s="20">
        <v>46072</v>
      </c>
      <c r="C1161" s="16">
        <v>2</v>
      </c>
      <c r="D1161" s="19" t="s">
        <v>33</v>
      </c>
      <c r="E1161" s="19" t="s">
        <v>453</v>
      </c>
      <c r="G1161" s="19">
        <v>5</v>
      </c>
      <c r="H1161" s="19" t="s">
        <v>427</v>
      </c>
      <c r="I1161" s="19" t="s">
        <v>246</v>
      </c>
      <c r="J1161" s="19" t="s">
        <v>217</v>
      </c>
      <c r="K1161" s="18">
        <v>46084.68482638889</v>
      </c>
    </row>
    <row r="1162" spans="1:11" x14ac:dyDescent="0.25">
      <c r="A1162" s="16" t="s">
        <v>1613</v>
      </c>
      <c r="B1162" s="20">
        <v>46072</v>
      </c>
      <c r="C1162" s="16">
        <v>2</v>
      </c>
      <c r="D1162" s="19" t="s">
        <v>33</v>
      </c>
      <c r="E1162" s="19" t="s">
        <v>453</v>
      </c>
      <c r="G1162" s="19">
        <v>3</v>
      </c>
      <c r="H1162" s="19" t="s">
        <v>215</v>
      </c>
      <c r="I1162" s="19" t="s">
        <v>246</v>
      </c>
      <c r="J1162" s="19" t="s">
        <v>217</v>
      </c>
      <c r="K1162" s="18">
        <v>46084.684861111113</v>
      </c>
    </row>
    <row r="1163" spans="1:11" x14ac:dyDescent="0.25">
      <c r="A1163" s="16" t="s">
        <v>1614</v>
      </c>
      <c r="B1163" s="20">
        <v>46072</v>
      </c>
      <c r="C1163" s="16">
        <v>2</v>
      </c>
      <c r="D1163" s="19" t="s">
        <v>33</v>
      </c>
      <c r="E1163" s="19" t="s">
        <v>453</v>
      </c>
      <c r="G1163" s="19">
        <v>2</v>
      </c>
      <c r="H1163" s="19" t="s">
        <v>215</v>
      </c>
      <c r="I1163" s="19" t="s">
        <v>216</v>
      </c>
      <c r="J1163" s="19" t="s">
        <v>217</v>
      </c>
      <c r="K1163" s="18">
        <v>46084.684907407405</v>
      </c>
    </row>
    <row r="1164" spans="1:11" x14ac:dyDescent="0.25">
      <c r="A1164" s="16" t="s">
        <v>1615</v>
      </c>
      <c r="B1164" s="20">
        <v>46072</v>
      </c>
      <c r="C1164" s="16">
        <v>2</v>
      </c>
      <c r="D1164" s="19" t="s">
        <v>33</v>
      </c>
      <c r="E1164" s="19" t="s">
        <v>453</v>
      </c>
      <c r="G1164" s="19">
        <v>1</v>
      </c>
      <c r="H1164" s="19" t="s">
        <v>215</v>
      </c>
      <c r="I1164" s="19" t="s">
        <v>246</v>
      </c>
      <c r="J1164" s="19" t="s">
        <v>217</v>
      </c>
      <c r="K1164" s="18">
        <v>46084.684953703705</v>
      </c>
    </row>
    <row r="1165" spans="1:11" x14ac:dyDescent="0.25">
      <c r="A1165" s="16" t="s">
        <v>1616</v>
      </c>
      <c r="B1165" s="20">
        <v>46073</v>
      </c>
      <c r="C1165" s="16">
        <v>2</v>
      </c>
      <c r="D1165" s="19" t="s">
        <v>33</v>
      </c>
      <c r="E1165" s="19" t="s">
        <v>453</v>
      </c>
      <c r="G1165" s="19">
        <v>4</v>
      </c>
      <c r="H1165" s="19" t="s">
        <v>215</v>
      </c>
      <c r="I1165" s="19" t="s">
        <v>216</v>
      </c>
      <c r="J1165" s="19" t="s">
        <v>217</v>
      </c>
      <c r="K1165" s="18">
        <v>46084.685127314813</v>
      </c>
    </row>
    <row r="1166" spans="1:11" x14ac:dyDescent="0.25">
      <c r="A1166" s="16" t="s">
        <v>1617</v>
      </c>
      <c r="B1166" s="20">
        <v>46073</v>
      </c>
      <c r="C1166" s="16">
        <v>2</v>
      </c>
      <c r="D1166" s="19" t="s">
        <v>33</v>
      </c>
      <c r="E1166" s="19" t="s">
        <v>453</v>
      </c>
      <c r="G1166" s="19">
        <v>5</v>
      </c>
      <c r="H1166" s="19" t="s">
        <v>427</v>
      </c>
      <c r="I1166" s="19" t="s">
        <v>246</v>
      </c>
      <c r="J1166" s="19" t="s">
        <v>217</v>
      </c>
      <c r="K1166" s="18">
        <v>46084.685219907406</v>
      </c>
    </row>
    <row r="1167" spans="1:11" x14ac:dyDescent="0.25">
      <c r="A1167" s="16" t="s">
        <v>1618</v>
      </c>
      <c r="B1167" s="20">
        <v>46073</v>
      </c>
      <c r="C1167" s="16">
        <v>2</v>
      </c>
      <c r="D1167" s="19" t="s">
        <v>33</v>
      </c>
      <c r="E1167" s="19" t="s">
        <v>453</v>
      </c>
      <c r="G1167" s="19">
        <v>6</v>
      </c>
      <c r="H1167" s="19" t="s">
        <v>215</v>
      </c>
      <c r="I1167" s="19" t="s">
        <v>246</v>
      </c>
      <c r="J1167" s="19" t="s">
        <v>217</v>
      </c>
      <c r="K1167" s="18">
        <v>46084.685381944444</v>
      </c>
    </row>
    <row r="1168" spans="1:11" x14ac:dyDescent="0.25">
      <c r="A1168" s="16" t="s">
        <v>1619</v>
      </c>
      <c r="B1168" s="20">
        <v>46074</v>
      </c>
      <c r="C1168" s="16">
        <v>2</v>
      </c>
      <c r="D1168" s="19" t="s">
        <v>33</v>
      </c>
      <c r="E1168" s="19" t="s">
        <v>453</v>
      </c>
      <c r="G1168" s="19">
        <v>7</v>
      </c>
      <c r="H1168" s="19" t="s">
        <v>427</v>
      </c>
      <c r="I1168" s="19" t="s">
        <v>216</v>
      </c>
      <c r="J1168" s="19" t="s">
        <v>217</v>
      </c>
      <c r="K1168" s="18">
        <v>46084.685671296298</v>
      </c>
    </row>
    <row r="1169" spans="1:11" x14ac:dyDescent="0.25">
      <c r="A1169" s="16" t="s">
        <v>1620</v>
      </c>
      <c r="B1169" s="20">
        <v>46074</v>
      </c>
      <c r="C1169" s="16">
        <v>2</v>
      </c>
      <c r="D1169" s="19" t="s">
        <v>33</v>
      </c>
      <c r="E1169" s="19" t="s">
        <v>453</v>
      </c>
      <c r="G1169" s="19">
        <v>5</v>
      </c>
      <c r="H1169" s="19" t="s">
        <v>215</v>
      </c>
      <c r="I1169" s="19" t="s">
        <v>246</v>
      </c>
      <c r="J1169" s="19" t="s">
        <v>217</v>
      </c>
      <c r="K1169" s="18">
        <v>46084.685798611114</v>
      </c>
    </row>
    <row r="1170" spans="1:11" x14ac:dyDescent="0.25">
      <c r="A1170" s="16" t="s">
        <v>1621</v>
      </c>
      <c r="B1170" s="20">
        <v>46075</v>
      </c>
      <c r="C1170" s="16">
        <v>2</v>
      </c>
      <c r="D1170" s="19" t="s">
        <v>33</v>
      </c>
      <c r="E1170" s="19" t="s">
        <v>453</v>
      </c>
      <c r="G1170" s="19">
        <v>4</v>
      </c>
      <c r="H1170" s="19" t="s">
        <v>215</v>
      </c>
      <c r="I1170" s="19" t="s">
        <v>246</v>
      </c>
      <c r="J1170" s="19" t="s">
        <v>217</v>
      </c>
      <c r="K1170" s="18">
        <v>46084.686006944445</v>
      </c>
    </row>
    <row r="1171" spans="1:11" x14ac:dyDescent="0.25">
      <c r="A1171" s="16" t="s">
        <v>1622</v>
      </c>
      <c r="B1171" s="20">
        <v>46075</v>
      </c>
      <c r="C1171" s="16">
        <v>2</v>
      </c>
      <c r="D1171" s="19" t="s">
        <v>33</v>
      </c>
      <c r="E1171" s="19" t="s">
        <v>453</v>
      </c>
      <c r="G1171" s="19">
        <v>5</v>
      </c>
      <c r="H1171" s="19" t="s">
        <v>215</v>
      </c>
      <c r="I1171" s="19" t="s">
        <v>246</v>
      </c>
      <c r="J1171" s="19" t="s">
        <v>217</v>
      </c>
      <c r="K1171" s="18">
        <v>46084.686041666668</v>
      </c>
    </row>
    <row r="1172" spans="1:11" x14ac:dyDescent="0.25">
      <c r="A1172" s="16" t="s">
        <v>1623</v>
      </c>
      <c r="B1172" s="20">
        <v>46075</v>
      </c>
      <c r="C1172" s="16">
        <v>2</v>
      </c>
      <c r="D1172" s="19" t="s">
        <v>33</v>
      </c>
      <c r="E1172" s="19" t="s">
        <v>453</v>
      </c>
      <c r="G1172" s="19">
        <v>5</v>
      </c>
      <c r="H1172" s="19" t="s">
        <v>215</v>
      </c>
      <c r="I1172" s="19" t="s">
        <v>216</v>
      </c>
      <c r="J1172" s="19" t="s">
        <v>217</v>
      </c>
      <c r="K1172" s="18">
        <v>46084.686076388891</v>
      </c>
    </row>
    <row r="1173" spans="1:11" x14ac:dyDescent="0.25">
      <c r="A1173" s="16" t="s">
        <v>1624</v>
      </c>
      <c r="B1173" s="20">
        <v>46075</v>
      </c>
      <c r="C1173" s="16">
        <v>2</v>
      </c>
      <c r="D1173" s="19" t="s">
        <v>33</v>
      </c>
      <c r="E1173" s="19" t="s">
        <v>453</v>
      </c>
      <c r="G1173" s="19">
        <v>1</v>
      </c>
      <c r="H1173" s="19" t="s">
        <v>215</v>
      </c>
      <c r="I1173" s="19" t="s">
        <v>216</v>
      </c>
      <c r="J1173" s="19" t="s">
        <v>217</v>
      </c>
      <c r="K1173" s="18">
        <v>46084.686122685183</v>
      </c>
    </row>
    <row r="1174" spans="1:11" x14ac:dyDescent="0.25">
      <c r="A1174" s="16" t="s">
        <v>1625</v>
      </c>
      <c r="B1174" s="20">
        <v>46076</v>
      </c>
      <c r="C1174" s="16">
        <v>2</v>
      </c>
      <c r="D1174" s="19" t="s">
        <v>33</v>
      </c>
      <c r="E1174" s="19" t="s">
        <v>453</v>
      </c>
      <c r="G1174" s="19">
        <v>7</v>
      </c>
      <c r="H1174" s="19" t="s">
        <v>215</v>
      </c>
      <c r="I1174" s="19" t="s">
        <v>216</v>
      </c>
      <c r="J1174" s="19" t="s">
        <v>217</v>
      </c>
      <c r="K1174" s="18">
        <v>46084.686215277776</v>
      </c>
    </row>
    <row r="1175" spans="1:11" x14ac:dyDescent="0.25">
      <c r="A1175" s="16" t="s">
        <v>1626</v>
      </c>
      <c r="B1175" s="20">
        <v>46077</v>
      </c>
      <c r="C1175" s="16">
        <v>2</v>
      </c>
      <c r="D1175" s="19" t="s">
        <v>33</v>
      </c>
      <c r="E1175" s="19" t="s">
        <v>453</v>
      </c>
      <c r="G1175" s="19">
        <v>6</v>
      </c>
      <c r="H1175" s="19" t="s">
        <v>215</v>
      </c>
      <c r="I1175" s="19" t="s">
        <v>216</v>
      </c>
      <c r="J1175" s="19" t="s">
        <v>217</v>
      </c>
      <c r="K1175" s="18">
        <v>46084.686342592591</v>
      </c>
    </row>
    <row r="1176" spans="1:11" x14ac:dyDescent="0.25">
      <c r="A1176" s="16" t="s">
        <v>1627</v>
      </c>
      <c r="B1176" s="20">
        <v>46077</v>
      </c>
      <c r="C1176" s="16">
        <v>2</v>
      </c>
      <c r="D1176" s="19" t="s">
        <v>33</v>
      </c>
      <c r="E1176" s="19" t="s">
        <v>453</v>
      </c>
      <c r="G1176" s="19">
        <v>1</v>
      </c>
      <c r="H1176" s="19" t="s">
        <v>215</v>
      </c>
      <c r="I1176" s="19" t="s">
        <v>246</v>
      </c>
      <c r="J1176" s="19" t="s">
        <v>217</v>
      </c>
      <c r="K1176" s="18">
        <v>46084.686400462961</v>
      </c>
    </row>
    <row r="1177" spans="1:11" x14ac:dyDescent="0.25">
      <c r="A1177" s="16" t="s">
        <v>1628</v>
      </c>
      <c r="B1177" s="20">
        <v>46077</v>
      </c>
      <c r="C1177" s="16">
        <v>2</v>
      </c>
      <c r="D1177" s="19" t="s">
        <v>33</v>
      </c>
      <c r="E1177" s="19" t="s">
        <v>453</v>
      </c>
      <c r="G1177" s="19">
        <v>2</v>
      </c>
      <c r="H1177" s="19" t="s">
        <v>215</v>
      </c>
      <c r="I1177" s="19" t="s">
        <v>216</v>
      </c>
      <c r="J1177" s="19" t="s">
        <v>217</v>
      </c>
      <c r="K1177" s="18">
        <v>46084.686539351853</v>
      </c>
    </row>
    <row r="1178" spans="1:11" x14ac:dyDescent="0.25">
      <c r="A1178" s="16" t="s">
        <v>1629</v>
      </c>
      <c r="B1178" s="20">
        <v>46077</v>
      </c>
      <c r="C1178" s="16">
        <v>2</v>
      </c>
      <c r="D1178" s="19" t="s">
        <v>33</v>
      </c>
      <c r="E1178" s="19" t="s">
        <v>453</v>
      </c>
      <c r="G1178" s="19">
        <v>3</v>
      </c>
      <c r="H1178" s="19" t="s">
        <v>215</v>
      </c>
      <c r="I1178" s="19" t="s">
        <v>216</v>
      </c>
      <c r="J1178" s="19" t="s">
        <v>217</v>
      </c>
      <c r="K1178" s="18">
        <v>46084.686585648145</v>
      </c>
    </row>
    <row r="1179" spans="1:11" x14ac:dyDescent="0.25">
      <c r="A1179" s="16" t="s">
        <v>1630</v>
      </c>
      <c r="B1179" s="20">
        <v>46077</v>
      </c>
      <c r="C1179" s="16">
        <v>2</v>
      </c>
      <c r="D1179" s="19" t="s">
        <v>33</v>
      </c>
      <c r="E1179" s="19" t="s">
        <v>453</v>
      </c>
      <c r="G1179" s="19">
        <v>4</v>
      </c>
      <c r="H1179" s="19" t="s">
        <v>215</v>
      </c>
      <c r="I1179" s="19" t="s">
        <v>246</v>
      </c>
      <c r="J1179" s="19" t="s">
        <v>217</v>
      </c>
      <c r="K1179" s="18">
        <v>46084.686643518522</v>
      </c>
    </row>
    <row r="1180" spans="1:11" x14ac:dyDescent="0.25">
      <c r="A1180" s="16" t="s">
        <v>1631</v>
      </c>
      <c r="B1180" s="20">
        <v>46077</v>
      </c>
      <c r="C1180" s="16">
        <v>2</v>
      </c>
      <c r="D1180" s="19" t="s">
        <v>33</v>
      </c>
      <c r="E1180" s="19" t="s">
        <v>453</v>
      </c>
      <c r="G1180" s="19">
        <v>1</v>
      </c>
      <c r="H1180" s="19" t="s">
        <v>215</v>
      </c>
      <c r="I1180" s="19" t="s">
        <v>216</v>
      </c>
      <c r="J1180" s="19" t="s">
        <v>217</v>
      </c>
      <c r="K1180" s="18">
        <v>46084.686724537038</v>
      </c>
    </row>
    <row r="1181" spans="1:11" x14ac:dyDescent="0.25">
      <c r="A1181" s="16" t="s">
        <v>1632</v>
      </c>
      <c r="B1181" s="20">
        <v>46078</v>
      </c>
      <c r="C1181" s="16">
        <v>2</v>
      </c>
      <c r="D1181" s="19" t="s">
        <v>33</v>
      </c>
      <c r="E1181" s="19" t="s">
        <v>453</v>
      </c>
      <c r="G1181" s="19">
        <v>1</v>
      </c>
      <c r="H1181" s="19" t="s">
        <v>215</v>
      </c>
      <c r="I1181" s="19" t="s">
        <v>246</v>
      </c>
      <c r="J1181" s="19" t="s">
        <v>217</v>
      </c>
      <c r="K1181" s="18">
        <v>46084.686851851853</v>
      </c>
    </row>
    <row r="1182" spans="1:11" x14ac:dyDescent="0.25">
      <c r="A1182" s="16" t="s">
        <v>1633</v>
      </c>
      <c r="B1182" s="20">
        <v>46078</v>
      </c>
      <c r="C1182" s="16">
        <v>2</v>
      </c>
      <c r="D1182" s="19" t="s">
        <v>33</v>
      </c>
      <c r="E1182" s="19" t="s">
        <v>453</v>
      </c>
      <c r="G1182" s="19">
        <v>5</v>
      </c>
      <c r="H1182" s="19" t="s">
        <v>215</v>
      </c>
      <c r="I1182" s="19" t="s">
        <v>246</v>
      </c>
      <c r="J1182" s="19" t="s">
        <v>217</v>
      </c>
      <c r="K1182" s="18">
        <v>46084.686909722222</v>
      </c>
    </row>
    <row r="1183" spans="1:11" x14ac:dyDescent="0.25">
      <c r="A1183" s="16" t="s">
        <v>1634</v>
      </c>
      <c r="B1183" s="20">
        <v>46078</v>
      </c>
      <c r="C1183" s="16">
        <v>2</v>
      </c>
      <c r="D1183" s="19" t="s">
        <v>33</v>
      </c>
      <c r="E1183" s="19" t="s">
        <v>453</v>
      </c>
      <c r="G1183" s="19">
        <v>10</v>
      </c>
      <c r="H1183" s="19" t="s">
        <v>215</v>
      </c>
      <c r="I1183" s="19" t="s">
        <v>246</v>
      </c>
      <c r="J1183" s="19" t="s">
        <v>217</v>
      </c>
      <c r="K1183" s="18">
        <v>46084.686944444446</v>
      </c>
    </row>
    <row r="1184" spans="1:11" x14ac:dyDescent="0.25">
      <c r="A1184" s="16" t="s">
        <v>1635</v>
      </c>
      <c r="B1184" s="20">
        <v>46079</v>
      </c>
      <c r="C1184" s="16">
        <v>2</v>
      </c>
      <c r="D1184" s="19" t="s">
        <v>33</v>
      </c>
      <c r="E1184" s="19" t="s">
        <v>453</v>
      </c>
      <c r="G1184" s="19">
        <v>9</v>
      </c>
      <c r="H1184" s="19" t="s">
        <v>215</v>
      </c>
      <c r="I1184" s="19" t="s">
        <v>216</v>
      </c>
      <c r="J1184" s="19" t="s">
        <v>217</v>
      </c>
      <c r="K1184" s="18">
        <v>46084.687071759261</v>
      </c>
    </row>
    <row r="1185" spans="1:11" x14ac:dyDescent="0.25">
      <c r="A1185" s="16" t="s">
        <v>1636</v>
      </c>
      <c r="B1185" s="20">
        <v>46079</v>
      </c>
      <c r="C1185" s="16">
        <v>2</v>
      </c>
      <c r="D1185" s="19" t="s">
        <v>33</v>
      </c>
      <c r="E1185" s="19" t="s">
        <v>453</v>
      </c>
      <c r="G1185" s="19">
        <v>1</v>
      </c>
      <c r="H1185" s="19" t="s">
        <v>215</v>
      </c>
      <c r="I1185" s="19" t="s">
        <v>246</v>
      </c>
      <c r="J1185" s="19" t="s">
        <v>217</v>
      </c>
      <c r="K1185" s="18">
        <v>46084.687141203707</v>
      </c>
    </row>
    <row r="1186" spans="1:11" x14ac:dyDescent="0.25">
      <c r="A1186" s="16" t="s">
        <v>1637</v>
      </c>
      <c r="B1186" s="20">
        <v>46079</v>
      </c>
      <c r="C1186" s="16">
        <v>2</v>
      </c>
      <c r="D1186" s="19" t="s">
        <v>33</v>
      </c>
      <c r="E1186" s="19" t="s">
        <v>453</v>
      </c>
      <c r="G1186" s="19">
        <v>8</v>
      </c>
      <c r="H1186" s="19" t="s">
        <v>215</v>
      </c>
      <c r="I1186" s="19" t="s">
        <v>246</v>
      </c>
      <c r="J1186" s="19" t="s">
        <v>217</v>
      </c>
      <c r="K1186" s="18">
        <v>46084.687164351853</v>
      </c>
    </row>
    <row r="1187" spans="1:11" x14ac:dyDescent="0.25">
      <c r="A1187" s="16" t="s">
        <v>1638</v>
      </c>
      <c r="B1187" s="20">
        <v>46079</v>
      </c>
      <c r="C1187" s="16">
        <v>2</v>
      </c>
      <c r="D1187" s="19" t="s">
        <v>33</v>
      </c>
      <c r="E1187" s="19" t="s">
        <v>453</v>
      </c>
      <c r="G1187" s="19">
        <v>5</v>
      </c>
      <c r="H1187" s="19" t="s">
        <v>215</v>
      </c>
      <c r="I1187" s="19" t="s">
        <v>246</v>
      </c>
      <c r="J1187" s="19" t="s">
        <v>217</v>
      </c>
      <c r="K1187" s="18">
        <v>46084.687199074076</v>
      </c>
    </row>
    <row r="1188" spans="1:11" x14ac:dyDescent="0.25">
      <c r="A1188" s="16" t="s">
        <v>1639</v>
      </c>
      <c r="B1188" s="20">
        <v>46080</v>
      </c>
      <c r="C1188" s="16">
        <v>2</v>
      </c>
      <c r="D1188" s="19" t="s">
        <v>33</v>
      </c>
      <c r="E1188" s="19" t="s">
        <v>453</v>
      </c>
      <c r="G1188" s="19">
        <v>1</v>
      </c>
      <c r="H1188" s="19" t="s">
        <v>215</v>
      </c>
      <c r="I1188" s="19" t="s">
        <v>246</v>
      </c>
      <c r="J1188" s="19" t="s">
        <v>217</v>
      </c>
      <c r="K1188" s="18">
        <v>46084.687303240738</v>
      </c>
    </row>
    <row r="1189" spans="1:11" x14ac:dyDescent="0.25">
      <c r="A1189" s="16" t="s">
        <v>1640</v>
      </c>
      <c r="B1189" s="20">
        <v>46080</v>
      </c>
      <c r="C1189" s="16">
        <v>2</v>
      </c>
      <c r="D1189" s="19" t="s">
        <v>33</v>
      </c>
      <c r="E1189" s="19" t="s">
        <v>453</v>
      </c>
      <c r="G1189" s="19">
        <v>11</v>
      </c>
      <c r="H1189" s="19" t="s">
        <v>427</v>
      </c>
      <c r="I1189" s="19" t="s">
        <v>246</v>
      </c>
      <c r="J1189" s="19" t="s">
        <v>217</v>
      </c>
      <c r="K1189" s="18">
        <v>46084.687395833331</v>
      </c>
    </row>
    <row r="1190" spans="1:11" x14ac:dyDescent="0.25">
      <c r="A1190" s="16" t="s">
        <v>1641</v>
      </c>
      <c r="B1190" s="20">
        <v>46080</v>
      </c>
      <c r="C1190" s="16">
        <v>2</v>
      </c>
      <c r="D1190" s="19" t="s">
        <v>33</v>
      </c>
      <c r="E1190" s="19" t="s">
        <v>453</v>
      </c>
      <c r="G1190" s="19">
        <v>1</v>
      </c>
      <c r="H1190" s="19" t="s">
        <v>215</v>
      </c>
      <c r="I1190" s="19" t="s">
        <v>246</v>
      </c>
      <c r="J1190" s="19" t="s">
        <v>217</v>
      </c>
      <c r="K1190" s="18">
        <v>46084.687442129631</v>
      </c>
    </row>
    <row r="1191" spans="1:11" x14ac:dyDescent="0.25">
      <c r="A1191" s="16" t="s">
        <v>1642</v>
      </c>
      <c r="B1191" s="20">
        <v>46080</v>
      </c>
      <c r="C1191" s="16">
        <v>2</v>
      </c>
      <c r="D1191" s="19" t="s">
        <v>33</v>
      </c>
      <c r="E1191" s="19" t="s">
        <v>453</v>
      </c>
      <c r="G1191" s="19">
        <v>1</v>
      </c>
      <c r="H1191" s="19" t="s">
        <v>215</v>
      </c>
      <c r="I1191" s="19" t="s">
        <v>246</v>
      </c>
      <c r="J1191" s="19" t="s">
        <v>217</v>
      </c>
      <c r="K1191" s="18">
        <v>46084.687476851854</v>
      </c>
    </row>
    <row r="1192" spans="1:11" x14ac:dyDescent="0.25">
      <c r="A1192" s="16" t="s">
        <v>1643</v>
      </c>
      <c r="B1192" s="20">
        <v>46080</v>
      </c>
      <c r="C1192" s="16">
        <v>2</v>
      </c>
      <c r="D1192" s="19" t="s">
        <v>33</v>
      </c>
      <c r="E1192" s="19" t="s">
        <v>453</v>
      </c>
      <c r="G1192" s="19">
        <v>4</v>
      </c>
      <c r="H1192" s="19" t="s">
        <v>215</v>
      </c>
      <c r="I1192" s="19" t="s">
        <v>216</v>
      </c>
      <c r="J1192" s="19" t="s">
        <v>217</v>
      </c>
      <c r="K1192" s="18">
        <v>46084.687511574077</v>
      </c>
    </row>
    <row r="1193" spans="1:11" x14ac:dyDescent="0.25">
      <c r="A1193" s="16" t="s">
        <v>1644</v>
      </c>
      <c r="B1193" s="20">
        <v>46081</v>
      </c>
      <c r="C1193" s="16">
        <v>2</v>
      </c>
      <c r="D1193" s="19" t="s">
        <v>33</v>
      </c>
      <c r="E1193" s="19" t="s">
        <v>453</v>
      </c>
      <c r="G1193" s="19">
        <v>10</v>
      </c>
      <c r="H1193" s="19" t="s">
        <v>427</v>
      </c>
      <c r="I1193" s="19" t="s">
        <v>246</v>
      </c>
      <c r="J1193" s="19" t="s">
        <v>217</v>
      </c>
      <c r="K1193" s="18">
        <v>46084.687696759262</v>
      </c>
    </row>
    <row r="1194" spans="1:11" x14ac:dyDescent="0.25">
      <c r="A1194" s="16" t="s">
        <v>1645</v>
      </c>
      <c r="B1194" s="20">
        <v>46054</v>
      </c>
      <c r="C1194" s="16">
        <v>2</v>
      </c>
      <c r="D1194" s="19" t="s">
        <v>43</v>
      </c>
      <c r="E1194" s="19" t="s">
        <v>453</v>
      </c>
      <c r="G1194" s="19">
        <v>63</v>
      </c>
      <c r="H1194" s="19" t="s">
        <v>215</v>
      </c>
      <c r="I1194" s="19" t="s">
        <v>246</v>
      </c>
      <c r="J1194" s="19" t="s">
        <v>217</v>
      </c>
      <c r="K1194" s="18">
        <v>46084.724328703705</v>
      </c>
    </row>
    <row r="1195" spans="1:11" x14ac:dyDescent="0.25">
      <c r="A1195" s="16" t="s">
        <v>1646</v>
      </c>
      <c r="B1195" s="20">
        <v>46054</v>
      </c>
      <c r="C1195" s="16">
        <v>2</v>
      </c>
      <c r="D1195" s="19" t="s">
        <v>43</v>
      </c>
      <c r="E1195" s="19" t="s">
        <v>453</v>
      </c>
      <c r="G1195" s="19">
        <v>53</v>
      </c>
      <c r="H1195" s="19" t="s">
        <v>215</v>
      </c>
      <c r="I1195" s="19" t="s">
        <v>246</v>
      </c>
      <c r="J1195" s="19" t="s">
        <v>217</v>
      </c>
      <c r="K1195" s="18">
        <v>46084.724398148152</v>
      </c>
    </row>
    <row r="1196" spans="1:11" x14ac:dyDescent="0.25">
      <c r="A1196" s="16" t="s">
        <v>1647</v>
      </c>
      <c r="B1196" s="20">
        <v>46054</v>
      </c>
      <c r="C1196" s="16">
        <v>2</v>
      </c>
      <c r="D1196" s="19" t="s">
        <v>43</v>
      </c>
      <c r="E1196" s="19" t="s">
        <v>453</v>
      </c>
      <c r="G1196" s="19">
        <v>73</v>
      </c>
      <c r="H1196" s="19" t="s">
        <v>215</v>
      </c>
      <c r="I1196" s="19" t="s">
        <v>246</v>
      </c>
      <c r="J1196" s="19" t="s">
        <v>217</v>
      </c>
      <c r="K1196" s="18">
        <v>46084.724444444444</v>
      </c>
    </row>
    <row r="1197" spans="1:11" x14ac:dyDescent="0.25">
      <c r="A1197" s="16" t="s">
        <v>1648</v>
      </c>
      <c r="B1197" s="20">
        <v>46054</v>
      </c>
      <c r="C1197" s="16">
        <v>2</v>
      </c>
      <c r="D1197" s="19" t="s">
        <v>43</v>
      </c>
      <c r="E1197" s="19" t="s">
        <v>453</v>
      </c>
      <c r="G1197" s="19">
        <v>72</v>
      </c>
      <c r="H1197" s="19" t="s">
        <v>215</v>
      </c>
      <c r="I1197" s="19" t="s">
        <v>246</v>
      </c>
      <c r="J1197" s="19" t="s">
        <v>217</v>
      </c>
      <c r="K1197" s="18">
        <v>46084.724490740744</v>
      </c>
    </row>
    <row r="1198" spans="1:11" x14ac:dyDescent="0.25">
      <c r="A1198" s="16" t="s">
        <v>1649</v>
      </c>
      <c r="B1198" s="20">
        <v>46054</v>
      </c>
      <c r="C1198" s="16">
        <v>2</v>
      </c>
      <c r="D1198" s="19" t="s">
        <v>43</v>
      </c>
      <c r="E1198" s="19" t="s">
        <v>453</v>
      </c>
      <c r="G1198" s="19">
        <v>56</v>
      </c>
      <c r="H1198" s="19" t="s">
        <v>215</v>
      </c>
      <c r="I1198" s="19" t="s">
        <v>246</v>
      </c>
      <c r="J1198" s="19" t="s">
        <v>217</v>
      </c>
      <c r="K1198" s="18">
        <v>46084.724537037036</v>
      </c>
    </row>
    <row r="1199" spans="1:11" x14ac:dyDescent="0.25">
      <c r="A1199" s="16" t="s">
        <v>1650</v>
      </c>
      <c r="B1199" s="20">
        <v>46054</v>
      </c>
      <c r="C1199" s="16">
        <v>2</v>
      </c>
      <c r="D1199" s="19" t="s">
        <v>43</v>
      </c>
      <c r="E1199" s="19" t="s">
        <v>453</v>
      </c>
      <c r="G1199" s="19">
        <v>41</v>
      </c>
      <c r="H1199" s="19" t="s">
        <v>215</v>
      </c>
      <c r="I1199" s="19" t="s">
        <v>246</v>
      </c>
      <c r="J1199" s="19" t="s">
        <v>217</v>
      </c>
      <c r="K1199" s="18">
        <v>46084.724594907406</v>
      </c>
    </row>
    <row r="1200" spans="1:11" x14ac:dyDescent="0.25">
      <c r="A1200" s="16" t="s">
        <v>1651</v>
      </c>
      <c r="B1200" s="20">
        <v>46054</v>
      </c>
      <c r="C1200" s="16">
        <v>2</v>
      </c>
      <c r="D1200" s="19" t="s">
        <v>43</v>
      </c>
      <c r="E1200" s="19" t="s">
        <v>453</v>
      </c>
      <c r="G1200" s="19">
        <v>22</v>
      </c>
      <c r="H1200" s="19" t="s">
        <v>215</v>
      </c>
      <c r="I1200" s="19" t="s">
        <v>246</v>
      </c>
      <c r="J1200" s="19" t="s">
        <v>217</v>
      </c>
      <c r="K1200" s="18">
        <v>46084.724618055552</v>
      </c>
    </row>
    <row r="1201" spans="1:11" x14ac:dyDescent="0.25">
      <c r="A1201" s="16" t="s">
        <v>1652</v>
      </c>
      <c r="B1201" s="20">
        <v>46054</v>
      </c>
      <c r="C1201" s="16">
        <v>2</v>
      </c>
      <c r="D1201" s="19" t="s">
        <v>45</v>
      </c>
      <c r="E1201" s="19" t="s">
        <v>453</v>
      </c>
      <c r="G1201" s="19">
        <v>40</v>
      </c>
      <c r="H1201" s="19" t="s">
        <v>215</v>
      </c>
      <c r="I1201" s="19" t="s">
        <v>216</v>
      </c>
      <c r="J1201" s="19" t="s">
        <v>217</v>
      </c>
      <c r="K1201" s="18">
        <v>46084.72488425926</v>
      </c>
    </row>
    <row r="1202" spans="1:11" x14ac:dyDescent="0.25">
      <c r="A1202" s="16" t="s">
        <v>1653</v>
      </c>
      <c r="B1202" s="20">
        <v>46054</v>
      </c>
      <c r="C1202" s="16">
        <v>2</v>
      </c>
      <c r="D1202" s="19" t="s">
        <v>45</v>
      </c>
      <c r="E1202" s="19" t="s">
        <v>453</v>
      </c>
      <c r="G1202" s="19">
        <v>59</v>
      </c>
      <c r="H1202" s="19" t="s">
        <v>215</v>
      </c>
      <c r="I1202" s="19" t="s">
        <v>216</v>
      </c>
      <c r="J1202" s="19" t="s">
        <v>217</v>
      </c>
      <c r="K1202" s="18">
        <v>46084.724930555552</v>
      </c>
    </row>
    <row r="1203" spans="1:11" x14ac:dyDescent="0.25">
      <c r="A1203" s="16" t="s">
        <v>1654</v>
      </c>
      <c r="B1203" s="20">
        <v>46055</v>
      </c>
      <c r="C1203" s="16">
        <v>2</v>
      </c>
      <c r="D1203" s="19" t="s">
        <v>43</v>
      </c>
      <c r="E1203" s="19" t="s">
        <v>453</v>
      </c>
      <c r="G1203" s="19">
        <v>25</v>
      </c>
      <c r="H1203" s="19" t="s">
        <v>215</v>
      </c>
      <c r="I1203" s="19" t="s">
        <v>246</v>
      </c>
      <c r="J1203" s="19" t="s">
        <v>217</v>
      </c>
      <c r="K1203" s="18">
        <v>46084.725358796299</v>
      </c>
    </row>
    <row r="1204" spans="1:11" x14ac:dyDescent="0.25">
      <c r="A1204" s="16" t="s">
        <v>1655</v>
      </c>
      <c r="B1204" s="20">
        <v>46055</v>
      </c>
      <c r="C1204" s="16">
        <v>2</v>
      </c>
      <c r="D1204" s="19" t="s">
        <v>43</v>
      </c>
      <c r="E1204" s="19" t="s">
        <v>453</v>
      </c>
      <c r="G1204" s="19">
        <v>14</v>
      </c>
      <c r="H1204" s="19" t="s">
        <v>215</v>
      </c>
      <c r="I1204" s="19" t="s">
        <v>246</v>
      </c>
      <c r="J1204" s="19" t="s">
        <v>217</v>
      </c>
      <c r="K1204" s="18">
        <v>46084.725393518522</v>
      </c>
    </row>
    <row r="1205" spans="1:11" x14ac:dyDescent="0.25">
      <c r="A1205" s="16" t="s">
        <v>1656</v>
      </c>
      <c r="B1205" s="20">
        <v>46055</v>
      </c>
      <c r="C1205" s="16">
        <v>2</v>
      </c>
      <c r="D1205" s="19" t="s">
        <v>43</v>
      </c>
      <c r="E1205" s="19" t="s">
        <v>453</v>
      </c>
      <c r="G1205" s="19">
        <v>62</v>
      </c>
      <c r="H1205" s="19" t="s">
        <v>215</v>
      </c>
      <c r="I1205" s="19" t="s">
        <v>246</v>
      </c>
      <c r="J1205" s="19" t="s">
        <v>217</v>
      </c>
      <c r="K1205" s="18">
        <v>46084.725428240738</v>
      </c>
    </row>
    <row r="1206" spans="1:11" x14ac:dyDescent="0.25">
      <c r="A1206" s="16" t="s">
        <v>1657</v>
      </c>
      <c r="B1206" s="20">
        <v>46055</v>
      </c>
      <c r="C1206" s="16">
        <v>2</v>
      </c>
      <c r="D1206" s="19" t="s">
        <v>45</v>
      </c>
      <c r="E1206" s="19" t="s">
        <v>453</v>
      </c>
      <c r="G1206" s="19">
        <v>24</v>
      </c>
      <c r="H1206" s="19" t="s">
        <v>215</v>
      </c>
      <c r="I1206" s="19" t="s">
        <v>216</v>
      </c>
      <c r="J1206" s="19" t="s">
        <v>217</v>
      </c>
      <c r="K1206" s="18">
        <v>46084.729085648149</v>
      </c>
    </row>
    <row r="1207" spans="1:11" x14ac:dyDescent="0.25">
      <c r="A1207" s="16" t="s">
        <v>1658</v>
      </c>
      <c r="B1207" s="20">
        <v>46055</v>
      </c>
      <c r="C1207" s="16">
        <v>2</v>
      </c>
      <c r="D1207" s="19" t="s">
        <v>45</v>
      </c>
      <c r="E1207" s="19" t="s">
        <v>453</v>
      </c>
      <c r="G1207" s="19">
        <v>7</v>
      </c>
      <c r="H1207" s="19" t="s">
        <v>215</v>
      </c>
      <c r="I1207" s="19" t="s">
        <v>216</v>
      </c>
      <c r="J1207" s="19" t="s">
        <v>217</v>
      </c>
      <c r="K1207" s="18">
        <v>46084.729131944441</v>
      </c>
    </row>
    <row r="1208" spans="1:11" x14ac:dyDescent="0.25">
      <c r="A1208" s="16" t="s">
        <v>1659</v>
      </c>
      <c r="B1208" s="20">
        <v>46056</v>
      </c>
      <c r="C1208" s="16">
        <v>2</v>
      </c>
      <c r="D1208" s="19" t="s">
        <v>43</v>
      </c>
      <c r="E1208" s="19" t="s">
        <v>453</v>
      </c>
      <c r="G1208" s="19">
        <v>75</v>
      </c>
      <c r="H1208" s="19" t="s">
        <v>215</v>
      </c>
      <c r="I1208" s="19" t="s">
        <v>246</v>
      </c>
      <c r="J1208" s="19" t="s">
        <v>217</v>
      </c>
      <c r="K1208" s="18">
        <v>46084.729351851849</v>
      </c>
    </row>
    <row r="1209" spans="1:11" x14ac:dyDescent="0.25">
      <c r="A1209" s="16" t="s">
        <v>1660</v>
      </c>
      <c r="B1209" s="20">
        <v>46056</v>
      </c>
      <c r="C1209" s="16">
        <v>2</v>
      </c>
      <c r="D1209" s="19" t="s">
        <v>43</v>
      </c>
      <c r="E1209" s="19" t="s">
        <v>453</v>
      </c>
      <c r="G1209" s="19">
        <v>25</v>
      </c>
      <c r="H1209" s="19" t="s">
        <v>215</v>
      </c>
      <c r="I1209" s="19" t="s">
        <v>246</v>
      </c>
      <c r="J1209" s="19" t="s">
        <v>217</v>
      </c>
      <c r="K1209" s="18">
        <v>46084.729351851849</v>
      </c>
    </row>
    <row r="1210" spans="1:11" x14ac:dyDescent="0.25">
      <c r="A1210" s="16" t="s">
        <v>1661</v>
      </c>
      <c r="B1210" s="20">
        <v>46056</v>
      </c>
      <c r="C1210" s="16">
        <v>2</v>
      </c>
      <c r="D1210" s="19" t="s">
        <v>43</v>
      </c>
      <c r="E1210" s="19" t="s">
        <v>453</v>
      </c>
      <c r="G1210" s="19">
        <v>66</v>
      </c>
      <c r="H1210" s="19" t="s">
        <v>215</v>
      </c>
      <c r="I1210" s="19" t="s">
        <v>246</v>
      </c>
      <c r="J1210" s="19" t="s">
        <v>217</v>
      </c>
      <c r="K1210" s="18">
        <v>46084.729375000003</v>
      </c>
    </row>
    <row r="1211" spans="1:11" x14ac:dyDescent="0.25">
      <c r="A1211" s="16" t="s">
        <v>1662</v>
      </c>
      <c r="B1211" s="20">
        <v>46056</v>
      </c>
      <c r="C1211" s="16">
        <v>2</v>
      </c>
      <c r="D1211" s="19" t="s">
        <v>43</v>
      </c>
      <c r="E1211" s="19" t="s">
        <v>453</v>
      </c>
      <c r="G1211" s="19">
        <v>47</v>
      </c>
      <c r="H1211" s="19" t="s">
        <v>215</v>
      </c>
      <c r="I1211" s="19" t="s">
        <v>246</v>
      </c>
      <c r="J1211" s="19" t="s">
        <v>217</v>
      </c>
      <c r="K1211" s="18">
        <v>46084.729386574072</v>
      </c>
    </row>
    <row r="1212" spans="1:11" x14ac:dyDescent="0.25">
      <c r="A1212" s="16" t="s">
        <v>1663</v>
      </c>
      <c r="B1212" s="20">
        <v>46056</v>
      </c>
      <c r="C1212" s="16">
        <v>2</v>
      </c>
      <c r="D1212" s="19" t="s">
        <v>43</v>
      </c>
      <c r="E1212" s="19" t="s">
        <v>453</v>
      </c>
      <c r="G1212" s="19">
        <v>38</v>
      </c>
      <c r="H1212" s="19" t="s">
        <v>215</v>
      </c>
      <c r="I1212" s="19" t="s">
        <v>246</v>
      </c>
      <c r="J1212" s="19" t="s">
        <v>217</v>
      </c>
      <c r="K1212" s="18">
        <v>46084.729409722226</v>
      </c>
    </row>
    <row r="1213" spans="1:11" x14ac:dyDescent="0.25">
      <c r="A1213" s="16" t="s">
        <v>1664</v>
      </c>
      <c r="B1213" s="20">
        <v>46056</v>
      </c>
      <c r="C1213" s="16">
        <v>2</v>
      </c>
      <c r="D1213" s="19" t="s">
        <v>45</v>
      </c>
      <c r="E1213" s="19" t="s">
        <v>453</v>
      </c>
      <c r="G1213" s="19">
        <v>66</v>
      </c>
      <c r="H1213" s="19" t="s">
        <v>215</v>
      </c>
      <c r="I1213" s="19" t="s">
        <v>216</v>
      </c>
      <c r="J1213" s="19" t="s">
        <v>217</v>
      </c>
      <c r="K1213" s="18">
        <v>46084.729537037034</v>
      </c>
    </row>
    <row r="1214" spans="1:11" x14ac:dyDescent="0.25">
      <c r="A1214" s="16" t="s">
        <v>1665</v>
      </c>
      <c r="B1214" s="20">
        <v>46056</v>
      </c>
      <c r="C1214" s="16">
        <v>2</v>
      </c>
      <c r="D1214" s="19" t="s">
        <v>45</v>
      </c>
      <c r="E1214" s="19" t="s">
        <v>453</v>
      </c>
      <c r="G1214" s="19">
        <v>20</v>
      </c>
      <c r="H1214" s="19" t="s">
        <v>215</v>
      </c>
      <c r="I1214" s="19" t="s">
        <v>216</v>
      </c>
      <c r="J1214" s="19" t="s">
        <v>217</v>
      </c>
      <c r="K1214" s="18">
        <v>46084.729548611111</v>
      </c>
    </row>
    <row r="1215" spans="1:11" x14ac:dyDescent="0.25">
      <c r="A1215" s="16" t="s">
        <v>1666</v>
      </c>
      <c r="B1215" s="20">
        <v>46057</v>
      </c>
      <c r="C1215" s="16">
        <v>2</v>
      </c>
      <c r="D1215" s="19" t="s">
        <v>45</v>
      </c>
      <c r="E1215" s="19" t="s">
        <v>453</v>
      </c>
      <c r="G1215" s="19">
        <v>25</v>
      </c>
      <c r="H1215" s="19" t="s">
        <v>215</v>
      </c>
      <c r="I1215" s="19" t="s">
        <v>216</v>
      </c>
      <c r="J1215" s="19" t="s">
        <v>217</v>
      </c>
      <c r="K1215" s="18">
        <v>46084.729791666665</v>
      </c>
    </row>
    <row r="1216" spans="1:11" x14ac:dyDescent="0.25">
      <c r="A1216" s="16" t="s">
        <v>1667</v>
      </c>
      <c r="B1216" s="20">
        <v>46057</v>
      </c>
      <c r="C1216" s="16">
        <v>2</v>
      </c>
      <c r="D1216" s="19" t="s">
        <v>45</v>
      </c>
      <c r="E1216" s="19" t="s">
        <v>453</v>
      </c>
      <c r="G1216" s="19">
        <v>58</v>
      </c>
      <c r="H1216" s="19" t="s">
        <v>215</v>
      </c>
      <c r="I1216" s="19" t="s">
        <v>216</v>
      </c>
      <c r="J1216" s="19" t="s">
        <v>217</v>
      </c>
      <c r="K1216" s="18">
        <v>46084.729803240742</v>
      </c>
    </row>
    <row r="1217" spans="1:11" x14ac:dyDescent="0.25">
      <c r="A1217" s="16" t="s">
        <v>1668</v>
      </c>
      <c r="B1217" s="20">
        <v>46057</v>
      </c>
      <c r="C1217" s="16">
        <v>2</v>
      </c>
      <c r="D1217" s="19" t="s">
        <v>45</v>
      </c>
      <c r="E1217" s="19" t="s">
        <v>453</v>
      </c>
      <c r="G1217" s="19">
        <v>87</v>
      </c>
      <c r="H1217" s="19" t="s">
        <v>215</v>
      </c>
      <c r="I1217" s="19" t="s">
        <v>216</v>
      </c>
      <c r="J1217" s="19" t="s">
        <v>217</v>
      </c>
      <c r="K1217" s="18">
        <v>46084.729826388888</v>
      </c>
    </row>
    <row r="1218" spans="1:11" x14ac:dyDescent="0.25">
      <c r="A1218" s="16" t="s">
        <v>1669</v>
      </c>
      <c r="B1218" s="20">
        <v>46057</v>
      </c>
      <c r="C1218" s="16">
        <v>2</v>
      </c>
      <c r="D1218" s="19" t="s">
        <v>45</v>
      </c>
      <c r="E1218" s="19" t="s">
        <v>453</v>
      </c>
      <c r="G1218" s="19">
        <v>32</v>
      </c>
      <c r="H1218" s="19" t="s">
        <v>215</v>
      </c>
      <c r="I1218" s="19" t="s">
        <v>216</v>
      </c>
      <c r="J1218" s="19" t="s">
        <v>217</v>
      </c>
      <c r="K1218" s="18">
        <v>46084.729837962965</v>
      </c>
    </row>
    <row r="1219" spans="1:11" x14ac:dyDescent="0.25">
      <c r="A1219" s="16" t="s">
        <v>1670</v>
      </c>
      <c r="B1219" s="20">
        <v>46057</v>
      </c>
      <c r="C1219" s="16">
        <v>2</v>
      </c>
      <c r="D1219" s="19" t="s">
        <v>43</v>
      </c>
      <c r="E1219" s="19" t="s">
        <v>453</v>
      </c>
      <c r="G1219" s="19">
        <v>60</v>
      </c>
      <c r="H1219" s="19" t="s">
        <v>215</v>
      </c>
      <c r="I1219" s="19" t="s">
        <v>246</v>
      </c>
      <c r="J1219" s="19" t="s">
        <v>217</v>
      </c>
      <c r="K1219" s="18">
        <v>46084.729988425926</v>
      </c>
    </row>
    <row r="1220" spans="1:11" x14ac:dyDescent="0.25">
      <c r="A1220" s="16" t="s">
        <v>1671</v>
      </c>
      <c r="B1220" s="20">
        <v>46057</v>
      </c>
      <c r="C1220" s="16">
        <v>2</v>
      </c>
      <c r="D1220" s="19" t="s">
        <v>43</v>
      </c>
      <c r="E1220" s="19" t="s">
        <v>453</v>
      </c>
      <c r="G1220" s="19">
        <v>14</v>
      </c>
      <c r="H1220" s="19" t="s">
        <v>215</v>
      </c>
      <c r="I1220" s="19" t="s">
        <v>246</v>
      </c>
      <c r="J1220" s="19" t="s">
        <v>217</v>
      </c>
      <c r="K1220" s="18">
        <v>46084.730023148149</v>
      </c>
    </row>
    <row r="1221" spans="1:11" x14ac:dyDescent="0.25">
      <c r="A1221" s="16" t="s">
        <v>1672</v>
      </c>
      <c r="B1221" s="20">
        <v>46058</v>
      </c>
      <c r="C1221" s="16">
        <v>2</v>
      </c>
      <c r="D1221" s="19" t="s">
        <v>43</v>
      </c>
      <c r="E1221" s="19" t="s">
        <v>453</v>
      </c>
      <c r="G1221" s="19">
        <v>49</v>
      </c>
      <c r="H1221" s="19" t="s">
        <v>215</v>
      </c>
      <c r="I1221" s="19" t="s">
        <v>246</v>
      </c>
      <c r="J1221" s="19" t="s">
        <v>217</v>
      </c>
      <c r="K1221" s="18">
        <v>46084.730416666665</v>
      </c>
    </row>
    <row r="1222" spans="1:11" x14ac:dyDescent="0.25">
      <c r="A1222" s="16" t="s">
        <v>1673</v>
      </c>
      <c r="B1222" s="20">
        <v>46058</v>
      </c>
      <c r="C1222" s="16">
        <v>2</v>
      </c>
      <c r="D1222" s="19" t="s">
        <v>43</v>
      </c>
      <c r="E1222" s="19" t="s">
        <v>453</v>
      </c>
      <c r="G1222" s="19">
        <v>61</v>
      </c>
      <c r="H1222" s="19" t="s">
        <v>215</v>
      </c>
      <c r="I1222" s="19" t="s">
        <v>246</v>
      </c>
      <c r="J1222" s="19" t="s">
        <v>217</v>
      </c>
      <c r="K1222" s="18">
        <v>46084.730451388888</v>
      </c>
    </row>
    <row r="1223" spans="1:11" x14ac:dyDescent="0.25">
      <c r="A1223" s="16" t="s">
        <v>1674</v>
      </c>
      <c r="B1223" s="20">
        <v>46058</v>
      </c>
      <c r="C1223" s="16">
        <v>2</v>
      </c>
      <c r="D1223" s="19" t="s">
        <v>45</v>
      </c>
      <c r="E1223" s="19" t="s">
        <v>453</v>
      </c>
      <c r="G1223" s="19">
        <v>62</v>
      </c>
      <c r="H1223" s="19" t="s">
        <v>215</v>
      </c>
      <c r="I1223" s="19" t="s">
        <v>216</v>
      </c>
      <c r="J1223" s="19" t="s">
        <v>217</v>
      </c>
      <c r="K1223" s="18">
        <v>46084.730555555558</v>
      </c>
    </row>
    <row r="1224" spans="1:11" x14ac:dyDescent="0.25">
      <c r="A1224" s="16" t="s">
        <v>1675</v>
      </c>
      <c r="B1224" s="20">
        <v>46059</v>
      </c>
      <c r="C1224" s="16">
        <v>2</v>
      </c>
      <c r="D1224" s="19" t="s">
        <v>43</v>
      </c>
      <c r="E1224" s="19" t="s">
        <v>453</v>
      </c>
      <c r="G1224" s="19">
        <v>14</v>
      </c>
      <c r="H1224" s="19" t="s">
        <v>215</v>
      </c>
      <c r="I1224" s="19" t="s">
        <v>246</v>
      </c>
      <c r="J1224" s="19" t="s">
        <v>217</v>
      </c>
      <c r="K1224" s="18">
        <v>46084.73101851852</v>
      </c>
    </row>
    <row r="1225" spans="1:11" x14ac:dyDescent="0.25">
      <c r="A1225" s="16" t="s">
        <v>1676</v>
      </c>
      <c r="B1225" s="20">
        <v>46059</v>
      </c>
      <c r="C1225" s="16">
        <v>2</v>
      </c>
      <c r="D1225" s="19" t="s">
        <v>43</v>
      </c>
      <c r="E1225" s="19" t="s">
        <v>453</v>
      </c>
      <c r="G1225" s="19">
        <v>32</v>
      </c>
      <c r="H1225" s="19" t="s">
        <v>215</v>
      </c>
      <c r="I1225" s="19" t="s">
        <v>246</v>
      </c>
      <c r="J1225" s="19" t="s">
        <v>217</v>
      </c>
      <c r="K1225" s="18">
        <v>46084.730983796297</v>
      </c>
    </row>
    <row r="1226" spans="1:11" x14ac:dyDescent="0.25">
      <c r="A1226" s="16" t="s">
        <v>1677</v>
      </c>
      <c r="B1226" s="20">
        <v>46059</v>
      </c>
      <c r="C1226" s="16">
        <v>2</v>
      </c>
      <c r="D1226" s="19" t="s">
        <v>43</v>
      </c>
      <c r="E1226" s="19" t="s">
        <v>453</v>
      </c>
      <c r="G1226" s="19">
        <v>30</v>
      </c>
      <c r="H1226" s="19" t="s">
        <v>215</v>
      </c>
      <c r="I1226" s="19" t="s">
        <v>246</v>
      </c>
      <c r="J1226" s="19" t="s">
        <v>217</v>
      </c>
      <c r="K1226" s="18">
        <v>46084.730914351851</v>
      </c>
    </row>
    <row r="1227" spans="1:11" x14ac:dyDescent="0.25">
      <c r="A1227" s="16" t="s">
        <v>1678</v>
      </c>
      <c r="B1227" s="20">
        <v>46059</v>
      </c>
      <c r="C1227" s="16">
        <v>2</v>
      </c>
      <c r="D1227" s="19" t="s">
        <v>45</v>
      </c>
      <c r="E1227" s="19" t="s">
        <v>453</v>
      </c>
      <c r="G1227" s="19">
        <v>68</v>
      </c>
      <c r="H1227" s="19" t="s">
        <v>215</v>
      </c>
      <c r="I1227" s="19" t="s">
        <v>216</v>
      </c>
      <c r="J1227" s="19" t="s">
        <v>217</v>
      </c>
      <c r="K1227" s="18">
        <v>46084.731249999997</v>
      </c>
    </row>
    <row r="1228" spans="1:11" x14ac:dyDescent="0.25">
      <c r="A1228" s="16" t="s">
        <v>1679</v>
      </c>
      <c r="B1228" s="20">
        <v>46060</v>
      </c>
      <c r="C1228" s="16">
        <v>2</v>
      </c>
      <c r="D1228" s="19" t="s">
        <v>43</v>
      </c>
      <c r="E1228" s="19" t="s">
        <v>453</v>
      </c>
      <c r="G1228" s="19">
        <v>14</v>
      </c>
      <c r="H1228" s="19" t="s">
        <v>215</v>
      </c>
      <c r="I1228" s="19" t="s">
        <v>246</v>
      </c>
      <c r="J1228" s="19" t="s">
        <v>217</v>
      </c>
      <c r="K1228" s="18">
        <v>46084.731481481482</v>
      </c>
    </row>
    <row r="1229" spans="1:11" x14ac:dyDescent="0.25">
      <c r="A1229" s="16" t="s">
        <v>1680</v>
      </c>
      <c r="B1229" s="20">
        <v>46060</v>
      </c>
      <c r="C1229" s="16">
        <v>2</v>
      </c>
      <c r="D1229" s="19" t="s">
        <v>43</v>
      </c>
      <c r="E1229" s="19" t="s">
        <v>453</v>
      </c>
      <c r="G1229" s="19">
        <v>30</v>
      </c>
      <c r="H1229" s="19" t="s">
        <v>215</v>
      </c>
      <c r="I1229" s="19" t="s">
        <v>246</v>
      </c>
      <c r="J1229" s="19" t="s">
        <v>217</v>
      </c>
      <c r="K1229" s="18">
        <v>46084.731504629628</v>
      </c>
    </row>
    <row r="1230" spans="1:11" x14ac:dyDescent="0.25">
      <c r="A1230" s="16" t="s">
        <v>1681</v>
      </c>
      <c r="B1230" s="20">
        <v>46060</v>
      </c>
      <c r="C1230" s="16">
        <v>2</v>
      </c>
      <c r="D1230" s="19" t="s">
        <v>45</v>
      </c>
      <c r="E1230" s="19" t="s">
        <v>453</v>
      </c>
      <c r="G1230" s="19">
        <v>57</v>
      </c>
      <c r="H1230" s="19" t="s">
        <v>215</v>
      </c>
      <c r="I1230" s="19" t="s">
        <v>216</v>
      </c>
      <c r="J1230" s="19" t="s">
        <v>217</v>
      </c>
      <c r="K1230" s="18">
        <v>46084.731631944444</v>
      </c>
    </row>
    <row r="1231" spans="1:11" x14ac:dyDescent="0.25">
      <c r="A1231" s="16" t="s">
        <v>1682</v>
      </c>
      <c r="B1231" s="20">
        <v>46061</v>
      </c>
      <c r="C1231" s="16">
        <v>2</v>
      </c>
      <c r="D1231" s="19" t="s">
        <v>43</v>
      </c>
      <c r="E1231" s="19" t="s">
        <v>453</v>
      </c>
      <c r="G1231" s="19">
        <v>45</v>
      </c>
      <c r="H1231" s="19" t="s">
        <v>215</v>
      </c>
      <c r="I1231" s="19" t="s">
        <v>246</v>
      </c>
      <c r="J1231" s="19" t="s">
        <v>217</v>
      </c>
      <c r="K1231" s="18">
        <v>46084.731956018521</v>
      </c>
    </row>
    <row r="1232" spans="1:11" x14ac:dyDescent="0.25">
      <c r="A1232" s="16" t="s">
        <v>1683</v>
      </c>
      <c r="B1232" s="20">
        <v>46061</v>
      </c>
      <c r="C1232" s="16">
        <v>2</v>
      </c>
      <c r="D1232" s="19" t="s">
        <v>43</v>
      </c>
      <c r="E1232" s="19" t="s">
        <v>453</v>
      </c>
      <c r="G1232" s="19">
        <v>17</v>
      </c>
      <c r="H1232" s="19" t="s">
        <v>215</v>
      </c>
      <c r="I1232" s="19" t="s">
        <v>246</v>
      </c>
      <c r="J1232" s="19" t="s">
        <v>217</v>
      </c>
      <c r="K1232" s="18">
        <v>46084.73196759259</v>
      </c>
    </row>
    <row r="1233" spans="1:11" x14ac:dyDescent="0.25">
      <c r="A1233" s="16" t="s">
        <v>1684</v>
      </c>
      <c r="B1233" s="20">
        <v>46061</v>
      </c>
      <c r="C1233" s="16">
        <v>2</v>
      </c>
      <c r="D1233" s="19" t="s">
        <v>45</v>
      </c>
      <c r="E1233" s="19" t="s">
        <v>453</v>
      </c>
      <c r="G1233" s="19">
        <v>48</v>
      </c>
      <c r="H1233" s="19" t="s">
        <v>215</v>
      </c>
      <c r="I1233" s="19" t="s">
        <v>216</v>
      </c>
      <c r="J1233" s="19" t="s">
        <v>217</v>
      </c>
      <c r="K1233" s="18">
        <v>46084.732071759259</v>
      </c>
    </row>
    <row r="1234" spans="1:11" x14ac:dyDescent="0.25">
      <c r="A1234" s="16" t="s">
        <v>1685</v>
      </c>
      <c r="B1234" s="20">
        <v>46061</v>
      </c>
      <c r="C1234" s="16">
        <v>2</v>
      </c>
      <c r="D1234" s="19" t="s">
        <v>45</v>
      </c>
      <c r="E1234" s="19" t="s">
        <v>453</v>
      </c>
      <c r="G1234" s="19">
        <v>40</v>
      </c>
      <c r="H1234" s="19" t="s">
        <v>215</v>
      </c>
      <c r="I1234" s="19" t="s">
        <v>216</v>
      </c>
      <c r="J1234" s="19" t="s">
        <v>217</v>
      </c>
      <c r="K1234" s="18">
        <v>46084.732094907406</v>
      </c>
    </row>
    <row r="1235" spans="1:11" x14ac:dyDescent="0.25">
      <c r="A1235" s="16" t="s">
        <v>1686</v>
      </c>
      <c r="B1235" s="20">
        <v>46062</v>
      </c>
      <c r="C1235" s="16">
        <v>2</v>
      </c>
      <c r="D1235" s="19" t="s">
        <v>43</v>
      </c>
      <c r="E1235" s="19" t="s">
        <v>453</v>
      </c>
      <c r="G1235" s="19">
        <v>42</v>
      </c>
      <c r="H1235" s="19" t="s">
        <v>215</v>
      </c>
      <c r="I1235" s="19" t="s">
        <v>246</v>
      </c>
      <c r="J1235" s="19" t="s">
        <v>217</v>
      </c>
      <c r="K1235" s="18">
        <v>46084.732581018521</v>
      </c>
    </row>
    <row r="1236" spans="1:11" x14ac:dyDescent="0.25">
      <c r="A1236" s="16" t="s">
        <v>1687</v>
      </c>
      <c r="B1236" s="20">
        <v>46062</v>
      </c>
      <c r="C1236" s="16">
        <v>2</v>
      </c>
      <c r="D1236" s="19" t="s">
        <v>43</v>
      </c>
      <c r="E1236" s="19" t="s">
        <v>453</v>
      </c>
      <c r="G1236" s="19">
        <v>35</v>
      </c>
      <c r="H1236" s="19" t="s">
        <v>215</v>
      </c>
      <c r="I1236" s="19" t="s">
        <v>246</v>
      </c>
      <c r="J1236" s="19" t="s">
        <v>217</v>
      </c>
      <c r="K1236" s="18">
        <v>46084.733078703706</v>
      </c>
    </row>
    <row r="1237" spans="1:11" x14ac:dyDescent="0.25">
      <c r="A1237" s="16" t="s">
        <v>1688</v>
      </c>
      <c r="B1237" s="20">
        <v>46062</v>
      </c>
      <c r="C1237" s="16">
        <v>2</v>
      </c>
      <c r="D1237" s="19" t="s">
        <v>43</v>
      </c>
      <c r="E1237" s="19" t="s">
        <v>453</v>
      </c>
      <c r="G1237" s="19">
        <v>36</v>
      </c>
      <c r="H1237" s="19" t="s">
        <v>215</v>
      </c>
      <c r="I1237" s="19" t="s">
        <v>246</v>
      </c>
      <c r="J1237" s="19" t="s">
        <v>217</v>
      </c>
      <c r="K1237" s="18">
        <v>46084.733240740738</v>
      </c>
    </row>
    <row r="1238" spans="1:11" x14ac:dyDescent="0.25">
      <c r="A1238" s="16" t="s">
        <v>1689</v>
      </c>
      <c r="B1238" s="20">
        <v>46062</v>
      </c>
      <c r="C1238" s="16">
        <v>2</v>
      </c>
      <c r="D1238" s="19" t="s">
        <v>45</v>
      </c>
      <c r="E1238" s="19" t="s">
        <v>453</v>
      </c>
      <c r="G1238" s="19">
        <v>68</v>
      </c>
      <c r="H1238" s="19" t="s">
        <v>215</v>
      </c>
      <c r="I1238" s="19" t="s">
        <v>216</v>
      </c>
      <c r="J1238" s="19" t="s">
        <v>217</v>
      </c>
      <c r="K1238" s="18">
        <v>46084.73337962963</v>
      </c>
    </row>
    <row r="1239" spans="1:11" x14ac:dyDescent="0.25">
      <c r="A1239" s="16" t="s">
        <v>1690</v>
      </c>
      <c r="B1239" s="20">
        <v>46062</v>
      </c>
      <c r="C1239" s="16">
        <v>2</v>
      </c>
      <c r="D1239" s="19" t="s">
        <v>45</v>
      </c>
      <c r="E1239" s="19" t="s">
        <v>453</v>
      </c>
      <c r="G1239" s="19">
        <v>55</v>
      </c>
      <c r="H1239" s="19" t="s">
        <v>215</v>
      </c>
      <c r="I1239" s="19" t="s">
        <v>216</v>
      </c>
      <c r="J1239" s="19" t="s">
        <v>217</v>
      </c>
      <c r="K1239" s="18">
        <v>46084.733391203707</v>
      </c>
    </row>
    <row r="1240" spans="1:11" x14ac:dyDescent="0.25">
      <c r="A1240" s="16" t="s">
        <v>1691</v>
      </c>
      <c r="B1240" s="20">
        <v>46062</v>
      </c>
      <c r="C1240" s="16">
        <v>2</v>
      </c>
      <c r="D1240" s="19" t="s">
        <v>45</v>
      </c>
      <c r="E1240" s="19" t="s">
        <v>453</v>
      </c>
      <c r="G1240" s="19">
        <v>38</v>
      </c>
      <c r="H1240" s="19" t="s">
        <v>215</v>
      </c>
      <c r="I1240" s="19" t="s">
        <v>216</v>
      </c>
      <c r="J1240" s="19" t="s">
        <v>217</v>
      </c>
      <c r="K1240" s="18">
        <v>46084.733402777776</v>
      </c>
    </row>
    <row r="1241" spans="1:11" x14ac:dyDescent="0.25">
      <c r="A1241" s="16" t="s">
        <v>1692</v>
      </c>
      <c r="B1241" s="20">
        <v>46063</v>
      </c>
      <c r="C1241" s="16">
        <v>2</v>
      </c>
      <c r="D1241" s="19" t="s">
        <v>43</v>
      </c>
      <c r="E1241" s="19" t="s">
        <v>453</v>
      </c>
      <c r="G1241" s="19">
        <v>34</v>
      </c>
      <c r="H1241" s="19" t="s">
        <v>215</v>
      </c>
      <c r="I1241" s="19" t="s">
        <v>246</v>
      </c>
      <c r="J1241" s="19" t="s">
        <v>217</v>
      </c>
      <c r="K1241" s="18">
        <v>46084.733668981484</v>
      </c>
    </row>
    <row r="1242" spans="1:11" x14ac:dyDescent="0.25">
      <c r="A1242" s="16" t="s">
        <v>1693</v>
      </c>
      <c r="B1242" s="20">
        <v>46063</v>
      </c>
      <c r="C1242" s="16">
        <v>2</v>
      </c>
      <c r="D1242" s="19" t="s">
        <v>43</v>
      </c>
      <c r="E1242" s="19" t="s">
        <v>453</v>
      </c>
      <c r="G1242" s="19">
        <v>30</v>
      </c>
      <c r="H1242" s="19" t="s">
        <v>215</v>
      </c>
      <c r="I1242" s="19" t="s">
        <v>246</v>
      </c>
      <c r="J1242" s="19" t="s">
        <v>217</v>
      </c>
      <c r="K1242" s="18">
        <v>46084.733680555553</v>
      </c>
    </row>
    <row r="1243" spans="1:11" x14ac:dyDescent="0.25">
      <c r="A1243" s="16" t="s">
        <v>1694</v>
      </c>
      <c r="B1243" s="20">
        <v>46063</v>
      </c>
      <c r="C1243" s="16">
        <v>2</v>
      </c>
      <c r="D1243" s="19" t="s">
        <v>43</v>
      </c>
      <c r="E1243" s="19" t="s">
        <v>453</v>
      </c>
      <c r="G1243" s="19">
        <v>57</v>
      </c>
      <c r="H1243" s="19" t="s">
        <v>215</v>
      </c>
      <c r="I1243" s="19" t="s">
        <v>246</v>
      </c>
      <c r="J1243" s="19" t="s">
        <v>217</v>
      </c>
      <c r="K1243" s="18">
        <v>46084.73369212963</v>
      </c>
    </row>
    <row r="1244" spans="1:11" x14ac:dyDescent="0.25">
      <c r="A1244" s="16" t="s">
        <v>1695</v>
      </c>
      <c r="B1244" s="20">
        <v>46063</v>
      </c>
      <c r="C1244" s="16">
        <v>2</v>
      </c>
      <c r="D1244" s="19" t="s">
        <v>45</v>
      </c>
      <c r="E1244" s="19" t="s">
        <v>453</v>
      </c>
      <c r="G1244" s="19">
        <v>91</v>
      </c>
      <c r="H1244" s="19" t="s">
        <v>215</v>
      </c>
      <c r="I1244" s="19" t="s">
        <v>216</v>
      </c>
      <c r="J1244" s="19" t="s">
        <v>217</v>
      </c>
      <c r="K1244" s="18">
        <v>46084.733831018515</v>
      </c>
    </row>
    <row r="1245" spans="1:11" x14ac:dyDescent="0.25">
      <c r="A1245" s="16" t="s">
        <v>1696</v>
      </c>
      <c r="B1245" s="20">
        <v>46063</v>
      </c>
      <c r="C1245" s="16">
        <v>2</v>
      </c>
      <c r="D1245" s="19" t="s">
        <v>45</v>
      </c>
      <c r="E1245" s="19" t="s">
        <v>453</v>
      </c>
      <c r="G1245" s="19">
        <v>52</v>
      </c>
      <c r="H1245" s="19" t="s">
        <v>215</v>
      </c>
      <c r="I1245" s="19" t="s">
        <v>216</v>
      </c>
      <c r="J1245" s="19" t="s">
        <v>217</v>
      </c>
      <c r="K1245" s="18">
        <v>46084.733842592592</v>
      </c>
    </row>
    <row r="1246" spans="1:11" x14ac:dyDescent="0.25">
      <c r="A1246" s="16" t="s">
        <v>1697</v>
      </c>
      <c r="B1246" s="20">
        <v>46063</v>
      </c>
      <c r="C1246" s="16">
        <v>2</v>
      </c>
      <c r="D1246" s="19" t="s">
        <v>45</v>
      </c>
      <c r="E1246" s="19" t="s">
        <v>453</v>
      </c>
      <c r="G1246" s="19">
        <v>29</v>
      </c>
      <c r="H1246" s="19" t="s">
        <v>215</v>
      </c>
      <c r="I1246" s="19" t="s">
        <v>216</v>
      </c>
      <c r="J1246" s="19" t="s">
        <v>217</v>
      </c>
      <c r="K1246" s="18">
        <v>46084.733877314815</v>
      </c>
    </row>
    <row r="1247" spans="1:11" x14ac:dyDescent="0.25">
      <c r="A1247" s="16" t="s">
        <v>1698</v>
      </c>
      <c r="B1247" s="20">
        <v>46063</v>
      </c>
      <c r="C1247" s="16">
        <v>2</v>
      </c>
      <c r="D1247" s="19" t="s">
        <v>45</v>
      </c>
      <c r="E1247" s="19" t="s">
        <v>453</v>
      </c>
      <c r="G1247" s="19">
        <v>52</v>
      </c>
      <c r="H1247" s="19" t="s">
        <v>215</v>
      </c>
      <c r="I1247" s="19" t="s">
        <v>216</v>
      </c>
      <c r="J1247" s="19" t="s">
        <v>217</v>
      </c>
      <c r="K1247" s="18">
        <v>46084.733900462961</v>
      </c>
    </row>
    <row r="1248" spans="1:11" x14ac:dyDescent="0.25">
      <c r="A1248" s="16" t="s">
        <v>1699</v>
      </c>
      <c r="B1248" s="20">
        <v>46064</v>
      </c>
      <c r="C1248" s="16">
        <v>2</v>
      </c>
      <c r="D1248" s="19" t="s">
        <v>43</v>
      </c>
      <c r="E1248" s="19" t="s">
        <v>453</v>
      </c>
      <c r="G1248" s="19">
        <v>19</v>
      </c>
      <c r="H1248" s="19" t="s">
        <v>215</v>
      </c>
      <c r="I1248" s="19" t="s">
        <v>246</v>
      </c>
      <c r="J1248" s="19" t="s">
        <v>217</v>
      </c>
      <c r="K1248" s="18">
        <v>46084.73883101852</v>
      </c>
    </row>
    <row r="1249" spans="1:11" x14ac:dyDescent="0.25">
      <c r="A1249" s="16" t="s">
        <v>1700</v>
      </c>
      <c r="B1249" s="20">
        <v>46064</v>
      </c>
      <c r="C1249" s="16">
        <v>2</v>
      </c>
      <c r="D1249" s="19" t="s">
        <v>45</v>
      </c>
      <c r="E1249" s="19" t="s">
        <v>453</v>
      </c>
      <c r="G1249" s="19">
        <v>62</v>
      </c>
      <c r="H1249" s="19" t="s">
        <v>215</v>
      </c>
      <c r="I1249" s="19" t="s">
        <v>216</v>
      </c>
      <c r="J1249" s="19" t="s">
        <v>217</v>
      </c>
      <c r="K1249" s="18">
        <v>46084.738981481481</v>
      </c>
    </row>
    <row r="1250" spans="1:11" x14ac:dyDescent="0.25">
      <c r="A1250" s="16" t="s">
        <v>1701</v>
      </c>
      <c r="B1250" s="20">
        <v>46065</v>
      </c>
      <c r="C1250" s="16">
        <v>2</v>
      </c>
      <c r="D1250" s="19" t="s">
        <v>45</v>
      </c>
      <c r="E1250" s="19" t="s">
        <v>453</v>
      </c>
      <c r="G1250" s="19">
        <v>69</v>
      </c>
      <c r="H1250" s="19" t="s">
        <v>215</v>
      </c>
      <c r="I1250" s="19" t="s">
        <v>216</v>
      </c>
      <c r="J1250" s="19" t="s">
        <v>217</v>
      </c>
      <c r="K1250" s="18">
        <v>46084.739189814813</v>
      </c>
    </row>
    <row r="1251" spans="1:11" x14ac:dyDescent="0.25">
      <c r="A1251" s="16" t="s">
        <v>1702</v>
      </c>
      <c r="B1251" s="20">
        <v>46065</v>
      </c>
      <c r="C1251" s="16">
        <v>2</v>
      </c>
      <c r="D1251" s="19" t="s">
        <v>45</v>
      </c>
      <c r="E1251" s="19" t="s">
        <v>453</v>
      </c>
      <c r="G1251" s="19">
        <v>64</v>
      </c>
      <c r="H1251" s="19" t="s">
        <v>215</v>
      </c>
      <c r="I1251" s="19" t="s">
        <v>216</v>
      </c>
      <c r="J1251" s="19" t="s">
        <v>217</v>
      </c>
      <c r="K1251" s="18">
        <v>46084.739201388889</v>
      </c>
    </row>
    <row r="1252" spans="1:11" x14ac:dyDescent="0.25">
      <c r="A1252" s="16" t="s">
        <v>1703</v>
      </c>
      <c r="B1252" s="20">
        <v>46065</v>
      </c>
      <c r="C1252" s="16">
        <v>2</v>
      </c>
      <c r="D1252" s="19" t="s">
        <v>45</v>
      </c>
      <c r="E1252" s="19" t="s">
        <v>453</v>
      </c>
      <c r="G1252" s="19">
        <v>47</v>
      </c>
      <c r="H1252" s="19" t="s">
        <v>215</v>
      </c>
      <c r="I1252" s="19" t="s">
        <v>216</v>
      </c>
      <c r="J1252" s="19" t="s">
        <v>217</v>
      </c>
      <c r="K1252" s="18">
        <v>46084.739247685182</v>
      </c>
    </row>
    <row r="1253" spans="1:11" x14ac:dyDescent="0.25">
      <c r="A1253" s="16" t="s">
        <v>1704</v>
      </c>
      <c r="B1253" s="20">
        <v>46065</v>
      </c>
      <c r="C1253" s="16">
        <v>2</v>
      </c>
      <c r="D1253" s="19" t="s">
        <v>43</v>
      </c>
      <c r="E1253" s="19" t="s">
        <v>453</v>
      </c>
      <c r="G1253" s="19">
        <v>54</v>
      </c>
      <c r="H1253" s="19" t="s">
        <v>215</v>
      </c>
      <c r="I1253" s="19" t="s">
        <v>246</v>
      </c>
      <c r="J1253" s="19" t="s">
        <v>217</v>
      </c>
      <c r="K1253" s="18">
        <v>46084.739363425928</v>
      </c>
    </row>
    <row r="1254" spans="1:11" x14ac:dyDescent="0.25">
      <c r="A1254" s="16" t="s">
        <v>1705</v>
      </c>
      <c r="B1254" s="20">
        <v>46065</v>
      </c>
      <c r="C1254" s="16">
        <v>2</v>
      </c>
      <c r="D1254" s="19" t="s">
        <v>43</v>
      </c>
      <c r="E1254" s="19" t="s">
        <v>453</v>
      </c>
      <c r="G1254" s="19">
        <v>59</v>
      </c>
      <c r="H1254" s="19" t="s">
        <v>215</v>
      </c>
      <c r="I1254" s="19" t="s">
        <v>246</v>
      </c>
      <c r="J1254" s="19" t="s">
        <v>217</v>
      </c>
      <c r="K1254" s="18">
        <v>46084.739374999997</v>
      </c>
    </row>
    <row r="1255" spans="1:11" x14ac:dyDescent="0.25">
      <c r="A1255" s="16" t="s">
        <v>1706</v>
      </c>
      <c r="B1255" s="20">
        <v>46065</v>
      </c>
      <c r="C1255" s="16">
        <v>2</v>
      </c>
      <c r="D1255" s="19" t="s">
        <v>43</v>
      </c>
      <c r="E1255" s="19" t="s">
        <v>453</v>
      </c>
      <c r="G1255" s="19">
        <v>55</v>
      </c>
      <c r="H1255" s="19" t="s">
        <v>215</v>
      </c>
      <c r="I1255" s="19" t="s">
        <v>246</v>
      </c>
      <c r="J1255" s="19" t="s">
        <v>217</v>
      </c>
      <c r="K1255" s="18">
        <v>46084.739386574074</v>
      </c>
    </row>
    <row r="1256" spans="1:11" x14ac:dyDescent="0.25">
      <c r="A1256" s="16" t="s">
        <v>1707</v>
      </c>
      <c r="B1256" s="20">
        <v>46066</v>
      </c>
      <c r="C1256" s="16">
        <v>2</v>
      </c>
      <c r="D1256" s="19" t="s">
        <v>45</v>
      </c>
      <c r="E1256" s="19" t="s">
        <v>453</v>
      </c>
      <c r="G1256" s="19">
        <v>90</v>
      </c>
      <c r="H1256" s="19" t="s">
        <v>215</v>
      </c>
      <c r="I1256" s="19" t="s">
        <v>216</v>
      </c>
      <c r="J1256" s="19" t="s">
        <v>217</v>
      </c>
      <c r="K1256" s="18">
        <v>46084.739629629628</v>
      </c>
    </row>
    <row r="1257" spans="1:11" x14ac:dyDescent="0.25">
      <c r="A1257" s="16" t="s">
        <v>1708</v>
      </c>
      <c r="B1257" s="20">
        <v>46066</v>
      </c>
      <c r="C1257" s="16">
        <v>2</v>
      </c>
      <c r="D1257" s="19" t="s">
        <v>45</v>
      </c>
      <c r="E1257" s="19" t="s">
        <v>453</v>
      </c>
      <c r="G1257" s="19">
        <v>92</v>
      </c>
      <c r="H1257" s="19" t="s">
        <v>215</v>
      </c>
      <c r="I1257" s="19" t="s">
        <v>216</v>
      </c>
      <c r="J1257" s="19" t="s">
        <v>217</v>
      </c>
      <c r="K1257" s="18">
        <v>46084.739641203705</v>
      </c>
    </row>
    <row r="1258" spans="1:11" x14ac:dyDescent="0.25">
      <c r="A1258" s="16" t="s">
        <v>1709</v>
      </c>
      <c r="B1258" s="20">
        <v>46066</v>
      </c>
      <c r="C1258" s="16">
        <v>2</v>
      </c>
      <c r="D1258" s="19" t="s">
        <v>45</v>
      </c>
      <c r="E1258" s="19" t="s">
        <v>453</v>
      </c>
      <c r="G1258" s="19">
        <v>37</v>
      </c>
      <c r="H1258" s="19" t="s">
        <v>215</v>
      </c>
      <c r="I1258" s="19" t="s">
        <v>216</v>
      </c>
      <c r="J1258" s="19" t="s">
        <v>217</v>
      </c>
      <c r="K1258" s="18">
        <v>46084.739664351851</v>
      </c>
    </row>
    <row r="1259" spans="1:11" x14ac:dyDescent="0.25">
      <c r="A1259" s="16" t="s">
        <v>1710</v>
      </c>
      <c r="B1259" s="20">
        <v>46067</v>
      </c>
      <c r="C1259" s="16">
        <v>2</v>
      </c>
      <c r="D1259" s="19" t="s">
        <v>43</v>
      </c>
      <c r="E1259" s="19" t="s">
        <v>453</v>
      </c>
      <c r="G1259" s="19">
        <v>65</v>
      </c>
      <c r="H1259" s="19" t="s">
        <v>215</v>
      </c>
      <c r="I1259" s="19" t="s">
        <v>246</v>
      </c>
      <c r="J1259" s="19" t="s">
        <v>217</v>
      </c>
      <c r="K1259" s="18">
        <v>46084.739918981482</v>
      </c>
    </row>
    <row r="1260" spans="1:11" x14ac:dyDescent="0.25">
      <c r="A1260" s="16" t="s">
        <v>1711</v>
      </c>
      <c r="B1260" s="20">
        <v>46067</v>
      </c>
      <c r="C1260" s="16">
        <v>2</v>
      </c>
      <c r="D1260" s="19" t="s">
        <v>43</v>
      </c>
      <c r="E1260" s="19" t="s">
        <v>453</v>
      </c>
      <c r="G1260" s="19">
        <v>11</v>
      </c>
      <c r="H1260" s="19" t="s">
        <v>427</v>
      </c>
      <c r="I1260" s="19" t="s">
        <v>246</v>
      </c>
      <c r="J1260" s="19" t="s">
        <v>217</v>
      </c>
      <c r="K1260" s="18">
        <v>46084.739988425928</v>
      </c>
    </row>
    <row r="1261" spans="1:11" x14ac:dyDescent="0.25">
      <c r="A1261" s="16" t="s">
        <v>1712</v>
      </c>
      <c r="B1261" s="20">
        <v>46067</v>
      </c>
      <c r="C1261" s="16">
        <v>2</v>
      </c>
      <c r="D1261" s="19" t="s">
        <v>43</v>
      </c>
      <c r="E1261" s="19" t="s">
        <v>453</v>
      </c>
      <c r="G1261" s="19">
        <v>33</v>
      </c>
      <c r="H1261" s="19" t="s">
        <v>215</v>
      </c>
      <c r="I1261" s="19" t="s">
        <v>246</v>
      </c>
      <c r="J1261" s="19" t="s">
        <v>217</v>
      </c>
      <c r="K1261" s="18">
        <v>46084.740046296298</v>
      </c>
    </row>
    <row r="1262" spans="1:11" x14ac:dyDescent="0.25">
      <c r="A1262" s="16" t="s">
        <v>1713</v>
      </c>
      <c r="B1262" s="20">
        <v>46067</v>
      </c>
      <c r="C1262" s="16">
        <v>2</v>
      </c>
      <c r="D1262" s="19" t="s">
        <v>43</v>
      </c>
      <c r="E1262" s="19" t="s">
        <v>453</v>
      </c>
      <c r="G1262" s="19">
        <v>65</v>
      </c>
      <c r="H1262" s="19" t="s">
        <v>215</v>
      </c>
      <c r="I1262" s="19" t="s">
        <v>246</v>
      </c>
      <c r="J1262" s="19" t="s">
        <v>217</v>
      </c>
      <c r="K1262" s="18">
        <v>46084.740081018521</v>
      </c>
    </row>
    <row r="1263" spans="1:11" x14ac:dyDescent="0.25">
      <c r="A1263" s="16" t="s">
        <v>1714</v>
      </c>
      <c r="B1263" s="20">
        <v>46067</v>
      </c>
      <c r="C1263" s="16">
        <v>2</v>
      </c>
      <c r="D1263" s="19" t="s">
        <v>45</v>
      </c>
      <c r="E1263" s="19" t="s">
        <v>453</v>
      </c>
      <c r="G1263" s="19">
        <v>32</v>
      </c>
      <c r="H1263" s="19" t="s">
        <v>215</v>
      </c>
      <c r="I1263" s="19" t="s">
        <v>216</v>
      </c>
      <c r="J1263" s="19" t="s">
        <v>217</v>
      </c>
      <c r="K1263" s="18">
        <v>46084.740185185183</v>
      </c>
    </row>
    <row r="1264" spans="1:11" x14ac:dyDescent="0.25">
      <c r="A1264" s="16" t="s">
        <v>1715</v>
      </c>
      <c r="B1264" s="20">
        <v>46067</v>
      </c>
      <c r="C1264" s="16">
        <v>2</v>
      </c>
      <c r="D1264" s="19" t="s">
        <v>45</v>
      </c>
      <c r="E1264" s="19" t="s">
        <v>453</v>
      </c>
      <c r="G1264" s="19">
        <v>46</v>
      </c>
      <c r="H1264" s="19" t="s">
        <v>215</v>
      </c>
      <c r="I1264" s="19" t="s">
        <v>216</v>
      </c>
      <c r="J1264" s="19" t="s">
        <v>217</v>
      </c>
      <c r="K1264" s="18">
        <v>46084.74019675926</v>
      </c>
    </row>
    <row r="1265" spans="1:11" x14ac:dyDescent="0.25">
      <c r="A1265" s="16" t="s">
        <v>1716</v>
      </c>
      <c r="B1265" s="20">
        <v>46067</v>
      </c>
      <c r="C1265" s="16">
        <v>2</v>
      </c>
      <c r="D1265" s="19" t="s">
        <v>45</v>
      </c>
      <c r="E1265" s="19" t="s">
        <v>453</v>
      </c>
      <c r="G1265" s="19">
        <v>23</v>
      </c>
      <c r="H1265" s="19" t="s">
        <v>215</v>
      </c>
      <c r="I1265" s="19" t="s">
        <v>216</v>
      </c>
      <c r="J1265" s="19" t="s">
        <v>217</v>
      </c>
      <c r="K1265" s="18">
        <v>46084.740243055552</v>
      </c>
    </row>
    <row r="1266" spans="1:11" x14ac:dyDescent="0.25">
      <c r="A1266" s="16" t="s">
        <v>1717</v>
      </c>
      <c r="B1266" s="20">
        <v>46067</v>
      </c>
      <c r="C1266" s="16">
        <v>2</v>
      </c>
      <c r="D1266" s="19" t="s">
        <v>45</v>
      </c>
      <c r="E1266" s="19" t="s">
        <v>453</v>
      </c>
      <c r="G1266" s="19">
        <v>51</v>
      </c>
      <c r="H1266" s="19" t="s">
        <v>215</v>
      </c>
      <c r="I1266" s="19" t="s">
        <v>216</v>
      </c>
      <c r="J1266" s="19" t="s">
        <v>217</v>
      </c>
      <c r="K1266" s="18">
        <v>46084.740277777775</v>
      </c>
    </row>
    <row r="1267" spans="1:11" x14ac:dyDescent="0.25">
      <c r="A1267" s="16" t="s">
        <v>1718</v>
      </c>
      <c r="B1267" s="20">
        <v>46068</v>
      </c>
      <c r="C1267" s="16">
        <v>2</v>
      </c>
      <c r="D1267" s="19" t="s">
        <v>43</v>
      </c>
      <c r="E1267" s="19" t="s">
        <v>453</v>
      </c>
      <c r="G1267" s="19">
        <v>55</v>
      </c>
      <c r="H1267" s="19" t="s">
        <v>215</v>
      </c>
      <c r="I1267" s="19" t="s">
        <v>246</v>
      </c>
      <c r="J1267" s="19" t="s">
        <v>217</v>
      </c>
      <c r="K1267" s="18">
        <v>46084.740624999999</v>
      </c>
    </row>
    <row r="1268" spans="1:11" x14ac:dyDescent="0.25">
      <c r="A1268" s="16" t="s">
        <v>1719</v>
      </c>
      <c r="B1268" s="20">
        <v>46068</v>
      </c>
      <c r="C1268" s="16">
        <v>2</v>
      </c>
      <c r="D1268" s="19" t="s">
        <v>43</v>
      </c>
      <c r="E1268" s="19" t="s">
        <v>453</v>
      </c>
      <c r="G1268" s="19">
        <v>18</v>
      </c>
      <c r="H1268" s="19" t="s">
        <v>215</v>
      </c>
      <c r="I1268" s="19" t="s">
        <v>246</v>
      </c>
      <c r="J1268" s="19" t="s">
        <v>217</v>
      </c>
      <c r="K1268" s="18">
        <v>46084.740671296298</v>
      </c>
    </row>
    <row r="1269" spans="1:11" x14ac:dyDescent="0.25">
      <c r="A1269" s="16" t="s">
        <v>1720</v>
      </c>
      <c r="B1269" s="20">
        <v>46068</v>
      </c>
      <c r="C1269" s="16">
        <v>2</v>
      </c>
      <c r="D1269" s="19" t="s">
        <v>45</v>
      </c>
      <c r="E1269" s="19" t="s">
        <v>453</v>
      </c>
      <c r="G1269" s="19">
        <v>7</v>
      </c>
      <c r="H1269" s="19" t="s">
        <v>215</v>
      </c>
      <c r="I1269" s="19" t="s">
        <v>216</v>
      </c>
      <c r="J1269" s="19" t="s">
        <v>217</v>
      </c>
      <c r="K1269" s="18">
        <v>46084.74077546296</v>
      </c>
    </row>
    <row r="1270" spans="1:11" x14ac:dyDescent="0.25">
      <c r="A1270" s="16" t="s">
        <v>1721</v>
      </c>
      <c r="B1270" s="20">
        <v>46068</v>
      </c>
      <c r="C1270" s="16">
        <v>2</v>
      </c>
      <c r="D1270" s="19" t="s">
        <v>45</v>
      </c>
      <c r="E1270" s="19" t="s">
        <v>453</v>
      </c>
      <c r="G1270" s="19">
        <v>33</v>
      </c>
      <c r="H1270" s="19" t="s">
        <v>215</v>
      </c>
      <c r="I1270" s="19" t="s">
        <v>216</v>
      </c>
      <c r="J1270" s="19" t="s">
        <v>217</v>
      </c>
      <c r="K1270" s="18">
        <v>46084.740787037037</v>
      </c>
    </row>
    <row r="1271" spans="1:11" x14ac:dyDescent="0.25">
      <c r="A1271" s="16" t="s">
        <v>1722</v>
      </c>
      <c r="B1271" s="20">
        <v>46068</v>
      </c>
      <c r="C1271" s="16">
        <v>2</v>
      </c>
      <c r="D1271" s="19" t="s">
        <v>45</v>
      </c>
      <c r="E1271" s="19" t="s">
        <v>453</v>
      </c>
      <c r="G1271" s="19">
        <v>59</v>
      </c>
      <c r="H1271" s="19" t="s">
        <v>215</v>
      </c>
      <c r="I1271" s="19" t="s">
        <v>216</v>
      </c>
      <c r="J1271" s="19" t="s">
        <v>217</v>
      </c>
      <c r="K1271" s="18">
        <v>46084.740810185183</v>
      </c>
    </row>
    <row r="1272" spans="1:11" x14ac:dyDescent="0.25">
      <c r="A1272" s="16" t="s">
        <v>1723</v>
      </c>
      <c r="B1272" s="20">
        <v>46068</v>
      </c>
      <c r="C1272" s="16">
        <v>2</v>
      </c>
      <c r="D1272" s="19" t="s">
        <v>45</v>
      </c>
      <c r="E1272" s="19" t="s">
        <v>453</v>
      </c>
      <c r="G1272" s="19">
        <v>81</v>
      </c>
      <c r="H1272" s="19" t="s">
        <v>215</v>
      </c>
      <c r="I1272" s="19" t="s">
        <v>216</v>
      </c>
      <c r="J1272" s="19" t="s">
        <v>217</v>
      </c>
      <c r="K1272" s="18">
        <v>46084.740833333337</v>
      </c>
    </row>
    <row r="1273" spans="1:11" x14ac:dyDescent="0.25">
      <c r="A1273" s="16" t="s">
        <v>1724</v>
      </c>
      <c r="B1273" s="20">
        <v>46068</v>
      </c>
      <c r="C1273" s="16">
        <v>2</v>
      </c>
      <c r="D1273" s="19" t="s">
        <v>45</v>
      </c>
      <c r="E1273" s="19" t="s">
        <v>453</v>
      </c>
      <c r="G1273" s="19">
        <v>22</v>
      </c>
      <c r="H1273" s="19" t="s">
        <v>215</v>
      </c>
      <c r="I1273" s="19" t="s">
        <v>216</v>
      </c>
      <c r="J1273" s="19" t="s">
        <v>217</v>
      </c>
      <c r="K1273" s="18">
        <v>46084.740844907406</v>
      </c>
    </row>
    <row r="1274" spans="1:11" x14ac:dyDescent="0.25">
      <c r="A1274" s="16" t="s">
        <v>1725</v>
      </c>
      <c r="B1274" s="20">
        <v>46069</v>
      </c>
      <c r="C1274" s="16">
        <v>2</v>
      </c>
      <c r="D1274" s="19" t="s">
        <v>43</v>
      </c>
      <c r="E1274" s="19" t="s">
        <v>453</v>
      </c>
      <c r="G1274" s="19">
        <v>81</v>
      </c>
      <c r="H1274" s="19" t="s">
        <v>215</v>
      </c>
      <c r="I1274" s="19" t="s">
        <v>246</v>
      </c>
      <c r="J1274" s="19" t="s">
        <v>217</v>
      </c>
      <c r="K1274" s="18">
        <v>46084.741087962961</v>
      </c>
    </row>
    <row r="1275" spans="1:11" x14ac:dyDescent="0.25">
      <c r="A1275" s="16" t="s">
        <v>1726</v>
      </c>
      <c r="B1275" s="20">
        <v>46069</v>
      </c>
      <c r="C1275" s="16">
        <v>2</v>
      </c>
      <c r="D1275" s="19" t="s">
        <v>43</v>
      </c>
      <c r="E1275" s="19" t="s">
        <v>453</v>
      </c>
      <c r="G1275" s="19">
        <v>72</v>
      </c>
      <c r="H1275" s="19" t="s">
        <v>215</v>
      </c>
      <c r="I1275" s="19" t="s">
        <v>246</v>
      </c>
      <c r="J1275" s="19" t="s">
        <v>217</v>
      </c>
      <c r="K1275" s="18">
        <v>46084.741111111114</v>
      </c>
    </row>
    <row r="1276" spans="1:11" x14ac:dyDescent="0.25">
      <c r="A1276" s="16" t="s">
        <v>1727</v>
      </c>
      <c r="B1276" s="20">
        <v>46069</v>
      </c>
      <c r="C1276" s="16">
        <v>2</v>
      </c>
      <c r="D1276" s="19" t="s">
        <v>45</v>
      </c>
      <c r="E1276" s="19" t="s">
        <v>453</v>
      </c>
      <c r="G1276" s="19">
        <v>29</v>
      </c>
      <c r="H1276" s="19" t="s">
        <v>215</v>
      </c>
      <c r="I1276" s="19" t="s">
        <v>216</v>
      </c>
      <c r="J1276" s="19" t="s">
        <v>217</v>
      </c>
      <c r="K1276" s="18">
        <v>46084.741249999999</v>
      </c>
    </row>
    <row r="1277" spans="1:11" x14ac:dyDescent="0.25">
      <c r="A1277" s="16" t="s">
        <v>1728</v>
      </c>
      <c r="B1277" s="20">
        <v>46070</v>
      </c>
      <c r="C1277" s="16">
        <v>2</v>
      </c>
      <c r="D1277" s="19" t="s">
        <v>45</v>
      </c>
      <c r="E1277" s="19" t="s">
        <v>453</v>
      </c>
      <c r="G1277" s="19">
        <v>46</v>
      </c>
      <c r="H1277" s="19" t="s">
        <v>215</v>
      </c>
      <c r="I1277" s="19" t="s">
        <v>216</v>
      </c>
      <c r="J1277" s="19" t="s">
        <v>217</v>
      </c>
      <c r="K1277" s="18">
        <v>46084.741759259261</v>
      </c>
    </row>
    <row r="1278" spans="1:11" x14ac:dyDescent="0.25">
      <c r="A1278" s="16" t="s">
        <v>1729</v>
      </c>
      <c r="B1278" s="20">
        <v>46070</v>
      </c>
      <c r="C1278" s="16">
        <v>2</v>
      </c>
      <c r="D1278" s="19" t="s">
        <v>45</v>
      </c>
      <c r="E1278" s="19" t="s">
        <v>453</v>
      </c>
      <c r="G1278" s="19">
        <v>80</v>
      </c>
      <c r="H1278" s="19" t="s">
        <v>215</v>
      </c>
      <c r="I1278" s="19" t="s">
        <v>216</v>
      </c>
      <c r="J1278" s="19" t="s">
        <v>217</v>
      </c>
      <c r="K1278" s="18">
        <v>46084.741805555554</v>
      </c>
    </row>
    <row r="1279" spans="1:11" x14ac:dyDescent="0.25">
      <c r="A1279" s="16" t="s">
        <v>1730</v>
      </c>
      <c r="B1279" s="20">
        <v>46070</v>
      </c>
      <c r="C1279" s="16">
        <v>2</v>
      </c>
      <c r="D1279" s="19" t="s">
        <v>45</v>
      </c>
      <c r="E1279" s="19" t="s">
        <v>453</v>
      </c>
      <c r="G1279" s="19">
        <v>32</v>
      </c>
      <c r="H1279" s="19" t="s">
        <v>215</v>
      </c>
      <c r="I1279" s="19" t="s">
        <v>216</v>
      </c>
      <c r="J1279" s="19" t="s">
        <v>217</v>
      </c>
      <c r="K1279" s="18">
        <v>46084.74181712963</v>
      </c>
    </row>
    <row r="1280" spans="1:11" x14ac:dyDescent="0.25">
      <c r="A1280" s="16" t="s">
        <v>1731</v>
      </c>
      <c r="B1280" s="20">
        <v>46070</v>
      </c>
      <c r="C1280" s="16">
        <v>2</v>
      </c>
      <c r="D1280" s="19" t="s">
        <v>43</v>
      </c>
      <c r="E1280" s="19" t="s">
        <v>453</v>
      </c>
      <c r="G1280" s="19">
        <v>73</v>
      </c>
      <c r="H1280" s="19" t="s">
        <v>215</v>
      </c>
      <c r="I1280" s="19" t="s">
        <v>246</v>
      </c>
      <c r="J1280" s="19" t="s">
        <v>217</v>
      </c>
      <c r="K1280" s="18">
        <v>46084.7419212963</v>
      </c>
    </row>
    <row r="1281" spans="1:11" x14ac:dyDescent="0.25">
      <c r="A1281" s="16" t="s">
        <v>1732</v>
      </c>
      <c r="B1281" s="20">
        <v>46071</v>
      </c>
      <c r="C1281" s="16">
        <v>2</v>
      </c>
      <c r="D1281" s="19" t="s">
        <v>43</v>
      </c>
      <c r="E1281" s="19" t="s">
        <v>453</v>
      </c>
      <c r="G1281" s="19">
        <v>70</v>
      </c>
      <c r="H1281" s="19" t="s">
        <v>215</v>
      </c>
      <c r="I1281" s="19" t="s">
        <v>246</v>
      </c>
      <c r="J1281" s="19" t="s">
        <v>217</v>
      </c>
      <c r="K1281" s="18">
        <v>46084.742060185185</v>
      </c>
    </row>
    <row r="1282" spans="1:11" x14ac:dyDescent="0.25">
      <c r="A1282" s="16" t="s">
        <v>1733</v>
      </c>
      <c r="B1282" s="20">
        <v>46071</v>
      </c>
      <c r="C1282" s="16">
        <v>2</v>
      </c>
      <c r="D1282" s="19" t="s">
        <v>43</v>
      </c>
      <c r="E1282" s="19" t="s">
        <v>453</v>
      </c>
      <c r="G1282" s="19">
        <v>76</v>
      </c>
      <c r="H1282" s="19" t="s">
        <v>215</v>
      </c>
      <c r="I1282" s="19" t="s">
        <v>246</v>
      </c>
      <c r="J1282" s="19" t="s">
        <v>217</v>
      </c>
      <c r="K1282" s="18">
        <v>46084.742071759261</v>
      </c>
    </row>
    <row r="1283" spans="1:11" x14ac:dyDescent="0.25">
      <c r="A1283" s="16" t="s">
        <v>1734</v>
      </c>
      <c r="B1283" s="20">
        <v>46071</v>
      </c>
      <c r="C1283" s="16">
        <v>2</v>
      </c>
      <c r="D1283" s="19" t="s">
        <v>43</v>
      </c>
      <c r="E1283" s="19" t="s">
        <v>453</v>
      </c>
      <c r="G1283" s="19">
        <v>71</v>
      </c>
      <c r="H1283" s="19" t="s">
        <v>215</v>
      </c>
      <c r="I1283" s="19" t="s">
        <v>246</v>
      </c>
      <c r="J1283" s="19" t="s">
        <v>217</v>
      </c>
      <c r="K1283" s="18">
        <v>46084.742106481484</v>
      </c>
    </row>
    <row r="1284" spans="1:11" x14ac:dyDescent="0.25">
      <c r="A1284" s="16" t="s">
        <v>1735</v>
      </c>
      <c r="B1284" s="20">
        <v>46071</v>
      </c>
      <c r="C1284" s="16">
        <v>2</v>
      </c>
      <c r="D1284" s="19" t="s">
        <v>43</v>
      </c>
      <c r="E1284" s="19" t="s">
        <v>453</v>
      </c>
      <c r="G1284" s="19">
        <v>5</v>
      </c>
      <c r="H1284" s="19" t="s">
        <v>215</v>
      </c>
      <c r="I1284" s="19" t="s">
        <v>246</v>
      </c>
      <c r="J1284" s="19" t="s">
        <v>217</v>
      </c>
      <c r="K1284" s="18">
        <v>46084.742118055554</v>
      </c>
    </row>
    <row r="1285" spans="1:11" x14ac:dyDescent="0.25">
      <c r="A1285" s="16" t="s">
        <v>1736</v>
      </c>
      <c r="B1285" s="20">
        <v>46072</v>
      </c>
      <c r="C1285" s="16">
        <v>2</v>
      </c>
      <c r="D1285" s="19" t="s">
        <v>43</v>
      </c>
      <c r="E1285" s="19" t="s">
        <v>453</v>
      </c>
      <c r="G1285" s="19">
        <v>76</v>
      </c>
      <c r="H1285" s="19" t="s">
        <v>215</v>
      </c>
      <c r="I1285" s="19" t="s">
        <v>246</v>
      </c>
      <c r="J1285" s="19" t="s">
        <v>217</v>
      </c>
      <c r="K1285" s="18">
        <v>46084.742268518516</v>
      </c>
    </row>
    <row r="1286" spans="1:11" x14ac:dyDescent="0.25">
      <c r="A1286" s="16" t="s">
        <v>1737</v>
      </c>
      <c r="B1286" s="20">
        <v>46072</v>
      </c>
      <c r="C1286" s="16">
        <v>2</v>
      </c>
      <c r="D1286" s="19" t="s">
        <v>43</v>
      </c>
      <c r="E1286" s="19" t="s">
        <v>453</v>
      </c>
      <c r="G1286" s="19">
        <v>14</v>
      </c>
      <c r="H1286" s="19" t="s">
        <v>215</v>
      </c>
      <c r="I1286" s="19" t="s">
        <v>246</v>
      </c>
      <c r="J1286" s="19" t="s">
        <v>217</v>
      </c>
      <c r="K1286" s="18">
        <v>46084.742303240739</v>
      </c>
    </row>
    <row r="1287" spans="1:11" x14ac:dyDescent="0.25">
      <c r="A1287" s="16" t="s">
        <v>1738</v>
      </c>
      <c r="B1287" s="20">
        <v>46072</v>
      </c>
      <c r="C1287" s="16">
        <v>2</v>
      </c>
      <c r="D1287" s="19" t="s">
        <v>45</v>
      </c>
      <c r="E1287" s="19" t="s">
        <v>453</v>
      </c>
      <c r="G1287" s="19">
        <v>59</v>
      </c>
      <c r="H1287" s="19" t="s">
        <v>215</v>
      </c>
      <c r="I1287" s="19" t="s">
        <v>216</v>
      </c>
      <c r="J1287" s="19" t="s">
        <v>217</v>
      </c>
      <c r="K1287" s="18">
        <v>46084.742777777778</v>
      </c>
    </row>
    <row r="1288" spans="1:11" x14ac:dyDescent="0.25">
      <c r="A1288" s="16" t="s">
        <v>1739</v>
      </c>
      <c r="B1288" s="20">
        <v>46072</v>
      </c>
      <c r="C1288" s="16">
        <v>2</v>
      </c>
      <c r="D1288" s="19" t="s">
        <v>45</v>
      </c>
      <c r="E1288" s="19" t="s">
        <v>453</v>
      </c>
      <c r="G1288" s="19">
        <v>41</v>
      </c>
      <c r="H1288" s="19" t="s">
        <v>215</v>
      </c>
      <c r="I1288" s="19" t="s">
        <v>216</v>
      </c>
      <c r="J1288" s="19" t="s">
        <v>217</v>
      </c>
      <c r="K1288" s="18">
        <v>46084.742789351854</v>
      </c>
    </row>
    <row r="1289" spans="1:11" x14ac:dyDescent="0.25">
      <c r="A1289" s="16" t="s">
        <v>1740</v>
      </c>
      <c r="B1289" s="20">
        <v>46072</v>
      </c>
      <c r="C1289" s="16">
        <v>2</v>
      </c>
      <c r="D1289" s="19" t="s">
        <v>45</v>
      </c>
      <c r="E1289" s="19" t="s">
        <v>453</v>
      </c>
      <c r="G1289" s="19">
        <v>86</v>
      </c>
      <c r="H1289" s="19" t="s">
        <v>215</v>
      </c>
      <c r="I1289" s="19" t="s">
        <v>216</v>
      </c>
      <c r="J1289" s="19" t="s">
        <v>217</v>
      </c>
      <c r="K1289" s="18">
        <v>46084.742800925924</v>
      </c>
    </row>
    <row r="1290" spans="1:11" x14ac:dyDescent="0.25">
      <c r="A1290" s="16" t="s">
        <v>1741</v>
      </c>
      <c r="B1290" s="20">
        <v>46073</v>
      </c>
      <c r="C1290" s="16">
        <v>2</v>
      </c>
      <c r="D1290" s="19" t="s">
        <v>43</v>
      </c>
      <c r="E1290" s="19" t="s">
        <v>453</v>
      </c>
      <c r="G1290" s="19">
        <v>30</v>
      </c>
      <c r="H1290" s="19" t="s">
        <v>215</v>
      </c>
      <c r="I1290" s="19" t="s">
        <v>246</v>
      </c>
      <c r="J1290" s="19" t="s">
        <v>217</v>
      </c>
      <c r="K1290" s="18">
        <v>46084.743009259262</v>
      </c>
    </row>
    <row r="1291" spans="1:11" x14ac:dyDescent="0.25">
      <c r="A1291" s="16" t="s">
        <v>1742</v>
      </c>
      <c r="B1291" s="20">
        <v>46073</v>
      </c>
      <c r="C1291" s="16">
        <v>2</v>
      </c>
      <c r="D1291" s="19" t="s">
        <v>43</v>
      </c>
      <c r="E1291" s="19" t="s">
        <v>453</v>
      </c>
      <c r="G1291" s="19">
        <v>63</v>
      </c>
      <c r="H1291" s="19" t="s">
        <v>215</v>
      </c>
      <c r="I1291" s="19" t="s">
        <v>246</v>
      </c>
      <c r="J1291" s="19" t="s">
        <v>217</v>
      </c>
      <c r="K1291" s="18">
        <v>46084.743020833332</v>
      </c>
    </row>
    <row r="1292" spans="1:11" x14ac:dyDescent="0.25">
      <c r="A1292" s="16" t="s">
        <v>1743</v>
      </c>
      <c r="B1292" s="20">
        <v>46073</v>
      </c>
      <c r="C1292" s="16">
        <v>2</v>
      </c>
      <c r="D1292" s="19" t="s">
        <v>45</v>
      </c>
      <c r="E1292" s="19" t="s">
        <v>453</v>
      </c>
      <c r="G1292" s="19">
        <v>89</v>
      </c>
      <c r="H1292" s="19" t="s">
        <v>215</v>
      </c>
      <c r="I1292" s="19" t="s">
        <v>216</v>
      </c>
      <c r="J1292" s="19" t="s">
        <v>217</v>
      </c>
      <c r="K1292" s="18">
        <v>46084.743113425924</v>
      </c>
    </row>
    <row r="1293" spans="1:11" x14ac:dyDescent="0.25">
      <c r="A1293" s="16" t="s">
        <v>1744</v>
      </c>
      <c r="B1293" s="20">
        <v>46074</v>
      </c>
      <c r="C1293" s="16">
        <v>2</v>
      </c>
      <c r="D1293" s="19" t="s">
        <v>43</v>
      </c>
      <c r="E1293" s="19" t="s">
        <v>453</v>
      </c>
      <c r="G1293" s="19">
        <v>36</v>
      </c>
      <c r="H1293" s="19" t="s">
        <v>215</v>
      </c>
      <c r="I1293" s="19" t="s">
        <v>246</v>
      </c>
      <c r="J1293" s="19" t="s">
        <v>217</v>
      </c>
      <c r="K1293" s="18">
        <v>46084.743402777778</v>
      </c>
    </row>
    <row r="1294" spans="1:11" x14ac:dyDescent="0.25">
      <c r="A1294" s="16" t="s">
        <v>1745</v>
      </c>
      <c r="B1294" s="20">
        <v>46074</v>
      </c>
      <c r="C1294" s="16">
        <v>2</v>
      </c>
      <c r="D1294" s="19" t="s">
        <v>45</v>
      </c>
      <c r="E1294" s="19" t="s">
        <v>453</v>
      </c>
      <c r="G1294" s="19">
        <v>21</v>
      </c>
      <c r="H1294" s="19" t="s">
        <v>215</v>
      </c>
      <c r="I1294" s="19" t="s">
        <v>216</v>
      </c>
      <c r="J1294" s="19" t="s">
        <v>217</v>
      </c>
      <c r="K1294" s="18">
        <v>46084.743483796294</v>
      </c>
    </row>
    <row r="1295" spans="1:11" x14ac:dyDescent="0.25">
      <c r="A1295" s="16" t="s">
        <v>1746</v>
      </c>
      <c r="B1295" s="20">
        <v>46074</v>
      </c>
      <c r="C1295" s="16">
        <v>2</v>
      </c>
      <c r="D1295" s="19" t="s">
        <v>45</v>
      </c>
      <c r="E1295" s="19" t="s">
        <v>453</v>
      </c>
      <c r="G1295" s="19">
        <v>22</v>
      </c>
      <c r="H1295" s="19" t="s">
        <v>215</v>
      </c>
      <c r="I1295" s="19" t="s">
        <v>216</v>
      </c>
      <c r="J1295" s="19" t="s">
        <v>217</v>
      </c>
      <c r="K1295" s="18">
        <v>46084.743483796294</v>
      </c>
    </row>
    <row r="1296" spans="1:11" x14ac:dyDescent="0.25">
      <c r="A1296" s="16" t="s">
        <v>1747</v>
      </c>
      <c r="B1296" s="20">
        <v>46074</v>
      </c>
      <c r="C1296" s="16">
        <v>2</v>
      </c>
      <c r="D1296" s="19" t="s">
        <v>45</v>
      </c>
      <c r="E1296" s="19" t="s">
        <v>453</v>
      </c>
      <c r="G1296" s="19">
        <v>21</v>
      </c>
      <c r="H1296" s="19" t="s">
        <v>215</v>
      </c>
      <c r="I1296" s="19" t="s">
        <v>216</v>
      </c>
      <c r="J1296" s="19" t="s">
        <v>217</v>
      </c>
      <c r="K1296" s="18">
        <v>46084.743518518517</v>
      </c>
    </row>
    <row r="1297" spans="1:11" x14ac:dyDescent="0.25">
      <c r="A1297" s="16" t="s">
        <v>1748</v>
      </c>
      <c r="B1297" s="20">
        <v>46075</v>
      </c>
      <c r="C1297" s="16">
        <v>2</v>
      </c>
      <c r="D1297" s="19" t="s">
        <v>43</v>
      </c>
      <c r="E1297" s="19" t="s">
        <v>453</v>
      </c>
      <c r="G1297" s="19">
        <v>45</v>
      </c>
      <c r="H1297" s="19" t="s">
        <v>215</v>
      </c>
      <c r="I1297" s="19" t="s">
        <v>246</v>
      </c>
      <c r="J1297" s="19" t="s">
        <v>217</v>
      </c>
      <c r="K1297" s="18">
        <v>46084.743715277778</v>
      </c>
    </row>
    <row r="1298" spans="1:11" x14ac:dyDescent="0.25">
      <c r="A1298" s="16" t="s">
        <v>1749</v>
      </c>
      <c r="B1298" s="20">
        <v>46075</v>
      </c>
      <c r="C1298" s="16">
        <v>2</v>
      </c>
      <c r="D1298" s="19" t="s">
        <v>43</v>
      </c>
      <c r="E1298" s="19" t="s">
        <v>453</v>
      </c>
      <c r="G1298" s="19">
        <v>14</v>
      </c>
      <c r="H1298" s="19" t="s">
        <v>215</v>
      </c>
      <c r="I1298" s="19" t="s">
        <v>246</v>
      </c>
      <c r="J1298" s="19" t="s">
        <v>217</v>
      </c>
      <c r="K1298" s="18">
        <v>46084.743726851855</v>
      </c>
    </row>
    <row r="1299" spans="1:11" x14ac:dyDescent="0.25">
      <c r="A1299" s="16" t="s">
        <v>1750</v>
      </c>
      <c r="B1299" s="20">
        <v>46075</v>
      </c>
      <c r="C1299" s="16">
        <v>2</v>
      </c>
      <c r="D1299" s="19" t="s">
        <v>45</v>
      </c>
      <c r="E1299" s="19" t="s">
        <v>453</v>
      </c>
      <c r="G1299" s="19">
        <v>49</v>
      </c>
      <c r="H1299" s="19" t="s">
        <v>215</v>
      </c>
      <c r="I1299" s="19" t="s">
        <v>216</v>
      </c>
      <c r="J1299" s="19" t="s">
        <v>217</v>
      </c>
      <c r="K1299" s="18">
        <v>46084.743831018517</v>
      </c>
    </row>
    <row r="1300" spans="1:11" x14ac:dyDescent="0.25">
      <c r="A1300" s="16" t="s">
        <v>1751</v>
      </c>
      <c r="B1300" s="20">
        <v>46075</v>
      </c>
      <c r="C1300" s="16">
        <v>2</v>
      </c>
      <c r="D1300" s="19" t="s">
        <v>45</v>
      </c>
      <c r="E1300" s="19" t="s">
        <v>453</v>
      </c>
      <c r="G1300" s="19">
        <v>66</v>
      </c>
      <c r="H1300" s="19" t="s">
        <v>215</v>
      </c>
      <c r="I1300" s="19" t="s">
        <v>216</v>
      </c>
      <c r="J1300" s="19" t="s">
        <v>217</v>
      </c>
      <c r="K1300" s="18">
        <v>46084.743888888886</v>
      </c>
    </row>
    <row r="1301" spans="1:11" x14ac:dyDescent="0.25">
      <c r="A1301" s="16" t="s">
        <v>1752</v>
      </c>
      <c r="B1301" s="20">
        <v>46075</v>
      </c>
      <c r="C1301" s="16">
        <v>2</v>
      </c>
      <c r="D1301" s="19" t="s">
        <v>45</v>
      </c>
      <c r="E1301" s="19" t="s">
        <v>453</v>
      </c>
      <c r="G1301" s="19">
        <v>81</v>
      </c>
      <c r="H1301" s="19" t="s">
        <v>215</v>
      </c>
      <c r="I1301" s="19" t="s">
        <v>216</v>
      </c>
      <c r="J1301" s="19" t="s">
        <v>217</v>
      </c>
      <c r="K1301" s="18">
        <v>46084.743900462963</v>
      </c>
    </row>
    <row r="1302" spans="1:11" x14ac:dyDescent="0.25">
      <c r="A1302" s="16" t="s">
        <v>1753</v>
      </c>
      <c r="B1302" s="20">
        <v>46075</v>
      </c>
      <c r="C1302" s="16">
        <v>2</v>
      </c>
      <c r="D1302" s="19" t="s">
        <v>45</v>
      </c>
      <c r="E1302" s="19" t="s">
        <v>453</v>
      </c>
      <c r="G1302" s="19">
        <v>39</v>
      </c>
      <c r="H1302" s="19" t="s">
        <v>215</v>
      </c>
      <c r="I1302" s="19" t="s">
        <v>216</v>
      </c>
      <c r="J1302" s="19" t="s">
        <v>217</v>
      </c>
      <c r="K1302" s="18">
        <v>46084.74391203704</v>
      </c>
    </row>
    <row r="1303" spans="1:11" x14ac:dyDescent="0.25">
      <c r="A1303" s="16" t="s">
        <v>1754</v>
      </c>
      <c r="B1303" s="20">
        <v>46076</v>
      </c>
      <c r="C1303" s="16">
        <v>2</v>
      </c>
      <c r="D1303" s="19" t="s">
        <v>43</v>
      </c>
      <c r="E1303" s="19" t="s">
        <v>453</v>
      </c>
      <c r="G1303" s="19">
        <v>4</v>
      </c>
      <c r="H1303" s="19" t="s">
        <v>215</v>
      </c>
      <c r="I1303" s="19" t="s">
        <v>246</v>
      </c>
      <c r="J1303" s="19" t="s">
        <v>217</v>
      </c>
      <c r="K1303" s="18">
        <v>46084.744328703702</v>
      </c>
    </row>
    <row r="1304" spans="1:11" x14ac:dyDescent="0.25">
      <c r="A1304" s="16" t="s">
        <v>1755</v>
      </c>
      <c r="B1304" s="20">
        <v>46076</v>
      </c>
      <c r="C1304" s="16">
        <v>2</v>
      </c>
      <c r="D1304" s="19" t="s">
        <v>43</v>
      </c>
      <c r="E1304" s="19" t="s">
        <v>453</v>
      </c>
      <c r="G1304" s="19">
        <v>25</v>
      </c>
      <c r="H1304" s="19" t="s">
        <v>215</v>
      </c>
      <c r="I1304" s="19" t="s">
        <v>246</v>
      </c>
      <c r="J1304" s="19" t="s">
        <v>217</v>
      </c>
      <c r="K1304" s="18">
        <v>46084.744351851848</v>
      </c>
    </row>
    <row r="1305" spans="1:11" x14ac:dyDescent="0.25">
      <c r="A1305" s="16" t="s">
        <v>1756</v>
      </c>
      <c r="B1305" s="20">
        <v>46076</v>
      </c>
      <c r="C1305" s="16">
        <v>2</v>
      </c>
      <c r="D1305" s="19" t="s">
        <v>45</v>
      </c>
      <c r="E1305" s="19" t="s">
        <v>453</v>
      </c>
      <c r="G1305" s="19">
        <v>23</v>
      </c>
      <c r="H1305" s="19" t="s">
        <v>215</v>
      </c>
      <c r="I1305" s="19" t="s">
        <v>246</v>
      </c>
      <c r="J1305" s="19" t="s">
        <v>217</v>
      </c>
      <c r="K1305" s="18">
        <v>46084.744444444441</v>
      </c>
    </row>
    <row r="1306" spans="1:11" x14ac:dyDescent="0.25">
      <c r="A1306" s="16" t="s">
        <v>1757</v>
      </c>
      <c r="B1306" s="20">
        <v>46076</v>
      </c>
      <c r="C1306" s="16">
        <v>2</v>
      </c>
      <c r="D1306" s="19" t="s">
        <v>45</v>
      </c>
      <c r="E1306" s="19" t="s">
        <v>453</v>
      </c>
      <c r="G1306" s="19">
        <v>22</v>
      </c>
      <c r="H1306" s="19" t="s">
        <v>215</v>
      </c>
      <c r="I1306" s="19" t="s">
        <v>246</v>
      </c>
      <c r="J1306" s="19" t="s">
        <v>217</v>
      </c>
      <c r="K1306" s="18">
        <v>46084.744444444441</v>
      </c>
    </row>
    <row r="1307" spans="1:11" x14ac:dyDescent="0.25">
      <c r="A1307" s="16" t="s">
        <v>1758</v>
      </c>
      <c r="B1307" s="20">
        <v>46076</v>
      </c>
      <c r="C1307" s="16">
        <v>2</v>
      </c>
      <c r="D1307" s="19" t="s">
        <v>45</v>
      </c>
      <c r="E1307" s="19" t="s">
        <v>453</v>
      </c>
      <c r="G1307" s="19">
        <v>53</v>
      </c>
      <c r="H1307" s="19" t="s">
        <v>215</v>
      </c>
      <c r="I1307" s="19" t="s">
        <v>246</v>
      </c>
      <c r="J1307" s="19" t="s">
        <v>217</v>
      </c>
      <c r="K1307" s="18">
        <v>46084.744479166664</v>
      </c>
    </row>
    <row r="1308" spans="1:11" x14ac:dyDescent="0.25">
      <c r="A1308" s="16" t="s">
        <v>1759</v>
      </c>
      <c r="B1308" s="20">
        <v>46077</v>
      </c>
      <c r="C1308" s="16">
        <v>2</v>
      </c>
      <c r="D1308" s="19" t="s">
        <v>43</v>
      </c>
      <c r="E1308" s="19" t="s">
        <v>453</v>
      </c>
      <c r="G1308" s="19">
        <v>86</v>
      </c>
      <c r="H1308" s="19" t="s">
        <v>215</v>
      </c>
      <c r="I1308" s="19" t="s">
        <v>246</v>
      </c>
      <c r="J1308" s="19" t="s">
        <v>217</v>
      </c>
      <c r="K1308" s="18">
        <v>46084.745856481481</v>
      </c>
    </row>
    <row r="1309" spans="1:11" x14ac:dyDescent="0.25">
      <c r="A1309" s="16" t="s">
        <v>1760</v>
      </c>
      <c r="B1309" s="20">
        <v>46077</v>
      </c>
      <c r="C1309" s="16">
        <v>2</v>
      </c>
      <c r="D1309" s="19" t="s">
        <v>43</v>
      </c>
      <c r="E1309" s="19" t="s">
        <v>453</v>
      </c>
      <c r="G1309" s="19">
        <v>88</v>
      </c>
      <c r="H1309" s="19" t="s">
        <v>215</v>
      </c>
      <c r="I1309" s="19" t="s">
        <v>246</v>
      </c>
      <c r="J1309" s="19" t="s">
        <v>217</v>
      </c>
      <c r="K1309" s="18">
        <v>46084.745879629627</v>
      </c>
    </row>
    <row r="1310" spans="1:11" x14ac:dyDescent="0.25">
      <c r="A1310" s="16" t="s">
        <v>1761</v>
      </c>
      <c r="B1310" s="20">
        <v>46077</v>
      </c>
      <c r="C1310" s="16">
        <v>2</v>
      </c>
      <c r="D1310" s="19" t="s">
        <v>45</v>
      </c>
      <c r="E1310" s="19" t="s">
        <v>453</v>
      </c>
      <c r="G1310" s="19">
        <v>67</v>
      </c>
      <c r="H1310" s="19" t="s">
        <v>215</v>
      </c>
      <c r="I1310" s="19" t="s">
        <v>216</v>
      </c>
      <c r="J1310" s="19" t="s">
        <v>217</v>
      </c>
      <c r="K1310" s="18">
        <v>46084.745995370373</v>
      </c>
    </row>
    <row r="1311" spans="1:11" x14ac:dyDescent="0.25">
      <c r="A1311" s="16" t="s">
        <v>1762</v>
      </c>
      <c r="B1311" s="20">
        <v>46077</v>
      </c>
      <c r="C1311" s="16">
        <v>2</v>
      </c>
      <c r="D1311" s="19" t="s">
        <v>45</v>
      </c>
      <c r="E1311" s="19" t="s">
        <v>453</v>
      </c>
      <c r="G1311" s="19">
        <v>85</v>
      </c>
      <c r="H1311" s="19" t="s">
        <v>215</v>
      </c>
      <c r="I1311" s="19" t="s">
        <v>216</v>
      </c>
      <c r="J1311" s="19" t="s">
        <v>217</v>
      </c>
      <c r="K1311" s="18">
        <v>46084.746030092596</v>
      </c>
    </row>
    <row r="1312" spans="1:11" x14ac:dyDescent="0.25">
      <c r="A1312" s="16" t="s">
        <v>1763</v>
      </c>
      <c r="B1312" s="20">
        <v>46077</v>
      </c>
      <c r="C1312" s="16">
        <v>2</v>
      </c>
      <c r="D1312" s="19" t="s">
        <v>45</v>
      </c>
      <c r="E1312" s="19" t="s">
        <v>453</v>
      </c>
      <c r="G1312" s="19">
        <v>83</v>
      </c>
      <c r="H1312" s="19" t="s">
        <v>215</v>
      </c>
      <c r="I1312" s="19" t="s">
        <v>216</v>
      </c>
      <c r="J1312" s="19" t="s">
        <v>217</v>
      </c>
      <c r="K1312" s="18">
        <v>46084.746053240742</v>
      </c>
    </row>
    <row r="1313" spans="1:11" x14ac:dyDescent="0.25">
      <c r="A1313" s="16" t="s">
        <v>1764</v>
      </c>
      <c r="B1313" s="20">
        <v>46077</v>
      </c>
      <c r="C1313" s="16">
        <v>2</v>
      </c>
      <c r="D1313" s="19" t="s">
        <v>45</v>
      </c>
      <c r="E1313" s="19" t="s">
        <v>453</v>
      </c>
      <c r="G1313" s="19">
        <v>36</v>
      </c>
      <c r="H1313" s="19" t="s">
        <v>215</v>
      </c>
      <c r="I1313" s="19" t="s">
        <v>216</v>
      </c>
      <c r="J1313" s="19" t="s">
        <v>217</v>
      </c>
      <c r="K1313" s="18">
        <v>46084.746064814812</v>
      </c>
    </row>
    <row r="1314" spans="1:11" x14ac:dyDescent="0.25">
      <c r="A1314" s="16" t="s">
        <v>1765</v>
      </c>
      <c r="B1314" s="20">
        <v>46078</v>
      </c>
      <c r="C1314" s="16">
        <v>2</v>
      </c>
      <c r="D1314" s="19" t="s">
        <v>43</v>
      </c>
      <c r="E1314" s="19" t="s">
        <v>453</v>
      </c>
      <c r="G1314" s="19">
        <v>58</v>
      </c>
      <c r="H1314" s="19" t="s">
        <v>215</v>
      </c>
      <c r="I1314" s="19" t="s">
        <v>246</v>
      </c>
      <c r="J1314" s="19" t="s">
        <v>217</v>
      </c>
      <c r="K1314" s="18">
        <v>46084.746319444443</v>
      </c>
    </row>
    <row r="1315" spans="1:11" x14ac:dyDescent="0.25">
      <c r="A1315" s="16" t="s">
        <v>1766</v>
      </c>
      <c r="B1315" s="20">
        <v>46078</v>
      </c>
      <c r="C1315" s="16">
        <v>2</v>
      </c>
      <c r="D1315" s="19" t="s">
        <v>43</v>
      </c>
      <c r="E1315" s="19" t="s">
        <v>453</v>
      </c>
      <c r="G1315" s="19">
        <v>6</v>
      </c>
      <c r="H1315" s="19" t="s">
        <v>427</v>
      </c>
      <c r="I1315" s="19" t="s">
        <v>246</v>
      </c>
      <c r="J1315" s="19" t="s">
        <v>217</v>
      </c>
      <c r="K1315" s="18">
        <v>46084.746388888889</v>
      </c>
    </row>
    <row r="1316" spans="1:11" x14ac:dyDescent="0.25">
      <c r="A1316" s="16" t="s">
        <v>1767</v>
      </c>
      <c r="B1316" s="20">
        <v>46078</v>
      </c>
      <c r="C1316" s="16">
        <v>2</v>
      </c>
      <c r="D1316" s="19" t="s">
        <v>45</v>
      </c>
      <c r="E1316" s="19" t="s">
        <v>453</v>
      </c>
      <c r="G1316" s="19">
        <v>22</v>
      </c>
      <c r="H1316" s="19" t="s">
        <v>215</v>
      </c>
      <c r="I1316" s="19" t="s">
        <v>216</v>
      </c>
      <c r="J1316" s="19" t="s">
        <v>217</v>
      </c>
      <c r="K1316" s="18">
        <v>46084.746550925927</v>
      </c>
    </row>
    <row r="1317" spans="1:11" x14ac:dyDescent="0.25">
      <c r="A1317" s="16" t="s">
        <v>1768</v>
      </c>
      <c r="B1317" s="20">
        <v>46078</v>
      </c>
      <c r="C1317" s="16">
        <v>2</v>
      </c>
      <c r="D1317" s="19" t="s">
        <v>45</v>
      </c>
      <c r="E1317" s="19" t="s">
        <v>453</v>
      </c>
      <c r="G1317" s="19">
        <v>32</v>
      </c>
      <c r="H1317" s="19" t="s">
        <v>215</v>
      </c>
      <c r="I1317" s="19" t="s">
        <v>216</v>
      </c>
      <c r="J1317" s="19" t="s">
        <v>217</v>
      </c>
      <c r="K1317" s="18">
        <v>46084.74659722222</v>
      </c>
    </row>
    <row r="1318" spans="1:11" x14ac:dyDescent="0.25">
      <c r="A1318" s="16" t="s">
        <v>1769</v>
      </c>
      <c r="B1318" s="20">
        <v>46079</v>
      </c>
      <c r="C1318" s="16">
        <v>2</v>
      </c>
      <c r="D1318" s="19" t="s">
        <v>43</v>
      </c>
      <c r="E1318" s="19" t="s">
        <v>453</v>
      </c>
      <c r="G1318" s="19">
        <v>52</v>
      </c>
      <c r="H1318" s="19" t="s">
        <v>215</v>
      </c>
      <c r="I1318" s="19" t="s">
        <v>246</v>
      </c>
      <c r="J1318" s="19" t="s">
        <v>217</v>
      </c>
      <c r="K1318" s="18">
        <v>46084.746944444443</v>
      </c>
    </row>
    <row r="1319" spans="1:11" x14ac:dyDescent="0.25">
      <c r="A1319" s="16" t="s">
        <v>1770</v>
      </c>
      <c r="B1319" s="20">
        <v>46079</v>
      </c>
      <c r="C1319" s="16">
        <v>2</v>
      </c>
      <c r="D1319" s="19" t="s">
        <v>45</v>
      </c>
      <c r="E1319" s="19" t="s">
        <v>453</v>
      </c>
      <c r="G1319" s="19">
        <v>79</v>
      </c>
      <c r="H1319" s="19" t="s">
        <v>215</v>
      </c>
      <c r="I1319" s="19" t="s">
        <v>216</v>
      </c>
      <c r="J1319" s="19" t="s">
        <v>217</v>
      </c>
      <c r="K1319" s="18">
        <v>46084.747083333335</v>
      </c>
    </row>
    <row r="1320" spans="1:11" x14ac:dyDescent="0.25">
      <c r="A1320" s="16" t="s">
        <v>1771</v>
      </c>
      <c r="B1320" s="20">
        <v>46079</v>
      </c>
      <c r="C1320" s="16">
        <v>2</v>
      </c>
      <c r="D1320" s="19" t="s">
        <v>45</v>
      </c>
      <c r="E1320" s="19" t="s">
        <v>453</v>
      </c>
      <c r="G1320" s="19">
        <v>44</v>
      </c>
      <c r="H1320" s="19" t="s">
        <v>215</v>
      </c>
      <c r="I1320" s="19" t="s">
        <v>216</v>
      </c>
      <c r="J1320" s="19" t="s">
        <v>217</v>
      </c>
      <c r="K1320" s="18">
        <v>46084.747106481482</v>
      </c>
    </row>
    <row r="1321" spans="1:11" x14ac:dyDescent="0.25">
      <c r="A1321" s="16" t="s">
        <v>1772</v>
      </c>
      <c r="B1321" s="20">
        <v>46079</v>
      </c>
      <c r="C1321" s="16">
        <v>2</v>
      </c>
      <c r="D1321" s="19" t="s">
        <v>45</v>
      </c>
      <c r="E1321" s="19" t="s">
        <v>453</v>
      </c>
      <c r="G1321" s="19">
        <v>44</v>
      </c>
      <c r="H1321" s="19" t="s">
        <v>215</v>
      </c>
      <c r="I1321" s="19" t="s">
        <v>216</v>
      </c>
      <c r="J1321" s="19" t="s">
        <v>217</v>
      </c>
      <c r="K1321" s="18">
        <v>46084.747118055559</v>
      </c>
    </row>
    <row r="1322" spans="1:11" x14ac:dyDescent="0.25">
      <c r="A1322" s="16" t="s">
        <v>1773</v>
      </c>
      <c r="B1322" s="20">
        <v>46080</v>
      </c>
      <c r="C1322" s="16">
        <v>2</v>
      </c>
      <c r="D1322" s="19" t="s">
        <v>43</v>
      </c>
      <c r="E1322" s="19" t="s">
        <v>453</v>
      </c>
      <c r="G1322" s="19">
        <v>45</v>
      </c>
      <c r="H1322" s="19" t="s">
        <v>215</v>
      </c>
      <c r="I1322" s="19" t="s">
        <v>246</v>
      </c>
      <c r="J1322" s="19" t="s">
        <v>217</v>
      </c>
      <c r="K1322" s="18">
        <v>46084.74732638889</v>
      </c>
    </row>
    <row r="1323" spans="1:11" x14ac:dyDescent="0.25">
      <c r="A1323" s="16" t="s">
        <v>1774</v>
      </c>
      <c r="B1323" s="20">
        <v>46080</v>
      </c>
      <c r="C1323" s="16">
        <v>2</v>
      </c>
      <c r="D1323" s="19" t="s">
        <v>43</v>
      </c>
      <c r="E1323" s="19" t="s">
        <v>453</v>
      </c>
      <c r="G1323" s="19">
        <v>31</v>
      </c>
      <c r="H1323" s="19" t="s">
        <v>215</v>
      </c>
      <c r="I1323" s="19" t="s">
        <v>246</v>
      </c>
      <c r="J1323" s="19" t="s">
        <v>217</v>
      </c>
      <c r="K1323" s="18">
        <v>46084.747349537036</v>
      </c>
    </row>
    <row r="1324" spans="1:11" x14ac:dyDescent="0.25">
      <c r="A1324" s="16" t="s">
        <v>1775</v>
      </c>
      <c r="B1324" s="20">
        <v>46080</v>
      </c>
      <c r="C1324" s="16">
        <v>2</v>
      </c>
      <c r="D1324" s="19" t="s">
        <v>45</v>
      </c>
      <c r="E1324" s="19" t="s">
        <v>453</v>
      </c>
      <c r="G1324" s="19">
        <v>73</v>
      </c>
      <c r="H1324" s="19" t="s">
        <v>215</v>
      </c>
      <c r="I1324" s="19" t="s">
        <v>216</v>
      </c>
      <c r="J1324" s="19" t="s">
        <v>217</v>
      </c>
      <c r="K1324" s="18">
        <v>46084.747581018521</v>
      </c>
    </row>
    <row r="1325" spans="1:11" x14ac:dyDescent="0.25">
      <c r="A1325" s="16" t="s">
        <v>1776</v>
      </c>
      <c r="B1325" s="20">
        <v>46081</v>
      </c>
      <c r="C1325" s="16">
        <v>2</v>
      </c>
      <c r="D1325" s="19" t="s">
        <v>45</v>
      </c>
      <c r="E1325" s="19" t="s">
        <v>453</v>
      </c>
      <c r="G1325" s="19">
        <v>11</v>
      </c>
      <c r="H1325" s="19" t="s">
        <v>215</v>
      </c>
      <c r="I1325" s="19" t="s">
        <v>216</v>
      </c>
      <c r="J1325" s="19" t="s">
        <v>217</v>
      </c>
      <c r="K1325" s="18">
        <v>46084.747800925928</v>
      </c>
    </row>
    <row r="1326" spans="1:11" x14ac:dyDescent="0.25">
      <c r="A1326" s="16" t="s">
        <v>1777</v>
      </c>
      <c r="B1326" s="20">
        <v>46081</v>
      </c>
      <c r="C1326" s="16">
        <v>2</v>
      </c>
      <c r="D1326" s="19" t="s">
        <v>43</v>
      </c>
      <c r="E1326" s="19" t="s">
        <v>453</v>
      </c>
      <c r="G1326" s="19">
        <v>81</v>
      </c>
      <c r="H1326" s="19" t="s">
        <v>215</v>
      </c>
      <c r="I1326" s="19" t="s">
        <v>246</v>
      </c>
      <c r="J1326" s="19" t="s">
        <v>217</v>
      </c>
      <c r="K1326" s="18">
        <v>46084.747916666667</v>
      </c>
    </row>
    <row r="1327" spans="1:11" x14ac:dyDescent="0.25">
      <c r="A1327" s="16" t="s">
        <v>1778</v>
      </c>
      <c r="B1327" s="20">
        <v>46081</v>
      </c>
      <c r="C1327" s="16">
        <v>2</v>
      </c>
      <c r="D1327" s="19" t="s">
        <v>43</v>
      </c>
      <c r="E1327" s="19" t="s">
        <v>453</v>
      </c>
      <c r="G1327" s="19">
        <v>22</v>
      </c>
      <c r="H1327" s="19" t="s">
        <v>215</v>
      </c>
      <c r="I1327" s="19" t="s">
        <v>246</v>
      </c>
      <c r="J1327" s="19" t="s">
        <v>217</v>
      </c>
      <c r="K1327" s="18">
        <v>46084.747916666667</v>
      </c>
    </row>
    <row r="1328" spans="1:11" x14ac:dyDescent="0.25">
      <c r="A1328" s="16" t="s">
        <v>1779</v>
      </c>
      <c r="B1328" s="20">
        <v>46081</v>
      </c>
      <c r="C1328" s="16">
        <v>2</v>
      </c>
      <c r="D1328" s="19" t="s">
        <v>43</v>
      </c>
      <c r="E1328" s="19" t="s">
        <v>453</v>
      </c>
      <c r="G1328" s="19">
        <v>62</v>
      </c>
      <c r="H1328" s="19" t="s">
        <v>215</v>
      </c>
      <c r="I1328" s="19" t="s">
        <v>246</v>
      </c>
      <c r="J1328" s="19" t="s">
        <v>217</v>
      </c>
      <c r="K1328" s="18">
        <v>46084.747939814813</v>
      </c>
    </row>
    <row r="1329" spans="1:11" x14ac:dyDescent="0.25">
      <c r="A1329" s="16" t="s">
        <v>1780</v>
      </c>
      <c r="B1329" s="20">
        <v>46078</v>
      </c>
      <c r="C1329" s="16">
        <v>2</v>
      </c>
      <c r="D1329" s="19" t="s">
        <v>39</v>
      </c>
      <c r="E1329" s="19" t="s">
        <v>453</v>
      </c>
      <c r="G1329" s="19">
        <v>21</v>
      </c>
      <c r="H1329" s="19" t="s">
        <v>215</v>
      </c>
      <c r="I1329" s="19" t="s">
        <v>216</v>
      </c>
      <c r="J1329" s="19" t="s">
        <v>217</v>
      </c>
      <c r="K1329" s="18">
        <v>46084.751979166664</v>
      </c>
    </row>
    <row r="1330" spans="1:11" x14ac:dyDescent="0.25">
      <c r="A1330" s="16" t="s">
        <v>1781</v>
      </c>
      <c r="B1330" s="20">
        <v>46082</v>
      </c>
      <c r="C1330" s="16">
        <v>3</v>
      </c>
      <c r="D1330" s="19" t="s">
        <v>31</v>
      </c>
      <c r="E1330" s="19" t="s">
        <v>453</v>
      </c>
      <c r="G1330" s="19">
        <v>21</v>
      </c>
      <c r="H1330" s="19" t="s">
        <v>215</v>
      </c>
      <c r="I1330" s="19" t="s">
        <v>216</v>
      </c>
      <c r="J1330" s="19" t="s">
        <v>217</v>
      </c>
      <c r="K1330" s="18">
        <v>46101.531875000001</v>
      </c>
    </row>
    <row r="1331" spans="1:11" x14ac:dyDescent="0.25">
      <c r="A1331" s="16" t="s">
        <v>1782</v>
      </c>
      <c r="B1331" s="20">
        <v>46082</v>
      </c>
      <c r="C1331" s="16">
        <v>3</v>
      </c>
      <c r="D1331" s="19" t="s">
        <v>31</v>
      </c>
      <c r="E1331" s="19" t="s">
        <v>453</v>
      </c>
      <c r="G1331" s="19">
        <v>49</v>
      </c>
      <c r="H1331" s="19" t="s">
        <v>215</v>
      </c>
      <c r="I1331" s="19" t="s">
        <v>216</v>
      </c>
      <c r="J1331" s="19" t="s">
        <v>217</v>
      </c>
      <c r="K1331" s="18">
        <v>46101.531944444447</v>
      </c>
    </row>
    <row r="1332" spans="1:11" x14ac:dyDescent="0.25">
      <c r="A1332" s="16" t="s">
        <v>1783</v>
      </c>
      <c r="B1332" s="20">
        <v>46082</v>
      </c>
      <c r="C1332" s="16">
        <v>3</v>
      </c>
      <c r="D1332" s="19" t="s">
        <v>35</v>
      </c>
      <c r="E1332" s="19" t="s">
        <v>453</v>
      </c>
      <c r="G1332" s="19">
        <v>24</v>
      </c>
      <c r="H1332" s="19" t="s">
        <v>215</v>
      </c>
      <c r="I1332" s="19" t="s">
        <v>216</v>
      </c>
      <c r="J1332" s="19" t="s">
        <v>217</v>
      </c>
      <c r="K1332" s="18">
        <v>46101.53224537037</v>
      </c>
    </row>
    <row r="1333" spans="1:11" x14ac:dyDescent="0.25">
      <c r="A1333" s="16" t="s">
        <v>1784</v>
      </c>
      <c r="B1333" s="20">
        <v>46082</v>
      </c>
      <c r="C1333" s="16">
        <v>3</v>
      </c>
      <c r="D1333" s="19" t="s">
        <v>35</v>
      </c>
      <c r="E1333" s="19" t="s">
        <v>453</v>
      </c>
      <c r="G1333" s="19">
        <v>24</v>
      </c>
      <c r="H1333" s="19" t="s">
        <v>215</v>
      </c>
      <c r="I1333" s="19" t="s">
        <v>216</v>
      </c>
      <c r="J1333" s="19" t="s">
        <v>217</v>
      </c>
      <c r="K1333" s="18">
        <v>46101.53230324074</v>
      </c>
    </row>
    <row r="1334" spans="1:11" x14ac:dyDescent="0.25">
      <c r="A1334" s="16" t="s">
        <v>1785</v>
      </c>
      <c r="B1334" s="20">
        <v>46082</v>
      </c>
      <c r="C1334" s="16">
        <v>3</v>
      </c>
      <c r="D1334" s="19" t="s">
        <v>35</v>
      </c>
      <c r="E1334" s="19" t="s">
        <v>453</v>
      </c>
      <c r="G1334" s="19">
        <v>28</v>
      </c>
      <c r="H1334" s="19" t="s">
        <v>215</v>
      </c>
      <c r="I1334" s="19" t="s">
        <v>216</v>
      </c>
      <c r="J1334" s="19" t="s">
        <v>217</v>
      </c>
      <c r="K1334" s="18">
        <v>46101.532361111109</v>
      </c>
    </row>
    <row r="1335" spans="1:11" x14ac:dyDescent="0.25">
      <c r="A1335" s="16" t="s">
        <v>1786</v>
      </c>
      <c r="B1335" s="20">
        <v>46082</v>
      </c>
      <c r="C1335" s="16">
        <v>3</v>
      </c>
      <c r="D1335" s="19" t="s">
        <v>35</v>
      </c>
      <c r="E1335" s="19" t="s">
        <v>453</v>
      </c>
      <c r="G1335" s="19">
        <v>19</v>
      </c>
      <c r="H1335" s="19" t="s">
        <v>215</v>
      </c>
      <c r="I1335" s="19" t="s">
        <v>216</v>
      </c>
      <c r="J1335" s="19" t="s">
        <v>217</v>
      </c>
      <c r="K1335" s="18">
        <v>46101.532511574071</v>
      </c>
    </row>
    <row r="1336" spans="1:11" x14ac:dyDescent="0.25">
      <c r="A1336" s="16" t="s">
        <v>1787</v>
      </c>
      <c r="B1336" s="20">
        <v>46082</v>
      </c>
      <c r="C1336" s="16">
        <v>3</v>
      </c>
      <c r="D1336" s="19" t="s">
        <v>37</v>
      </c>
      <c r="E1336" s="19" t="s">
        <v>453</v>
      </c>
      <c r="G1336" s="19">
        <v>25</v>
      </c>
      <c r="H1336" s="19" t="s">
        <v>215</v>
      </c>
      <c r="I1336" s="19" t="s">
        <v>216</v>
      </c>
      <c r="J1336" s="19" t="s">
        <v>217</v>
      </c>
      <c r="K1336" s="18">
        <v>46101.532708333332</v>
      </c>
    </row>
    <row r="1337" spans="1:11" x14ac:dyDescent="0.25">
      <c r="A1337" s="16" t="s">
        <v>1788</v>
      </c>
      <c r="B1337" s="20">
        <v>46082</v>
      </c>
      <c r="C1337" s="16">
        <v>3</v>
      </c>
      <c r="D1337" s="19" t="s">
        <v>37</v>
      </c>
      <c r="E1337" s="19" t="s">
        <v>453</v>
      </c>
      <c r="G1337" s="19">
        <v>21</v>
      </c>
      <c r="H1337" s="19" t="s">
        <v>215</v>
      </c>
      <c r="I1337" s="19" t="s">
        <v>216</v>
      </c>
      <c r="J1337" s="19" t="s">
        <v>217</v>
      </c>
      <c r="K1337" s="18">
        <v>46101.532743055555</v>
      </c>
    </row>
    <row r="1338" spans="1:11" x14ac:dyDescent="0.25">
      <c r="A1338" s="16" t="s">
        <v>1789</v>
      </c>
      <c r="B1338" s="20">
        <v>46082</v>
      </c>
      <c r="C1338" s="16">
        <v>3</v>
      </c>
      <c r="D1338" s="19" t="s">
        <v>37</v>
      </c>
      <c r="E1338" s="19" t="s">
        <v>453</v>
      </c>
      <c r="G1338" s="19">
        <v>25</v>
      </c>
      <c r="H1338" s="19" t="s">
        <v>215</v>
      </c>
      <c r="I1338" s="19" t="s">
        <v>216</v>
      </c>
      <c r="J1338" s="19" t="s">
        <v>217</v>
      </c>
      <c r="K1338" s="18">
        <v>46101.532800925925</v>
      </c>
    </row>
    <row r="1339" spans="1:11" x14ac:dyDescent="0.25">
      <c r="A1339" s="16" t="s">
        <v>1790</v>
      </c>
      <c r="B1339" s="20">
        <v>46082</v>
      </c>
      <c r="C1339" s="16">
        <v>3</v>
      </c>
      <c r="D1339" s="19" t="s">
        <v>37</v>
      </c>
      <c r="E1339" s="19" t="s">
        <v>453</v>
      </c>
      <c r="G1339" s="19">
        <v>34</v>
      </c>
      <c r="H1339" s="19" t="s">
        <v>215</v>
      </c>
      <c r="I1339" s="19" t="s">
        <v>216</v>
      </c>
      <c r="J1339" s="19" t="s">
        <v>217</v>
      </c>
      <c r="K1339" s="18">
        <v>46101.532847222225</v>
      </c>
    </row>
    <row r="1340" spans="1:11" x14ac:dyDescent="0.25">
      <c r="A1340" s="16" t="s">
        <v>1791</v>
      </c>
      <c r="B1340" s="20">
        <v>46082</v>
      </c>
      <c r="C1340" s="16">
        <v>3</v>
      </c>
      <c r="D1340" s="19" t="s">
        <v>37</v>
      </c>
      <c r="E1340" s="19" t="s">
        <v>453</v>
      </c>
      <c r="G1340" s="19">
        <v>32</v>
      </c>
      <c r="H1340" s="19" t="s">
        <v>215</v>
      </c>
      <c r="I1340" s="19" t="s">
        <v>216</v>
      </c>
      <c r="J1340" s="19" t="s">
        <v>217</v>
      </c>
      <c r="K1340" s="18">
        <v>46101.532893518517</v>
      </c>
    </row>
    <row r="1341" spans="1:11" x14ac:dyDescent="0.25">
      <c r="A1341" s="16" t="s">
        <v>1792</v>
      </c>
      <c r="B1341" s="20">
        <v>46082</v>
      </c>
      <c r="C1341" s="16">
        <v>3</v>
      </c>
      <c r="D1341" s="19" t="s">
        <v>37</v>
      </c>
      <c r="E1341" s="19" t="s">
        <v>453</v>
      </c>
      <c r="G1341" s="19">
        <v>17</v>
      </c>
      <c r="H1341" s="19" t="s">
        <v>215</v>
      </c>
      <c r="I1341" s="19" t="s">
        <v>216</v>
      </c>
      <c r="J1341" s="19" t="s">
        <v>217</v>
      </c>
      <c r="K1341" s="18">
        <v>46101.532939814817</v>
      </c>
    </row>
    <row r="1342" spans="1:11" x14ac:dyDescent="0.25">
      <c r="A1342" s="16" t="s">
        <v>1793</v>
      </c>
      <c r="B1342" s="20">
        <v>46082</v>
      </c>
      <c r="C1342" s="16">
        <v>3</v>
      </c>
      <c r="D1342" s="19" t="s">
        <v>39</v>
      </c>
      <c r="E1342" s="19" t="s">
        <v>453</v>
      </c>
      <c r="G1342" s="19">
        <v>29</v>
      </c>
      <c r="H1342" s="19" t="s">
        <v>215</v>
      </c>
      <c r="I1342" s="19" t="s">
        <v>216</v>
      </c>
      <c r="J1342" s="19" t="s">
        <v>217</v>
      </c>
      <c r="K1342" s="18">
        <v>46101.533113425925</v>
      </c>
    </row>
    <row r="1343" spans="1:11" x14ac:dyDescent="0.25">
      <c r="A1343" s="16" t="s">
        <v>1794</v>
      </c>
      <c r="B1343" s="20">
        <v>46082</v>
      </c>
      <c r="C1343" s="16">
        <v>3</v>
      </c>
      <c r="D1343" s="19" t="s">
        <v>41</v>
      </c>
      <c r="E1343" s="19" t="s">
        <v>453</v>
      </c>
      <c r="G1343" s="19">
        <v>0</v>
      </c>
      <c r="H1343" s="19" t="s">
        <v>306</v>
      </c>
      <c r="I1343" s="19" t="s">
        <v>216</v>
      </c>
      <c r="J1343" s="19" t="s">
        <v>217</v>
      </c>
      <c r="K1343" s="18">
        <v>46101.533587962964</v>
      </c>
    </row>
    <row r="1344" spans="1:11" x14ac:dyDescent="0.25">
      <c r="A1344" s="16" t="s">
        <v>1795</v>
      </c>
      <c r="B1344" s="20">
        <v>46082</v>
      </c>
      <c r="C1344" s="16">
        <v>3</v>
      </c>
      <c r="D1344" s="19" t="s">
        <v>43</v>
      </c>
      <c r="E1344" s="19" t="s">
        <v>453</v>
      </c>
      <c r="G1344" s="19">
        <v>24</v>
      </c>
      <c r="H1344" s="19" t="s">
        <v>215</v>
      </c>
      <c r="I1344" s="19" t="s">
        <v>246</v>
      </c>
      <c r="J1344" s="19" t="s">
        <v>217</v>
      </c>
      <c r="K1344" s="18">
        <v>46101.534247685187</v>
      </c>
    </row>
    <row r="1345" spans="1:11" x14ac:dyDescent="0.25">
      <c r="A1345" s="16" t="s">
        <v>1796</v>
      </c>
      <c r="B1345" s="20">
        <v>46082</v>
      </c>
      <c r="C1345" s="16">
        <v>3</v>
      </c>
      <c r="D1345" s="19" t="s">
        <v>43</v>
      </c>
      <c r="E1345" s="19" t="s">
        <v>453</v>
      </c>
      <c r="G1345" s="19">
        <v>15</v>
      </c>
      <c r="H1345" s="19" t="s">
        <v>215</v>
      </c>
      <c r="I1345" s="19" t="s">
        <v>246</v>
      </c>
      <c r="J1345" s="19" t="s">
        <v>217</v>
      </c>
      <c r="K1345" s="18">
        <v>46101.534305555557</v>
      </c>
    </row>
    <row r="1346" spans="1:11" x14ac:dyDescent="0.25">
      <c r="A1346" s="16" t="s">
        <v>1797</v>
      </c>
      <c r="B1346" s="20">
        <v>46082</v>
      </c>
      <c r="C1346" s="16">
        <v>3</v>
      </c>
      <c r="D1346" s="19" t="s">
        <v>43</v>
      </c>
      <c r="E1346" s="19" t="s">
        <v>453</v>
      </c>
      <c r="G1346" s="19">
        <v>48</v>
      </c>
      <c r="H1346" s="19" t="s">
        <v>215</v>
      </c>
      <c r="I1346" s="19" t="s">
        <v>246</v>
      </c>
      <c r="J1346" s="19" t="s">
        <v>217</v>
      </c>
      <c r="K1346" s="18">
        <v>46101.534351851849</v>
      </c>
    </row>
    <row r="1347" spans="1:11" x14ac:dyDescent="0.25">
      <c r="A1347" s="16" t="s">
        <v>1798</v>
      </c>
      <c r="B1347" s="20">
        <v>46082</v>
      </c>
      <c r="C1347" s="16">
        <v>3</v>
      </c>
      <c r="D1347" s="19" t="s">
        <v>45</v>
      </c>
      <c r="E1347" s="19" t="s">
        <v>453</v>
      </c>
      <c r="G1347" s="19">
        <v>76</v>
      </c>
      <c r="H1347" s="19" t="s">
        <v>215</v>
      </c>
      <c r="I1347" s="19" t="s">
        <v>216</v>
      </c>
      <c r="J1347" s="19" t="s">
        <v>217</v>
      </c>
      <c r="K1347" s="18">
        <v>46101.534513888888</v>
      </c>
    </row>
    <row r="1348" spans="1:11" x14ac:dyDescent="0.25">
      <c r="A1348" s="16" t="s">
        <v>1799</v>
      </c>
      <c r="B1348" s="20">
        <v>46082</v>
      </c>
      <c r="C1348" s="16">
        <v>3</v>
      </c>
      <c r="D1348" s="19" t="s">
        <v>45</v>
      </c>
      <c r="E1348" s="19" t="s">
        <v>453</v>
      </c>
      <c r="G1348" s="19">
        <v>65</v>
      </c>
      <c r="H1348" s="19" t="s">
        <v>215</v>
      </c>
      <c r="I1348" s="19" t="s">
        <v>216</v>
      </c>
      <c r="J1348" s="19" t="s">
        <v>217</v>
      </c>
      <c r="K1348" s="18">
        <v>46101.534583333334</v>
      </c>
    </row>
    <row r="1349" spans="1:11" x14ac:dyDescent="0.25">
      <c r="A1349" s="16" t="s">
        <v>1800</v>
      </c>
      <c r="B1349" s="20">
        <v>46083</v>
      </c>
      <c r="C1349" s="16">
        <v>3</v>
      </c>
      <c r="D1349" s="19" t="s">
        <v>29</v>
      </c>
      <c r="E1349" s="19" t="s">
        <v>453</v>
      </c>
      <c r="G1349" s="19">
        <v>34</v>
      </c>
      <c r="H1349" s="19" t="s">
        <v>215</v>
      </c>
      <c r="I1349" s="19" t="s">
        <v>246</v>
      </c>
      <c r="J1349" s="19" t="s">
        <v>217</v>
      </c>
      <c r="K1349" s="18">
        <v>46101.538703703707</v>
      </c>
    </row>
    <row r="1350" spans="1:11" x14ac:dyDescent="0.25">
      <c r="A1350" s="16" t="s">
        <v>1801</v>
      </c>
      <c r="B1350" s="20">
        <v>46083</v>
      </c>
      <c r="C1350" s="16">
        <v>3</v>
      </c>
      <c r="D1350" s="19" t="s">
        <v>33</v>
      </c>
      <c r="E1350" s="19" t="s">
        <v>453</v>
      </c>
      <c r="G1350" s="19">
        <v>3</v>
      </c>
      <c r="H1350" s="19" t="s">
        <v>215</v>
      </c>
      <c r="I1350" s="19" t="s">
        <v>216</v>
      </c>
      <c r="J1350" s="19" t="s">
        <v>217</v>
      </c>
      <c r="K1350" s="18">
        <v>46101.538981481484</v>
      </c>
    </row>
    <row r="1351" spans="1:11" x14ac:dyDescent="0.25">
      <c r="A1351" s="16" t="s">
        <v>1802</v>
      </c>
      <c r="B1351" s="20">
        <v>46083</v>
      </c>
      <c r="C1351" s="16">
        <v>3</v>
      </c>
      <c r="D1351" s="19" t="s">
        <v>33</v>
      </c>
      <c r="E1351" s="19" t="s">
        <v>453</v>
      </c>
      <c r="G1351" s="19">
        <v>6</v>
      </c>
      <c r="H1351" s="19" t="s">
        <v>215</v>
      </c>
      <c r="I1351" s="19" t="s">
        <v>246</v>
      </c>
      <c r="J1351" s="19" t="s">
        <v>217</v>
      </c>
      <c r="K1351" s="18">
        <v>46101.539039351854</v>
      </c>
    </row>
    <row r="1352" spans="1:11" x14ac:dyDescent="0.25">
      <c r="A1352" s="16" t="s">
        <v>1803</v>
      </c>
      <c r="B1352" s="20">
        <v>46083</v>
      </c>
      <c r="C1352" s="16">
        <v>3</v>
      </c>
      <c r="D1352" s="19" t="s">
        <v>33</v>
      </c>
      <c r="E1352" s="19" t="s">
        <v>453</v>
      </c>
      <c r="G1352" s="19">
        <v>11</v>
      </c>
      <c r="H1352" s="19" t="s">
        <v>215</v>
      </c>
      <c r="I1352" s="19" t="s">
        <v>216</v>
      </c>
      <c r="J1352" s="19" t="s">
        <v>217</v>
      </c>
      <c r="K1352" s="18">
        <v>46101.539097222223</v>
      </c>
    </row>
    <row r="1353" spans="1:11" x14ac:dyDescent="0.25">
      <c r="A1353" s="16" t="s">
        <v>1804</v>
      </c>
      <c r="B1353" s="20">
        <v>46083</v>
      </c>
      <c r="C1353" s="16">
        <v>3</v>
      </c>
      <c r="D1353" s="19" t="s">
        <v>35</v>
      </c>
      <c r="E1353" s="19" t="s">
        <v>453</v>
      </c>
      <c r="G1353" s="19">
        <v>35</v>
      </c>
      <c r="H1353" s="19" t="s">
        <v>215</v>
      </c>
      <c r="I1353" s="19" t="s">
        <v>216</v>
      </c>
      <c r="J1353" s="19" t="s">
        <v>217</v>
      </c>
      <c r="K1353" s="18">
        <v>46101.540219907409</v>
      </c>
    </row>
    <row r="1354" spans="1:11" x14ac:dyDescent="0.25">
      <c r="A1354" s="16" t="s">
        <v>1805</v>
      </c>
      <c r="B1354" s="20">
        <v>46083</v>
      </c>
      <c r="C1354" s="16">
        <v>3</v>
      </c>
      <c r="D1354" s="19" t="s">
        <v>35</v>
      </c>
      <c r="E1354" s="19" t="s">
        <v>453</v>
      </c>
      <c r="G1354" s="19">
        <v>25</v>
      </c>
      <c r="H1354" s="19" t="s">
        <v>215</v>
      </c>
      <c r="I1354" s="19" t="s">
        <v>216</v>
      </c>
      <c r="J1354" s="19" t="s">
        <v>217</v>
      </c>
      <c r="K1354" s="18">
        <v>46101.540254629632</v>
      </c>
    </row>
    <row r="1355" spans="1:11" x14ac:dyDescent="0.25">
      <c r="A1355" s="16" t="s">
        <v>1806</v>
      </c>
      <c r="B1355" s="20">
        <v>46083</v>
      </c>
      <c r="C1355" s="16">
        <v>3</v>
      </c>
      <c r="D1355" s="19" t="s">
        <v>35</v>
      </c>
      <c r="E1355" s="19" t="s">
        <v>453</v>
      </c>
      <c r="G1355" s="19">
        <v>48</v>
      </c>
      <c r="H1355" s="19" t="s">
        <v>215</v>
      </c>
      <c r="I1355" s="19" t="s">
        <v>216</v>
      </c>
      <c r="J1355" s="19" t="s">
        <v>217</v>
      </c>
      <c r="K1355" s="18">
        <v>46101.540300925924</v>
      </c>
    </row>
    <row r="1356" spans="1:11" x14ac:dyDescent="0.25">
      <c r="A1356" s="16" t="s">
        <v>1807</v>
      </c>
      <c r="B1356" s="20">
        <v>46083</v>
      </c>
      <c r="C1356" s="16">
        <v>3</v>
      </c>
      <c r="D1356" s="19" t="s">
        <v>37</v>
      </c>
      <c r="E1356" s="19" t="s">
        <v>453</v>
      </c>
      <c r="G1356" s="19">
        <v>26</v>
      </c>
      <c r="H1356" s="19" t="s">
        <v>215</v>
      </c>
      <c r="I1356" s="19" t="s">
        <v>216</v>
      </c>
      <c r="J1356" s="19" t="s">
        <v>217</v>
      </c>
      <c r="K1356" s="18">
        <v>46101.54042824074</v>
      </c>
    </row>
    <row r="1357" spans="1:11" x14ac:dyDescent="0.25">
      <c r="A1357" s="16" t="s">
        <v>1808</v>
      </c>
      <c r="B1357" s="20">
        <v>46083</v>
      </c>
      <c r="C1357" s="16">
        <v>3</v>
      </c>
      <c r="D1357" s="19" t="s">
        <v>39</v>
      </c>
      <c r="E1357" s="19" t="s">
        <v>453</v>
      </c>
      <c r="G1357" s="19">
        <v>30</v>
      </c>
      <c r="H1357" s="19" t="s">
        <v>215</v>
      </c>
      <c r="I1357" s="19" t="s">
        <v>216</v>
      </c>
      <c r="J1357" s="19" t="s">
        <v>217</v>
      </c>
      <c r="K1357" s="18">
        <v>46101.540590277778</v>
      </c>
    </row>
    <row r="1358" spans="1:11" x14ac:dyDescent="0.25">
      <c r="A1358" s="16" t="s">
        <v>1809</v>
      </c>
      <c r="B1358" s="20">
        <v>46083</v>
      </c>
      <c r="C1358" s="16">
        <v>3</v>
      </c>
      <c r="D1358" s="19" t="s">
        <v>39</v>
      </c>
      <c r="E1358" s="19" t="s">
        <v>453</v>
      </c>
      <c r="G1358" s="19">
        <v>22</v>
      </c>
      <c r="H1358" s="19" t="s">
        <v>215</v>
      </c>
      <c r="I1358" s="19" t="s">
        <v>216</v>
      </c>
      <c r="J1358" s="19" t="s">
        <v>217</v>
      </c>
      <c r="K1358" s="18">
        <v>46101.540636574071</v>
      </c>
    </row>
    <row r="1359" spans="1:11" x14ac:dyDescent="0.25">
      <c r="A1359" s="16" t="s">
        <v>1810</v>
      </c>
      <c r="B1359" s="20">
        <v>46083</v>
      </c>
      <c r="C1359" s="16">
        <v>3</v>
      </c>
      <c r="D1359" s="19" t="s">
        <v>39</v>
      </c>
      <c r="E1359" s="19" t="s">
        <v>453</v>
      </c>
      <c r="G1359" s="19">
        <v>28</v>
      </c>
      <c r="H1359" s="19" t="s">
        <v>215</v>
      </c>
      <c r="I1359" s="19" t="s">
        <v>216</v>
      </c>
      <c r="J1359" s="19" t="s">
        <v>217</v>
      </c>
      <c r="K1359" s="18">
        <v>46101.540717592594</v>
      </c>
    </row>
    <row r="1360" spans="1:11" x14ac:dyDescent="0.25">
      <c r="A1360" s="16" t="s">
        <v>1811</v>
      </c>
      <c r="B1360" s="20">
        <v>46083</v>
      </c>
      <c r="C1360" s="16">
        <v>3</v>
      </c>
      <c r="D1360" s="19" t="s">
        <v>39</v>
      </c>
      <c r="E1360" s="19" t="s">
        <v>453</v>
      </c>
      <c r="G1360" s="19">
        <v>32</v>
      </c>
      <c r="H1360" s="19" t="s">
        <v>215</v>
      </c>
      <c r="I1360" s="19" t="s">
        <v>216</v>
      </c>
      <c r="J1360" s="19" t="s">
        <v>217</v>
      </c>
      <c r="K1360" s="18">
        <v>46101.540763888886</v>
      </c>
    </row>
    <row r="1361" spans="1:11" x14ac:dyDescent="0.25">
      <c r="A1361" s="16" t="s">
        <v>1812</v>
      </c>
      <c r="B1361" s="20">
        <v>46083</v>
      </c>
      <c r="C1361" s="16">
        <v>3</v>
      </c>
      <c r="D1361" s="19" t="s">
        <v>41</v>
      </c>
      <c r="E1361" s="19" t="s">
        <v>453</v>
      </c>
      <c r="G1361" s="19">
        <v>1</v>
      </c>
      <c r="H1361" s="19" t="s">
        <v>306</v>
      </c>
      <c r="I1361" s="19" t="s">
        <v>246</v>
      </c>
      <c r="J1361" s="19" t="s">
        <v>217</v>
      </c>
      <c r="K1361" s="18">
        <v>46101.540949074071</v>
      </c>
    </row>
    <row r="1362" spans="1:11" x14ac:dyDescent="0.25">
      <c r="A1362" s="16" t="s">
        <v>1813</v>
      </c>
      <c r="B1362" s="20">
        <v>46083</v>
      </c>
      <c r="C1362" s="16">
        <v>3</v>
      </c>
      <c r="D1362" s="19" t="s">
        <v>41</v>
      </c>
      <c r="E1362" s="19" t="s">
        <v>453</v>
      </c>
      <c r="G1362" s="19">
        <v>11</v>
      </c>
      <c r="H1362" s="19" t="s">
        <v>306</v>
      </c>
      <c r="I1362" s="19" t="s">
        <v>216</v>
      </c>
      <c r="J1362" s="19" t="s">
        <v>217</v>
      </c>
      <c r="K1362" s="18">
        <v>46101.54105324074</v>
      </c>
    </row>
    <row r="1363" spans="1:11" x14ac:dyDescent="0.25">
      <c r="A1363" s="16" t="s">
        <v>1814</v>
      </c>
      <c r="B1363" s="20">
        <v>46083</v>
      </c>
      <c r="C1363" s="16">
        <v>3</v>
      </c>
      <c r="D1363" s="19" t="s">
        <v>41</v>
      </c>
      <c r="E1363" s="19" t="s">
        <v>453</v>
      </c>
      <c r="G1363" s="19">
        <v>3</v>
      </c>
      <c r="H1363" s="19" t="s">
        <v>306</v>
      </c>
      <c r="I1363" s="19" t="s">
        <v>216</v>
      </c>
      <c r="J1363" s="19" t="s">
        <v>217</v>
      </c>
      <c r="K1363" s="18">
        <v>46101.54115740741</v>
      </c>
    </row>
    <row r="1364" spans="1:11" x14ac:dyDescent="0.25">
      <c r="A1364" s="16" t="s">
        <v>1815</v>
      </c>
      <c r="B1364" s="20">
        <v>46083</v>
      </c>
      <c r="C1364" s="16">
        <v>3</v>
      </c>
      <c r="D1364" s="19" t="s">
        <v>43</v>
      </c>
      <c r="E1364" s="19" t="s">
        <v>453</v>
      </c>
      <c r="G1364" s="19">
        <v>14</v>
      </c>
      <c r="H1364" s="19" t="s">
        <v>215</v>
      </c>
      <c r="I1364" s="19" t="s">
        <v>246</v>
      </c>
      <c r="J1364" s="19" t="s">
        <v>217</v>
      </c>
      <c r="K1364" s="18">
        <v>46101.544305555559</v>
      </c>
    </row>
    <row r="1365" spans="1:11" x14ac:dyDescent="0.25">
      <c r="A1365" s="16" t="s">
        <v>1816</v>
      </c>
      <c r="B1365" s="20">
        <v>46083</v>
      </c>
      <c r="C1365" s="16">
        <v>3</v>
      </c>
      <c r="D1365" s="19" t="s">
        <v>43</v>
      </c>
      <c r="E1365" s="19" t="s">
        <v>453</v>
      </c>
      <c r="G1365" s="19">
        <v>51</v>
      </c>
      <c r="H1365" s="19" t="s">
        <v>215</v>
      </c>
      <c r="I1365" s="19" t="s">
        <v>246</v>
      </c>
      <c r="J1365" s="19" t="s">
        <v>217</v>
      </c>
      <c r="K1365" s="18">
        <v>46101.544386574074</v>
      </c>
    </row>
    <row r="1366" spans="1:11" x14ac:dyDescent="0.25">
      <c r="A1366" s="16" t="s">
        <v>1817</v>
      </c>
      <c r="B1366" s="20">
        <v>46083</v>
      </c>
      <c r="C1366" s="16">
        <v>3</v>
      </c>
      <c r="D1366" s="19" t="s">
        <v>43</v>
      </c>
      <c r="E1366" s="19" t="s">
        <v>453</v>
      </c>
      <c r="G1366" s="19">
        <v>38</v>
      </c>
      <c r="H1366" s="19" t="s">
        <v>215</v>
      </c>
      <c r="I1366" s="19" t="s">
        <v>246</v>
      </c>
      <c r="J1366" s="19" t="s">
        <v>217</v>
      </c>
      <c r="K1366" s="18">
        <v>46101.544456018521</v>
      </c>
    </row>
    <row r="1367" spans="1:11" x14ac:dyDescent="0.25">
      <c r="A1367" s="16" t="s">
        <v>1818</v>
      </c>
      <c r="B1367" s="20">
        <v>46083</v>
      </c>
      <c r="C1367" s="16">
        <v>3</v>
      </c>
      <c r="D1367" s="19" t="s">
        <v>45</v>
      </c>
      <c r="E1367" s="19" t="s">
        <v>453</v>
      </c>
      <c r="G1367" s="19">
        <v>89</v>
      </c>
      <c r="H1367" s="19" t="s">
        <v>215</v>
      </c>
      <c r="I1367" s="19" t="s">
        <v>216</v>
      </c>
      <c r="J1367" s="19" t="s">
        <v>217</v>
      </c>
      <c r="K1367" s="18">
        <v>46101.544768518521</v>
      </c>
    </row>
    <row r="1368" spans="1:11" x14ac:dyDescent="0.25">
      <c r="A1368" s="16" t="s">
        <v>1819</v>
      </c>
      <c r="B1368" s="20">
        <v>46084</v>
      </c>
      <c r="C1368" s="16">
        <v>3</v>
      </c>
      <c r="D1368" s="19" t="s">
        <v>29</v>
      </c>
      <c r="E1368" s="19" t="s">
        <v>453</v>
      </c>
      <c r="G1368" s="19">
        <v>30</v>
      </c>
      <c r="H1368" s="19" t="s">
        <v>215</v>
      </c>
      <c r="I1368" s="19" t="s">
        <v>246</v>
      </c>
      <c r="J1368" s="19" t="s">
        <v>217</v>
      </c>
      <c r="K1368" s="18">
        <v>46101.546643518515</v>
      </c>
    </row>
    <row r="1369" spans="1:11" x14ac:dyDescent="0.25">
      <c r="A1369" s="16" t="s">
        <v>1820</v>
      </c>
      <c r="B1369" s="20">
        <v>46084</v>
      </c>
      <c r="C1369" s="16">
        <v>3</v>
      </c>
      <c r="D1369" s="19" t="s">
        <v>29</v>
      </c>
      <c r="E1369" s="19" t="s">
        <v>453</v>
      </c>
      <c r="G1369" s="19">
        <v>44</v>
      </c>
      <c r="H1369" s="19" t="s">
        <v>215</v>
      </c>
      <c r="I1369" s="19" t="s">
        <v>246</v>
      </c>
      <c r="J1369" s="19" t="s">
        <v>217</v>
      </c>
      <c r="K1369" s="18">
        <v>46101.546770833331</v>
      </c>
    </row>
    <row r="1370" spans="1:11" x14ac:dyDescent="0.25">
      <c r="A1370" s="16" t="s">
        <v>1821</v>
      </c>
      <c r="B1370" s="20">
        <v>46084</v>
      </c>
      <c r="C1370" s="16">
        <v>3</v>
      </c>
      <c r="D1370" s="19" t="s">
        <v>29</v>
      </c>
      <c r="E1370" s="19" t="s">
        <v>453</v>
      </c>
      <c r="G1370" s="19">
        <v>78</v>
      </c>
      <c r="H1370" s="19" t="s">
        <v>215</v>
      </c>
      <c r="I1370" s="19" t="s">
        <v>246</v>
      </c>
      <c r="J1370" s="19" t="s">
        <v>217</v>
      </c>
      <c r="K1370" s="18">
        <v>46101.546851851854</v>
      </c>
    </row>
    <row r="1371" spans="1:11" x14ac:dyDescent="0.25">
      <c r="A1371" s="16" t="s">
        <v>1822</v>
      </c>
      <c r="B1371" s="20">
        <v>46084</v>
      </c>
      <c r="C1371" s="16">
        <v>3</v>
      </c>
      <c r="D1371" s="19" t="s">
        <v>31</v>
      </c>
      <c r="E1371" s="19" t="s">
        <v>453</v>
      </c>
      <c r="G1371" s="19">
        <v>92</v>
      </c>
      <c r="H1371" s="19" t="s">
        <v>215</v>
      </c>
      <c r="I1371" s="19" t="s">
        <v>216</v>
      </c>
      <c r="J1371" s="19" t="s">
        <v>217</v>
      </c>
      <c r="K1371" s="18">
        <v>46101.547106481485</v>
      </c>
    </row>
    <row r="1372" spans="1:11" x14ac:dyDescent="0.25">
      <c r="A1372" s="16" t="s">
        <v>1823</v>
      </c>
      <c r="B1372" s="20">
        <v>46084</v>
      </c>
      <c r="C1372" s="16">
        <v>3</v>
      </c>
      <c r="D1372" s="19" t="s">
        <v>31</v>
      </c>
      <c r="E1372" s="19" t="s">
        <v>453</v>
      </c>
      <c r="G1372" s="19">
        <v>91</v>
      </c>
      <c r="H1372" s="19" t="s">
        <v>215</v>
      </c>
      <c r="I1372" s="19" t="s">
        <v>216</v>
      </c>
      <c r="J1372" s="19" t="s">
        <v>217</v>
      </c>
      <c r="K1372" s="18">
        <v>46101.547326388885</v>
      </c>
    </row>
    <row r="1373" spans="1:11" x14ac:dyDescent="0.25">
      <c r="A1373" s="16" t="s">
        <v>1824</v>
      </c>
      <c r="B1373" s="20">
        <v>46084</v>
      </c>
      <c r="C1373" s="16">
        <v>3</v>
      </c>
      <c r="D1373" s="19" t="s">
        <v>33</v>
      </c>
      <c r="E1373" s="19" t="s">
        <v>453</v>
      </c>
      <c r="G1373" s="19">
        <v>4</v>
      </c>
      <c r="H1373" s="19" t="s">
        <v>215</v>
      </c>
      <c r="I1373" s="19" t="s">
        <v>216</v>
      </c>
      <c r="J1373" s="19" t="s">
        <v>217</v>
      </c>
      <c r="K1373" s="18">
        <v>46101.547569444447</v>
      </c>
    </row>
    <row r="1374" spans="1:11" x14ac:dyDescent="0.25">
      <c r="A1374" s="16" t="s">
        <v>1825</v>
      </c>
      <c r="B1374" s="20">
        <v>46084</v>
      </c>
      <c r="C1374" s="16">
        <v>3</v>
      </c>
      <c r="D1374" s="19" t="s">
        <v>33</v>
      </c>
      <c r="E1374" s="19" t="s">
        <v>453</v>
      </c>
      <c r="G1374" s="19">
        <v>1</v>
      </c>
      <c r="H1374" s="19" t="s">
        <v>215</v>
      </c>
      <c r="I1374" s="19" t="s">
        <v>246</v>
      </c>
      <c r="J1374" s="19" t="s">
        <v>217</v>
      </c>
      <c r="K1374" s="18">
        <v>46101.547685185185</v>
      </c>
    </row>
    <row r="1375" spans="1:11" x14ac:dyDescent="0.25">
      <c r="A1375" s="16" t="s">
        <v>1826</v>
      </c>
      <c r="B1375" s="20">
        <v>46084</v>
      </c>
      <c r="C1375" s="16">
        <v>3</v>
      </c>
      <c r="D1375" s="19" t="s">
        <v>33</v>
      </c>
      <c r="E1375" s="19" t="s">
        <v>453</v>
      </c>
      <c r="G1375" s="19">
        <v>1</v>
      </c>
      <c r="H1375" s="19" t="s">
        <v>215</v>
      </c>
      <c r="I1375" s="19" t="s">
        <v>246</v>
      </c>
      <c r="J1375" s="19" t="s">
        <v>217</v>
      </c>
      <c r="K1375" s="18">
        <v>46101.547754629632</v>
      </c>
    </row>
    <row r="1376" spans="1:11" x14ac:dyDescent="0.25">
      <c r="A1376" s="16" t="s">
        <v>1827</v>
      </c>
      <c r="B1376" s="20">
        <v>46084</v>
      </c>
      <c r="C1376" s="16">
        <v>3</v>
      </c>
      <c r="D1376" s="19" t="s">
        <v>33</v>
      </c>
      <c r="E1376" s="19" t="s">
        <v>453</v>
      </c>
      <c r="G1376" s="19">
        <v>1</v>
      </c>
      <c r="H1376" s="19" t="s">
        <v>215</v>
      </c>
      <c r="I1376" s="19" t="s">
        <v>246</v>
      </c>
      <c r="J1376" s="19" t="s">
        <v>217</v>
      </c>
      <c r="K1376" s="18">
        <v>46101.547824074078</v>
      </c>
    </row>
    <row r="1377" spans="1:11" x14ac:dyDescent="0.25">
      <c r="A1377" s="16" t="s">
        <v>1828</v>
      </c>
      <c r="B1377" s="20">
        <v>46084</v>
      </c>
      <c r="C1377" s="16">
        <v>3</v>
      </c>
      <c r="D1377" s="19" t="s">
        <v>35</v>
      </c>
      <c r="E1377" s="19" t="s">
        <v>453</v>
      </c>
      <c r="G1377" s="19">
        <v>37</v>
      </c>
      <c r="H1377" s="19" t="s">
        <v>215</v>
      </c>
      <c r="I1377" s="19" t="s">
        <v>216</v>
      </c>
      <c r="J1377" s="19" t="s">
        <v>217</v>
      </c>
      <c r="K1377" s="18">
        <v>46101.548136574071</v>
      </c>
    </row>
    <row r="1378" spans="1:11" x14ac:dyDescent="0.25">
      <c r="A1378" s="16" t="s">
        <v>1829</v>
      </c>
      <c r="B1378" s="20">
        <v>46084</v>
      </c>
      <c r="C1378" s="16">
        <v>3</v>
      </c>
      <c r="D1378" s="19" t="s">
        <v>35</v>
      </c>
      <c r="E1378" s="19" t="s">
        <v>453</v>
      </c>
      <c r="G1378" s="19">
        <v>26</v>
      </c>
      <c r="H1378" s="19" t="s">
        <v>215</v>
      </c>
      <c r="I1378" s="19" t="s">
        <v>216</v>
      </c>
      <c r="J1378" s="19" t="s">
        <v>217</v>
      </c>
      <c r="K1378" s="18">
        <v>46101.548206018517</v>
      </c>
    </row>
    <row r="1379" spans="1:11" x14ac:dyDescent="0.25">
      <c r="A1379" s="16" t="s">
        <v>1830</v>
      </c>
      <c r="B1379" s="20">
        <v>46084</v>
      </c>
      <c r="C1379" s="16">
        <v>3</v>
      </c>
      <c r="D1379" s="19" t="s">
        <v>35</v>
      </c>
      <c r="E1379" s="19" t="s">
        <v>453</v>
      </c>
      <c r="G1379" s="19">
        <v>35</v>
      </c>
      <c r="H1379" s="19" t="s">
        <v>215</v>
      </c>
      <c r="I1379" s="19" t="s">
        <v>216</v>
      </c>
      <c r="J1379" s="19" t="s">
        <v>217</v>
      </c>
      <c r="K1379" s="18">
        <v>46101.548252314817</v>
      </c>
    </row>
    <row r="1380" spans="1:11" x14ac:dyDescent="0.25">
      <c r="A1380" s="16" t="s">
        <v>1831</v>
      </c>
      <c r="B1380" s="20">
        <v>46084</v>
      </c>
      <c r="C1380" s="16">
        <v>3</v>
      </c>
      <c r="D1380" s="19" t="s">
        <v>35</v>
      </c>
      <c r="E1380" s="19" t="s">
        <v>453</v>
      </c>
      <c r="G1380" s="19">
        <v>38</v>
      </c>
      <c r="H1380" s="19" t="s">
        <v>215</v>
      </c>
      <c r="I1380" s="19" t="s">
        <v>216</v>
      </c>
      <c r="J1380" s="19" t="s">
        <v>217</v>
      </c>
      <c r="K1380" s="18">
        <v>46101.548298611109</v>
      </c>
    </row>
    <row r="1381" spans="1:11" x14ac:dyDescent="0.25">
      <c r="A1381" s="16" t="s">
        <v>1832</v>
      </c>
      <c r="B1381" s="20">
        <v>46084</v>
      </c>
      <c r="C1381" s="16">
        <v>3</v>
      </c>
      <c r="D1381" s="19" t="s">
        <v>35</v>
      </c>
      <c r="E1381" s="19" t="s">
        <v>453</v>
      </c>
      <c r="G1381" s="19">
        <v>41</v>
      </c>
      <c r="H1381" s="19" t="s">
        <v>215</v>
      </c>
      <c r="I1381" s="19" t="s">
        <v>216</v>
      </c>
      <c r="J1381" s="19" t="s">
        <v>217</v>
      </c>
      <c r="K1381" s="18">
        <v>46101.548356481479</v>
      </c>
    </row>
    <row r="1382" spans="1:11" x14ac:dyDescent="0.25">
      <c r="A1382" s="16" t="s">
        <v>1833</v>
      </c>
      <c r="B1382" s="20">
        <v>46084</v>
      </c>
      <c r="C1382" s="16">
        <v>3</v>
      </c>
      <c r="D1382" s="19" t="s">
        <v>35</v>
      </c>
      <c r="E1382" s="19" t="s">
        <v>453</v>
      </c>
      <c r="G1382" s="19">
        <v>28</v>
      </c>
      <c r="H1382" s="19" t="s">
        <v>215</v>
      </c>
      <c r="I1382" s="19" t="s">
        <v>216</v>
      </c>
      <c r="J1382" s="19" t="s">
        <v>217</v>
      </c>
      <c r="K1382" s="18">
        <v>46101.548414351855</v>
      </c>
    </row>
    <row r="1383" spans="1:11" x14ac:dyDescent="0.25">
      <c r="A1383" s="16" t="s">
        <v>1834</v>
      </c>
      <c r="B1383" s="20">
        <v>46084</v>
      </c>
      <c r="C1383" s="16">
        <v>3</v>
      </c>
      <c r="D1383" s="19" t="s">
        <v>37</v>
      </c>
      <c r="E1383" s="19" t="s">
        <v>453</v>
      </c>
      <c r="G1383" s="19">
        <v>26</v>
      </c>
      <c r="H1383" s="19" t="s">
        <v>215</v>
      </c>
      <c r="I1383" s="19" t="s">
        <v>216</v>
      </c>
      <c r="J1383" s="19" t="s">
        <v>217</v>
      </c>
      <c r="K1383" s="18">
        <v>46101.548657407409</v>
      </c>
    </row>
    <row r="1384" spans="1:11" x14ac:dyDescent="0.25">
      <c r="A1384" s="16" t="s">
        <v>1835</v>
      </c>
      <c r="B1384" s="20">
        <v>46084</v>
      </c>
      <c r="C1384" s="16">
        <v>3</v>
      </c>
      <c r="D1384" s="19" t="s">
        <v>37</v>
      </c>
      <c r="E1384" s="19" t="s">
        <v>453</v>
      </c>
      <c r="G1384" s="19">
        <v>26</v>
      </c>
      <c r="H1384" s="19" t="s">
        <v>215</v>
      </c>
      <c r="I1384" s="19" t="s">
        <v>216</v>
      </c>
      <c r="J1384" s="19" t="s">
        <v>217</v>
      </c>
      <c r="K1384" s="18">
        <v>46101.548703703702</v>
      </c>
    </row>
    <row r="1385" spans="1:11" x14ac:dyDescent="0.25">
      <c r="A1385" s="16" t="s">
        <v>1836</v>
      </c>
      <c r="B1385" s="20">
        <v>46084</v>
      </c>
      <c r="C1385" s="16">
        <v>3</v>
      </c>
      <c r="D1385" s="19" t="s">
        <v>37</v>
      </c>
      <c r="E1385" s="19" t="s">
        <v>453</v>
      </c>
      <c r="G1385" s="19">
        <v>19</v>
      </c>
      <c r="H1385" s="19" t="s">
        <v>215</v>
      </c>
      <c r="I1385" s="19" t="s">
        <v>216</v>
      </c>
      <c r="J1385" s="19" t="s">
        <v>217</v>
      </c>
      <c r="K1385" s="18">
        <v>46101.548750000002</v>
      </c>
    </row>
    <row r="1386" spans="1:11" x14ac:dyDescent="0.25">
      <c r="A1386" s="16" t="s">
        <v>1837</v>
      </c>
      <c r="B1386" s="20">
        <v>46084</v>
      </c>
      <c r="C1386" s="16">
        <v>3</v>
      </c>
      <c r="D1386" s="19" t="s">
        <v>37</v>
      </c>
      <c r="E1386" s="19" t="s">
        <v>453</v>
      </c>
      <c r="G1386" s="19">
        <v>31</v>
      </c>
      <c r="H1386" s="19" t="s">
        <v>215</v>
      </c>
      <c r="I1386" s="19" t="s">
        <v>216</v>
      </c>
      <c r="J1386" s="19" t="s">
        <v>217</v>
      </c>
      <c r="K1386" s="18">
        <v>46101.548807870371</v>
      </c>
    </row>
    <row r="1387" spans="1:11" x14ac:dyDescent="0.25">
      <c r="A1387" s="16" t="s">
        <v>1838</v>
      </c>
      <c r="B1387" s="20">
        <v>46084</v>
      </c>
      <c r="C1387" s="16">
        <v>3</v>
      </c>
      <c r="D1387" s="19" t="s">
        <v>37</v>
      </c>
      <c r="E1387" s="19" t="s">
        <v>453</v>
      </c>
      <c r="G1387" s="19">
        <v>26</v>
      </c>
      <c r="H1387" s="19" t="s">
        <v>215</v>
      </c>
      <c r="I1387" s="19" t="s">
        <v>216</v>
      </c>
      <c r="J1387" s="19" t="s">
        <v>217</v>
      </c>
      <c r="K1387" s="18">
        <v>46101.548888888887</v>
      </c>
    </row>
    <row r="1388" spans="1:11" x14ac:dyDescent="0.25">
      <c r="A1388" s="16" t="s">
        <v>1839</v>
      </c>
      <c r="B1388" s="20">
        <v>46084</v>
      </c>
      <c r="C1388" s="16">
        <v>3</v>
      </c>
      <c r="D1388" s="19" t="s">
        <v>37</v>
      </c>
      <c r="E1388" s="19" t="s">
        <v>453</v>
      </c>
      <c r="G1388" s="19">
        <v>30</v>
      </c>
      <c r="H1388" s="19" t="s">
        <v>215</v>
      </c>
      <c r="I1388" s="19" t="s">
        <v>216</v>
      </c>
      <c r="J1388" s="19" t="s">
        <v>217</v>
      </c>
      <c r="K1388" s="18">
        <v>46101.548935185187</v>
      </c>
    </row>
    <row r="1389" spans="1:11" x14ac:dyDescent="0.25">
      <c r="A1389" s="16" t="s">
        <v>1840</v>
      </c>
      <c r="B1389" s="20">
        <v>46084</v>
      </c>
      <c r="C1389" s="16">
        <v>3</v>
      </c>
      <c r="D1389" s="19" t="s">
        <v>39</v>
      </c>
      <c r="E1389" s="19" t="s">
        <v>453</v>
      </c>
      <c r="G1389" s="19">
        <v>26</v>
      </c>
      <c r="H1389" s="19" t="s">
        <v>215</v>
      </c>
      <c r="I1389" s="19" t="s">
        <v>216</v>
      </c>
      <c r="J1389" s="19" t="s">
        <v>217</v>
      </c>
      <c r="K1389" s="18">
        <v>46101.549189814818</v>
      </c>
    </row>
    <row r="1390" spans="1:11" x14ac:dyDescent="0.25">
      <c r="A1390" s="16" t="s">
        <v>1841</v>
      </c>
      <c r="B1390" s="20">
        <v>46084</v>
      </c>
      <c r="C1390" s="16">
        <v>3</v>
      </c>
      <c r="D1390" s="19" t="s">
        <v>39</v>
      </c>
      <c r="E1390" s="19" t="s">
        <v>453</v>
      </c>
      <c r="G1390" s="19">
        <v>18</v>
      </c>
      <c r="H1390" s="19" t="s">
        <v>215</v>
      </c>
      <c r="I1390" s="19" t="s">
        <v>216</v>
      </c>
      <c r="J1390" s="19" t="s">
        <v>217</v>
      </c>
      <c r="K1390" s="18">
        <v>46101.549270833333</v>
      </c>
    </row>
    <row r="1391" spans="1:11" x14ac:dyDescent="0.25">
      <c r="A1391" s="16" t="s">
        <v>1842</v>
      </c>
      <c r="B1391" s="20">
        <v>46084</v>
      </c>
      <c r="C1391" s="16">
        <v>3</v>
      </c>
      <c r="D1391" s="19" t="s">
        <v>39</v>
      </c>
      <c r="E1391" s="19" t="s">
        <v>453</v>
      </c>
      <c r="G1391" s="19">
        <v>15</v>
      </c>
      <c r="H1391" s="19" t="s">
        <v>215</v>
      </c>
      <c r="I1391" s="19" t="s">
        <v>216</v>
      </c>
      <c r="J1391" s="19" t="s">
        <v>217</v>
      </c>
      <c r="K1391" s="18">
        <v>46101.549467592595</v>
      </c>
    </row>
    <row r="1392" spans="1:11" x14ac:dyDescent="0.25">
      <c r="A1392" s="16" t="s">
        <v>1843</v>
      </c>
      <c r="B1392" s="20">
        <v>46084</v>
      </c>
      <c r="C1392" s="16">
        <v>3</v>
      </c>
      <c r="D1392" s="19" t="s">
        <v>41</v>
      </c>
      <c r="E1392" s="19" t="s">
        <v>453</v>
      </c>
      <c r="G1392" s="19">
        <v>0</v>
      </c>
      <c r="H1392" s="19" t="s">
        <v>306</v>
      </c>
      <c r="I1392" s="19" t="s">
        <v>216</v>
      </c>
      <c r="J1392" s="19" t="s">
        <v>217</v>
      </c>
      <c r="K1392" s="18">
        <v>46101.554363425923</v>
      </c>
    </row>
    <row r="1393" spans="1:11" x14ac:dyDescent="0.25">
      <c r="A1393" s="16" t="s">
        <v>1844</v>
      </c>
      <c r="B1393" s="20">
        <v>46084</v>
      </c>
      <c r="C1393" s="16">
        <v>3</v>
      </c>
      <c r="D1393" s="19" t="s">
        <v>43</v>
      </c>
      <c r="E1393" s="19" t="s">
        <v>453</v>
      </c>
      <c r="G1393" s="19">
        <v>1</v>
      </c>
      <c r="H1393" s="19" t="s">
        <v>215</v>
      </c>
      <c r="I1393" s="19" t="s">
        <v>246</v>
      </c>
      <c r="J1393" s="19" t="s">
        <v>217</v>
      </c>
      <c r="K1393" s="18">
        <v>46101.554664351854</v>
      </c>
    </row>
    <row r="1394" spans="1:11" x14ac:dyDescent="0.25">
      <c r="A1394" s="16" t="s">
        <v>1845</v>
      </c>
      <c r="B1394" s="20">
        <v>46084</v>
      </c>
      <c r="C1394" s="16">
        <v>3</v>
      </c>
      <c r="D1394" s="19" t="s">
        <v>43</v>
      </c>
      <c r="E1394" s="19" t="s">
        <v>453</v>
      </c>
      <c r="G1394" s="19">
        <v>61</v>
      </c>
      <c r="H1394" s="19" t="s">
        <v>215</v>
      </c>
      <c r="I1394" s="19" t="s">
        <v>246</v>
      </c>
      <c r="J1394" s="19" t="s">
        <v>217</v>
      </c>
      <c r="K1394" s="18">
        <v>46101.554722222223</v>
      </c>
    </row>
    <row r="1395" spans="1:11" x14ac:dyDescent="0.25">
      <c r="A1395" s="16" t="s">
        <v>1846</v>
      </c>
      <c r="B1395" s="20">
        <v>46085</v>
      </c>
      <c r="C1395" s="16">
        <v>3</v>
      </c>
      <c r="D1395" s="19" t="s">
        <v>45</v>
      </c>
      <c r="E1395" s="19" t="s">
        <v>453</v>
      </c>
      <c r="G1395" s="19">
        <v>3</v>
      </c>
      <c r="H1395" s="19" t="s">
        <v>215</v>
      </c>
      <c r="I1395" s="19" t="s">
        <v>216</v>
      </c>
      <c r="J1395" s="19" t="s">
        <v>217</v>
      </c>
      <c r="K1395" s="18">
        <v>46101.56045138889</v>
      </c>
    </row>
    <row r="1396" spans="1:11" x14ac:dyDescent="0.25">
      <c r="A1396" s="16" t="s">
        <v>1847</v>
      </c>
      <c r="B1396" s="20">
        <v>46086</v>
      </c>
      <c r="C1396" s="16">
        <v>3</v>
      </c>
      <c r="D1396" s="19" t="s">
        <v>29</v>
      </c>
      <c r="E1396" s="19" t="s">
        <v>453</v>
      </c>
      <c r="G1396" s="19">
        <v>48</v>
      </c>
      <c r="H1396" s="19" t="s">
        <v>215</v>
      </c>
      <c r="I1396" s="19" t="s">
        <v>246</v>
      </c>
      <c r="J1396" s="19" t="s">
        <v>217</v>
      </c>
      <c r="K1396" s="18">
        <v>46101.56077546296</v>
      </c>
    </row>
    <row r="1397" spans="1:11" x14ac:dyDescent="0.25">
      <c r="A1397" s="16" t="s">
        <v>1848</v>
      </c>
      <c r="B1397" s="20">
        <v>46086</v>
      </c>
      <c r="C1397" s="16">
        <v>3</v>
      </c>
      <c r="D1397" s="19" t="s">
        <v>29</v>
      </c>
      <c r="E1397" s="19" t="s">
        <v>453</v>
      </c>
      <c r="G1397" s="19">
        <v>12</v>
      </c>
      <c r="H1397" s="19" t="s">
        <v>215</v>
      </c>
      <c r="I1397" s="19" t="s">
        <v>246</v>
      </c>
      <c r="J1397" s="19" t="s">
        <v>217</v>
      </c>
      <c r="K1397" s="18">
        <v>46101.560844907406</v>
      </c>
    </row>
    <row r="1398" spans="1:11" x14ac:dyDescent="0.25">
      <c r="A1398" s="16" t="s">
        <v>1849</v>
      </c>
      <c r="B1398" s="20">
        <v>46086</v>
      </c>
      <c r="C1398" s="16">
        <v>3</v>
      </c>
      <c r="D1398" s="19" t="s">
        <v>29</v>
      </c>
      <c r="E1398" s="19" t="s">
        <v>453</v>
      </c>
      <c r="G1398" s="19">
        <v>55</v>
      </c>
      <c r="H1398" s="19" t="s">
        <v>215</v>
      </c>
      <c r="I1398" s="19" t="s">
        <v>246</v>
      </c>
      <c r="J1398" s="19" t="s">
        <v>217</v>
      </c>
      <c r="K1398" s="18">
        <v>46101.560879629629</v>
      </c>
    </row>
    <row r="1399" spans="1:11" x14ac:dyDescent="0.25">
      <c r="A1399" s="16" t="s">
        <v>1850</v>
      </c>
      <c r="B1399" s="20">
        <v>46086</v>
      </c>
      <c r="C1399" s="16">
        <v>3</v>
      </c>
      <c r="D1399" s="19" t="s">
        <v>31</v>
      </c>
      <c r="E1399" s="19" t="s">
        <v>453</v>
      </c>
      <c r="G1399" s="19">
        <v>79</v>
      </c>
      <c r="H1399" s="19" t="s">
        <v>215</v>
      </c>
      <c r="I1399" s="19" t="s">
        <v>216</v>
      </c>
      <c r="J1399" s="19" t="s">
        <v>217</v>
      </c>
      <c r="K1399" s="18">
        <v>46101.561041666668</v>
      </c>
    </row>
    <row r="1400" spans="1:11" x14ac:dyDescent="0.25">
      <c r="A1400" s="16" t="s">
        <v>1851</v>
      </c>
      <c r="B1400" s="20">
        <v>46086</v>
      </c>
      <c r="C1400" s="16">
        <v>3</v>
      </c>
      <c r="D1400" s="19" t="s">
        <v>33</v>
      </c>
      <c r="E1400" s="19" t="s">
        <v>453</v>
      </c>
      <c r="G1400" s="19">
        <v>5</v>
      </c>
      <c r="H1400" s="19" t="s">
        <v>427</v>
      </c>
      <c r="I1400" s="19" t="s">
        <v>246</v>
      </c>
      <c r="J1400" s="19" t="s">
        <v>217</v>
      </c>
      <c r="K1400" s="18">
        <v>46101.561400462961</v>
      </c>
    </row>
    <row r="1401" spans="1:11" x14ac:dyDescent="0.25">
      <c r="A1401" s="16" t="s">
        <v>1852</v>
      </c>
      <c r="B1401" s="20">
        <v>46086</v>
      </c>
      <c r="C1401" s="16">
        <v>3</v>
      </c>
      <c r="D1401" s="19" t="s">
        <v>33</v>
      </c>
      <c r="E1401" s="19" t="s">
        <v>453</v>
      </c>
      <c r="G1401" s="19">
        <v>4</v>
      </c>
      <c r="H1401" s="19" t="s">
        <v>427</v>
      </c>
      <c r="I1401" s="19" t="s">
        <v>246</v>
      </c>
      <c r="J1401" s="19" t="s">
        <v>217</v>
      </c>
      <c r="K1401" s="18">
        <v>46101.561469907407</v>
      </c>
    </row>
    <row r="1402" spans="1:11" x14ac:dyDescent="0.25">
      <c r="A1402" s="16" t="s">
        <v>1853</v>
      </c>
      <c r="B1402" s="20">
        <v>46086</v>
      </c>
      <c r="C1402" s="16">
        <v>3</v>
      </c>
      <c r="D1402" s="19" t="s">
        <v>33</v>
      </c>
      <c r="E1402" s="19" t="s">
        <v>453</v>
      </c>
      <c r="G1402" s="19">
        <v>1</v>
      </c>
      <c r="H1402" s="19" t="s">
        <v>215</v>
      </c>
      <c r="I1402" s="19" t="s">
        <v>216</v>
      </c>
      <c r="J1402" s="19" t="s">
        <v>217</v>
      </c>
      <c r="K1402" s="18">
        <v>46101.561539351853</v>
      </c>
    </row>
    <row r="1403" spans="1:11" x14ac:dyDescent="0.25">
      <c r="A1403" s="16" t="s">
        <v>1854</v>
      </c>
      <c r="B1403" s="20">
        <v>46086</v>
      </c>
      <c r="C1403" s="16">
        <v>3</v>
      </c>
      <c r="D1403" s="19" t="s">
        <v>35</v>
      </c>
      <c r="E1403" s="19" t="s">
        <v>453</v>
      </c>
      <c r="G1403" s="19">
        <v>25</v>
      </c>
      <c r="H1403" s="19" t="s">
        <v>215</v>
      </c>
      <c r="I1403" s="19" t="s">
        <v>216</v>
      </c>
      <c r="J1403" s="19" t="s">
        <v>217</v>
      </c>
      <c r="K1403" s="18">
        <v>46101.561678240738</v>
      </c>
    </row>
    <row r="1404" spans="1:11" x14ac:dyDescent="0.25">
      <c r="A1404" s="16" t="s">
        <v>1855</v>
      </c>
      <c r="B1404" s="20">
        <v>46086</v>
      </c>
      <c r="C1404" s="16">
        <v>3</v>
      </c>
      <c r="D1404" s="19" t="s">
        <v>35</v>
      </c>
      <c r="E1404" s="19" t="s">
        <v>453</v>
      </c>
      <c r="G1404" s="19">
        <v>26</v>
      </c>
      <c r="H1404" s="19" t="s">
        <v>215</v>
      </c>
      <c r="I1404" s="19" t="s">
        <v>216</v>
      </c>
      <c r="J1404" s="19" t="s">
        <v>217</v>
      </c>
      <c r="K1404" s="18">
        <v>46101.561724537038</v>
      </c>
    </row>
    <row r="1405" spans="1:11" x14ac:dyDescent="0.25">
      <c r="A1405" s="16" t="s">
        <v>1856</v>
      </c>
      <c r="B1405" s="20">
        <v>46086</v>
      </c>
      <c r="C1405" s="16">
        <v>3</v>
      </c>
      <c r="D1405" s="19" t="s">
        <v>37</v>
      </c>
      <c r="E1405" s="19" t="s">
        <v>453</v>
      </c>
      <c r="G1405" s="19">
        <v>31</v>
      </c>
      <c r="H1405" s="19" t="s">
        <v>215</v>
      </c>
      <c r="I1405" s="19" t="s">
        <v>216</v>
      </c>
      <c r="J1405" s="19" t="s">
        <v>217</v>
      </c>
      <c r="K1405" s="18">
        <v>46101.561932870369</v>
      </c>
    </row>
    <row r="1406" spans="1:11" x14ac:dyDescent="0.25">
      <c r="A1406" s="16" t="s">
        <v>1857</v>
      </c>
      <c r="B1406" s="20">
        <v>46086</v>
      </c>
      <c r="C1406" s="16">
        <v>3</v>
      </c>
      <c r="D1406" s="19" t="s">
        <v>37</v>
      </c>
      <c r="E1406" s="19" t="s">
        <v>453</v>
      </c>
      <c r="G1406" s="19">
        <v>30</v>
      </c>
      <c r="H1406" s="19" t="s">
        <v>215</v>
      </c>
      <c r="I1406" s="19" t="s">
        <v>216</v>
      </c>
      <c r="J1406" s="19" t="s">
        <v>217</v>
      </c>
      <c r="K1406" s="18">
        <v>46101.561967592592</v>
      </c>
    </row>
    <row r="1407" spans="1:11" x14ac:dyDescent="0.25">
      <c r="A1407" s="16" t="s">
        <v>1858</v>
      </c>
      <c r="B1407" s="20">
        <v>46086</v>
      </c>
      <c r="C1407" s="16">
        <v>3</v>
      </c>
      <c r="D1407" s="19" t="s">
        <v>39</v>
      </c>
      <c r="E1407" s="19" t="s">
        <v>453</v>
      </c>
      <c r="G1407" s="19">
        <v>34</v>
      </c>
      <c r="H1407" s="19" t="s">
        <v>215</v>
      </c>
      <c r="I1407" s="19" t="s">
        <v>216</v>
      </c>
      <c r="J1407" s="19" t="s">
        <v>217</v>
      </c>
      <c r="K1407" s="18">
        <v>46101.5621875</v>
      </c>
    </row>
    <row r="1408" spans="1:11" x14ac:dyDescent="0.25">
      <c r="A1408" s="16" t="s">
        <v>1859</v>
      </c>
      <c r="B1408" s="20">
        <v>46086</v>
      </c>
      <c r="C1408" s="16">
        <v>3</v>
      </c>
      <c r="D1408" s="19" t="s">
        <v>39</v>
      </c>
      <c r="E1408" s="19" t="s">
        <v>453</v>
      </c>
      <c r="G1408" s="19">
        <v>21</v>
      </c>
      <c r="H1408" s="19" t="s">
        <v>215</v>
      </c>
      <c r="I1408" s="19" t="s">
        <v>216</v>
      </c>
      <c r="J1408" s="19" t="s">
        <v>217</v>
      </c>
      <c r="K1408" s="18">
        <v>46101.562245370369</v>
      </c>
    </row>
    <row r="1409" spans="1:11" x14ac:dyDescent="0.25">
      <c r="A1409" s="16" t="s">
        <v>1860</v>
      </c>
      <c r="B1409" s="20">
        <v>46086</v>
      </c>
      <c r="C1409" s="16">
        <v>3</v>
      </c>
      <c r="D1409" s="19" t="s">
        <v>39</v>
      </c>
      <c r="E1409" s="19" t="s">
        <v>453</v>
      </c>
      <c r="G1409" s="19">
        <v>24</v>
      </c>
      <c r="H1409" s="19" t="s">
        <v>215</v>
      </c>
      <c r="I1409" s="19" t="s">
        <v>216</v>
      </c>
      <c r="J1409" s="19" t="s">
        <v>217</v>
      </c>
      <c r="K1409" s="18">
        <v>46101.562291666669</v>
      </c>
    </row>
    <row r="1410" spans="1:11" x14ac:dyDescent="0.25">
      <c r="A1410" s="16" t="s">
        <v>1861</v>
      </c>
      <c r="B1410" s="20">
        <v>46086</v>
      </c>
      <c r="C1410" s="16">
        <v>3</v>
      </c>
      <c r="D1410" s="19" t="s">
        <v>41</v>
      </c>
      <c r="E1410" s="19" t="s">
        <v>453</v>
      </c>
      <c r="G1410" s="19">
        <v>0</v>
      </c>
      <c r="H1410" s="19" t="s">
        <v>306</v>
      </c>
      <c r="I1410" s="19" t="s">
        <v>216</v>
      </c>
      <c r="J1410" s="19" t="s">
        <v>217</v>
      </c>
      <c r="K1410" s="18">
        <v>46101.5625</v>
      </c>
    </row>
    <row r="1411" spans="1:11" x14ac:dyDescent="0.25">
      <c r="A1411" s="16" t="s">
        <v>1862</v>
      </c>
      <c r="B1411" s="20">
        <v>46086</v>
      </c>
      <c r="C1411" s="16">
        <v>3</v>
      </c>
      <c r="D1411" s="19" t="s">
        <v>41</v>
      </c>
      <c r="E1411" s="19" t="s">
        <v>453</v>
      </c>
      <c r="G1411" s="19">
        <v>0</v>
      </c>
      <c r="H1411" s="19" t="s">
        <v>306</v>
      </c>
      <c r="I1411" s="19" t="s">
        <v>216</v>
      </c>
      <c r="J1411" s="19" t="s">
        <v>217</v>
      </c>
      <c r="K1411" s="18">
        <v>46101.562592592592</v>
      </c>
    </row>
    <row r="1412" spans="1:11" x14ac:dyDescent="0.25">
      <c r="A1412" s="16" t="s">
        <v>1863</v>
      </c>
      <c r="B1412" s="20">
        <v>46086</v>
      </c>
      <c r="C1412" s="16">
        <v>3</v>
      </c>
      <c r="D1412" s="19" t="s">
        <v>43</v>
      </c>
      <c r="E1412" s="19" t="s">
        <v>453</v>
      </c>
      <c r="G1412" s="19">
        <v>53</v>
      </c>
      <c r="H1412" s="19" t="s">
        <v>215</v>
      </c>
      <c r="I1412" s="19" t="s">
        <v>246</v>
      </c>
      <c r="J1412" s="19" t="s">
        <v>217</v>
      </c>
      <c r="K1412" s="18">
        <v>46101.562824074077</v>
      </c>
    </row>
    <row r="1413" spans="1:11" x14ac:dyDescent="0.25">
      <c r="A1413" s="16" t="s">
        <v>1864</v>
      </c>
      <c r="B1413" s="20">
        <v>46087</v>
      </c>
      <c r="C1413" s="16">
        <v>3</v>
      </c>
      <c r="D1413" s="19" t="s">
        <v>29</v>
      </c>
      <c r="E1413" s="19" t="s">
        <v>453</v>
      </c>
      <c r="G1413" s="19">
        <v>70</v>
      </c>
      <c r="H1413" s="19" t="s">
        <v>215</v>
      </c>
      <c r="I1413" s="19" t="s">
        <v>246</v>
      </c>
      <c r="J1413" s="19" t="s">
        <v>217</v>
      </c>
      <c r="K1413" s="18">
        <v>46101.563310185185</v>
      </c>
    </row>
    <row r="1414" spans="1:11" x14ac:dyDescent="0.25">
      <c r="A1414" s="16" t="s">
        <v>1865</v>
      </c>
      <c r="B1414" s="20">
        <v>46087</v>
      </c>
      <c r="C1414" s="16">
        <v>3</v>
      </c>
      <c r="D1414" s="19" t="s">
        <v>29</v>
      </c>
      <c r="E1414" s="19" t="s">
        <v>453</v>
      </c>
      <c r="G1414" s="19">
        <v>48</v>
      </c>
      <c r="H1414" s="19" t="s">
        <v>215</v>
      </c>
      <c r="I1414" s="19" t="s">
        <v>246</v>
      </c>
      <c r="J1414" s="19" t="s">
        <v>217</v>
      </c>
      <c r="K1414" s="18">
        <v>46101.563344907408</v>
      </c>
    </row>
    <row r="1415" spans="1:11" x14ac:dyDescent="0.25">
      <c r="A1415" s="16" t="s">
        <v>1866</v>
      </c>
      <c r="B1415" s="20">
        <v>46087</v>
      </c>
      <c r="C1415" s="16">
        <v>3</v>
      </c>
      <c r="D1415" s="19" t="s">
        <v>31</v>
      </c>
      <c r="E1415" s="19" t="s">
        <v>453</v>
      </c>
      <c r="G1415" s="19">
        <v>47</v>
      </c>
      <c r="H1415" s="19" t="s">
        <v>215</v>
      </c>
      <c r="I1415" s="19" t="s">
        <v>216</v>
      </c>
      <c r="J1415" s="19" t="s">
        <v>217</v>
      </c>
      <c r="K1415" s="18">
        <v>46101.570150462961</v>
      </c>
    </row>
    <row r="1416" spans="1:11" x14ac:dyDescent="0.25">
      <c r="A1416" s="16" t="s">
        <v>1867</v>
      </c>
      <c r="B1416" s="20">
        <v>46087</v>
      </c>
      <c r="C1416" s="16">
        <v>3</v>
      </c>
      <c r="D1416" s="19" t="s">
        <v>31</v>
      </c>
      <c r="E1416" s="19" t="s">
        <v>453</v>
      </c>
      <c r="G1416" s="19">
        <v>59</v>
      </c>
      <c r="H1416" s="19" t="s">
        <v>215</v>
      </c>
      <c r="I1416" s="19" t="s">
        <v>216</v>
      </c>
      <c r="J1416" s="19" t="s">
        <v>217</v>
      </c>
      <c r="K1416" s="18">
        <v>46101.570196759261</v>
      </c>
    </row>
    <row r="1417" spans="1:11" x14ac:dyDescent="0.25">
      <c r="A1417" s="16" t="s">
        <v>1868</v>
      </c>
      <c r="B1417" s="20">
        <v>46087</v>
      </c>
      <c r="C1417" s="16">
        <v>3</v>
      </c>
      <c r="D1417" s="19" t="s">
        <v>33</v>
      </c>
      <c r="E1417" s="19" t="s">
        <v>453</v>
      </c>
      <c r="G1417" s="19">
        <v>1</v>
      </c>
      <c r="H1417" s="19" t="s">
        <v>215</v>
      </c>
      <c r="I1417" s="19" t="s">
        <v>246</v>
      </c>
      <c r="J1417" s="19" t="s">
        <v>217</v>
      </c>
      <c r="K1417" s="18">
        <v>46101.5703587963</v>
      </c>
    </row>
    <row r="1418" spans="1:11" x14ac:dyDescent="0.25">
      <c r="A1418" s="16" t="s">
        <v>1869</v>
      </c>
      <c r="B1418" s="20">
        <v>46087</v>
      </c>
      <c r="C1418" s="16">
        <v>3</v>
      </c>
      <c r="D1418" s="19" t="s">
        <v>33</v>
      </c>
      <c r="E1418" s="19" t="s">
        <v>453</v>
      </c>
      <c r="G1418" s="19">
        <v>2</v>
      </c>
      <c r="H1418" s="19" t="s">
        <v>215</v>
      </c>
      <c r="I1418" s="19" t="s">
        <v>216</v>
      </c>
      <c r="J1418" s="19" t="s">
        <v>217</v>
      </c>
      <c r="K1418" s="18">
        <v>46101.570416666669</v>
      </c>
    </row>
    <row r="1419" spans="1:11" x14ac:dyDescent="0.25">
      <c r="A1419" s="16" t="s">
        <v>1870</v>
      </c>
      <c r="B1419" s="20">
        <v>46087</v>
      </c>
      <c r="C1419" s="16">
        <v>3</v>
      </c>
      <c r="D1419" s="19" t="s">
        <v>33</v>
      </c>
      <c r="E1419" s="19" t="s">
        <v>453</v>
      </c>
      <c r="G1419" s="19">
        <v>4</v>
      </c>
      <c r="H1419" s="19" t="s">
        <v>215</v>
      </c>
      <c r="I1419" s="19" t="s">
        <v>246</v>
      </c>
      <c r="J1419" s="19" t="s">
        <v>217</v>
      </c>
      <c r="K1419" s="18">
        <v>46101.570474537039</v>
      </c>
    </row>
    <row r="1420" spans="1:11" x14ac:dyDescent="0.25">
      <c r="A1420" s="16" t="s">
        <v>1871</v>
      </c>
      <c r="B1420" s="20">
        <v>46087</v>
      </c>
      <c r="C1420" s="16">
        <v>3</v>
      </c>
      <c r="D1420" s="19" t="s">
        <v>35</v>
      </c>
      <c r="E1420" s="19" t="s">
        <v>453</v>
      </c>
      <c r="G1420" s="19">
        <v>25</v>
      </c>
      <c r="H1420" s="19" t="s">
        <v>215</v>
      </c>
      <c r="I1420" s="19" t="s">
        <v>216</v>
      </c>
      <c r="J1420" s="19" t="s">
        <v>217</v>
      </c>
      <c r="K1420" s="18">
        <v>46101.570625</v>
      </c>
    </row>
    <row r="1421" spans="1:11" x14ac:dyDescent="0.25">
      <c r="A1421" s="16" t="s">
        <v>1872</v>
      </c>
      <c r="B1421" s="20">
        <v>46087</v>
      </c>
      <c r="C1421" s="16">
        <v>3</v>
      </c>
      <c r="D1421" s="19" t="s">
        <v>37</v>
      </c>
      <c r="E1421" s="19" t="s">
        <v>453</v>
      </c>
      <c r="G1421" s="19">
        <v>32</v>
      </c>
      <c r="H1421" s="19" t="s">
        <v>215</v>
      </c>
      <c r="I1421" s="19" t="s">
        <v>216</v>
      </c>
      <c r="J1421" s="19" t="s">
        <v>217</v>
      </c>
      <c r="K1421" s="18">
        <v>46101.570798611108</v>
      </c>
    </row>
    <row r="1422" spans="1:11" x14ac:dyDescent="0.25">
      <c r="A1422" s="16" t="s">
        <v>1873</v>
      </c>
      <c r="B1422" s="20">
        <v>46087</v>
      </c>
      <c r="C1422" s="16">
        <v>3</v>
      </c>
      <c r="D1422" s="19" t="s">
        <v>37</v>
      </c>
      <c r="E1422" s="19" t="s">
        <v>453</v>
      </c>
      <c r="G1422" s="19">
        <v>39</v>
      </c>
      <c r="H1422" s="19" t="s">
        <v>215</v>
      </c>
      <c r="I1422" s="19" t="s">
        <v>216</v>
      </c>
      <c r="J1422" s="19" t="s">
        <v>217</v>
      </c>
      <c r="K1422" s="18">
        <v>46101.570833333331</v>
      </c>
    </row>
    <row r="1423" spans="1:11" x14ac:dyDescent="0.25">
      <c r="A1423" s="16" t="s">
        <v>1874</v>
      </c>
      <c r="B1423" s="20">
        <v>46087</v>
      </c>
      <c r="C1423" s="16">
        <v>3</v>
      </c>
      <c r="D1423" s="19" t="s">
        <v>37</v>
      </c>
      <c r="E1423" s="19" t="s">
        <v>453</v>
      </c>
      <c r="G1423" s="19">
        <v>36</v>
      </c>
      <c r="H1423" s="19" t="s">
        <v>215</v>
      </c>
      <c r="I1423" s="19" t="s">
        <v>216</v>
      </c>
      <c r="J1423" s="19" t="s">
        <v>217</v>
      </c>
      <c r="K1423" s="18">
        <v>46101.570868055554</v>
      </c>
    </row>
    <row r="1424" spans="1:11" x14ac:dyDescent="0.25">
      <c r="A1424" s="16" t="s">
        <v>1875</v>
      </c>
      <c r="B1424" s="20">
        <v>46087</v>
      </c>
      <c r="C1424" s="16">
        <v>3</v>
      </c>
      <c r="D1424" s="19" t="s">
        <v>37</v>
      </c>
      <c r="E1424" s="19" t="s">
        <v>453</v>
      </c>
      <c r="G1424" s="19">
        <v>33</v>
      </c>
      <c r="H1424" s="19" t="s">
        <v>215</v>
      </c>
      <c r="I1424" s="19" t="s">
        <v>216</v>
      </c>
      <c r="J1424" s="19" t="s">
        <v>217</v>
      </c>
      <c r="K1424" s="18">
        <v>46101.570902777778</v>
      </c>
    </row>
    <row r="1425" spans="1:11" x14ac:dyDescent="0.25">
      <c r="A1425" s="16" t="s">
        <v>1876</v>
      </c>
      <c r="B1425" s="20">
        <v>46087</v>
      </c>
      <c r="C1425" s="16">
        <v>3</v>
      </c>
      <c r="D1425" s="19" t="s">
        <v>37</v>
      </c>
      <c r="E1425" s="19" t="s">
        <v>453</v>
      </c>
      <c r="G1425" s="19">
        <v>28</v>
      </c>
      <c r="H1425" s="19" t="s">
        <v>215</v>
      </c>
      <c r="I1425" s="19" t="s">
        <v>216</v>
      </c>
      <c r="J1425" s="19" t="s">
        <v>217</v>
      </c>
      <c r="K1425" s="18">
        <v>46101.570925925924</v>
      </c>
    </row>
    <row r="1426" spans="1:11" x14ac:dyDescent="0.25">
      <c r="A1426" s="16" t="s">
        <v>1877</v>
      </c>
      <c r="B1426" s="20">
        <v>46087</v>
      </c>
      <c r="C1426" s="16">
        <v>3</v>
      </c>
      <c r="D1426" s="19" t="s">
        <v>37</v>
      </c>
      <c r="E1426" s="19" t="s">
        <v>453</v>
      </c>
      <c r="G1426" s="19">
        <v>21</v>
      </c>
      <c r="H1426" s="19" t="s">
        <v>215</v>
      </c>
      <c r="I1426" s="19" t="s">
        <v>216</v>
      </c>
      <c r="J1426" s="19" t="s">
        <v>217</v>
      </c>
      <c r="K1426" s="18">
        <v>46101.570960648147</v>
      </c>
    </row>
    <row r="1427" spans="1:11" x14ac:dyDescent="0.25">
      <c r="A1427" s="16" t="s">
        <v>1878</v>
      </c>
      <c r="B1427" s="20">
        <v>46087</v>
      </c>
      <c r="C1427" s="16">
        <v>3</v>
      </c>
      <c r="D1427" s="19" t="s">
        <v>39</v>
      </c>
      <c r="E1427" s="19" t="s">
        <v>453</v>
      </c>
      <c r="G1427" s="19">
        <v>28</v>
      </c>
      <c r="H1427" s="19" t="s">
        <v>215</v>
      </c>
      <c r="I1427" s="19" t="s">
        <v>216</v>
      </c>
      <c r="J1427" s="19" t="s">
        <v>217</v>
      </c>
      <c r="K1427" s="18">
        <v>46101.571157407408</v>
      </c>
    </row>
    <row r="1428" spans="1:11" x14ac:dyDescent="0.25">
      <c r="A1428" s="16" t="s">
        <v>1879</v>
      </c>
      <c r="B1428" s="20">
        <v>46087</v>
      </c>
      <c r="C1428" s="16">
        <v>3</v>
      </c>
      <c r="D1428" s="19" t="s">
        <v>41</v>
      </c>
      <c r="E1428" s="19" t="s">
        <v>453</v>
      </c>
      <c r="G1428" s="19">
        <v>2</v>
      </c>
      <c r="H1428" s="19" t="s">
        <v>306</v>
      </c>
      <c r="I1428" s="19" t="s">
        <v>246</v>
      </c>
      <c r="J1428" s="19" t="s">
        <v>217</v>
      </c>
      <c r="K1428" s="18">
        <v>46101.572615740741</v>
      </c>
    </row>
    <row r="1429" spans="1:11" x14ac:dyDescent="0.25">
      <c r="A1429" s="16" t="s">
        <v>1880</v>
      </c>
      <c r="B1429" s="20">
        <v>46087</v>
      </c>
      <c r="C1429" s="16">
        <v>3</v>
      </c>
      <c r="D1429" s="19" t="s">
        <v>41</v>
      </c>
      <c r="E1429" s="19" t="s">
        <v>453</v>
      </c>
      <c r="G1429" s="19">
        <v>0</v>
      </c>
      <c r="H1429" s="19" t="s">
        <v>306</v>
      </c>
      <c r="I1429" s="19" t="s">
        <v>246</v>
      </c>
      <c r="J1429" s="19" t="s">
        <v>217</v>
      </c>
      <c r="K1429" s="18">
        <v>46101.572708333333</v>
      </c>
    </row>
    <row r="1430" spans="1:11" x14ac:dyDescent="0.25">
      <c r="A1430" s="16" t="s">
        <v>1881</v>
      </c>
      <c r="B1430" s="20">
        <v>46087</v>
      </c>
      <c r="C1430" s="16">
        <v>3</v>
      </c>
      <c r="D1430" s="19" t="s">
        <v>41</v>
      </c>
      <c r="E1430" s="19" t="s">
        <v>453</v>
      </c>
      <c r="G1430" s="19">
        <v>0</v>
      </c>
      <c r="H1430" s="19" t="s">
        <v>306</v>
      </c>
      <c r="I1430" s="19" t="s">
        <v>246</v>
      </c>
      <c r="J1430" s="19" t="s">
        <v>217</v>
      </c>
      <c r="K1430" s="18">
        <v>46101.572789351849</v>
      </c>
    </row>
    <row r="1431" spans="1:11" x14ac:dyDescent="0.25">
      <c r="A1431" s="16" t="s">
        <v>1882</v>
      </c>
      <c r="B1431" s="20">
        <v>46087</v>
      </c>
      <c r="C1431" s="16">
        <v>3</v>
      </c>
      <c r="D1431" s="19" t="s">
        <v>41</v>
      </c>
      <c r="E1431" s="19" t="s">
        <v>453</v>
      </c>
      <c r="G1431" s="19">
        <v>0</v>
      </c>
      <c r="H1431" s="19" t="s">
        <v>306</v>
      </c>
      <c r="I1431" s="19" t="s">
        <v>246</v>
      </c>
      <c r="J1431" s="19" t="s">
        <v>217</v>
      </c>
      <c r="K1431" s="18">
        <v>46101.572905092595</v>
      </c>
    </row>
    <row r="1432" spans="1:11" x14ac:dyDescent="0.25">
      <c r="A1432" s="16" t="s">
        <v>1883</v>
      </c>
      <c r="B1432" s="20">
        <v>46087</v>
      </c>
      <c r="C1432" s="16">
        <v>3</v>
      </c>
      <c r="D1432" s="19" t="s">
        <v>41</v>
      </c>
      <c r="E1432" s="19" t="s">
        <v>453</v>
      </c>
      <c r="G1432" s="19">
        <v>0</v>
      </c>
      <c r="H1432" s="19" t="s">
        <v>306</v>
      </c>
      <c r="I1432" s="19" t="s">
        <v>246</v>
      </c>
      <c r="J1432" s="19" t="s">
        <v>217</v>
      </c>
      <c r="K1432" s="18">
        <v>46101.57309027778</v>
      </c>
    </row>
    <row r="1433" spans="1:11" x14ac:dyDescent="0.25">
      <c r="A1433" s="16" t="s">
        <v>1884</v>
      </c>
      <c r="B1433" s="20">
        <v>46087</v>
      </c>
      <c r="C1433" s="16">
        <v>3</v>
      </c>
      <c r="D1433" s="19" t="s">
        <v>41</v>
      </c>
      <c r="E1433" s="19" t="s">
        <v>453</v>
      </c>
      <c r="G1433" s="19">
        <v>0</v>
      </c>
      <c r="H1433" s="19" t="s">
        <v>306</v>
      </c>
      <c r="I1433" s="19" t="s">
        <v>216</v>
      </c>
      <c r="J1433" s="19" t="s">
        <v>217</v>
      </c>
      <c r="K1433" s="18">
        <v>46101.573217592595</v>
      </c>
    </row>
    <row r="1434" spans="1:11" x14ac:dyDescent="0.25">
      <c r="A1434" s="16" t="s">
        <v>1885</v>
      </c>
      <c r="B1434" s="20">
        <v>46087</v>
      </c>
      <c r="C1434" s="16">
        <v>3</v>
      </c>
      <c r="D1434" s="19" t="s">
        <v>43</v>
      </c>
      <c r="E1434" s="19" t="s">
        <v>453</v>
      </c>
      <c r="G1434" s="19">
        <v>41</v>
      </c>
      <c r="H1434" s="19" t="s">
        <v>215</v>
      </c>
      <c r="I1434" s="19" t="s">
        <v>246</v>
      </c>
      <c r="J1434" s="19" t="s">
        <v>217</v>
      </c>
      <c r="K1434" s="18">
        <v>46101.573587962965</v>
      </c>
    </row>
    <row r="1435" spans="1:11" x14ac:dyDescent="0.25">
      <c r="A1435" s="16" t="s">
        <v>1886</v>
      </c>
      <c r="B1435" s="20">
        <v>46087</v>
      </c>
      <c r="C1435" s="16">
        <v>3</v>
      </c>
      <c r="D1435" s="19" t="s">
        <v>43</v>
      </c>
      <c r="E1435" s="19" t="s">
        <v>453</v>
      </c>
      <c r="G1435" s="19">
        <v>55</v>
      </c>
      <c r="H1435" s="19" t="s">
        <v>215</v>
      </c>
      <c r="I1435" s="19" t="s">
        <v>246</v>
      </c>
      <c r="J1435" s="19" t="s">
        <v>217</v>
      </c>
      <c r="K1435" s="18">
        <v>46101.573692129627</v>
      </c>
    </row>
    <row r="1436" spans="1:11" x14ac:dyDescent="0.25">
      <c r="A1436" s="16" t="s">
        <v>1887</v>
      </c>
      <c r="B1436" s="20">
        <v>46087</v>
      </c>
      <c r="C1436" s="16">
        <v>3</v>
      </c>
      <c r="D1436" s="19" t="s">
        <v>43</v>
      </c>
      <c r="E1436" s="19" t="s">
        <v>453</v>
      </c>
      <c r="G1436" s="19">
        <v>20</v>
      </c>
      <c r="H1436" s="19" t="s">
        <v>215</v>
      </c>
      <c r="I1436" s="19" t="s">
        <v>246</v>
      </c>
      <c r="J1436" s="19" t="s">
        <v>217</v>
      </c>
      <c r="K1436" s="18">
        <v>46101.573750000003</v>
      </c>
    </row>
    <row r="1437" spans="1:11" x14ac:dyDescent="0.25">
      <c r="A1437" s="16" t="s">
        <v>1888</v>
      </c>
      <c r="B1437" s="20">
        <v>46087</v>
      </c>
      <c r="C1437" s="16">
        <v>3</v>
      </c>
      <c r="D1437" s="19" t="s">
        <v>43</v>
      </c>
      <c r="E1437" s="19" t="s">
        <v>453</v>
      </c>
      <c r="G1437" s="19">
        <v>30</v>
      </c>
      <c r="H1437" s="19" t="s">
        <v>215</v>
      </c>
      <c r="I1437" s="19" t="s">
        <v>246</v>
      </c>
      <c r="J1437" s="19" t="s">
        <v>217</v>
      </c>
      <c r="K1437" s="18">
        <v>46101.573819444442</v>
      </c>
    </row>
    <row r="1438" spans="1:11" x14ac:dyDescent="0.25">
      <c r="A1438" s="16" t="s">
        <v>1889</v>
      </c>
      <c r="B1438" s="20">
        <v>46087</v>
      </c>
      <c r="C1438" s="16">
        <v>3</v>
      </c>
      <c r="D1438" s="19" t="s">
        <v>43</v>
      </c>
      <c r="E1438" s="19" t="s">
        <v>453</v>
      </c>
      <c r="G1438" s="19">
        <v>42</v>
      </c>
      <c r="H1438" s="19" t="s">
        <v>215</v>
      </c>
      <c r="I1438" s="19" t="s">
        <v>246</v>
      </c>
      <c r="J1438" s="19" t="s">
        <v>217</v>
      </c>
      <c r="K1438" s="18">
        <v>46101.573900462965</v>
      </c>
    </row>
    <row r="1439" spans="1:11" x14ac:dyDescent="0.25">
      <c r="A1439" s="16" t="s">
        <v>1890</v>
      </c>
      <c r="B1439" s="20">
        <v>46087</v>
      </c>
      <c r="C1439" s="16">
        <v>3</v>
      </c>
      <c r="D1439" s="19" t="s">
        <v>45</v>
      </c>
      <c r="E1439" s="19" t="s">
        <v>453</v>
      </c>
      <c r="G1439" s="19">
        <v>47</v>
      </c>
      <c r="H1439" s="19" t="s">
        <v>215</v>
      </c>
      <c r="I1439" s="19" t="s">
        <v>216</v>
      </c>
      <c r="J1439" s="19" t="s">
        <v>217</v>
      </c>
      <c r="K1439" s="18">
        <v>46101.575972222221</v>
      </c>
    </row>
    <row r="1440" spans="1:11" x14ac:dyDescent="0.25">
      <c r="A1440" s="16" t="s">
        <v>1891</v>
      </c>
      <c r="B1440" s="20">
        <v>46088</v>
      </c>
      <c r="C1440" s="16">
        <v>3</v>
      </c>
      <c r="D1440" s="19" t="s">
        <v>31</v>
      </c>
      <c r="E1440" s="19" t="s">
        <v>453</v>
      </c>
      <c r="G1440" s="19">
        <v>60</v>
      </c>
      <c r="H1440" s="19" t="s">
        <v>215</v>
      </c>
      <c r="I1440" s="19" t="s">
        <v>216</v>
      </c>
      <c r="J1440" s="19" t="s">
        <v>217</v>
      </c>
      <c r="K1440" s="18">
        <v>46101.576840277776</v>
      </c>
    </row>
    <row r="1441" spans="1:11" x14ac:dyDescent="0.25">
      <c r="A1441" s="16" t="s">
        <v>1892</v>
      </c>
      <c r="B1441" s="20">
        <v>46088</v>
      </c>
      <c r="C1441" s="16">
        <v>3</v>
      </c>
      <c r="D1441" s="19" t="s">
        <v>31</v>
      </c>
      <c r="E1441" s="19" t="s">
        <v>453</v>
      </c>
      <c r="G1441" s="19">
        <v>64</v>
      </c>
      <c r="H1441" s="19" t="s">
        <v>215</v>
      </c>
      <c r="I1441" s="19" t="s">
        <v>216</v>
      </c>
      <c r="J1441" s="19" t="s">
        <v>217</v>
      </c>
      <c r="K1441" s="18">
        <v>46101.576874999999</v>
      </c>
    </row>
    <row r="1442" spans="1:11" x14ac:dyDescent="0.25">
      <c r="A1442" s="16" t="s">
        <v>1893</v>
      </c>
      <c r="B1442" s="20">
        <v>46088</v>
      </c>
      <c r="C1442" s="16">
        <v>3</v>
      </c>
      <c r="D1442" s="19" t="s">
        <v>31</v>
      </c>
      <c r="E1442" s="19" t="s">
        <v>453</v>
      </c>
      <c r="G1442" s="19">
        <v>58</v>
      </c>
      <c r="H1442" s="19" t="s">
        <v>215</v>
      </c>
      <c r="I1442" s="19" t="s">
        <v>216</v>
      </c>
      <c r="J1442" s="19" t="s">
        <v>217</v>
      </c>
      <c r="K1442" s="18">
        <v>46101.576898148145</v>
      </c>
    </row>
    <row r="1443" spans="1:11" x14ac:dyDescent="0.25">
      <c r="A1443" s="16" t="s">
        <v>1894</v>
      </c>
      <c r="B1443" s="20">
        <v>46088</v>
      </c>
      <c r="C1443" s="16">
        <v>3</v>
      </c>
      <c r="D1443" s="19" t="s">
        <v>35</v>
      </c>
      <c r="E1443" s="19" t="s">
        <v>453</v>
      </c>
      <c r="G1443" s="19">
        <v>25</v>
      </c>
      <c r="H1443" s="19" t="s">
        <v>215</v>
      </c>
      <c r="I1443" s="19" t="s">
        <v>216</v>
      </c>
      <c r="J1443" s="19" t="s">
        <v>217</v>
      </c>
      <c r="K1443" s="18">
        <v>46101.577546296299</v>
      </c>
    </row>
    <row r="1444" spans="1:11" x14ac:dyDescent="0.25">
      <c r="A1444" s="16" t="s">
        <v>1895</v>
      </c>
      <c r="B1444" s="20">
        <v>46088</v>
      </c>
      <c r="C1444" s="16">
        <v>3</v>
      </c>
      <c r="D1444" s="19" t="s">
        <v>35</v>
      </c>
      <c r="E1444" s="19" t="s">
        <v>453</v>
      </c>
      <c r="G1444" s="19">
        <v>44</v>
      </c>
      <c r="H1444" s="19" t="s">
        <v>215</v>
      </c>
      <c r="I1444" s="19" t="s">
        <v>216</v>
      </c>
      <c r="J1444" s="19" t="s">
        <v>217</v>
      </c>
      <c r="K1444" s="18">
        <v>46101.577581018515</v>
      </c>
    </row>
    <row r="1445" spans="1:11" x14ac:dyDescent="0.25">
      <c r="A1445" s="16" t="s">
        <v>1896</v>
      </c>
      <c r="B1445" s="20">
        <v>46088</v>
      </c>
      <c r="C1445" s="16">
        <v>3</v>
      </c>
      <c r="D1445" s="19" t="s">
        <v>35</v>
      </c>
      <c r="E1445" s="19" t="s">
        <v>453</v>
      </c>
      <c r="G1445" s="19">
        <v>38</v>
      </c>
      <c r="H1445" s="19" t="s">
        <v>215</v>
      </c>
      <c r="I1445" s="19" t="s">
        <v>216</v>
      </c>
      <c r="J1445" s="19" t="s">
        <v>217</v>
      </c>
      <c r="K1445" s="18">
        <v>46101.577592592592</v>
      </c>
    </row>
    <row r="1446" spans="1:11" x14ac:dyDescent="0.25">
      <c r="A1446" s="16" t="s">
        <v>1897</v>
      </c>
      <c r="B1446" s="20">
        <v>46088</v>
      </c>
      <c r="C1446" s="16">
        <v>3</v>
      </c>
      <c r="D1446" s="19" t="s">
        <v>37</v>
      </c>
      <c r="E1446" s="19" t="s">
        <v>453</v>
      </c>
      <c r="G1446" s="19">
        <v>35</v>
      </c>
      <c r="H1446" s="19" t="s">
        <v>215</v>
      </c>
      <c r="I1446" s="19" t="s">
        <v>216</v>
      </c>
      <c r="J1446" s="19" t="s">
        <v>217</v>
      </c>
      <c r="K1446" s="18">
        <v>46101.578067129631</v>
      </c>
    </row>
    <row r="1447" spans="1:11" x14ac:dyDescent="0.25">
      <c r="A1447" s="16" t="s">
        <v>1898</v>
      </c>
      <c r="B1447" s="20">
        <v>46088</v>
      </c>
      <c r="C1447" s="16">
        <v>3</v>
      </c>
      <c r="D1447" s="19" t="s">
        <v>37</v>
      </c>
      <c r="E1447" s="19" t="s">
        <v>453</v>
      </c>
      <c r="G1447" s="19">
        <v>26</v>
      </c>
      <c r="H1447" s="19" t="s">
        <v>215</v>
      </c>
      <c r="I1447" s="19" t="s">
        <v>216</v>
      </c>
      <c r="J1447" s="19" t="s">
        <v>217</v>
      </c>
      <c r="K1447" s="18">
        <v>46101.578136574077</v>
      </c>
    </row>
    <row r="1448" spans="1:11" x14ac:dyDescent="0.25">
      <c r="A1448" s="16" t="s">
        <v>1899</v>
      </c>
      <c r="B1448" s="20">
        <v>46088</v>
      </c>
      <c r="C1448" s="16">
        <v>3</v>
      </c>
      <c r="D1448" s="19" t="s">
        <v>37</v>
      </c>
      <c r="E1448" s="19" t="s">
        <v>453</v>
      </c>
      <c r="G1448" s="19">
        <v>31</v>
      </c>
      <c r="H1448" s="19" t="s">
        <v>215</v>
      </c>
      <c r="I1448" s="19" t="s">
        <v>216</v>
      </c>
      <c r="J1448" s="19" t="s">
        <v>217</v>
      </c>
      <c r="K1448" s="18">
        <v>46101.578194444446</v>
      </c>
    </row>
    <row r="1449" spans="1:11" x14ac:dyDescent="0.25">
      <c r="A1449" s="16" t="s">
        <v>1900</v>
      </c>
      <c r="B1449" s="20">
        <v>46088</v>
      </c>
      <c r="C1449" s="16">
        <v>3</v>
      </c>
      <c r="D1449" s="19" t="s">
        <v>37</v>
      </c>
      <c r="E1449" s="19" t="s">
        <v>453</v>
      </c>
      <c r="G1449" s="19">
        <v>33</v>
      </c>
      <c r="H1449" s="19" t="s">
        <v>215</v>
      </c>
      <c r="I1449" s="19" t="s">
        <v>216</v>
      </c>
      <c r="J1449" s="19" t="s">
        <v>217</v>
      </c>
      <c r="K1449" s="18">
        <v>46101.5784375</v>
      </c>
    </row>
    <row r="1450" spans="1:11" x14ac:dyDescent="0.25">
      <c r="A1450" s="16" t="s">
        <v>1901</v>
      </c>
      <c r="B1450" s="20">
        <v>46088</v>
      </c>
      <c r="C1450" s="16">
        <v>3</v>
      </c>
      <c r="D1450" s="19" t="s">
        <v>37</v>
      </c>
      <c r="E1450" s="19" t="s">
        <v>453</v>
      </c>
      <c r="G1450" s="19">
        <v>36</v>
      </c>
      <c r="H1450" s="19" t="s">
        <v>215</v>
      </c>
      <c r="I1450" s="19" t="s">
        <v>216</v>
      </c>
      <c r="J1450" s="19" t="s">
        <v>217</v>
      </c>
      <c r="K1450" s="18">
        <v>46101.578483796293</v>
      </c>
    </row>
    <row r="1451" spans="1:11" x14ac:dyDescent="0.25">
      <c r="A1451" s="16" t="s">
        <v>1902</v>
      </c>
      <c r="B1451" s="20">
        <v>46088</v>
      </c>
      <c r="C1451" s="16">
        <v>3</v>
      </c>
      <c r="D1451" s="19" t="s">
        <v>37</v>
      </c>
      <c r="E1451" s="19" t="s">
        <v>453</v>
      </c>
      <c r="G1451" s="19">
        <v>25</v>
      </c>
      <c r="H1451" s="19" t="s">
        <v>215</v>
      </c>
      <c r="I1451" s="19" t="s">
        <v>216</v>
      </c>
      <c r="J1451" s="19" t="s">
        <v>217</v>
      </c>
      <c r="K1451" s="18">
        <v>46101.578518518516</v>
      </c>
    </row>
    <row r="1452" spans="1:11" x14ac:dyDescent="0.25">
      <c r="A1452" s="16" t="s">
        <v>1903</v>
      </c>
      <c r="B1452" s="20">
        <v>46088</v>
      </c>
      <c r="C1452" s="16">
        <v>3</v>
      </c>
      <c r="D1452" s="19" t="s">
        <v>39</v>
      </c>
      <c r="E1452" s="19" t="s">
        <v>453</v>
      </c>
      <c r="G1452" s="19">
        <v>41</v>
      </c>
      <c r="H1452" s="19" t="s">
        <v>215</v>
      </c>
      <c r="I1452" s="19" t="s">
        <v>216</v>
      </c>
      <c r="J1452" s="19" t="s">
        <v>217</v>
      </c>
      <c r="K1452" s="18">
        <v>46101.578680555554</v>
      </c>
    </row>
    <row r="1453" spans="1:11" x14ac:dyDescent="0.25">
      <c r="A1453" s="16" t="s">
        <v>1904</v>
      </c>
      <c r="B1453" s="20">
        <v>46088</v>
      </c>
      <c r="C1453" s="16">
        <v>3</v>
      </c>
      <c r="D1453" s="19" t="s">
        <v>39</v>
      </c>
      <c r="E1453" s="19" t="s">
        <v>453</v>
      </c>
      <c r="G1453" s="19">
        <v>25</v>
      </c>
      <c r="H1453" s="19" t="s">
        <v>215</v>
      </c>
      <c r="I1453" s="19" t="s">
        <v>216</v>
      </c>
      <c r="J1453" s="19" t="s">
        <v>217</v>
      </c>
      <c r="K1453" s="18">
        <v>46101.578726851854</v>
      </c>
    </row>
    <row r="1454" spans="1:11" x14ac:dyDescent="0.25">
      <c r="A1454" s="16" t="s">
        <v>1905</v>
      </c>
      <c r="B1454" s="20">
        <v>46088</v>
      </c>
      <c r="C1454" s="16">
        <v>3</v>
      </c>
      <c r="D1454" s="19" t="s">
        <v>39</v>
      </c>
      <c r="E1454" s="19" t="s">
        <v>453</v>
      </c>
      <c r="G1454" s="19">
        <v>33</v>
      </c>
      <c r="H1454" s="19" t="s">
        <v>215</v>
      </c>
      <c r="I1454" s="19" t="s">
        <v>216</v>
      </c>
      <c r="J1454" s="19" t="s">
        <v>217</v>
      </c>
      <c r="K1454" s="18">
        <v>46101.578761574077</v>
      </c>
    </row>
    <row r="1455" spans="1:11" x14ac:dyDescent="0.25">
      <c r="A1455" s="16" t="s">
        <v>1906</v>
      </c>
      <c r="B1455" s="20">
        <v>46088</v>
      </c>
      <c r="C1455" s="16">
        <v>3</v>
      </c>
      <c r="D1455" s="19" t="s">
        <v>39</v>
      </c>
      <c r="E1455" s="19" t="s">
        <v>453</v>
      </c>
      <c r="G1455" s="19">
        <v>24</v>
      </c>
      <c r="H1455" s="19" t="s">
        <v>215</v>
      </c>
      <c r="I1455" s="19" t="s">
        <v>216</v>
      </c>
      <c r="J1455" s="19" t="s">
        <v>217</v>
      </c>
      <c r="K1455" s="18">
        <v>46101.578796296293</v>
      </c>
    </row>
    <row r="1456" spans="1:11" x14ac:dyDescent="0.25">
      <c r="A1456" s="16" t="s">
        <v>1907</v>
      </c>
      <c r="B1456" s="20">
        <v>46088</v>
      </c>
      <c r="C1456" s="16">
        <v>3</v>
      </c>
      <c r="D1456" s="19" t="s">
        <v>43</v>
      </c>
      <c r="E1456" s="19" t="s">
        <v>453</v>
      </c>
      <c r="G1456" s="19">
        <v>17</v>
      </c>
      <c r="H1456" s="19" t="s">
        <v>215</v>
      </c>
      <c r="I1456" s="19" t="s">
        <v>246</v>
      </c>
      <c r="J1456" s="19" t="s">
        <v>217</v>
      </c>
      <c r="K1456" s="18">
        <v>46101.580092592594</v>
      </c>
    </row>
    <row r="1457" spans="1:11" x14ac:dyDescent="0.25">
      <c r="A1457" s="16" t="s">
        <v>1908</v>
      </c>
      <c r="B1457" s="20">
        <v>46088</v>
      </c>
      <c r="C1457" s="16">
        <v>3</v>
      </c>
      <c r="D1457" s="19" t="s">
        <v>43</v>
      </c>
      <c r="E1457" s="19" t="s">
        <v>453</v>
      </c>
      <c r="G1457" s="19">
        <v>29</v>
      </c>
      <c r="H1457" s="19" t="s">
        <v>215</v>
      </c>
      <c r="I1457" s="19" t="s">
        <v>246</v>
      </c>
      <c r="J1457" s="19" t="s">
        <v>217</v>
      </c>
      <c r="K1457" s="18">
        <v>46101.580138888887</v>
      </c>
    </row>
    <row r="1458" spans="1:11" x14ac:dyDescent="0.25">
      <c r="A1458" s="16" t="s">
        <v>1909</v>
      </c>
      <c r="B1458" s="20">
        <v>46088</v>
      </c>
      <c r="C1458" s="16">
        <v>3</v>
      </c>
      <c r="D1458" s="19" t="s">
        <v>45</v>
      </c>
      <c r="E1458" s="19" t="s">
        <v>453</v>
      </c>
      <c r="G1458" s="19">
        <v>28</v>
      </c>
      <c r="H1458" s="19" t="s">
        <v>215</v>
      </c>
      <c r="I1458" s="19" t="s">
        <v>216</v>
      </c>
      <c r="J1458" s="19" t="s">
        <v>217</v>
      </c>
      <c r="K1458" s="18">
        <v>46101.580300925925</v>
      </c>
    </row>
    <row r="1459" spans="1:11" x14ac:dyDescent="0.25">
      <c r="A1459" s="16" t="s">
        <v>1910</v>
      </c>
      <c r="B1459" s="20">
        <v>46089</v>
      </c>
      <c r="C1459" s="16">
        <v>3</v>
      </c>
      <c r="D1459" s="19" t="s">
        <v>29</v>
      </c>
      <c r="E1459" s="19" t="s">
        <v>453</v>
      </c>
      <c r="G1459" s="19">
        <v>21</v>
      </c>
      <c r="H1459" s="19" t="s">
        <v>215</v>
      </c>
      <c r="I1459" s="19" t="s">
        <v>246</v>
      </c>
      <c r="J1459" s="19" t="s">
        <v>217</v>
      </c>
      <c r="K1459" s="18">
        <v>46101.582013888888</v>
      </c>
    </row>
    <row r="1460" spans="1:11" x14ac:dyDescent="0.25">
      <c r="A1460" s="16" t="s">
        <v>1911</v>
      </c>
      <c r="B1460" s="20">
        <v>46089</v>
      </c>
      <c r="C1460" s="16">
        <v>3</v>
      </c>
      <c r="D1460" s="19" t="s">
        <v>31</v>
      </c>
      <c r="E1460" s="19" t="s">
        <v>453</v>
      </c>
      <c r="G1460" s="19">
        <v>27</v>
      </c>
      <c r="H1460" s="19" t="s">
        <v>215</v>
      </c>
      <c r="I1460" s="19" t="s">
        <v>216</v>
      </c>
      <c r="J1460" s="19" t="s">
        <v>217</v>
      </c>
      <c r="K1460" s="18">
        <v>46101.58221064815</v>
      </c>
    </row>
    <row r="1461" spans="1:11" x14ac:dyDescent="0.25">
      <c r="A1461" s="16" t="s">
        <v>1912</v>
      </c>
      <c r="B1461" s="20">
        <v>46089</v>
      </c>
      <c r="C1461" s="16">
        <v>3</v>
      </c>
      <c r="D1461" s="19" t="s">
        <v>31</v>
      </c>
      <c r="E1461" s="19" t="s">
        <v>453</v>
      </c>
      <c r="G1461" s="19">
        <v>62</v>
      </c>
      <c r="H1461" s="19" t="s">
        <v>215</v>
      </c>
      <c r="I1461" s="19" t="s">
        <v>216</v>
      </c>
      <c r="J1461" s="19" t="s">
        <v>217</v>
      </c>
      <c r="K1461" s="18">
        <v>46101.582256944443</v>
      </c>
    </row>
    <row r="1462" spans="1:11" x14ac:dyDescent="0.25">
      <c r="A1462" s="16" t="s">
        <v>1913</v>
      </c>
      <c r="B1462" s="20">
        <v>46089</v>
      </c>
      <c r="C1462" s="16">
        <v>3</v>
      </c>
      <c r="D1462" s="19" t="s">
        <v>31</v>
      </c>
      <c r="E1462" s="19" t="s">
        <v>453</v>
      </c>
      <c r="G1462" s="19">
        <v>48</v>
      </c>
      <c r="H1462" s="19" t="s">
        <v>215</v>
      </c>
      <c r="I1462" s="19" t="s">
        <v>216</v>
      </c>
      <c r="J1462" s="19" t="s">
        <v>217</v>
      </c>
      <c r="K1462" s="18">
        <v>46101.582303240742</v>
      </c>
    </row>
    <row r="1463" spans="1:11" x14ac:dyDescent="0.25">
      <c r="A1463" s="16" t="s">
        <v>1914</v>
      </c>
      <c r="B1463" s="20">
        <v>46089</v>
      </c>
      <c r="C1463" s="16">
        <v>3</v>
      </c>
      <c r="D1463" s="19" t="s">
        <v>33</v>
      </c>
      <c r="E1463" s="19" t="s">
        <v>453</v>
      </c>
      <c r="G1463" s="19">
        <v>2</v>
      </c>
      <c r="H1463" s="19" t="s">
        <v>215</v>
      </c>
      <c r="I1463" s="19" t="s">
        <v>216</v>
      </c>
      <c r="J1463" s="19" t="s">
        <v>217</v>
      </c>
      <c r="K1463" s="18">
        <v>46101.582592592589</v>
      </c>
    </row>
    <row r="1464" spans="1:11" x14ac:dyDescent="0.25">
      <c r="A1464" s="16" t="s">
        <v>1915</v>
      </c>
      <c r="B1464" s="20">
        <v>46089</v>
      </c>
      <c r="C1464" s="16">
        <v>3</v>
      </c>
      <c r="D1464" s="19" t="s">
        <v>35</v>
      </c>
      <c r="E1464" s="19" t="s">
        <v>453</v>
      </c>
      <c r="G1464" s="19">
        <v>31</v>
      </c>
      <c r="H1464" s="19" t="s">
        <v>215</v>
      </c>
      <c r="I1464" s="19" t="s">
        <v>216</v>
      </c>
      <c r="J1464" s="19" t="s">
        <v>217</v>
      </c>
      <c r="K1464" s="18">
        <v>46101.582812499997</v>
      </c>
    </row>
    <row r="1465" spans="1:11" x14ac:dyDescent="0.25">
      <c r="A1465" s="16" t="s">
        <v>1916</v>
      </c>
      <c r="B1465" s="20">
        <v>46089</v>
      </c>
      <c r="C1465" s="16">
        <v>3</v>
      </c>
      <c r="D1465" s="19" t="s">
        <v>35</v>
      </c>
      <c r="E1465" s="19" t="s">
        <v>453</v>
      </c>
      <c r="G1465" s="19">
        <v>27</v>
      </c>
      <c r="H1465" s="19" t="s">
        <v>215</v>
      </c>
      <c r="I1465" s="19" t="s">
        <v>216</v>
      </c>
      <c r="J1465" s="19" t="s">
        <v>217</v>
      </c>
      <c r="K1465" s="18">
        <v>46101.58289351852</v>
      </c>
    </row>
    <row r="1466" spans="1:11" x14ac:dyDescent="0.25">
      <c r="A1466" s="16" t="s">
        <v>1917</v>
      </c>
      <c r="B1466" s="20">
        <v>46089</v>
      </c>
      <c r="C1466" s="16">
        <v>3</v>
      </c>
      <c r="D1466" s="19" t="s">
        <v>37</v>
      </c>
      <c r="E1466" s="19" t="s">
        <v>453</v>
      </c>
      <c r="G1466" s="19">
        <v>25</v>
      </c>
      <c r="H1466" s="19" t="s">
        <v>215</v>
      </c>
      <c r="I1466" s="19" t="s">
        <v>216</v>
      </c>
      <c r="J1466" s="19" t="s">
        <v>217</v>
      </c>
      <c r="K1466" s="18">
        <v>46101.583240740743</v>
      </c>
    </row>
    <row r="1467" spans="1:11" x14ac:dyDescent="0.25">
      <c r="A1467" s="16" t="s">
        <v>1918</v>
      </c>
      <c r="B1467" s="20">
        <v>46089</v>
      </c>
      <c r="C1467" s="16">
        <v>3</v>
      </c>
      <c r="D1467" s="19" t="s">
        <v>39</v>
      </c>
      <c r="E1467" s="19" t="s">
        <v>453</v>
      </c>
      <c r="G1467" s="19">
        <v>20</v>
      </c>
      <c r="H1467" s="19" t="s">
        <v>215</v>
      </c>
      <c r="I1467" s="19" t="s">
        <v>216</v>
      </c>
      <c r="J1467" s="19" t="s">
        <v>217</v>
      </c>
      <c r="K1467" s="18">
        <v>46101.583414351851</v>
      </c>
    </row>
    <row r="1468" spans="1:11" x14ac:dyDescent="0.25">
      <c r="A1468" s="16" t="s">
        <v>1919</v>
      </c>
      <c r="B1468" s="20">
        <v>46089</v>
      </c>
      <c r="C1468" s="16">
        <v>3</v>
      </c>
      <c r="D1468" s="19" t="s">
        <v>41</v>
      </c>
      <c r="E1468" s="19" t="s">
        <v>453</v>
      </c>
      <c r="G1468" s="19">
        <v>0</v>
      </c>
      <c r="H1468" s="19" t="s">
        <v>306</v>
      </c>
      <c r="I1468" s="19" t="s">
        <v>246</v>
      </c>
      <c r="J1468" s="19" t="s">
        <v>217</v>
      </c>
      <c r="K1468" s="18">
        <v>46101.583692129629</v>
      </c>
    </row>
    <row r="1469" spans="1:11" x14ac:dyDescent="0.25">
      <c r="A1469" s="16" t="s">
        <v>1920</v>
      </c>
      <c r="B1469" s="20">
        <v>46089</v>
      </c>
      <c r="C1469" s="16">
        <v>3</v>
      </c>
      <c r="D1469" s="19" t="s">
        <v>41</v>
      </c>
      <c r="E1469" s="19" t="s">
        <v>453</v>
      </c>
      <c r="G1469" s="19">
        <v>2</v>
      </c>
      <c r="H1469" s="19" t="s">
        <v>306</v>
      </c>
      <c r="I1469" s="19" t="s">
        <v>246</v>
      </c>
      <c r="J1469" s="19" t="s">
        <v>217</v>
      </c>
      <c r="K1469" s="18">
        <v>46101.58384259259</v>
      </c>
    </row>
    <row r="1470" spans="1:11" x14ac:dyDescent="0.25">
      <c r="A1470" s="16" t="s">
        <v>1921</v>
      </c>
      <c r="B1470" s="20">
        <v>46089</v>
      </c>
      <c r="C1470" s="16">
        <v>3</v>
      </c>
      <c r="D1470" s="19" t="s">
        <v>45</v>
      </c>
      <c r="E1470" s="19" t="s">
        <v>453</v>
      </c>
      <c r="G1470" s="19">
        <v>52</v>
      </c>
      <c r="I1470" s="19" t="s">
        <v>216</v>
      </c>
      <c r="J1470" s="19" t="s">
        <v>217</v>
      </c>
      <c r="K1470" s="18">
        <v>46101.584444444445</v>
      </c>
    </row>
    <row r="1471" spans="1:11" x14ac:dyDescent="0.25">
      <c r="A1471" s="16" t="s">
        <v>1922</v>
      </c>
      <c r="B1471" s="20">
        <v>46090</v>
      </c>
      <c r="C1471" s="16">
        <v>3</v>
      </c>
      <c r="D1471" s="19" t="s">
        <v>29</v>
      </c>
      <c r="E1471" s="19" t="s">
        <v>453</v>
      </c>
      <c r="G1471" s="19">
        <v>51</v>
      </c>
      <c r="H1471" s="19" t="s">
        <v>215</v>
      </c>
      <c r="I1471" s="19" t="s">
        <v>246</v>
      </c>
      <c r="J1471" s="19" t="s">
        <v>217</v>
      </c>
      <c r="K1471" s="18">
        <v>46101.586273148147</v>
      </c>
    </row>
    <row r="1472" spans="1:11" x14ac:dyDescent="0.25">
      <c r="A1472" s="16" t="s">
        <v>1923</v>
      </c>
      <c r="B1472" s="20">
        <v>46090</v>
      </c>
      <c r="C1472" s="16">
        <v>3</v>
      </c>
      <c r="D1472" s="19" t="s">
        <v>29</v>
      </c>
      <c r="E1472" s="19" t="s">
        <v>453</v>
      </c>
      <c r="G1472" s="19">
        <v>76</v>
      </c>
      <c r="H1472" s="19" t="s">
        <v>215</v>
      </c>
      <c r="I1472" s="19" t="s">
        <v>246</v>
      </c>
      <c r="J1472" s="19" t="s">
        <v>217</v>
      </c>
      <c r="K1472" s="18">
        <v>46101.586319444446</v>
      </c>
    </row>
    <row r="1473" spans="1:11" x14ac:dyDescent="0.25">
      <c r="A1473" s="16" t="s">
        <v>1924</v>
      </c>
      <c r="B1473" s="20">
        <v>46090</v>
      </c>
      <c r="C1473" s="16">
        <v>3</v>
      </c>
      <c r="D1473" s="19" t="s">
        <v>29</v>
      </c>
      <c r="E1473" s="19" t="s">
        <v>453</v>
      </c>
      <c r="G1473" s="19">
        <v>41</v>
      </c>
      <c r="H1473" s="19" t="s">
        <v>215</v>
      </c>
      <c r="I1473" s="19" t="s">
        <v>246</v>
      </c>
      <c r="J1473" s="19" t="s">
        <v>217</v>
      </c>
      <c r="K1473" s="18">
        <v>46101.586412037039</v>
      </c>
    </row>
    <row r="1474" spans="1:11" x14ac:dyDescent="0.25">
      <c r="A1474" s="16" t="s">
        <v>1925</v>
      </c>
      <c r="B1474" s="20">
        <v>46090</v>
      </c>
      <c r="C1474" s="16">
        <v>3</v>
      </c>
      <c r="D1474" s="19" t="s">
        <v>31</v>
      </c>
      <c r="E1474" s="19" t="s">
        <v>453</v>
      </c>
      <c r="G1474" s="19">
        <v>46</v>
      </c>
      <c r="H1474" s="19" t="s">
        <v>215</v>
      </c>
      <c r="I1474" s="19" t="s">
        <v>216</v>
      </c>
      <c r="J1474" s="19" t="s">
        <v>217</v>
      </c>
      <c r="K1474" s="18">
        <v>46101.586759259262</v>
      </c>
    </row>
    <row r="1475" spans="1:11" x14ac:dyDescent="0.25">
      <c r="A1475" s="16" t="s">
        <v>1926</v>
      </c>
      <c r="B1475" s="20">
        <v>46090</v>
      </c>
      <c r="C1475" s="16">
        <v>3</v>
      </c>
      <c r="D1475" s="19" t="s">
        <v>33</v>
      </c>
      <c r="E1475" s="19" t="s">
        <v>453</v>
      </c>
      <c r="G1475" s="19">
        <v>2</v>
      </c>
      <c r="H1475" s="19" t="s">
        <v>427</v>
      </c>
      <c r="I1475" s="19" t="s">
        <v>216</v>
      </c>
      <c r="J1475" s="19" t="s">
        <v>217</v>
      </c>
      <c r="K1475" s="18">
        <v>46101.587268518517</v>
      </c>
    </row>
    <row r="1476" spans="1:11" x14ac:dyDescent="0.25">
      <c r="A1476" s="16" t="s">
        <v>1927</v>
      </c>
      <c r="B1476" s="20">
        <v>46090</v>
      </c>
      <c r="C1476" s="16">
        <v>3</v>
      </c>
      <c r="D1476" s="19" t="s">
        <v>33</v>
      </c>
      <c r="E1476" s="19" t="s">
        <v>453</v>
      </c>
      <c r="G1476" s="19">
        <v>2</v>
      </c>
      <c r="H1476" s="19" t="s">
        <v>215</v>
      </c>
      <c r="I1476" s="19" t="s">
        <v>246</v>
      </c>
      <c r="J1476" s="19" t="s">
        <v>217</v>
      </c>
      <c r="K1476" s="18">
        <v>46101.587361111109</v>
      </c>
    </row>
    <row r="1477" spans="1:11" x14ac:dyDescent="0.25">
      <c r="A1477" s="16" t="s">
        <v>1928</v>
      </c>
      <c r="B1477" s="20">
        <v>46090</v>
      </c>
      <c r="C1477" s="16">
        <v>3</v>
      </c>
      <c r="D1477" s="19" t="s">
        <v>35</v>
      </c>
      <c r="E1477" s="19" t="s">
        <v>453</v>
      </c>
      <c r="G1477" s="19">
        <v>24</v>
      </c>
      <c r="H1477" s="19" t="s">
        <v>215</v>
      </c>
      <c r="I1477" s="19" t="s">
        <v>216</v>
      </c>
      <c r="J1477" s="19" t="s">
        <v>217</v>
      </c>
      <c r="K1477" s="18">
        <v>46101.587511574071</v>
      </c>
    </row>
    <row r="1478" spans="1:11" x14ac:dyDescent="0.25">
      <c r="A1478" s="16" t="s">
        <v>1929</v>
      </c>
      <c r="B1478" s="20">
        <v>46090</v>
      </c>
      <c r="C1478" s="16">
        <v>3</v>
      </c>
      <c r="D1478" s="19" t="s">
        <v>35</v>
      </c>
      <c r="E1478" s="19" t="s">
        <v>453</v>
      </c>
      <c r="G1478" s="19">
        <v>34</v>
      </c>
      <c r="H1478" s="19" t="s">
        <v>215</v>
      </c>
      <c r="I1478" s="19" t="s">
        <v>216</v>
      </c>
      <c r="J1478" s="19" t="s">
        <v>217</v>
      </c>
      <c r="K1478" s="18">
        <v>46101.587546296294</v>
      </c>
    </row>
    <row r="1479" spans="1:11" x14ac:dyDescent="0.25">
      <c r="A1479" s="16" t="s">
        <v>1930</v>
      </c>
      <c r="B1479" s="20">
        <v>46090</v>
      </c>
      <c r="C1479" s="16">
        <v>3</v>
      </c>
      <c r="D1479" s="19" t="s">
        <v>37</v>
      </c>
      <c r="E1479" s="19" t="s">
        <v>453</v>
      </c>
      <c r="G1479" s="19">
        <v>37</v>
      </c>
      <c r="H1479" s="19" t="s">
        <v>215</v>
      </c>
      <c r="I1479" s="19" t="s">
        <v>216</v>
      </c>
      <c r="J1479" s="19" t="s">
        <v>217</v>
      </c>
      <c r="K1479" s="18">
        <v>46101.587696759256</v>
      </c>
    </row>
    <row r="1480" spans="1:11" x14ac:dyDescent="0.25">
      <c r="A1480" s="16" t="s">
        <v>1931</v>
      </c>
      <c r="B1480" s="20">
        <v>46090</v>
      </c>
      <c r="C1480" s="16">
        <v>3</v>
      </c>
      <c r="D1480" s="19" t="s">
        <v>37</v>
      </c>
      <c r="E1480" s="19" t="s">
        <v>453</v>
      </c>
      <c r="G1480" s="19">
        <v>32</v>
      </c>
      <c r="H1480" s="19" t="s">
        <v>215</v>
      </c>
      <c r="I1480" s="19" t="s">
        <v>216</v>
      </c>
      <c r="J1480" s="19" t="s">
        <v>217</v>
      </c>
      <c r="K1480" s="18">
        <v>46101.587743055556</v>
      </c>
    </row>
    <row r="1481" spans="1:11" x14ac:dyDescent="0.25">
      <c r="A1481" s="16" t="s">
        <v>1932</v>
      </c>
      <c r="B1481" s="20">
        <v>46090</v>
      </c>
      <c r="C1481" s="16">
        <v>3</v>
      </c>
      <c r="D1481" s="19" t="s">
        <v>37</v>
      </c>
      <c r="E1481" s="19" t="s">
        <v>453</v>
      </c>
      <c r="G1481" s="19">
        <v>28</v>
      </c>
      <c r="H1481" s="19" t="s">
        <v>215</v>
      </c>
      <c r="I1481" s="19" t="s">
        <v>216</v>
      </c>
      <c r="J1481" s="19" t="s">
        <v>217</v>
      </c>
      <c r="K1481" s="18">
        <v>46101.587789351855</v>
      </c>
    </row>
    <row r="1482" spans="1:11" x14ac:dyDescent="0.25">
      <c r="A1482" s="16" t="s">
        <v>1933</v>
      </c>
      <c r="B1482" s="20">
        <v>46090</v>
      </c>
      <c r="C1482" s="16">
        <v>3</v>
      </c>
      <c r="D1482" s="19" t="s">
        <v>37</v>
      </c>
      <c r="E1482" s="19" t="s">
        <v>453</v>
      </c>
      <c r="G1482" s="19">
        <v>18</v>
      </c>
      <c r="H1482" s="19" t="s">
        <v>215</v>
      </c>
      <c r="I1482" s="19" t="s">
        <v>216</v>
      </c>
      <c r="J1482" s="19" t="s">
        <v>217</v>
      </c>
      <c r="K1482" s="18">
        <v>46101.587835648148</v>
      </c>
    </row>
    <row r="1483" spans="1:11" x14ac:dyDescent="0.25">
      <c r="A1483" s="16" t="s">
        <v>1934</v>
      </c>
      <c r="B1483" s="20">
        <v>46090</v>
      </c>
      <c r="C1483" s="16">
        <v>3</v>
      </c>
      <c r="D1483" s="19" t="s">
        <v>39</v>
      </c>
      <c r="E1483" s="19" t="s">
        <v>453</v>
      </c>
      <c r="G1483" s="19">
        <v>32</v>
      </c>
      <c r="H1483" s="19" t="s">
        <v>215</v>
      </c>
      <c r="I1483" s="19" t="s">
        <v>216</v>
      </c>
      <c r="J1483" s="19" t="s">
        <v>217</v>
      </c>
      <c r="K1483" s="18">
        <v>46101.588020833333</v>
      </c>
    </row>
    <row r="1484" spans="1:11" x14ac:dyDescent="0.25">
      <c r="A1484" s="16" t="s">
        <v>1935</v>
      </c>
      <c r="B1484" s="20">
        <v>46090</v>
      </c>
      <c r="C1484" s="16">
        <v>3</v>
      </c>
      <c r="D1484" s="19" t="s">
        <v>41</v>
      </c>
      <c r="E1484" s="19" t="s">
        <v>453</v>
      </c>
      <c r="G1484" s="19">
        <v>4</v>
      </c>
      <c r="H1484" s="19" t="s">
        <v>306</v>
      </c>
      <c r="I1484" s="19" t="s">
        <v>246</v>
      </c>
      <c r="J1484" s="19" t="s">
        <v>217</v>
      </c>
      <c r="K1484" s="18">
        <v>46101.588194444441</v>
      </c>
    </row>
    <row r="1485" spans="1:11" x14ac:dyDescent="0.25">
      <c r="A1485" s="16" t="s">
        <v>1936</v>
      </c>
      <c r="B1485" s="20">
        <v>46090</v>
      </c>
      <c r="C1485" s="16">
        <v>3</v>
      </c>
      <c r="D1485" s="19" t="s">
        <v>41</v>
      </c>
      <c r="E1485" s="19" t="s">
        <v>453</v>
      </c>
      <c r="G1485" s="19">
        <v>8</v>
      </c>
      <c r="H1485" s="19" t="s">
        <v>306</v>
      </c>
      <c r="I1485" s="19" t="s">
        <v>216</v>
      </c>
      <c r="J1485" s="19" t="s">
        <v>217</v>
      </c>
      <c r="K1485" s="18">
        <v>46101.58829861111</v>
      </c>
    </row>
    <row r="1486" spans="1:11" x14ac:dyDescent="0.25">
      <c r="A1486" s="16" t="s">
        <v>1937</v>
      </c>
      <c r="B1486" s="20">
        <v>46090</v>
      </c>
      <c r="C1486" s="16">
        <v>3</v>
      </c>
      <c r="D1486" s="19" t="s">
        <v>43</v>
      </c>
      <c r="E1486" s="19" t="s">
        <v>453</v>
      </c>
      <c r="G1486" s="19">
        <v>32</v>
      </c>
      <c r="H1486" s="19" t="s">
        <v>215</v>
      </c>
      <c r="I1486" s="19" t="s">
        <v>246</v>
      </c>
      <c r="J1486" s="19" t="s">
        <v>217</v>
      </c>
      <c r="K1486" s="18">
        <v>46101.588449074072</v>
      </c>
    </row>
    <row r="1487" spans="1:11" x14ac:dyDescent="0.25">
      <c r="A1487" s="16" t="s">
        <v>1938</v>
      </c>
      <c r="B1487" s="20">
        <v>46091</v>
      </c>
      <c r="C1487" s="16">
        <v>3</v>
      </c>
      <c r="D1487" s="19" t="s">
        <v>31</v>
      </c>
      <c r="E1487" s="19" t="s">
        <v>453</v>
      </c>
      <c r="G1487" s="19">
        <v>68</v>
      </c>
      <c r="H1487" s="19" t="s">
        <v>215</v>
      </c>
      <c r="I1487" s="19" t="s">
        <v>216</v>
      </c>
      <c r="J1487" s="19" t="s">
        <v>217</v>
      </c>
      <c r="K1487" s="18">
        <v>46101.590185185189</v>
      </c>
    </row>
    <row r="1488" spans="1:11" x14ac:dyDescent="0.25">
      <c r="A1488" s="16" t="s">
        <v>1939</v>
      </c>
      <c r="B1488" s="20">
        <v>46091</v>
      </c>
      <c r="C1488" s="16">
        <v>3</v>
      </c>
      <c r="D1488" s="19" t="s">
        <v>31</v>
      </c>
      <c r="E1488" s="19" t="s">
        <v>453</v>
      </c>
      <c r="G1488" s="19">
        <v>27</v>
      </c>
      <c r="H1488" s="19" t="s">
        <v>215</v>
      </c>
      <c r="I1488" s="19" t="s">
        <v>216</v>
      </c>
      <c r="J1488" s="19" t="s">
        <v>217</v>
      </c>
      <c r="K1488" s="18">
        <v>46101.590219907404</v>
      </c>
    </row>
    <row r="1489" spans="1:11" x14ac:dyDescent="0.25">
      <c r="A1489" s="16" t="s">
        <v>1940</v>
      </c>
      <c r="B1489" s="20">
        <v>46091</v>
      </c>
      <c r="C1489" s="16">
        <v>3</v>
      </c>
      <c r="D1489" s="19" t="s">
        <v>31</v>
      </c>
      <c r="E1489" s="19" t="s">
        <v>453</v>
      </c>
      <c r="G1489" s="19">
        <v>25</v>
      </c>
      <c r="H1489" s="19" t="s">
        <v>215</v>
      </c>
      <c r="I1489" s="19" t="s">
        <v>216</v>
      </c>
      <c r="J1489" s="19" t="s">
        <v>217</v>
      </c>
      <c r="K1489" s="18">
        <v>46101.590254629627</v>
      </c>
    </row>
    <row r="1490" spans="1:11" x14ac:dyDescent="0.25">
      <c r="A1490" s="16" t="s">
        <v>1941</v>
      </c>
      <c r="B1490" s="20">
        <v>46091</v>
      </c>
      <c r="C1490" s="16">
        <v>3</v>
      </c>
      <c r="D1490" s="19" t="s">
        <v>33</v>
      </c>
      <c r="E1490" s="19" t="s">
        <v>453</v>
      </c>
      <c r="G1490" s="19">
        <v>5</v>
      </c>
      <c r="H1490" s="19" t="s">
        <v>215</v>
      </c>
      <c r="I1490" s="19" t="s">
        <v>246</v>
      </c>
      <c r="J1490" s="19" t="s">
        <v>217</v>
      </c>
      <c r="K1490" s="18">
        <v>46101.590636574074</v>
      </c>
    </row>
    <row r="1491" spans="1:11" x14ac:dyDescent="0.25">
      <c r="A1491" s="16" t="s">
        <v>1942</v>
      </c>
      <c r="B1491" s="20">
        <v>46091</v>
      </c>
      <c r="C1491" s="16">
        <v>3</v>
      </c>
      <c r="D1491" s="19" t="s">
        <v>33</v>
      </c>
      <c r="E1491" s="19" t="s">
        <v>453</v>
      </c>
      <c r="G1491" s="19">
        <v>2</v>
      </c>
      <c r="H1491" s="19" t="s">
        <v>427</v>
      </c>
      <c r="I1491" s="19" t="s">
        <v>246</v>
      </c>
      <c r="J1491" s="19" t="s">
        <v>217</v>
      </c>
      <c r="K1491" s="18">
        <v>46101.590717592589</v>
      </c>
    </row>
    <row r="1492" spans="1:11" x14ac:dyDescent="0.25">
      <c r="A1492" s="16" t="s">
        <v>1943</v>
      </c>
      <c r="B1492" s="20">
        <v>46091</v>
      </c>
      <c r="C1492" s="16">
        <v>3</v>
      </c>
      <c r="D1492" s="19" t="s">
        <v>35</v>
      </c>
      <c r="E1492" s="19" t="s">
        <v>453</v>
      </c>
      <c r="G1492" s="19">
        <v>31</v>
      </c>
      <c r="H1492" s="19" t="s">
        <v>215</v>
      </c>
      <c r="I1492" s="19" t="s">
        <v>216</v>
      </c>
      <c r="J1492" s="19" t="s">
        <v>217</v>
      </c>
      <c r="K1492" s="18">
        <v>46101.590914351851</v>
      </c>
    </row>
    <row r="1493" spans="1:11" x14ac:dyDescent="0.25">
      <c r="A1493" s="16" t="s">
        <v>1944</v>
      </c>
      <c r="B1493" s="20">
        <v>46091</v>
      </c>
      <c r="C1493" s="16">
        <v>3</v>
      </c>
      <c r="D1493" s="19" t="s">
        <v>35</v>
      </c>
      <c r="E1493" s="19" t="s">
        <v>453</v>
      </c>
      <c r="G1493" s="19">
        <v>48</v>
      </c>
      <c r="H1493" s="19" t="s">
        <v>215</v>
      </c>
      <c r="I1493" s="19" t="s">
        <v>216</v>
      </c>
      <c r="J1493" s="19" t="s">
        <v>217</v>
      </c>
      <c r="K1493" s="18">
        <v>46101.590960648151</v>
      </c>
    </row>
    <row r="1494" spans="1:11" x14ac:dyDescent="0.25">
      <c r="A1494" s="16" t="s">
        <v>1945</v>
      </c>
      <c r="B1494" s="20">
        <v>46091</v>
      </c>
      <c r="C1494" s="16">
        <v>3</v>
      </c>
      <c r="D1494" s="19" t="s">
        <v>35</v>
      </c>
      <c r="E1494" s="19" t="s">
        <v>453</v>
      </c>
      <c r="G1494" s="19">
        <v>45</v>
      </c>
      <c r="H1494" s="19" t="s">
        <v>215</v>
      </c>
      <c r="I1494" s="19" t="s">
        <v>216</v>
      </c>
      <c r="J1494" s="19" t="s">
        <v>217</v>
      </c>
      <c r="K1494" s="18">
        <v>46101.59101851852</v>
      </c>
    </row>
    <row r="1495" spans="1:11" x14ac:dyDescent="0.25">
      <c r="A1495" s="16" t="s">
        <v>1946</v>
      </c>
      <c r="B1495" s="20">
        <v>46091</v>
      </c>
      <c r="C1495" s="16">
        <v>3</v>
      </c>
      <c r="D1495" s="19" t="s">
        <v>37</v>
      </c>
      <c r="E1495" s="19" t="s">
        <v>453</v>
      </c>
      <c r="G1495" s="19">
        <v>32</v>
      </c>
      <c r="H1495" s="19" t="s">
        <v>215</v>
      </c>
      <c r="I1495" s="19" t="s">
        <v>216</v>
      </c>
      <c r="J1495" s="19" t="s">
        <v>217</v>
      </c>
      <c r="K1495" s="18">
        <v>46101.591238425928</v>
      </c>
    </row>
    <row r="1496" spans="1:11" x14ac:dyDescent="0.25">
      <c r="A1496" s="16" t="s">
        <v>1947</v>
      </c>
      <c r="B1496" s="20">
        <v>46091</v>
      </c>
      <c r="C1496" s="16">
        <v>3</v>
      </c>
      <c r="D1496" s="19" t="s">
        <v>37</v>
      </c>
      <c r="E1496" s="19" t="s">
        <v>453</v>
      </c>
      <c r="G1496" s="19">
        <v>35</v>
      </c>
      <c r="H1496" s="19" t="s">
        <v>215</v>
      </c>
      <c r="I1496" s="19" t="s">
        <v>216</v>
      </c>
      <c r="J1496" s="19" t="s">
        <v>217</v>
      </c>
      <c r="K1496" s="18">
        <v>46101.591273148151</v>
      </c>
    </row>
    <row r="1497" spans="1:11" x14ac:dyDescent="0.25">
      <c r="A1497" s="16" t="s">
        <v>1948</v>
      </c>
      <c r="B1497" s="20">
        <v>46091</v>
      </c>
      <c r="C1497" s="16">
        <v>3</v>
      </c>
      <c r="D1497" s="19" t="s">
        <v>37</v>
      </c>
      <c r="E1497" s="19" t="s">
        <v>453</v>
      </c>
      <c r="G1497" s="19">
        <v>23</v>
      </c>
      <c r="H1497" s="19" t="s">
        <v>215</v>
      </c>
      <c r="I1497" s="19" t="s">
        <v>216</v>
      </c>
      <c r="J1497" s="19" t="s">
        <v>217</v>
      </c>
      <c r="K1497" s="18">
        <v>46101.591307870367</v>
      </c>
    </row>
    <row r="1498" spans="1:11" x14ac:dyDescent="0.25">
      <c r="A1498" s="16" t="s">
        <v>1949</v>
      </c>
      <c r="B1498" s="20">
        <v>46091</v>
      </c>
      <c r="C1498" s="16">
        <v>3</v>
      </c>
      <c r="D1498" s="19" t="s">
        <v>37</v>
      </c>
      <c r="E1498" s="19" t="s">
        <v>453</v>
      </c>
      <c r="G1498" s="19">
        <v>36</v>
      </c>
      <c r="H1498" s="19" t="s">
        <v>215</v>
      </c>
      <c r="I1498" s="19" t="s">
        <v>216</v>
      </c>
      <c r="J1498" s="19" t="s">
        <v>217</v>
      </c>
      <c r="K1498" s="18">
        <v>46101.591377314813</v>
      </c>
    </row>
    <row r="1499" spans="1:11" x14ac:dyDescent="0.25">
      <c r="A1499" s="16" t="s">
        <v>1950</v>
      </c>
      <c r="B1499" s="20">
        <v>46091</v>
      </c>
      <c r="C1499" s="16">
        <v>3</v>
      </c>
      <c r="D1499" s="19" t="s">
        <v>39</v>
      </c>
      <c r="E1499" s="19" t="s">
        <v>453</v>
      </c>
      <c r="G1499" s="19">
        <v>24</v>
      </c>
      <c r="H1499" s="19" t="s">
        <v>215</v>
      </c>
      <c r="I1499" s="19" t="s">
        <v>216</v>
      </c>
      <c r="J1499" s="19" t="s">
        <v>217</v>
      </c>
      <c r="K1499" s="18">
        <v>46101.591516203705</v>
      </c>
    </row>
    <row r="1500" spans="1:11" x14ac:dyDescent="0.25">
      <c r="A1500" s="16" t="s">
        <v>1951</v>
      </c>
      <c r="B1500" s="20">
        <v>46091</v>
      </c>
      <c r="C1500" s="16">
        <v>3</v>
      </c>
      <c r="D1500" s="19" t="s">
        <v>39</v>
      </c>
      <c r="E1500" s="19" t="s">
        <v>453</v>
      </c>
      <c r="G1500" s="19">
        <v>26</v>
      </c>
      <c r="H1500" s="19" t="s">
        <v>215</v>
      </c>
      <c r="I1500" s="19" t="s">
        <v>216</v>
      </c>
      <c r="J1500" s="19" t="s">
        <v>217</v>
      </c>
      <c r="K1500" s="18">
        <v>46101.591550925928</v>
      </c>
    </row>
    <row r="1501" spans="1:11" x14ac:dyDescent="0.25">
      <c r="A1501" s="16" t="s">
        <v>1952</v>
      </c>
      <c r="B1501" s="20">
        <v>46091</v>
      </c>
      <c r="C1501" s="16">
        <v>3</v>
      </c>
      <c r="D1501" s="19" t="s">
        <v>41</v>
      </c>
      <c r="E1501" s="19" t="s">
        <v>453</v>
      </c>
      <c r="G1501" s="19">
        <v>0</v>
      </c>
      <c r="H1501" s="19" t="s">
        <v>306</v>
      </c>
      <c r="I1501" s="19" t="s">
        <v>216</v>
      </c>
      <c r="J1501" s="19" t="s">
        <v>217</v>
      </c>
      <c r="K1501" s="18">
        <v>46101.601180555554</v>
      </c>
    </row>
    <row r="1502" spans="1:11" x14ac:dyDescent="0.25">
      <c r="A1502" s="16" t="s">
        <v>1953</v>
      </c>
      <c r="B1502" s="20">
        <v>46091</v>
      </c>
      <c r="C1502" s="16">
        <v>3</v>
      </c>
      <c r="D1502" s="19" t="s">
        <v>41</v>
      </c>
      <c r="E1502" s="19" t="s">
        <v>453</v>
      </c>
      <c r="G1502" s="19">
        <v>0</v>
      </c>
      <c r="H1502" s="19" t="s">
        <v>306</v>
      </c>
      <c r="I1502" s="19" t="s">
        <v>216</v>
      </c>
      <c r="J1502" s="19" t="s">
        <v>217</v>
      </c>
      <c r="K1502" s="18">
        <v>46101.601261574076</v>
      </c>
    </row>
    <row r="1503" spans="1:11" x14ac:dyDescent="0.25">
      <c r="A1503" s="16" t="s">
        <v>1954</v>
      </c>
      <c r="B1503" s="20">
        <v>46091</v>
      </c>
      <c r="C1503" s="16">
        <v>3</v>
      </c>
      <c r="D1503" s="19" t="s">
        <v>41</v>
      </c>
      <c r="E1503" s="19" t="s">
        <v>453</v>
      </c>
      <c r="G1503" s="19">
        <v>0</v>
      </c>
      <c r="H1503" s="19" t="s">
        <v>306</v>
      </c>
      <c r="I1503" s="19" t="s">
        <v>216</v>
      </c>
      <c r="J1503" s="19" t="s">
        <v>217</v>
      </c>
      <c r="K1503" s="18">
        <v>46101.601319444446</v>
      </c>
    </row>
    <row r="1504" spans="1:11" x14ac:dyDescent="0.25">
      <c r="A1504" s="16" t="s">
        <v>1955</v>
      </c>
      <c r="B1504" s="20">
        <v>46091</v>
      </c>
      <c r="C1504" s="16">
        <v>3</v>
      </c>
      <c r="D1504" s="19" t="s">
        <v>41</v>
      </c>
      <c r="E1504" s="19" t="s">
        <v>453</v>
      </c>
      <c r="G1504" s="19">
        <v>0</v>
      </c>
      <c r="H1504" s="19" t="s">
        <v>306</v>
      </c>
      <c r="I1504" s="19" t="s">
        <v>216</v>
      </c>
      <c r="J1504" s="19" t="s">
        <v>217</v>
      </c>
      <c r="K1504" s="18">
        <v>46101.601400462961</v>
      </c>
    </row>
    <row r="1505" spans="1:11" x14ac:dyDescent="0.25">
      <c r="A1505" s="16" t="s">
        <v>1956</v>
      </c>
      <c r="B1505" s="20">
        <v>46091</v>
      </c>
      <c r="C1505" s="16">
        <v>3</v>
      </c>
      <c r="D1505" s="19" t="s">
        <v>43</v>
      </c>
      <c r="E1505" s="19" t="s">
        <v>453</v>
      </c>
      <c r="G1505" s="19">
        <v>67</v>
      </c>
      <c r="H1505" s="19" t="s">
        <v>215</v>
      </c>
      <c r="I1505" s="19" t="s">
        <v>246</v>
      </c>
      <c r="J1505" s="19" t="s">
        <v>217</v>
      </c>
      <c r="K1505" s="18">
        <v>46101.601863425924</v>
      </c>
    </row>
    <row r="1506" spans="1:11" x14ac:dyDescent="0.25">
      <c r="A1506" s="16" t="s">
        <v>1957</v>
      </c>
      <c r="B1506" s="20">
        <v>46091</v>
      </c>
      <c r="C1506" s="16">
        <v>3</v>
      </c>
      <c r="D1506" s="19" t="s">
        <v>43</v>
      </c>
      <c r="E1506" s="19" t="s">
        <v>453</v>
      </c>
      <c r="G1506" s="19">
        <v>63</v>
      </c>
      <c r="H1506" s="19" t="s">
        <v>215</v>
      </c>
      <c r="I1506" s="19" t="s">
        <v>246</v>
      </c>
      <c r="J1506" s="19" t="s">
        <v>217</v>
      </c>
      <c r="K1506" s="18">
        <v>46101.601921296293</v>
      </c>
    </row>
    <row r="1507" spans="1:11" x14ac:dyDescent="0.25">
      <c r="A1507" s="16" t="s">
        <v>1958</v>
      </c>
      <c r="B1507" s="20">
        <v>46091</v>
      </c>
      <c r="C1507" s="16">
        <v>3</v>
      </c>
      <c r="D1507" s="19" t="s">
        <v>45</v>
      </c>
      <c r="E1507" s="19" t="s">
        <v>453</v>
      </c>
      <c r="G1507" s="19">
        <v>49</v>
      </c>
      <c r="H1507" s="19" t="s">
        <v>215</v>
      </c>
      <c r="I1507" s="19" t="s">
        <v>216</v>
      </c>
      <c r="J1507" s="19" t="s">
        <v>217</v>
      </c>
      <c r="K1507" s="18">
        <v>46101.602048611108</v>
      </c>
    </row>
    <row r="1508" spans="1:11" x14ac:dyDescent="0.25">
      <c r="A1508" s="16" t="s">
        <v>1959</v>
      </c>
      <c r="B1508" s="20">
        <v>46091</v>
      </c>
      <c r="C1508" s="16">
        <v>3</v>
      </c>
      <c r="D1508" s="19" t="s">
        <v>45</v>
      </c>
      <c r="E1508" s="19" t="s">
        <v>453</v>
      </c>
      <c r="G1508" s="19">
        <v>35</v>
      </c>
      <c r="H1508" s="19" t="s">
        <v>215</v>
      </c>
      <c r="I1508" s="19" t="s">
        <v>216</v>
      </c>
      <c r="J1508" s="19" t="s">
        <v>217</v>
      </c>
      <c r="K1508" s="18">
        <v>46101.602118055554</v>
      </c>
    </row>
    <row r="1509" spans="1:11" x14ac:dyDescent="0.25">
      <c r="A1509" s="16" t="s">
        <v>1960</v>
      </c>
      <c r="B1509" s="20">
        <v>46092</v>
      </c>
      <c r="C1509" s="16">
        <v>3</v>
      </c>
      <c r="D1509" s="19" t="s">
        <v>29</v>
      </c>
      <c r="E1509" s="19" t="s">
        <v>453</v>
      </c>
      <c r="G1509" s="19">
        <v>22</v>
      </c>
      <c r="H1509" s="19" t="s">
        <v>215</v>
      </c>
      <c r="I1509" s="19" t="s">
        <v>246</v>
      </c>
      <c r="J1509" s="19" t="s">
        <v>217</v>
      </c>
      <c r="K1509" s="18">
        <v>46101.782650462963</v>
      </c>
    </row>
    <row r="1510" spans="1:11" x14ac:dyDescent="0.25">
      <c r="A1510" s="16" t="s">
        <v>1961</v>
      </c>
      <c r="B1510" s="20">
        <v>46092</v>
      </c>
      <c r="C1510" s="16">
        <v>3</v>
      </c>
      <c r="D1510" s="19" t="s">
        <v>29</v>
      </c>
      <c r="E1510" s="19" t="s">
        <v>453</v>
      </c>
      <c r="G1510" s="19">
        <v>40</v>
      </c>
      <c r="H1510" s="19" t="s">
        <v>215</v>
      </c>
      <c r="I1510" s="19" t="s">
        <v>246</v>
      </c>
      <c r="J1510" s="19" t="s">
        <v>217</v>
      </c>
      <c r="K1510" s="18">
        <v>46101.782685185186</v>
      </c>
    </row>
    <row r="1511" spans="1:11" x14ac:dyDescent="0.25">
      <c r="A1511" s="16" t="s">
        <v>1962</v>
      </c>
      <c r="B1511" s="20">
        <v>46092</v>
      </c>
      <c r="C1511" s="16">
        <v>3</v>
      </c>
      <c r="D1511" s="19" t="s">
        <v>29</v>
      </c>
      <c r="E1511" s="19" t="s">
        <v>453</v>
      </c>
      <c r="G1511" s="19">
        <v>28</v>
      </c>
      <c r="H1511" s="19" t="s">
        <v>215</v>
      </c>
      <c r="I1511" s="19" t="s">
        <v>246</v>
      </c>
      <c r="J1511" s="19" t="s">
        <v>217</v>
      </c>
      <c r="K1511" s="18">
        <v>46101.782719907409</v>
      </c>
    </row>
    <row r="1512" spans="1:11" x14ac:dyDescent="0.25">
      <c r="A1512" s="16" t="s">
        <v>1963</v>
      </c>
      <c r="B1512" s="20">
        <v>46092</v>
      </c>
      <c r="C1512" s="16">
        <v>3</v>
      </c>
      <c r="D1512" s="19" t="s">
        <v>31</v>
      </c>
      <c r="E1512" s="19" t="s">
        <v>453</v>
      </c>
      <c r="G1512" s="19">
        <v>76</v>
      </c>
      <c r="H1512" s="19" t="s">
        <v>215</v>
      </c>
      <c r="I1512" s="19" t="s">
        <v>216</v>
      </c>
      <c r="J1512" s="19" t="s">
        <v>217</v>
      </c>
      <c r="K1512" s="18">
        <v>46101.782905092594</v>
      </c>
    </row>
    <row r="1513" spans="1:11" x14ac:dyDescent="0.25">
      <c r="A1513" s="16" t="s">
        <v>1964</v>
      </c>
      <c r="B1513" s="20">
        <v>46092</v>
      </c>
      <c r="C1513" s="16">
        <v>3</v>
      </c>
      <c r="D1513" s="19" t="s">
        <v>33</v>
      </c>
      <c r="E1513" s="19" t="s">
        <v>453</v>
      </c>
      <c r="G1513" s="19">
        <v>1</v>
      </c>
      <c r="H1513" s="19" t="s">
        <v>215</v>
      </c>
      <c r="I1513" s="19" t="s">
        <v>216</v>
      </c>
      <c r="J1513" s="19" t="s">
        <v>217</v>
      </c>
      <c r="K1513" s="18">
        <v>46101.783113425925</v>
      </c>
    </row>
    <row r="1514" spans="1:11" x14ac:dyDescent="0.25">
      <c r="A1514" s="16" t="s">
        <v>1965</v>
      </c>
      <c r="B1514" s="20">
        <v>46092</v>
      </c>
      <c r="C1514" s="16">
        <v>3</v>
      </c>
      <c r="D1514" s="19" t="s">
        <v>33</v>
      </c>
      <c r="E1514" s="19" t="s">
        <v>453</v>
      </c>
      <c r="G1514" s="19">
        <v>3</v>
      </c>
      <c r="H1514" s="19" t="s">
        <v>215</v>
      </c>
      <c r="I1514" s="19" t="s">
        <v>246</v>
      </c>
      <c r="J1514" s="19" t="s">
        <v>217</v>
      </c>
      <c r="K1514" s="18">
        <v>46101.783171296294</v>
      </c>
    </row>
    <row r="1515" spans="1:11" x14ac:dyDescent="0.25">
      <c r="A1515" s="16" t="s">
        <v>1966</v>
      </c>
      <c r="B1515" s="20">
        <v>46092</v>
      </c>
      <c r="C1515" s="16">
        <v>3</v>
      </c>
      <c r="D1515" s="19" t="s">
        <v>33</v>
      </c>
      <c r="E1515" s="19" t="s">
        <v>453</v>
      </c>
      <c r="G1515" s="19">
        <v>1</v>
      </c>
      <c r="H1515" s="19" t="s">
        <v>215</v>
      </c>
      <c r="I1515" s="19" t="s">
        <v>246</v>
      </c>
      <c r="J1515" s="19" t="s">
        <v>217</v>
      </c>
      <c r="K1515" s="18">
        <v>46101.783206018517</v>
      </c>
    </row>
    <row r="1516" spans="1:11" x14ac:dyDescent="0.25">
      <c r="A1516" s="16" t="s">
        <v>1967</v>
      </c>
      <c r="B1516" s="20">
        <v>46092</v>
      </c>
      <c r="C1516" s="16">
        <v>3</v>
      </c>
      <c r="D1516" s="19" t="s">
        <v>35</v>
      </c>
      <c r="E1516" s="19" t="s">
        <v>453</v>
      </c>
      <c r="G1516" s="19">
        <v>33</v>
      </c>
      <c r="H1516" s="19" t="s">
        <v>215</v>
      </c>
      <c r="I1516" s="19" t="s">
        <v>216</v>
      </c>
      <c r="J1516" s="19" t="s">
        <v>217</v>
      </c>
      <c r="K1516" s="18">
        <v>46101.78334490741</v>
      </c>
    </row>
    <row r="1517" spans="1:11" x14ac:dyDescent="0.25">
      <c r="A1517" s="16" t="s">
        <v>1968</v>
      </c>
      <c r="B1517" s="20">
        <v>46092</v>
      </c>
      <c r="C1517" s="16">
        <v>3</v>
      </c>
      <c r="D1517" s="19" t="s">
        <v>35</v>
      </c>
      <c r="E1517" s="19" t="s">
        <v>453</v>
      </c>
      <c r="G1517" s="19">
        <v>21</v>
      </c>
      <c r="H1517" s="19" t="s">
        <v>215</v>
      </c>
      <c r="I1517" s="19" t="s">
        <v>216</v>
      </c>
      <c r="J1517" s="19" t="s">
        <v>217</v>
      </c>
      <c r="K1517" s="18">
        <v>46101.783379629633</v>
      </c>
    </row>
    <row r="1518" spans="1:11" x14ac:dyDescent="0.25">
      <c r="A1518" s="16" t="s">
        <v>1969</v>
      </c>
      <c r="B1518" s="20">
        <v>46092</v>
      </c>
      <c r="C1518" s="16">
        <v>3</v>
      </c>
      <c r="D1518" s="19" t="s">
        <v>35</v>
      </c>
      <c r="E1518" s="19" t="s">
        <v>453</v>
      </c>
      <c r="G1518" s="19">
        <v>24</v>
      </c>
      <c r="H1518" s="19" t="s">
        <v>215</v>
      </c>
      <c r="I1518" s="19" t="s">
        <v>216</v>
      </c>
      <c r="J1518" s="19" t="s">
        <v>217</v>
      </c>
      <c r="K1518" s="18">
        <v>46101.783414351848</v>
      </c>
    </row>
    <row r="1519" spans="1:11" x14ac:dyDescent="0.25">
      <c r="A1519" s="16" t="s">
        <v>1970</v>
      </c>
      <c r="B1519" s="20">
        <v>46092</v>
      </c>
      <c r="C1519" s="16">
        <v>3</v>
      </c>
      <c r="D1519" s="19" t="s">
        <v>37</v>
      </c>
      <c r="E1519" s="19" t="s">
        <v>453</v>
      </c>
      <c r="G1519" s="19">
        <v>24</v>
      </c>
      <c r="H1519" s="19" t="s">
        <v>215</v>
      </c>
      <c r="I1519" s="19" t="s">
        <v>216</v>
      </c>
      <c r="J1519" s="19" t="s">
        <v>217</v>
      </c>
      <c r="K1519" s="18">
        <v>46101.783541666664</v>
      </c>
    </row>
    <row r="1520" spans="1:11" x14ac:dyDescent="0.25">
      <c r="A1520" s="16" t="s">
        <v>1971</v>
      </c>
      <c r="B1520" s="20">
        <v>46092</v>
      </c>
      <c r="C1520" s="16">
        <v>3</v>
      </c>
      <c r="D1520" s="19" t="s">
        <v>37</v>
      </c>
      <c r="E1520" s="19" t="s">
        <v>453</v>
      </c>
      <c r="G1520" s="19">
        <v>33</v>
      </c>
      <c r="H1520" s="19" t="s">
        <v>215</v>
      </c>
      <c r="I1520" s="19" t="s">
        <v>216</v>
      </c>
      <c r="J1520" s="19" t="s">
        <v>217</v>
      </c>
      <c r="K1520" s="18">
        <v>46101.783564814818</v>
      </c>
    </row>
    <row r="1521" spans="1:11" x14ac:dyDescent="0.25">
      <c r="A1521" s="16" t="s">
        <v>1972</v>
      </c>
      <c r="B1521" s="20">
        <v>46092</v>
      </c>
      <c r="C1521" s="16">
        <v>3</v>
      </c>
      <c r="D1521" s="19" t="s">
        <v>37</v>
      </c>
      <c r="E1521" s="19" t="s">
        <v>453</v>
      </c>
      <c r="G1521" s="19">
        <v>38</v>
      </c>
      <c r="H1521" s="19" t="s">
        <v>215</v>
      </c>
      <c r="I1521" s="19" t="s">
        <v>216</v>
      </c>
      <c r="J1521" s="19" t="s">
        <v>217</v>
      </c>
      <c r="K1521" s="18">
        <v>46101.783587962964</v>
      </c>
    </row>
    <row r="1522" spans="1:11" x14ac:dyDescent="0.25">
      <c r="A1522" s="16" t="s">
        <v>1973</v>
      </c>
      <c r="B1522" s="20">
        <v>46092</v>
      </c>
      <c r="C1522" s="16">
        <v>3</v>
      </c>
      <c r="D1522" s="19" t="s">
        <v>37</v>
      </c>
      <c r="E1522" s="19" t="s">
        <v>453</v>
      </c>
      <c r="G1522" s="19">
        <v>35</v>
      </c>
      <c r="H1522" s="19" t="s">
        <v>215</v>
      </c>
      <c r="I1522" s="19" t="s">
        <v>216</v>
      </c>
      <c r="J1522" s="19" t="s">
        <v>217</v>
      </c>
      <c r="K1522" s="18">
        <v>46101.78361111111</v>
      </c>
    </row>
    <row r="1523" spans="1:11" x14ac:dyDescent="0.25">
      <c r="A1523" s="16" t="s">
        <v>1974</v>
      </c>
      <c r="B1523" s="20">
        <v>46092</v>
      </c>
      <c r="C1523" s="16">
        <v>3</v>
      </c>
      <c r="D1523" s="19" t="s">
        <v>37</v>
      </c>
      <c r="E1523" s="19" t="s">
        <v>453</v>
      </c>
      <c r="G1523" s="19">
        <v>33</v>
      </c>
      <c r="H1523" s="19" t="s">
        <v>215</v>
      </c>
      <c r="I1523" s="19" t="s">
        <v>216</v>
      </c>
      <c r="J1523" s="19" t="s">
        <v>217</v>
      </c>
      <c r="K1523" s="18">
        <v>46101.783645833333</v>
      </c>
    </row>
    <row r="1524" spans="1:11" x14ac:dyDescent="0.25">
      <c r="A1524" s="16" t="s">
        <v>1975</v>
      </c>
      <c r="B1524" s="20">
        <v>46092</v>
      </c>
      <c r="C1524" s="16">
        <v>3</v>
      </c>
      <c r="D1524" s="19" t="s">
        <v>39</v>
      </c>
      <c r="E1524" s="19" t="s">
        <v>453</v>
      </c>
      <c r="G1524" s="19">
        <v>22</v>
      </c>
      <c r="H1524" s="19" t="s">
        <v>215</v>
      </c>
      <c r="I1524" s="19" t="s">
        <v>216</v>
      </c>
      <c r="J1524" s="19" t="s">
        <v>217</v>
      </c>
      <c r="K1524" s="18">
        <v>46101.783796296295</v>
      </c>
    </row>
    <row r="1525" spans="1:11" x14ac:dyDescent="0.25">
      <c r="A1525" s="16" t="s">
        <v>1976</v>
      </c>
      <c r="B1525" s="20">
        <v>46092</v>
      </c>
      <c r="C1525" s="16">
        <v>3</v>
      </c>
      <c r="D1525" s="19" t="s">
        <v>39</v>
      </c>
      <c r="E1525" s="19" t="s">
        <v>453</v>
      </c>
      <c r="G1525" s="19">
        <v>28</v>
      </c>
      <c r="H1525" s="19" t="s">
        <v>215</v>
      </c>
      <c r="I1525" s="19" t="s">
        <v>216</v>
      </c>
      <c r="J1525" s="19" t="s">
        <v>217</v>
      </c>
      <c r="K1525" s="18">
        <v>46101.783819444441</v>
      </c>
    </row>
    <row r="1526" spans="1:11" x14ac:dyDescent="0.25">
      <c r="A1526" s="16" t="s">
        <v>1977</v>
      </c>
      <c r="B1526" s="20">
        <v>46092</v>
      </c>
      <c r="C1526" s="16">
        <v>3</v>
      </c>
      <c r="D1526" s="19" t="s">
        <v>39</v>
      </c>
      <c r="E1526" s="19" t="s">
        <v>453</v>
      </c>
      <c r="G1526" s="19">
        <v>34</v>
      </c>
      <c r="H1526" s="19" t="s">
        <v>215</v>
      </c>
      <c r="I1526" s="19" t="s">
        <v>216</v>
      </c>
      <c r="J1526" s="19" t="s">
        <v>217</v>
      </c>
      <c r="K1526" s="18">
        <v>46101.783842592595</v>
      </c>
    </row>
    <row r="1527" spans="1:11" x14ac:dyDescent="0.25">
      <c r="A1527" s="16" t="s">
        <v>1978</v>
      </c>
      <c r="B1527" s="20">
        <v>46092</v>
      </c>
      <c r="C1527" s="16">
        <v>3</v>
      </c>
      <c r="D1527" s="19" t="s">
        <v>39</v>
      </c>
      <c r="E1527" s="19" t="s">
        <v>453</v>
      </c>
      <c r="G1527" s="19">
        <v>33</v>
      </c>
      <c r="H1527" s="19" t="s">
        <v>215</v>
      </c>
      <c r="I1527" s="19" t="s">
        <v>216</v>
      </c>
      <c r="J1527" s="19" t="s">
        <v>217</v>
      </c>
      <c r="K1527" s="18">
        <v>46101.783854166664</v>
      </c>
    </row>
    <row r="1528" spans="1:11" x14ac:dyDescent="0.25">
      <c r="A1528" s="16" t="s">
        <v>1979</v>
      </c>
      <c r="B1528" s="20">
        <v>46092</v>
      </c>
      <c r="C1528" s="16">
        <v>3</v>
      </c>
      <c r="D1528" s="19" t="s">
        <v>39</v>
      </c>
      <c r="E1528" s="19" t="s">
        <v>453</v>
      </c>
      <c r="G1528" s="19">
        <v>30</v>
      </c>
      <c r="H1528" s="19" t="s">
        <v>215</v>
      </c>
      <c r="I1528" s="19" t="s">
        <v>216</v>
      </c>
      <c r="J1528" s="19" t="s">
        <v>217</v>
      </c>
      <c r="K1528" s="18">
        <v>46101.783877314818</v>
      </c>
    </row>
    <row r="1529" spans="1:11" x14ac:dyDescent="0.25">
      <c r="A1529" s="16" t="s">
        <v>1980</v>
      </c>
      <c r="B1529" s="20">
        <v>46092</v>
      </c>
      <c r="C1529" s="16">
        <v>3</v>
      </c>
      <c r="D1529" s="19" t="s">
        <v>39</v>
      </c>
      <c r="E1529" s="19" t="s">
        <v>453</v>
      </c>
      <c r="G1529" s="19">
        <v>28</v>
      </c>
      <c r="H1529" s="19" t="s">
        <v>215</v>
      </c>
      <c r="I1529" s="19" t="s">
        <v>216</v>
      </c>
      <c r="J1529" s="19" t="s">
        <v>217</v>
      </c>
      <c r="K1529" s="18">
        <v>46101.783935185187</v>
      </c>
    </row>
    <row r="1530" spans="1:11" x14ac:dyDescent="0.25">
      <c r="A1530" s="16" t="s">
        <v>1981</v>
      </c>
      <c r="B1530" s="20">
        <v>46092</v>
      </c>
      <c r="C1530" s="16">
        <v>3</v>
      </c>
      <c r="D1530" s="19" t="s">
        <v>39</v>
      </c>
      <c r="E1530" s="19" t="s">
        <v>453</v>
      </c>
      <c r="G1530" s="19">
        <v>35</v>
      </c>
      <c r="H1530" s="19" t="s">
        <v>215</v>
      </c>
      <c r="I1530" s="19" t="s">
        <v>216</v>
      </c>
      <c r="J1530" s="19" t="s">
        <v>217</v>
      </c>
      <c r="K1530" s="18">
        <v>46101.78396990741</v>
      </c>
    </row>
    <row r="1531" spans="1:11" x14ac:dyDescent="0.25">
      <c r="A1531" s="16" t="s">
        <v>1982</v>
      </c>
      <c r="B1531" s="20">
        <v>46092</v>
      </c>
      <c r="C1531" s="16">
        <v>3</v>
      </c>
      <c r="D1531" s="19" t="s">
        <v>39</v>
      </c>
      <c r="E1531" s="19" t="s">
        <v>453</v>
      </c>
      <c r="G1531" s="19">
        <v>25</v>
      </c>
      <c r="H1531" s="19" t="s">
        <v>215</v>
      </c>
      <c r="I1531" s="19" t="s">
        <v>216</v>
      </c>
      <c r="J1531" s="19" t="s">
        <v>217</v>
      </c>
      <c r="K1531" s="18">
        <v>46101.784016203703</v>
      </c>
    </row>
    <row r="1532" spans="1:11" x14ac:dyDescent="0.25">
      <c r="A1532" s="16" t="s">
        <v>1983</v>
      </c>
      <c r="B1532" s="20">
        <v>46092</v>
      </c>
      <c r="C1532" s="16">
        <v>3</v>
      </c>
      <c r="D1532" s="19" t="s">
        <v>39</v>
      </c>
      <c r="E1532" s="19" t="s">
        <v>453</v>
      </c>
      <c r="G1532" s="19">
        <v>16</v>
      </c>
      <c r="H1532" s="19" t="s">
        <v>215</v>
      </c>
      <c r="I1532" s="19" t="s">
        <v>216</v>
      </c>
      <c r="J1532" s="19" t="s">
        <v>217</v>
      </c>
      <c r="K1532" s="18">
        <v>46101.784039351849</v>
      </c>
    </row>
    <row r="1533" spans="1:11" x14ac:dyDescent="0.25">
      <c r="A1533" s="16" t="s">
        <v>1984</v>
      </c>
      <c r="B1533" s="20">
        <v>46092</v>
      </c>
      <c r="C1533" s="16">
        <v>3</v>
      </c>
      <c r="D1533" s="19" t="s">
        <v>41</v>
      </c>
      <c r="E1533" s="19" t="s">
        <v>453</v>
      </c>
      <c r="G1533" s="19">
        <v>0</v>
      </c>
      <c r="H1533" s="19" t="s">
        <v>306</v>
      </c>
      <c r="I1533" s="19" t="s">
        <v>246</v>
      </c>
      <c r="J1533" s="19" t="s">
        <v>217</v>
      </c>
      <c r="K1533" s="18">
        <v>46101.784259259257</v>
      </c>
    </row>
    <row r="1534" spans="1:11" x14ac:dyDescent="0.25">
      <c r="A1534" s="16" t="s">
        <v>1985</v>
      </c>
      <c r="B1534" s="20">
        <v>46092</v>
      </c>
      <c r="C1534" s="16">
        <v>3</v>
      </c>
      <c r="D1534" s="19" t="s">
        <v>43</v>
      </c>
      <c r="E1534" s="19" t="s">
        <v>453</v>
      </c>
      <c r="G1534" s="19">
        <v>19</v>
      </c>
      <c r="H1534" s="19" t="s">
        <v>215</v>
      </c>
      <c r="I1534" s="19" t="s">
        <v>246</v>
      </c>
      <c r="J1534" s="19" t="s">
        <v>217</v>
      </c>
      <c r="K1534" s="18">
        <v>46101.78460648148</v>
      </c>
    </row>
    <row r="1535" spans="1:11" x14ac:dyDescent="0.25">
      <c r="A1535" s="16" t="s">
        <v>1986</v>
      </c>
      <c r="B1535" s="20">
        <v>46092</v>
      </c>
      <c r="C1535" s="16">
        <v>3</v>
      </c>
      <c r="D1535" s="19" t="s">
        <v>43</v>
      </c>
      <c r="E1535" s="19" t="s">
        <v>453</v>
      </c>
      <c r="G1535" s="19">
        <v>71</v>
      </c>
      <c r="H1535" s="19" t="s">
        <v>215</v>
      </c>
      <c r="I1535" s="19" t="s">
        <v>246</v>
      </c>
      <c r="J1535" s="19" t="s">
        <v>217</v>
      </c>
      <c r="K1535" s="18">
        <v>46101.78466435185</v>
      </c>
    </row>
    <row r="1536" spans="1:11" x14ac:dyDescent="0.25">
      <c r="A1536" s="16" t="s">
        <v>1987</v>
      </c>
      <c r="B1536" s="20">
        <v>46092</v>
      </c>
      <c r="C1536" s="16">
        <v>3</v>
      </c>
      <c r="D1536" s="19" t="s">
        <v>43</v>
      </c>
      <c r="E1536" s="19" t="s">
        <v>453</v>
      </c>
      <c r="G1536" s="19">
        <v>29</v>
      </c>
      <c r="H1536" s="19" t="s">
        <v>215</v>
      </c>
      <c r="I1536" s="19" t="s">
        <v>246</v>
      </c>
      <c r="J1536" s="19" t="s">
        <v>217</v>
      </c>
      <c r="K1536" s="18">
        <v>46101.784687500003</v>
      </c>
    </row>
    <row r="1537" spans="1:11" x14ac:dyDescent="0.25">
      <c r="A1537" s="16" t="s">
        <v>1988</v>
      </c>
      <c r="B1537" s="20">
        <v>46092</v>
      </c>
      <c r="C1537" s="16">
        <v>3</v>
      </c>
      <c r="D1537" s="19" t="s">
        <v>45</v>
      </c>
      <c r="E1537" s="19" t="s">
        <v>453</v>
      </c>
      <c r="G1537" s="19">
        <v>39</v>
      </c>
      <c r="H1537" s="19" t="s">
        <v>215</v>
      </c>
      <c r="I1537" s="19" t="s">
        <v>216</v>
      </c>
      <c r="J1537" s="19" t="s">
        <v>217</v>
      </c>
      <c r="K1537" s="18">
        <v>46101.784849537034</v>
      </c>
    </row>
    <row r="1538" spans="1:11" x14ac:dyDescent="0.25">
      <c r="A1538" s="16" t="s">
        <v>1989</v>
      </c>
      <c r="B1538" s="20">
        <v>46093</v>
      </c>
      <c r="C1538" s="16">
        <v>3</v>
      </c>
      <c r="D1538" s="19" t="s">
        <v>31</v>
      </c>
      <c r="E1538" s="19" t="s">
        <v>453</v>
      </c>
      <c r="G1538" s="19">
        <v>33</v>
      </c>
      <c r="H1538" s="19" t="s">
        <v>215</v>
      </c>
      <c r="I1538" s="19" t="s">
        <v>216</v>
      </c>
      <c r="J1538" s="19" t="s">
        <v>217</v>
      </c>
      <c r="K1538" s="18">
        <v>46101.785196759258</v>
      </c>
    </row>
    <row r="1539" spans="1:11" x14ac:dyDescent="0.25">
      <c r="A1539" s="16" t="s">
        <v>1990</v>
      </c>
      <c r="B1539" s="20">
        <v>46093</v>
      </c>
      <c r="C1539" s="16">
        <v>3</v>
      </c>
      <c r="D1539" s="19" t="s">
        <v>33</v>
      </c>
      <c r="E1539" s="19" t="s">
        <v>453</v>
      </c>
      <c r="G1539" s="19">
        <v>3</v>
      </c>
      <c r="H1539" s="19" t="s">
        <v>215</v>
      </c>
      <c r="I1539" s="19" t="s">
        <v>246</v>
      </c>
      <c r="J1539" s="19" t="s">
        <v>217</v>
      </c>
      <c r="K1539" s="18">
        <v>46101.785405092596</v>
      </c>
    </row>
    <row r="1540" spans="1:11" x14ac:dyDescent="0.25">
      <c r="A1540" s="16" t="s">
        <v>1991</v>
      </c>
      <c r="B1540" s="20">
        <v>46093</v>
      </c>
      <c r="C1540" s="16">
        <v>3</v>
      </c>
      <c r="D1540" s="19" t="s">
        <v>33</v>
      </c>
      <c r="E1540" s="19" t="s">
        <v>453</v>
      </c>
      <c r="G1540" s="19">
        <v>9</v>
      </c>
      <c r="H1540" s="19" t="s">
        <v>215</v>
      </c>
      <c r="I1540" s="19" t="s">
        <v>246</v>
      </c>
      <c r="J1540" s="19" t="s">
        <v>217</v>
      </c>
      <c r="K1540" s="18">
        <v>46101.785439814812</v>
      </c>
    </row>
    <row r="1541" spans="1:11" x14ac:dyDescent="0.25">
      <c r="A1541" s="16" t="s">
        <v>1992</v>
      </c>
      <c r="B1541" s="20">
        <v>46093</v>
      </c>
      <c r="C1541" s="16">
        <v>3</v>
      </c>
      <c r="D1541" s="19" t="s">
        <v>33</v>
      </c>
      <c r="E1541" s="19" t="s">
        <v>453</v>
      </c>
      <c r="G1541" s="19">
        <v>1</v>
      </c>
      <c r="H1541" s="19" t="s">
        <v>215</v>
      </c>
      <c r="I1541" s="19" t="s">
        <v>246</v>
      </c>
      <c r="J1541" s="19" t="s">
        <v>217</v>
      </c>
      <c r="K1541" s="18">
        <v>46101.785451388889</v>
      </c>
    </row>
    <row r="1542" spans="1:11" x14ac:dyDescent="0.25">
      <c r="A1542" s="16" t="s">
        <v>1993</v>
      </c>
      <c r="B1542" s="20">
        <v>46093</v>
      </c>
      <c r="C1542" s="16">
        <v>3</v>
      </c>
      <c r="D1542" s="19" t="s">
        <v>35</v>
      </c>
      <c r="E1542" s="19" t="s">
        <v>453</v>
      </c>
      <c r="G1542" s="19">
        <v>27</v>
      </c>
      <c r="H1542" s="19" t="s">
        <v>215</v>
      </c>
      <c r="I1542" s="19" t="s">
        <v>216</v>
      </c>
      <c r="J1542" s="19" t="s">
        <v>217</v>
      </c>
      <c r="K1542" s="18">
        <v>46101.785613425927</v>
      </c>
    </row>
    <row r="1543" spans="1:11" x14ac:dyDescent="0.25">
      <c r="A1543" s="16" t="s">
        <v>1994</v>
      </c>
      <c r="B1543" s="20">
        <v>46093</v>
      </c>
      <c r="C1543" s="16">
        <v>3</v>
      </c>
      <c r="D1543" s="19" t="s">
        <v>35</v>
      </c>
      <c r="E1543" s="19" t="s">
        <v>453</v>
      </c>
      <c r="G1543" s="19">
        <v>30</v>
      </c>
      <c r="H1543" s="19" t="s">
        <v>215</v>
      </c>
      <c r="I1543" s="19" t="s">
        <v>216</v>
      </c>
      <c r="J1543" s="19" t="s">
        <v>217</v>
      </c>
      <c r="K1543" s="18">
        <v>46101.785636574074</v>
      </c>
    </row>
    <row r="1544" spans="1:11" x14ac:dyDescent="0.25">
      <c r="A1544" s="16" t="s">
        <v>1995</v>
      </c>
      <c r="B1544" s="20">
        <v>46093</v>
      </c>
      <c r="C1544" s="16">
        <v>3</v>
      </c>
      <c r="D1544" s="19" t="s">
        <v>37</v>
      </c>
      <c r="E1544" s="19" t="s">
        <v>453</v>
      </c>
      <c r="G1544" s="19">
        <v>26</v>
      </c>
      <c r="H1544" s="19" t="s">
        <v>215</v>
      </c>
      <c r="I1544" s="19" t="s">
        <v>216</v>
      </c>
      <c r="J1544" s="19" t="s">
        <v>217</v>
      </c>
      <c r="K1544" s="18">
        <v>46101.786180555559</v>
      </c>
    </row>
    <row r="1545" spans="1:11" x14ac:dyDescent="0.25">
      <c r="A1545" s="16" t="s">
        <v>1996</v>
      </c>
      <c r="B1545" s="20">
        <v>46093</v>
      </c>
      <c r="C1545" s="16">
        <v>3</v>
      </c>
      <c r="D1545" s="19" t="s">
        <v>37</v>
      </c>
      <c r="E1545" s="19" t="s">
        <v>453</v>
      </c>
      <c r="G1545" s="19">
        <v>26</v>
      </c>
      <c r="H1545" s="19" t="s">
        <v>215</v>
      </c>
      <c r="I1545" s="19" t="s">
        <v>216</v>
      </c>
      <c r="J1545" s="19" t="s">
        <v>217</v>
      </c>
      <c r="K1545" s="18">
        <v>46101.785902777781</v>
      </c>
    </row>
    <row r="1546" spans="1:11" x14ac:dyDescent="0.25">
      <c r="A1546" s="16" t="s">
        <v>1997</v>
      </c>
      <c r="B1546" s="20">
        <v>46093</v>
      </c>
      <c r="C1546" s="16">
        <v>3</v>
      </c>
      <c r="D1546" s="19" t="s">
        <v>37</v>
      </c>
      <c r="E1546" s="19" t="s">
        <v>453</v>
      </c>
      <c r="G1546" s="19">
        <v>29</v>
      </c>
      <c r="H1546" s="19" t="s">
        <v>215</v>
      </c>
      <c r="I1546" s="19" t="s">
        <v>216</v>
      </c>
      <c r="J1546" s="19" t="s">
        <v>217</v>
      </c>
      <c r="K1546" s="18">
        <v>46101.785914351851</v>
      </c>
    </row>
    <row r="1547" spans="1:11" x14ac:dyDescent="0.25">
      <c r="A1547" s="16" t="s">
        <v>1998</v>
      </c>
      <c r="B1547" s="20">
        <v>46093</v>
      </c>
      <c r="C1547" s="16">
        <v>3</v>
      </c>
      <c r="D1547" s="19" t="s">
        <v>37</v>
      </c>
      <c r="E1547" s="19" t="s">
        <v>453</v>
      </c>
      <c r="G1547" s="19">
        <v>25</v>
      </c>
      <c r="H1547" s="19" t="s">
        <v>215</v>
      </c>
      <c r="I1547" s="19" t="s">
        <v>216</v>
      </c>
      <c r="J1547" s="19" t="s">
        <v>217</v>
      </c>
      <c r="K1547" s="18">
        <v>46101.785937499997</v>
      </c>
    </row>
    <row r="1548" spans="1:11" x14ac:dyDescent="0.25">
      <c r="A1548" s="16" t="s">
        <v>1999</v>
      </c>
      <c r="B1548" s="20">
        <v>46093</v>
      </c>
      <c r="C1548" s="16">
        <v>3</v>
      </c>
      <c r="D1548" s="19" t="s">
        <v>39</v>
      </c>
      <c r="E1548" s="19" t="s">
        <v>453</v>
      </c>
      <c r="G1548" s="19">
        <v>30</v>
      </c>
      <c r="H1548" s="19" t="s">
        <v>215</v>
      </c>
      <c r="I1548" s="19" t="s">
        <v>216</v>
      </c>
      <c r="J1548" s="19" t="s">
        <v>217</v>
      </c>
      <c r="K1548" s="18">
        <v>46101.786354166667</v>
      </c>
    </row>
    <row r="1549" spans="1:11" x14ac:dyDescent="0.25">
      <c r="A1549" s="16" t="s">
        <v>2000</v>
      </c>
      <c r="B1549" s="20">
        <v>46093</v>
      </c>
      <c r="C1549" s="16">
        <v>3</v>
      </c>
      <c r="D1549" s="19" t="s">
        <v>41</v>
      </c>
      <c r="E1549" s="19" t="s">
        <v>453</v>
      </c>
      <c r="G1549" s="19">
        <v>0</v>
      </c>
      <c r="H1549" s="19" t="s">
        <v>306</v>
      </c>
      <c r="I1549" s="19" t="s">
        <v>246</v>
      </c>
      <c r="J1549" s="19" t="s">
        <v>217</v>
      </c>
      <c r="K1549" s="18">
        <v>46101.786550925928</v>
      </c>
    </row>
    <row r="1550" spans="1:11" x14ac:dyDescent="0.25">
      <c r="A1550" s="16" t="s">
        <v>2001</v>
      </c>
      <c r="B1550" s="20">
        <v>46093</v>
      </c>
      <c r="C1550" s="16">
        <v>3</v>
      </c>
      <c r="D1550" s="19" t="s">
        <v>41</v>
      </c>
      <c r="E1550" s="19" t="s">
        <v>453</v>
      </c>
      <c r="G1550" s="19">
        <v>0</v>
      </c>
      <c r="H1550" s="19" t="s">
        <v>306</v>
      </c>
      <c r="I1550" s="19" t="s">
        <v>246</v>
      </c>
      <c r="J1550" s="19" t="s">
        <v>217</v>
      </c>
      <c r="K1550" s="18">
        <v>46101.786643518521</v>
      </c>
    </row>
    <row r="1551" spans="1:11" x14ac:dyDescent="0.25">
      <c r="A1551" s="16" t="s">
        <v>2002</v>
      </c>
      <c r="B1551" s="20">
        <v>46093</v>
      </c>
      <c r="C1551" s="16">
        <v>3</v>
      </c>
      <c r="D1551" s="19" t="s">
        <v>43</v>
      </c>
      <c r="E1551" s="19" t="s">
        <v>453</v>
      </c>
      <c r="G1551" s="19">
        <v>20</v>
      </c>
      <c r="H1551" s="19" t="s">
        <v>215</v>
      </c>
      <c r="I1551" s="19" t="s">
        <v>246</v>
      </c>
      <c r="J1551" s="19" t="s">
        <v>217</v>
      </c>
      <c r="K1551" s="18">
        <v>46101.787106481483</v>
      </c>
    </row>
    <row r="1552" spans="1:11" x14ac:dyDescent="0.25">
      <c r="A1552" s="16" t="s">
        <v>2003</v>
      </c>
      <c r="B1552" s="20">
        <v>46093</v>
      </c>
      <c r="C1552" s="16">
        <v>3</v>
      </c>
      <c r="D1552" s="19" t="s">
        <v>43</v>
      </c>
      <c r="E1552" s="19" t="s">
        <v>453</v>
      </c>
      <c r="G1552" s="19">
        <v>27</v>
      </c>
      <c r="H1552" s="19" t="s">
        <v>215</v>
      </c>
      <c r="I1552" s="19" t="s">
        <v>246</v>
      </c>
      <c r="J1552" s="19" t="s">
        <v>217</v>
      </c>
      <c r="K1552" s="18">
        <v>46101.787152777775</v>
      </c>
    </row>
    <row r="1553" spans="1:11" x14ac:dyDescent="0.25">
      <c r="A1553" s="16" t="s">
        <v>2004</v>
      </c>
      <c r="B1553" s="20">
        <v>46093</v>
      </c>
      <c r="C1553" s="16">
        <v>3</v>
      </c>
      <c r="D1553" s="19" t="s">
        <v>43</v>
      </c>
      <c r="E1553" s="19" t="s">
        <v>453</v>
      </c>
      <c r="G1553" s="19">
        <v>65</v>
      </c>
      <c r="H1553" s="19" t="s">
        <v>215</v>
      </c>
      <c r="I1553" s="19" t="s">
        <v>246</v>
      </c>
      <c r="J1553" s="19" t="s">
        <v>217</v>
      </c>
      <c r="K1553" s="18">
        <v>46101.787199074075</v>
      </c>
    </row>
    <row r="1554" spans="1:11" x14ac:dyDescent="0.25">
      <c r="A1554" s="16" t="s">
        <v>2005</v>
      </c>
      <c r="B1554" s="20">
        <v>46093</v>
      </c>
      <c r="C1554" s="16">
        <v>3</v>
      </c>
      <c r="D1554" s="19" t="s">
        <v>45</v>
      </c>
      <c r="E1554" s="19" t="s">
        <v>453</v>
      </c>
      <c r="G1554" s="19">
        <v>60</v>
      </c>
      <c r="H1554" s="19" t="s">
        <v>215</v>
      </c>
      <c r="I1554" s="19" t="s">
        <v>216</v>
      </c>
      <c r="J1554" s="19" t="s">
        <v>217</v>
      </c>
      <c r="K1554" s="18">
        <v>46101.787326388891</v>
      </c>
    </row>
    <row r="1555" spans="1:11" x14ac:dyDescent="0.25">
      <c r="A1555" s="16" t="s">
        <v>2006</v>
      </c>
      <c r="B1555" s="20">
        <v>46095</v>
      </c>
      <c r="C1555" s="16">
        <v>3</v>
      </c>
      <c r="D1555" s="19" t="s">
        <v>41</v>
      </c>
      <c r="E1555" s="19" t="s">
        <v>453</v>
      </c>
      <c r="G1555" s="19">
        <v>0</v>
      </c>
      <c r="H1555" s="19" t="s">
        <v>306</v>
      </c>
      <c r="I1555" s="19" t="s">
        <v>216</v>
      </c>
      <c r="J1555" s="19" t="s">
        <v>217</v>
      </c>
      <c r="K1555" s="18">
        <v>46101.792650462965</v>
      </c>
    </row>
    <row r="1556" spans="1:11" x14ac:dyDescent="0.25">
      <c r="A1556" s="16" t="s">
        <v>2007</v>
      </c>
      <c r="B1556" s="20">
        <v>46096</v>
      </c>
      <c r="C1556" s="16">
        <v>3</v>
      </c>
      <c r="D1556" s="19" t="s">
        <v>41</v>
      </c>
      <c r="E1556" s="19" t="s">
        <v>453</v>
      </c>
      <c r="G1556" s="19">
        <v>0</v>
      </c>
      <c r="H1556" s="19" t="s">
        <v>306</v>
      </c>
      <c r="I1556" s="19" t="s">
        <v>246</v>
      </c>
      <c r="J1556" s="19" t="s">
        <v>217</v>
      </c>
      <c r="K1556" s="18">
        <v>46101.792916666665</v>
      </c>
    </row>
    <row r="1557" spans="1:11" x14ac:dyDescent="0.25">
      <c r="A1557" s="16" t="s">
        <v>2008</v>
      </c>
      <c r="B1557" s="20">
        <v>46096</v>
      </c>
      <c r="C1557" s="16">
        <v>3</v>
      </c>
      <c r="D1557" s="19" t="s">
        <v>41</v>
      </c>
      <c r="E1557" s="19" t="s">
        <v>453</v>
      </c>
      <c r="G1557" s="19">
        <v>0</v>
      </c>
      <c r="H1557" s="19" t="s">
        <v>306</v>
      </c>
      <c r="I1557" s="19" t="s">
        <v>246</v>
      </c>
      <c r="J1557" s="19" t="s">
        <v>217</v>
      </c>
      <c r="K1557" s="18">
        <v>46101.792986111112</v>
      </c>
    </row>
    <row r="1558" spans="1:11" x14ac:dyDescent="0.25">
      <c r="A1558" s="16" t="s">
        <v>2009</v>
      </c>
      <c r="B1558" s="20">
        <v>46096</v>
      </c>
      <c r="C1558" s="16">
        <v>3</v>
      </c>
      <c r="D1558" s="19" t="s">
        <v>41</v>
      </c>
      <c r="E1558" s="19" t="s">
        <v>453</v>
      </c>
      <c r="G1558" s="19">
        <v>2</v>
      </c>
      <c r="H1558" s="19" t="s">
        <v>306</v>
      </c>
      <c r="I1558" s="19" t="s">
        <v>216</v>
      </c>
      <c r="J1558" s="19" t="s">
        <v>217</v>
      </c>
      <c r="K1558" s="18">
        <v>46101.793067129627</v>
      </c>
    </row>
    <row r="1559" spans="1:11" x14ac:dyDescent="0.25">
      <c r="A1559" s="16" t="s">
        <v>2010</v>
      </c>
      <c r="B1559" s="20">
        <v>46095</v>
      </c>
      <c r="C1559" s="16">
        <v>3</v>
      </c>
      <c r="D1559" s="19" t="s">
        <v>31</v>
      </c>
      <c r="E1559" s="19" t="s">
        <v>453</v>
      </c>
      <c r="G1559" s="19">
        <v>22</v>
      </c>
      <c r="H1559" s="19" t="s">
        <v>215</v>
      </c>
      <c r="I1559" s="19" t="s">
        <v>216</v>
      </c>
      <c r="J1559" s="19" t="s">
        <v>217</v>
      </c>
      <c r="K1559" s="18">
        <v>46101.79347222222</v>
      </c>
    </row>
    <row r="1560" spans="1:11" x14ac:dyDescent="0.25">
      <c r="A1560" s="16" t="s">
        <v>2011</v>
      </c>
      <c r="B1560" s="20">
        <v>46095</v>
      </c>
      <c r="C1560" s="16">
        <v>3</v>
      </c>
      <c r="D1560" s="19" t="s">
        <v>31</v>
      </c>
      <c r="E1560" s="19" t="s">
        <v>453</v>
      </c>
      <c r="G1560" s="19">
        <v>14</v>
      </c>
      <c r="H1560" s="19" t="s">
        <v>215</v>
      </c>
      <c r="I1560" s="19" t="s">
        <v>216</v>
      </c>
      <c r="J1560" s="19" t="s">
        <v>217</v>
      </c>
      <c r="K1560" s="18">
        <v>46101.793506944443</v>
      </c>
    </row>
    <row r="1561" spans="1:11" x14ac:dyDescent="0.25">
      <c r="A1561" s="16" t="s">
        <v>2012</v>
      </c>
      <c r="B1561" s="20">
        <v>46095</v>
      </c>
      <c r="C1561" s="16">
        <v>3</v>
      </c>
      <c r="D1561" s="19" t="s">
        <v>31</v>
      </c>
      <c r="E1561" s="19" t="s">
        <v>453</v>
      </c>
      <c r="G1561" s="19">
        <v>23</v>
      </c>
      <c r="H1561" s="19" t="s">
        <v>215</v>
      </c>
      <c r="I1561" s="19" t="s">
        <v>216</v>
      </c>
      <c r="J1561" s="19" t="s">
        <v>217</v>
      </c>
      <c r="K1561" s="18">
        <v>46101.79351851852</v>
      </c>
    </row>
    <row r="1562" spans="1:11" x14ac:dyDescent="0.25">
      <c r="A1562" s="16" t="s">
        <v>2013</v>
      </c>
      <c r="B1562" s="20">
        <v>46095</v>
      </c>
      <c r="C1562" s="16">
        <v>3</v>
      </c>
      <c r="D1562" s="19" t="s">
        <v>31</v>
      </c>
      <c r="E1562" s="19" t="s">
        <v>453</v>
      </c>
      <c r="G1562" s="19">
        <v>30</v>
      </c>
      <c r="H1562" s="19" t="s">
        <v>215</v>
      </c>
      <c r="I1562" s="19" t="s">
        <v>216</v>
      </c>
      <c r="J1562" s="19" t="s">
        <v>217</v>
      </c>
      <c r="K1562" s="18">
        <v>46101.793541666666</v>
      </c>
    </row>
    <row r="1563" spans="1:11" x14ac:dyDescent="0.25">
      <c r="A1563" s="16" t="s">
        <v>2014</v>
      </c>
      <c r="B1563" s="20">
        <v>46095</v>
      </c>
      <c r="C1563" s="16">
        <v>3</v>
      </c>
      <c r="D1563" s="19" t="s">
        <v>31</v>
      </c>
      <c r="E1563" s="19" t="s">
        <v>453</v>
      </c>
      <c r="G1563" s="19">
        <v>68</v>
      </c>
      <c r="H1563" s="19" t="s">
        <v>215</v>
      </c>
      <c r="I1563" s="19" t="s">
        <v>216</v>
      </c>
      <c r="J1563" s="19" t="s">
        <v>217</v>
      </c>
      <c r="K1563" s="18">
        <v>46101.793564814812</v>
      </c>
    </row>
    <row r="1564" spans="1:11" x14ac:dyDescent="0.25">
      <c r="A1564" s="16" t="s">
        <v>2015</v>
      </c>
      <c r="B1564" s="20">
        <v>46095</v>
      </c>
      <c r="C1564" s="16">
        <v>3</v>
      </c>
      <c r="D1564" s="19" t="s">
        <v>31</v>
      </c>
      <c r="E1564" s="19" t="s">
        <v>453</v>
      </c>
      <c r="G1564" s="19">
        <v>19</v>
      </c>
      <c r="H1564" s="19" t="s">
        <v>215</v>
      </c>
      <c r="I1564" s="19" t="s">
        <v>216</v>
      </c>
      <c r="J1564" s="19" t="s">
        <v>217</v>
      </c>
      <c r="K1564" s="18">
        <v>46101.793587962966</v>
      </c>
    </row>
    <row r="1565" spans="1:11" x14ac:dyDescent="0.25">
      <c r="A1565" s="16" t="s">
        <v>2016</v>
      </c>
      <c r="B1565" s="20">
        <v>46095</v>
      </c>
      <c r="C1565" s="16">
        <v>3</v>
      </c>
      <c r="D1565" s="19" t="s">
        <v>31</v>
      </c>
      <c r="E1565" s="19" t="s">
        <v>453</v>
      </c>
      <c r="G1565" s="19">
        <v>39</v>
      </c>
      <c r="H1565" s="19" t="s">
        <v>215</v>
      </c>
      <c r="I1565" s="19" t="s">
        <v>216</v>
      </c>
      <c r="J1565" s="19" t="s">
        <v>217</v>
      </c>
      <c r="K1565" s="18">
        <v>46101.793622685182</v>
      </c>
    </row>
    <row r="1566" spans="1:11" x14ac:dyDescent="0.25">
      <c r="A1566" s="16" t="s">
        <v>2017</v>
      </c>
      <c r="B1566" s="20">
        <v>46095</v>
      </c>
      <c r="C1566" s="16">
        <v>3</v>
      </c>
      <c r="D1566" s="19" t="s">
        <v>29</v>
      </c>
      <c r="E1566" s="19" t="s">
        <v>453</v>
      </c>
      <c r="G1566" s="19">
        <v>77</v>
      </c>
      <c r="H1566" s="19" t="s">
        <v>215</v>
      </c>
      <c r="I1566" s="19" t="s">
        <v>246</v>
      </c>
      <c r="J1566" s="19" t="s">
        <v>217</v>
      </c>
      <c r="K1566" s="18">
        <v>46101.793738425928</v>
      </c>
    </row>
    <row r="1567" spans="1:11" x14ac:dyDescent="0.25">
      <c r="A1567" s="16" t="s">
        <v>2018</v>
      </c>
      <c r="B1567" s="20">
        <v>46095</v>
      </c>
      <c r="C1567" s="16">
        <v>3</v>
      </c>
      <c r="D1567" s="19" t="s">
        <v>29</v>
      </c>
      <c r="E1567" s="19" t="s">
        <v>453</v>
      </c>
      <c r="G1567" s="19">
        <v>60</v>
      </c>
      <c r="H1567" s="19" t="s">
        <v>215</v>
      </c>
      <c r="I1567" s="19" t="s">
        <v>246</v>
      </c>
      <c r="J1567" s="19" t="s">
        <v>217</v>
      </c>
      <c r="K1567" s="18">
        <v>46101.793761574074</v>
      </c>
    </row>
    <row r="1568" spans="1:11" x14ac:dyDescent="0.25">
      <c r="A1568" s="16" t="s">
        <v>2019</v>
      </c>
      <c r="B1568" s="20">
        <v>46095</v>
      </c>
      <c r="C1568" s="16">
        <v>3</v>
      </c>
      <c r="D1568" s="19" t="s">
        <v>29</v>
      </c>
      <c r="E1568" s="19" t="s">
        <v>453</v>
      </c>
      <c r="G1568" s="19">
        <v>84</v>
      </c>
      <c r="H1568" s="19" t="s">
        <v>215</v>
      </c>
      <c r="I1568" s="19" t="s">
        <v>246</v>
      </c>
      <c r="J1568" s="19" t="s">
        <v>217</v>
      </c>
      <c r="K1568" s="18">
        <v>46101.79378472222</v>
      </c>
    </row>
    <row r="1569" spans="1:11" x14ac:dyDescent="0.25">
      <c r="A1569" s="16" t="s">
        <v>2020</v>
      </c>
      <c r="B1569" s="20">
        <v>46095</v>
      </c>
      <c r="C1569" s="16">
        <v>3</v>
      </c>
      <c r="D1569" s="19" t="s">
        <v>33</v>
      </c>
      <c r="E1569" s="19" t="s">
        <v>453</v>
      </c>
      <c r="G1569" s="19">
        <v>2</v>
      </c>
      <c r="H1569" s="19" t="s">
        <v>215</v>
      </c>
      <c r="I1569" s="19" t="s">
        <v>246</v>
      </c>
      <c r="J1569" s="19" t="s">
        <v>217</v>
      </c>
      <c r="K1569" s="18">
        <v>46101.794016203705</v>
      </c>
    </row>
    <row r="1570" spans="1:11" x14ac:dyDescent="0.25">
      <c r="A1570" s="16" t="s">
        <v>2021</v>
      </c>
      <c r="B1570" s="20">
        <v>46095</v>
      </c>
      <c r="C1570" s="16">
        <v>3</v>
      </c>
      <c r="D1570" s="19" t="s">
        <v>33</v>
      </c>
      <c r="E1570" s="19" t="s">
        <v>453</v>
      </c>
      <c r="G1570" s="19">
        <v>6</v>
      </c>
      <c r="H1570" s="19" t="s">
        <v>427</v>
      </c>
      <c r="I1570" s="19" t="s">
        <v>216</v>
      </c>
      <c r="J1570" s="19" t="s">
        <v>217</v>
      </c>
      <c r="K1570" s="18">
        <v>46101.794108796297</v>
      </c>
    </row>
    <row r="1571" spans="1:11" x14ac:dyDescent="0.25">
      <c r="A1571" s="16" t="s">
        <v>2022</v>
      </c>
      <c r="B1571" s="20">
        <v>46095</v>
      </c>
      <c r="C1571" s="16">
        <v>3</v>
      </c>
      <c r="D1571" s="19" t="s">
        <v>33</v>
      </c>
      <c r="E1571" s="19" t="s">
        <v>453</v>
      </c>
      <c r="G1571" s="19">
        <v>3</v>
      </c>
      <c r="H1571" s="19" t="s">
        <v>215</v>
      </c>
      <c r="I1571" s="19" t="s">
        <v>246</v>
      </c>
      <c r="J1571" s="19" t="s">
        <v>217</v>
      </c>
      <c r="K1571" s="18">
        <v>46101.794189814813</v>
      </c>
    </row>
    <row r="1572" spans="1:11" x14ac:dyDescent="0.25">
      <c r="A1572" s="16" t="s">
        <v>2023</v>
      </c>
      <c r="B1572" s="20">
        <v>46095</v>
      </c>
      <c r="C1572" s="16">
        <v>3</v>
      </c>
      <c r="D1572" s="19" t="s">
        <v>33</v>
      </c>
      <c r="E1572" s="19" t="s">
        <v>453</v>
      </c>
      <c r="G1572" s="19">
        <v>2</v>
      </c>
      <c r="H1572" s="19" t="s">
        <v>215</v>
      </c>
      <c r="I1572" s="19" t="s">
        <v>216</v>
      </c>
      <c r="J1572" s="19" t="s">
        <v>217</v>
      </c>
      <c r="K1572" s="18">
        <v>46101.794247685182</v>
      </c>
    </row>
    <row r="1573" spans="1:11" x14ac:dyDescent="0.25">
      <c r="A1573" s="16" t="s">
        <v>2024</v>
      </c>
      <c r="B1573" s="20">
        <v>46095</v>
      </c>
      <c r="C1573" s="16">
        <v>3</v>
      </c>
      <c r="D1573" s="19" t="s">
        <v>37</v>
      </c>
      <c r="E1573" s="19" t="s">
        <v>453</v>
      </c>
      <c r="G1573" s="19">
        <v>40</v>
      </c>
      <c r="H1573" s="19" t="s">
        <v>215</v>
      </c>
      <c r="I1573" s="19" t="s">
        <v>216</v>
      </c>
      <c r="J1573" s="19" t="s">
        <v>217</v>
      </c>
      <c r="K1573" s="18">
        <v>46101.794386574074</v>
      </c>
    </row>
    <row r="1574" spans="1:11" x14ac:dyDescent="0.25">
      <c r="A1574" s="16" t="s">
        <v>2025</v>
      </c>
      <c r="B1574" s="20">
        <v>46095</v>
      </c>
      <c r="C1574" s="16">
        <v>3</v>
      </c>
      <c r="D1574" s="19" t="s">
        <v>37</v>
      </c>
      <c r="E1574" s="19" t="s">
        <v>453</v>
      </c>
      <c r="G1574" s="19">
        <v>39</v>
      </c>
      <c r="H1574" s="19" t="s">
        <v>215</v>
      </c>
      <c r="I1574" s="19" t="s">
        <v>216</v>
      </c>
      <c r="J1574" s="19" t="s">
        <v>217</v>
      </c>
      <c r="K1574" s="18">
        <v>46101.794409722221</v>
      </c>
    </row>
    <row r="1575" spans="1:11" x14ac:dyDescent="0.25">
      <c r="A1575" s="16" t="s">
        <v>2026</v>
      </c>
      <c r="B1575" s="20">
        <v>46095</v>
      </c>
      <c r="C1575" s="16">
        <v>3</v>
      </c>
      <c r="D1575" s="19" t="s">
        <v>37</v>
      </c>
      <c r="E1575" s="19" t="s">
        <v>453</v>
      </c>
      <c r="G1575" s="19">
        <v>37</v>
      </c>
      <c r="H1575" s="19" t="s">
        <v>215</v>
      </c>
      <c r="I1575" s="19" t="s">
        <v>216</v>
      </c>
      <c r="J1575" s="19" t="s">
        <v>217</v>
      </c>
      <c r="K1575" s="18">
        <v>46101.794432870367</v>
      </c>
    </row>
    <row r="1576" spans="1:11" x14ac:dyDescent="0.25">
      <c r="A1576" s="16" t="s">
        <v>2027</v>
      </c>
      <c r="B1576" s="20">
        <v>46095</v>
      </c>
      <c r="C1576" s="16">
        <v>3</v>
      </c>
      <c r="D1576" s="19" t="s">
        <v>37</v>
      </c>
      <c r="E1576" s="19" t="s">
        <v>453</v>
      </c>
      <c r="G1576" s="19">
        <v>32</v>
      </c>
      <c r="H1576" s="19" t="s">
        <v>215</v>
      </c>
      <c r="I1576" s="19" t="s">
        <v>216</v>
      </c>
      <c r="J1576" s="19" t="s">
        <v>217</v>
      </c>
      <c r="K1576" s="18">
        <v>46101.794444444444</v>
      </c>
    </row>
    <row r="1577" spans="1:11" x14ac:dyDescent="0.25">
      <c r="A1577" s="16" t="s">
        <v>2028</v>
      </c>
      <c r="B1577" s="20">
        <v>46095</v>
      </c>
      <c r="C1577" s="16">
        <v>3</v>
      </c>
      <c r="D1577" s="19" t="s">
        <v>39</v>
      </c>
      <c r="E1577" s="19" t="s">
        <v>453</v>
      </c>
      <c r="G1577" s="19">
        <v>20</v>
      </c>
      <c r="H1577" s="19" t="s">
        <v>215</v>
      </c>
      <c r="I1577" s="19" t="s">
        <v>216</v>
      </c>
      <c r="J1577" s="19" t="s">
        <v>217</v>
      </c>
      <c r="K1577" s="18">
        <v>46101.794560185182</v>
      </c>
    </row>
    <row r="1578" spans="1:11" x14ac:dyDescent="0.25">
      <c r="A1578" s="16" t="s">
        <v>2029</v>
      </c>
      <c r="B1578" s="20">
        <v>46095</v>
      </c>
      <c r="C1578" s="16">
        <v>3</v>
      </c>
      <c r="D1578" s="19" t="s">
        <v>43</v>
      </c>
      <c r="E1578" s="19" t="s">
        <v>453</v>
      </c>
      <c r="G1578" s="19">
        <v>63</v>
      </c>
      <c r="H1578" s="19" t="s">
        <v>215</v>
      </c>
      <c r="I1578" s="19" t="s">
        <v>246</v>
      </c>
      <c r="J1578" s="19" t="s">
        <v>217</v>
      </c>
      <c r="K1578" s="18">
        <v>46101.79482638889</v>
      </c>
    </row>
    <row r="1579" spans="1:11" x14ac:dyDescent="0.25">
      <c r="A1579" s="16" t="s">
        <v>2030</v>
      </c>
      <c r="B1579" s="20">
        <v>46095</v>
      </c>
      <c r="C1579" s="16">
        <v>3</v>
      </c>
      <c r="D1579" s="19" t="s">
        <v>43</v>
      </c>
      <c r="E1579" s="19" t="s">
        <v>453</v>
      </c>
      <c r="G1579" s="19">
        <v>43</v>
      </c>
      <c r="H1579" s="19" t="s">
        <v>215</v>
      </c>
      <c r="I1579" s="19" t="s">
        <v>246</v>
      </c>
      <c r="J1579" s="19" t="s">
        <v>217</v>
      </c>
      <c r="K1579" s="18">
        <v>46101.79483796296</v>
      </c>
    </row>
    <row r="1580" spans="1:11" x14ac:dyDescent="0.25">
      <c r="A1580" s="16" t="s">
        <v>2031</v>
      </c>
      <c r="B1580" s="20">
        <v>46095</v>
      </c>
      <c r="C1580" s="16">
        <v>3</v>
      </c>
      <c r="D1580" s="19" t="s">
        <v>45</v>
      </c>
      <c r="E1580" s="19" t="s">
        <v>453</v>
      </c>
      <c r="G1580" s="19">
        <v>26</v>
      </c>
      <c r="H1580" s="19" t="s">
        <v>215</v>
      </c>
      <c r="I1580" s="19" t="s">
        <v>246</v>
      </c>
      <c r="J1580" s="19" t="s">
        <v>217</v>
      </c>
      <c r="K1580" s="18">
        <v>46101.794953703706</v>
      </c>
    </row>
    <row r="1581" spans="1:11" x14ac:dyDescent="0.25">
      <c r="A1581" s="16" t="s">
        <v>2032</v>
      </c>
      <c r="B1581" s="20">
        <v>46095</v>
      </c>
      <c r="C1581" s="16">
        <v>3</v>
      </c>
      <c r="D1581" s="19" t="s">
        <v>45</v>
      </c>
      <c r="E1581" s="19" t="s">
        <v>453</v>
      </c>
      <c r="G1581" s="19">
        <v>72</v>
      </c>
      <c r="H1581" s="19" t="s">
        <v>215</v>
      </c>
      <c r="I1581" s="19" t="s">
        <v>246</v>
      </c>
      <c r="J1581" s="19" t="s">
        <v>217</v>
      </c>
      <c r="K1581" s="18">
        <v>46101.794976851852</v>
      </c>
    </row>
    <row r="1582" spans="1:11" x14ac:dyDescent="0.25">
      <c r="A1582" s="16" t="s">
        <v>2033</v>
      </c>
      <c r="B1582" s="20">
        <v>46094</v>
      </c>
      <c r="C1582" s="16">
        <v>3</v>
      </c>
      <c r="D1582" s="19" t="s">
        <v>29</v>
      </c>
      <c r="E1582" s="19" t="s">
        <v>453</v>
      </c>
      <c r="G1582" s="19">
        <v>40</v>
      </c>
      <c r="H1582" s="19" t="s">
        <v>215</v>
      </c>
      <c r="I1582" s="19" t="s">
        <v>246</v>
      </c>
      <c r="J1582" s="19" t="s">
        <v>217</v>
      </c>
      <c r="K1582" s="18">
        <v>46101.795405092591</v>
      </c>
    </row>
    <row r="1583" spans="1:11" x14ac:dyDescent="0.25">
      <c r="A1583" s="16" t="s">
        <v>2034</v>
      </c>
      <c r="B1583" s="20">
        <v>46094</v>
      </c>
      <c r="C1583" s="16">
        <v>3</v>
      </c>
      <c r="D1583" s="19" t="s">
        <v>29</v>
      </c>
      <c r="E1583" s="19" t="s">
        <v>453</v>
      </c>
      <c r="G1583" s="19">
        <v>30</v>
      </c>
      <c r="H1583" s="19" t="s">
        <v>215</v>
      </c>
      <c r="I1583" s="19" t="s">
        <v>246</v>
      </c>
      <c r="J1583" s="19" t="s">
        <v>217</v>
      </c>
      <c r="K1583" s="18">
        <v>46101.795428240737</v>
      </c>
    </row>
    <row r="1584" spans="1:11" x14ac:dyDescent="0.25">
      <c r="A1584" s="16" t="s">
        <v>2035</v>
      </c>
      <c r="B1584" s="20">
        <v>46094</v>
      </c>
      <c r="C1584" s="16">
        <v>3</v>
      </c>
      <c r="D1584" s="19" t="s">
        <v>31</v>
      </c>
      <c r="E1584" s="19" t="s">
        <v>453</v>
      </c>
      <c r="G1584" s="19">
        <v>57</v>
      </c>
      <c r="H1584" s="19" t="s">
        <v>215</v>
      </c>
      <c r="I1584" s="19" t="s">
        <v>216</v>
      </c>
      <c r="J1584" s="19" t="s">
        <v>217</v>
      </c>
      <c r="K1584" s="18">
        <v>46101.795601851853</v>
      </c>
    </row>
    <row r="1585" spans="1:11" x14ac:dyDescent="0.25">
      <c r="A1585" s="16" t="s">
        <v>2036</v>
      </c>
      <c r="B1585" s="20">
        <v>46094</v>
      </c>
      <c r="C1585" s="16">
        <v>3</v>
      </c>
      <c r="D1585" s="19" t="s">
        <v>35</v>
      </c>
      <c r="E1585" s="19" t="s">
        <v>453</v>
      </c>
      <c r="G1585" s="19">
        <v>31</v>
      </c>
      <c r="H1585" s="19" t="s">
        <v>215</v>
      </c>
      <c r="I1585" s="19" t="s">
        <v>216</v>
      </c>
      <c r="J1585" s="19" t="s">
        <v>217</v>
      </c>
      <c r="K1585" s="18">
        <v>46101.795787037037</v>
      </c>
    </row>
    <row r="1586" spans="1:11" x14ac:dyDescent="0.25">
      <c r="A1586" s="16" t="s">
        <v>2037</v>
      </c>
      <c r="B1586" s="20">
        <v>46094</v>
      </c>
      <c r="C1586" s="16">
        <v>3</v>
      </c>
      <c r="D1586" s="19" t="s">
        <v>35</v>
      </c>
      <c r="E1586" s="19" t="s">
        <v>453</v>
      </c>
      <c r="G1586" s="19">
        <v>33</v>
      </c>
      <c r="H1586" s="19" t="s">
        <v>215</v>
      </c>
      <c r="I1586" s="19" t="s">
        <v>216</v>
      </c>
      <c r="J1586" s="19" t="s">
        <v>217</v>
      </c>
      <c r="K1586" s="18">
        <v>46101.795810185184</v>
      </c>
    </row>
    <row r="1587" spans="1:11" x14ac:dyDescent="0.25">
      <c r="A1587" s="16" t="s">
        <v>2038</v>
      </c>
      <c r="B1587" s="20">
        <v>46094</v>
      </c>
      <c r="C1587" s="16">
        <v>3</v>
      </c>
      <c r="D1587" s="19" t="s">
        <v>35</v>
      </c>
      <c r="E1587" s="19" t="s">
        <v>453</v>
      </c>
      <c r="G1587" s="19">
        <v>30</v>
      </c>
      <c r="H1587" s="19" t="s">
        <v>215</v>
      </c>
      <c r="I1587" s="19" t="s">
        <v>216</v>
      </c>
      <c r="J1587" s="19" t="s">
        <v>217</v>
      </c>
      <c r="K1587" s="18">
        <v>46101.79582175926</v>
      </c>
    </row>
    <row r="1588" spans="1:11" x14ac:dyDescent="0.25">
      <c r="A1588" s="16" t="s">
        <v>2039</v>
      </c>
      <c r="B1588" s="20">
        <v>46094</v>
      </c>
      <c r="C1588" s="16">
        <v>3</v>
      </c>
      <c r="D1588" s="19" t="s">
        <v>37</v>
      </c>
      <c r="E1588" s="19" t="s">
        <v>453</v>
      </c>
      <c r="G1588" s="19">
        <v>36</v>
      </c>
      <c r="H1588" s="19" t="s">
        <v>215</v>
      </c>
      <c r="I1588" s="19" t="s">
        <v>216</v>
      </c>
      <c r="J1588" s="19" t="s">
        <v>217</v>
      </c>
      <c r="K1588" s="18">
        <v>46101.795937499999</v>
      </c>
    </row>
    <row r="1589" spans="1:11" x14ac:dyDescent="0.25">
      <c r="A1589" s="16" t="s">
        <v>2040</v>
      </c>
      <c r="B1589" s="20">
        <v>46094</v>
      </c>
      <c r="C1589" s="16">
        <v>3</v>
      </c>
      <c r="D1589" s="19" t="s">
        <v>37</v>
      </c>
      <c r="E1589" s="19" t="s">
        <v>453</v>
      </c>
      <c r="G1589" s="19">
        <v>28</v>
      </c>
      <c r="H1589" s="19" t="s">
        <v>215</v>
      </c>
      <c r="I1589" s="19" t="s">
        <v>216</v>
      </c>
      <c r="J1589" s="19" t="s">
        <v>217</v>
      </c>
      <c r="K1589" s="18">
        <v>46101.795960648145</v>
      </c>
    </row>
    <row r="1590" spans="1:11" x14ac:dyDescent="0.25">
      <c r="A1590" s="16" t="s">
        <v>2041</v>
      </c>
      <c r="B1590" s="20">
        <v>46094</v>
      </c>
      <c r="C1590" s="16">
        <v>3</v>
      </c>
      <c r="D1590" s="19" t="s">
        <v>37</v>
      </c>
      <c r="E1590" s="19" t="s">
        <v>453</v>
      </c>
      <c r="G1590" s="19">
        <v>26</v>
      </c>
      <c r="H1590" s="19" t="s">
        <v>215</v>
      </c>
      <c r="I1590" s="19" t="s">
        <v>216</v>
      </c>
      <c r="J1590" s="19" t="s">
        <v>217</v>
      </c>
      <c r="K1590" s="18">
        <v>46101.795995370368</v>
      </c>
    </row>
    <row r="1591" spans="1:11" x14ac:dyDescent="0.25">
      <c r="A1591" s="16" t="s">
        <v>2042</v>
      </c>
      <c r="B1591" s="20">
        <v>46094</v>
      </c>
      <c r="C1591" s="16">
        <v>3</v>
      </c>
      <c r="D1591" s="19" t="s">
        <v>37</v>
      </c>
      <c r="E1591" s="19" t="s">
        <v>453</v>
      </c>
      <c r="G1591" s="19">
        <v>29</v>
      </c>
      <c r="H1591" s="19" t="s">
        <v>215</v>
      </c>
      <c r="I1591" s="19" t="s">
        <v>216</v>
      </c>
      <c r="J1591" s="19" t="s">
        <v>217</v>
      </c>
      <c r="K1591" s="18">
        <v>46101.796018518522</v>
      </c>
    </row>
    <row r="1592" spans="1:11" x14ac:dyDescent="0.25">
      <c r="A1592" s="16" t="s">
        <v>2043</v>
      </c>
      <c r="B1592" s="20">
        <v>46094</v>
      </c>
      <c r="C1592" s="16">
        <v>3</v>
      </c>
      <c r="D1592" s="19" t="s">
        <v>37</v>
      </c>
      <c r="E1592" s="19" t="s">
        <v>453</v>
      </c>
      <c r="G1592" s="19">
        <v>37</v>
      </c>
      <c r="H1592" s="19" t="s">
        <v>215</v>
      </c>
      <c r="I1592" s="19" t="s">
        <v>216</v>
      </c>
      <c r="J1592" s="19" t="s">
        <v>217</v>
      </c>
      <c r="K1592" s="18">
        <v>46101.796041666668</v>
      </c>
    </row>
    <row r="1593" spans="1:11" x14ac:dyDescent="0.25">
      <c r="A1593" s="16" t="s">
        <v>2044</v>
      </c>
      <c r="B1593" s="20">
        <v>46094</v>
      </c>
      <c r="C1593" s="16">
        <v>3</v>
      </c>
      <c r="D1593" s="19" t="s">
        <v>37</v>
      </c>
      <c r="E1593" s="19" t="s">
        <v>453</v>
      </c>
      <c r="G1593" s="19">
        <v>30</v>
      </c>
      <c r="H1593" s="19" t="s">
        <v>215</v>
      </c>
      <c r="I1593" s="19" t="s">
        <v>216</v>
      </c>
      <c r="J1593" s="19" t="s">
        <v>217</v>
      </c>
      <c r="K1593" s="18">
        <v>46101.796064814815</v>
      </c>
    </row>
    <row r="1594" spans="1:11" x14ac:dyDescent="0.25">
      <c r="A1594" s="16" t="s">
        <v>2045</v>
      </c>
      <c r="B1594" s="20">
        <v>46094</v>
      </c>
      <c r="C1594" s="16">
        <v>3</v>
      </c>
      <c r="D1594" s="19" t="s">
        <v>39</v>
      </c>
      <c r="E1594" s="19" t="s">
        <v>453</v>
      </c>
      <c r="G1594" s="19">
        <v>38</v>
      </c>
      <c r="H1594" s="19" t="s">
        <v>215</v>
      </c>
      <c r="I1594" s="19" t="s">
        <v>216</v>
      </c>
      <c r="J1594" s="19" t="s">
        <v>217</v>
      </c>
      <c r="K1594" s="18">
        <v>46101.796180555553</v>
      </c>
    </row>
    <row r="1595" spans="1:11" x14ac:dyDescent="0.25">
      <c r="A1595" s="16" t="s">
        <v>2046</v>
      </c>
      <c r="B1595" s="20">
        <v>46094</v>
      </c>
      <c r="C1595" s="16">
        <v>3</v>
      </c>
      <c r="D1595" s="19" t="s">
        <v>39</v>
      </c>
      <c r="E1595" s="19" t="s">
        <v>453</v>
      </c>
      <c r="G1595" s="19">
        <v>18</v>
      </c>
      <c r="H1595" s="19" t="s">
        <v>215</v>
      </c>
      <c r="I1595" s="19" t="s">
        <v>216</v>
      </c>
      <c r="J1595" s="19" t="s">
        <v>217</v>
      </c>
      <c r="K1595" s="18">
        <v>46101.796203703707</v>
      </c>
    </row>
    <row r="1596" spans="1:11" x14ac:dyDescent="0.25">
      <c r="A1596" s="16" t="s">
        <v>2047</v>
      </c>
      <c r="B1596" s="20">
        <v>46094</v>
      </c>
      <c r="C1596" s="16">
        <v>3</v>
      </c>
      <c r="D1596" s="19" t="s">
        <v>39</v>
      </c>
      <c r="E1596" s="19" t="s">
        <v>453</v>
      </c>
      <c r="G1596" s="19">
        <v>17</v>
      </c>
      <c r="H1596" s="19" t="s">
        <v>215</v>
      </c>
      <c r="I1596" s="19" t="s">
        <v>216</v>
      </c>
      <c r="J1596" s="19" t="s">
        <v>217</v>
      </c>
      <c r="K1596" s="18">
        <v>46101.796215277776</v>
      </c>
    </row>
    <row r="1597" spans="1:11" x14ac:dyDescent="0.25">
      <c r="A1597" s="16" t="s">
        <v>2048</v>
      </c>
      <c r="B1597" s="20">
        <v>46094</v>
      </c>
      <c r="C1597" s="16">
        <v>3</v>
      </c>
      <c r="D1597" s="19" t="s">
        <v>39</v>
      </c>
      <c r="E1597" s="19" t="s">
        <v>453</v>
      </c>
      <c r="G1597" s="19">
        <v>31</v>
      </c>
      <c r="H1597" s="19" t="s">
        <v>215</v>
      </c>
      <c r="I1597" s="19" t="s">
        <v>216</v>
      </c>
      <c r="J1597" s="19" t="s">
        <v>217</v>
      </c>
      <c r="K1597" s="18">
        <v>46101.796238425923</v>
      </c>
    </row>
    <row r="1598" spans="1:11" x14ac:dyDescent="0.25">
      <c r="A1598" s="16" t="s">
        <v>2049</v>
      </c>
      <c r="B1598" s="20">
        <v>46094</v>
      </c>
      <c r="C1598" s="16">
        <v>3</v>
      </c>
      <c r="D1598" s="19" t="s">
        <v>41</v>
      </c>
      <c r="E1598" s="19" t="s">
        <v>453</v>
      </c>
      <c r="G1598" s="19">
        <v>7</v>
      </c>
      <c r="H1598" s="19" t="s">
        <v>306</v>
      </c>
      <c r="I1598" s="19" t="s">
        <v>216</v>
      </c>
      <c r="J1598" s="19" t="s">
        <v>217</v>
      </c>
      <c r="K1598" s="18">
        <v>46101.796446759261</v>
      </c>
    </row>
    <row r="1599" spans="1:11" x14ac:dyDescent="0.25">
      <c r="A1599" s="16" t="s">
        <v>2050</v>
      </c>
      <c r="B1599" s="20">
        <v>46094</v>
      </c>
      <c r="C1599" s="16">
        <v>3</v>
      </c>
      <c r="D1599" s="19" t="s">
        <v>41</v>
      </c>
      <c r="E1599" s="19" t="s">
        <v>453</v>
      </c>
      <c r="G1599" s="19">
        <v>0</v>
      </c>
      <c r="H1599" s="19" t="s">
        <v>306</v>
      </c>
      <c r="I1599" s="19" t="s">
        <v>246</v>
      </c>
      <c r="J1599" s="19" t="s">
        <v>217</v>
      </c>
      <c r="K1599" s="18">
        <v>46101.796527777777</v>
      </c>
    </row>
    <row r="1600" spans="1:11" x14ac:dyDescent="0.25">
      <c r="A1600" s="16" t="s">
        <v>2051</v>
      </c>
      <c r="B1600" s="20">
        <v>46094</v>
      </c>
      <c r="C1600" s="16">
        <v>3</v>
      </c>
      <c r="D1600" s="19" t="s">
        <v>43</v>
      </c>
      <c r="E1600" s="19" t="s">
        <v>453</v>
      </c>
      <c r="G1600" s="19">
        <v>30</v>
      </c>
      <c r="H1600" s="19" t="s">
        <v>215</v>
      </c>
      <c r="I1600" s="19" t="s">
        <v>246</v>
      </c>
      <c r="J1600" s="19" t="s">
        <v>217</v>
      </c>
      <c r="K1600" s="18">
        <v>46101.796724537038</v>
      </c>
    </row>
    <row r="1601" spans="1:11" x14ac:dyDescent="0.25">
      <c r="A1601" s="16" t="s">
        <v>2052</v>
      </c>
      <c r="B1601" s="20">
        <v>46094</v>
      </c>
      <c r="C1601" s="16">
        <v>3</v>
      </c>
      <c r="D1601" s="19" t="s">
        <v>43</v>
      </c>
      <c r="E1601" s="19" t="s">
        <v>453</v>
      </c>
      <c r="G1601" s="19">
        <v>56</v>
      </c>
      <c r="H1601" s="19" t="s">
        <v>215</v>
      </c>
      <c r="I1601" s="19" t="s">
        <v>246</v>
      </c>
      <c r="J1601" s="19" t="s">
        <v>217</v>
      </c>
      <c r="K1601" s="18">
        <v>46101.796782407408</v>
      </c>
    </row>
    <row r="1602" spans="1:11" x14ac:dyDescent="0.25">
      <c r="A1602" s="16" t="s">
        <v>2053</v>
      </c>
      <c r="B1602" s="20">
        <v>46094</v>
      </c>
      <c r="C1602" s="16">
        <v>3</v>
      </c>
      <c r="D1602" s="19" t="s">
        <v>45</v>
      </c>
      <c r="E1602" s="19" t="s">
        <v>453</v>
      </c>
      <c r="G1602" s="19">
        <v>71</v>
      </c>
      <c r="H1602" s="19" t="s">
        <v>215</v>
      </c>
      <c r="I1602" s="19" t="s">
        <v>216</v>
      </c>
      <c r="J1602" s="19" t="s">
        <v>217</v>
      </c>
      <c r="K1602" s="18">
        <v>46101.796898148146</v>
      </c>
    </row>
    <row r="1603" spans="1:11" x14ac:dyDescent="0.25">
      <c r="A1603" s="16" t="s">
        <v>2054</v>
      </c>
      <c r="B1603" s="20">
        <v>46094</v>
      </c>
      <c r="C1603" s="16">
        <v>3</v>
      </c>
      <c r="D1603" s="19" t="s">
        <v>45</v>
      </c>
      <c r="E1603" s="19" t="s">
        <v>453</v>
      </c>
      <c r="G1603" s="19">
        <v>53</v>
      </c>
      <c r="H1603" s="19" t="s">
        <v>215</v>
      </c>
      <c r="I1603" s="19" t="s">
        <v>216</v>
      </c>
      <c r="J1603" s="19" t="s">
        <v>217</v>
      </c>
      <c r="K1603" s="18">
        <v>46101.7969212963</v>
      </c>
    </row>
    <row r="1604" spans="1:11" x14ac:dyDescent="0.25">
      <c r="A1604" s="16" t="s">
        <v>2055</v>
      </c>
      <c r="B1604" s="20">
        <v>46096</v>
      </c>
      <c r="C1604" s="16">
        <v>3</v>
      </c>
      <c r="D1604" s="19" t="s">
        <v>29</v>
      </c>
      <c r="E1604" s="19" t="s">
        <v>453</v>
      </c>
      <c r="G1604" s="19">
        <v>56</v>
      </c>
      <c r="H1604" s="19" t="s">
        <v>215</v>
      </c>
      <c r="I1604" s="19" t="s">
        <v>246</v>
      </c>
      <c r="J1604" s="19" t="s">
        <v>217</v>
      </c>
      <c r="K1604" s="18">
        <v>46101.798078703701</v>
      </c>
    </row>
    <row r="1605" spans="1:11" x14ac:dyDescent="0.25">
      <c r="A1605" s="16" t="s">
        <v>2056</v>
      </c>
      <c r="B1605" s="20">
        <v>46096</v>
      </c>
      <c r="C1605" s="16">
        <v>3</v>
      </c>
      <c r="D1605" s="19" t="s">
        <v>29</v>
      </c>
      <c r="E1605" s="19" t="s">
        <v>453</v>
      </c>
      <c r="G1605" s="19">
        <v>51</v>
      </c>
      <c r="H1605" s="19" t="s">
        <v>215</v>
      </c>
      <c r="I1605" s="19" t="s">
        <v>246</v>
      </c>
      <c r="J1605" s="19" t="s">
        <v>217</v>
      </c>
      <c r="K1605" s="18">
        <v>46101.798148148147</v>
      </c>
    </row>
    <row r="1606" spans="1:11" x14ac:dyDescent="0.25">
      <c r="A1606" s="16" t="s">
        <v>2057</v>
      </c>
      <c r="B1606" s="20">
        <v>46096</v>
      </c>
      <c r="C1606" s="16">
        <v>3</v>
      </c>
      <c r="D1606" s="19" t="s">
        <v>29</v>
      </c>
      <c r="E1606" s="19" t="s">
        <v>453</v>
      </c>
      <c r="G1606" s="19">
        <v>50</v>
      </c>
      <c r="H1606" s="19" t="s">
        <v>215</v>
      </c>
      <c r="I1606" s="19" t="s">
        <v>246</v>
      </c>
      <c r="J1606" s="19" t="s">
        <v>217</v>
      </c>
      <c r="K1606" s="18">
        <v>46101.798171296294</v>
      </c>
    </row>
    <row r="1607" spans="1:11" x14ac:dyDescent="0.25">
      <c r="A1607" s="16" t="s">
        <v>2058</v>
      </c>
      <c r="B1607" s="20">
        <v>46085</v>
      </c>
      <c r="C1607" s="16">
        <v>3</v>
      </c>
      <c r="D1607" s="19" t="s">
        <v>29</v>
      </c>
      <c r="E1607" s="19" t="s">
        <v>453</v>
      </c>
      <c r="G1607" s="19">
        <v>15</v>
      </c>
      <c r="H1607" s="19" t="s">
        <v>215</v>
      </c>
      <c r="I1607" s="19" t="s">
        <v>246</v>
      </c>
      <c r="J1607" s="19" t="s">
        <v>217</v>
      </c>
      <c r="K1607" s="18">
        <v>46101.799016203702</v>
      </c>
    </row>
    <row r="1608" spans="1:11" x14ac:dyDescent="0.25">
      <c r="A1608" s="16" t="s">
        <v>2059</v>
      </c>
      <c r="B1608" s="20">
        <v>46085</v>
      </c>
      <c r="C1608" s="16">
        <v>3</v>
      </c>
      <c r="D1608" s="19" t="s">
        <v>31</v>
      </c>
      <c r="E1608" s="19" t="s">
        <v>453</v>
      </c>
      <c r="G1608" s="19">
        <v>36</v>
      </c>
      <c r="H1608" s="19" t="s">
        <v>215</v>
      </c>
      <c r="I1608" s="19" t="s">
        <v>216</v>
      </c>
      <c r="J1608" s="19" t="s">
        <v>217</v>
      </c>
      <c r="K1608" s="18">
        <v>46101.799861111111</v>
      </c>
    </row>
    <row r="1609" spans="1:11" x14ac:dyDescent="0.25">
      <c r="A1609" s="16" t="s">
        <v>2060</v>
      </c>
      <c r="B1609" s="20">
        <v>46085</v>
      </c>
      <c r="C1609" s="16">
        <v>3</v>
      </c>
      <c r="D1609" s="19" t="s">
        <v>31</v>
      </c>
      <c r="E1609" s="19" t="s">
        <v>453</v>
      </c>
      <c r="G1609" s="19">
        <v>48</v>
      </c>
      <c r="H1609" s="19" t="s">
        <v>215</v>
      </c>
      <c r="I1609" s="19" t="s">
        <v>216</v>
      </c>
      <c r="J1609" s="19" t="s">
        <v>217</v>
      </c>
      <c r="K1609" s="18">
        <v>46101.799872685187</v>
      </c>
    </row>
    <row r="1610" spans="1:11" x14ac:dyDescent="0.25">
      <c r="A1610" s="16" t="s">
        <v>2061</v>
      </c>
      <c r="B1610" s="20">
        <v>46085</v>
      </c>
      <c r="C1610" s="16">
        <v>3</v>
      </c>
      <c r="D1610" s="19" t="s">
        <v>33</v>
      </c>
      <c r="E1610" s="19" t="s">
        <v>453</v>
      </c>
      <c r="G1610" s="19">
        <v>9</v>
      </c>
      <c r="H1610" s="19" t="s">
        <v>215</v>
      </c>
      <c r="I1610" s="19" t="s">
        <v>246</v>
      </c>
      <c r="J1610" s="19" t="s">
        <v>217</v>
      </c>
      <c r="K1610" s="18">
        <v>46101.800034722219</v>
      </c>
    </row>
    <row r="1611" spans="1:11" x14ac:dyDescent="0.25">
      <c r="A1611" s="16" t="s">
        <v>2062</v>
      </c>
      <c r="B1611" s="20">
        <v>46085</v>
      </c>
      <c r="C1611" s="16">
        <v>3</v>
      </c>
      <c r="D1611" s="19" t="s">
        <v>35</v>
      </c>
      <c r="E1611" s="19" t="s">
        <v>453</v>
      </c>
      <c r="G1611" s="19">
        <v>35</v>
      </c>
      <c r="H1611" s="19" t="s">
        <v>215</v>
      </c>
      <c r="I1611" s="19" t="s">
        <v>216</v>
      </c>
      <c r="J1611" s="19" t="s">
        <v>217</v>
      </c>
      <c r="K1611" s="18">
        <v>46101.800185185188</v>
      </c>
    </row>
    <row r="1612" spans="1:11" x14ac:dyDescent="0.25">
      <c r="A1612" s="16" t="s">
        <v>2063</v>
      </c>
      <c r="B1612" s="20">
        <v>46085</v>
      </c>
      <c r="C1612" s="16">
        <v>3</v>
      </c>
      <c r="D1612" s="19" t="s">
        <v>37</v>
      </c>
      <c r="E1612" s="19" t="s">
        <v>453</v>
      </c>
      <c r="G1612" s="19">
        <v>42</v>
      </c>
      <c r="H1612" s="19" t="s">
        <v>215</v>
      </c>
      <c r="I1612" s="19" t="s">
        <v>216</v>
      </c>
      <c r="J1612" s="19" t="s">
        <v>217</v>
      </c>
      <c r="K1612" s="18">
        <v>46101.800312500003</v>
      </c>
    </row>
    <row r="1613" spans="1:11" x14ac:dyDescent="0.25">
      <c r="A1613" s="16" t="s">
        <v>2064</v>
      </c>
      <c r="B1613" s="20">
        <v>46085</v>
      </c>
      <c r="C1613" s="16">
        <v>3</v>
      </c>
      <c r="D1613" s="19" t="s">
        <v>37</v>
      </c>
      <c r="E1613" s="19" t="s">
        <v>453</v>
      </c>
      <c r="G1613" s="19">
        <v>24</v>
      </c>
      <c r="H1613" s="19" t="s">
        <v>215</v>
      </c>
      <c r="I1613" s="19" t="s">
        <v>216</v>
      </c>
      <c r="J1613" s="19" t="s">
        <v>217</v>
      </c>
      <c r="K1613" s="18">
        <v>46101.800335648149</v>
      </c>
    </row>
    <row r="1614" spans="1:11" x14ac:dyDescent="0.25">
      <c r="A1614" s="16" t="s">
        <v>2065</v>
      </c>
      <c r="B1614" s="20">
        <v>46085</v>
      </c>
      <c r="C1614" s="16">
        <v>3</v>
      </c>
      <c r="D1614" s="19" t="s">
        <v>37</v>
      </c>
      <c r="E1614" s="19" t="s">
        <v>453</v>
      </c>
      <c r="G1614" s="19">
        <v>21</v>
      </c>
      <c r="H1614" s="19" t="s">
        <v>215</v>
      </c>
      <c r="I1614" s="19" t="s">
        <v>216</v>
      </c>
      <c r="J1614" s="19" t="s">
        <v>217</v>
      </c>
      <c r="K1614" s="18">
        <v>46101.800358796296</v>
      </c>
    </row>
    <row r="1615" spans="1:11" x14ac:dyDescent="0.25">
      <c r="A1615" s="16" t="s">
        <v>2066</v>
      </c>
      <c r="B1615" s="20">
        <v>46085</v>
      </c>
      <c r="C1615" s="16">
        <v>3</v>
      </c>
      <c r="D1615" s="19" t="s">
        <v>37</v>
      </c>
      <c r="E1615" s="19" t="s">
        <v>453</v>
      </c>
      <c r="G1615" s="19">
        <v>14</v>
      </c>
      <c r="H1615" s="19" t="s">
        <v>215</v>
      </c>
      <c r="I1615" s="19" t="s">
        <v>216</v>
      </c>
      <c r="J1615" s="19" t="s">
        <v>217</v>
      </c>
      <c r="K1615" s="18">
        <v>46101.800370370373</v>
      </c>
    </row>
    <row r="1616" spans="1:11" x14ac:dyDescent="0.25">
      <c r="A1616" s="16" t="s">
        <v>2067</v>
      </c>
      <c r="B1616" s="20">
        <v>46085</v>
      </c>
      <c r="C1616" s="16">
        <v>3</v>
      </c>
      <c r="D1616" s="19" t="s">
        <v>37</v>
      </c>
      <c r="E1616" s="19" t="s">
        <v>453</v>
      </c>
      <c r="G1616" s="19">
        <v>40</v>
      </c>
      <c r="H1616" s="19" t="s">
        <v>215</v>
      </c>
      <c r="I1616" s="19" t="s">
        <v>216</v>
      </c>
      <c r="J1616" s="19" t="s">
        <v>217</v>
      </c>
      <c r="K1616" s="18">
        <v>46101.800393518519</v>
      </c>
    </row>
    <row r="1617" spans="1:11" x14ac:dyDescent="0.25">
      <c r="A1617" s="16" t="s">
        <v>2068</v>
      </c>
      <c r="B1617" s="20">
        <v>46085</v>
      </c>
      <c r="C1617" s="16">
        <v>3</v>
      </c>
      <c r="D1617" s="19" t="s">
        <v>37</v>
      </c>
      <c r="E1617" s="19" t="s">
        <v>453</v>
      </c>
      <c r="G1617" s="19">
        <v>24</v>
      </c>
      <c r="H1617" s="19" t="s">
        <v>215</v>
      </c>
      <c r="I1617" s="19" t="s">
        <v>216</v>
      </c>
      <c r="J1617" s="19" t="s">
        <v>217</v>
      </c>
      <c r="K1617" s="18">
        <v>46101.800405092596</v>
      </c>
    </row>
    <row r="1618" spans="1:11" x14ac:dyDescent="0.25">
      <c r="A1618" s="16" t="s">
        <v>2069</v>
      </c>
      <c r="B1618" s="20">
        <v>46085</v>
      </c>
      <c r="C1618" s="16">
        <v>3</v>
      </c>
      <c r="D1618" s="19" t="s">
        <v>37</v>
      </c>
      <c r="E1618" s="19" t="s">
        <v>453</v>
      </c>
      <c r="G1618" s="19">
        <v>39</v>
      </c>
      <c r="H1618" s="19" t="s">
        <v>215</v>
      </c>
      <c r="I1618" s="19" t="s">
        <v>216</v>
      </c>
      <c r="J1618" s="19" t="s">
        <v>217</v>
      </c>
      <c r="K1618" s="18">
        <v>46101.800439814811</v>
      </c>
    </row>
    <row r="1619" spans="1:11" x14ac:dyDescent="0.25">
      <c r="A1619" s="16" t="s">
        <v>2070</v>
      </c>
      <c r="B1619" s="20">
        <v>46085</v>
      </c>
      <c r="C1619" s="16">
        <v>3</v>
      </c>
      <c r="D1619" s="19" t="s">
        <v>37</v>
      </c>
      <c r="E1619" s="19" t="s">
        <v>453</v>
      </c>
      <c r="G1619" s="19">
        <v>26</v>
      </c>
      <c r="H1619" s="19" t="s">
        <v>215</v>
      </c>
      <c r="I1619" s="19" t="s">
        <v>216</v>
      </c>
      <c r="J1619" s="19" t="s">
        <v>217</v>
      </c>
      <c r="K1619" s="18">
        <v>46101.800555555557</v>
      </c>
    </row>
    <row r="1620" spans="1:11" x14ac:dyDescent="0.25">
      <c r="A1620" s="16" t="s">
        <v>2071</v>
      </c>
      <c r="B1620" s="20">
        <v>46085</v>
      </c>
      <c r="C1620" s="16">
        <v>3</v>
      </c>
      <c r="D1620" s="19" t="s">
        <v>39</v>
      </c>
      <c r="E1620" s="19" t="s">
        <v>453</v>
      </c>
      <c r="G1620" s="19">
        <v>25</v>
      </c>
      <c r="H1620" s="19" t="s">
        <v>215</v>
      </c>
      <c r="I1620" s="19" t="s">
        <v>216</v>
      </c>
      <c r="J1620" s="19" t="s">
        <v>217</v>
      </c>
      <c r="K1620" s="18">
        <v>46101.800717592596</v>
      </c>
    </row>
    <row r="1621" spans="1:11" x14ac:dyDescent="0.25">
      <c r="A1621" s="16" t="s">
        <v>2072</v>
      </c>
      <c r="B1621" s="20">
        <v>46085</v>
      </c>
      <c r="C1621" s="16">
        <v>3</v>
      </c>
      <c r="D1621" s="19" t="s">
        <v>39</v>
      </c>
      <c r="E1621" s="19" t="s">
        <v>453</v>
      </c>
      <c r="G1621" s="19">
        <v>20</v>
      </c>
      <c r="H1621" s="19" t="s">
        <v>215</v>
      </c>
      <c r="I1621" s="19" t="s">
        <v>216</v>
      </c>
      <c r="J1621" s="19" t="s">
        <v>217</v>
      </c>
      <c r="K1621" s="18">
        <v>46101.800740740742</v>
      </c>
    </row>
    <row r="1622" spans="1:11" x14ac:dyDescent="0.25">
      <c r="A1622" s="16" t="s">
        <v>2073</v>
      </c>
      <c r="B1622" s="20">
        <v>46085</v>
      </c>
      <c r="C1622" s="16">
        <v>3</v>
      </c>
      <c r="D1622" s="19" t="s">
        <v>39</v>
      </c>
      <c r="E1622" s="19" t="s">
        <v>453</v>
      </c>
      <c r="G1622" s="19">
        <v>33</v>
      </c>
      <c r="H1622" s="19" t="s">
        <v>215</v>
      </c>
      <c r="I1622" s="19" t="s">
        <v>216</v>
      </c>
      <c r="J1622" s="19" t="s">
        <v>217</v>
      </c>
      <c r="K1622" s="18">
        <v>46101.800752314812</v>
      </c>
    </row>
    <row r="1623" spans="1:11" x14ac:dyDescent="0.25">
      <c r="A1623" s="16" t="s">
        <v>2074</v>
      </c>
      <c r="B1623" s="20">
        <v>46085</v>
      </c>
      <c r="C1623" s="16">
        <v>3</v>
      </c>
      <c r="D1623" s="19" t="s">
        <v>39</v>
      </c>
      <c r="E1623" s="19" t="s">
        <v>453</v>
      </c>
      <c r="G1623" s="19">
        <v>27</v>
      </c>
      <c r="H1623" s="19" t="s">
        <v>215</v>
      </c>
      <c r="I1623" s="19" t="s">
        <v>216</v>
      </c>
      <c r="J1623" s="19" t="s">
        <v>217</v>
      </c>
      <c r="K1623" s="18">
        <v>46101.800787037035</v>
      </c>
    </row>
    <row r="1624" spans="1:11" x14ac:dyDescent="0.25">
      <c r="A1624" s="16" t="s">
        <v>2075</v>
      </c>
      <c r="B1624" s="20">
        <v>46085</v>
      </c>
      <c r="C1624" s="16">
        <v>3</v>
      </c>
      <c r="D1624" s="19" t="s">
        <v>39</v>
      </c>
      <c r="E1624" s="19" t="s">
        <v>453</v>
      </c>
      <c r="G1624" s="19">
        <v>26</v>
      </c>
      <c r="H1624" s="19" t="s">
        <v>215</v>
      </c>
      <c r="I1624" s="19" t="s">
        <v>216</v>
      </c>
      <c r="J1624" s="19" t="s">
        <v>217</v>
      </c>
      <c r="K1624" s="18">
        <v>46101.800810185188</v>
      </c>
    </row>
    <row r="1625" spans="1:11" x14ac:dyDescent="0.25">
      <c r="A1625" s="16" t="s">
        <v>2076</v>
      </c>
      <c r="B1625" s="20">
        <v>46085</v>
      </c>
      <c r="C1625" s="16">
        <v>3</v>
      </c>
      <c r="D1625" s="19" t="s">
        <v>39</v>
      </c>
      <c r="E1625" s="19" t="s">
        <v>453</v>
      </c>
      <c r="G1625" s="19">
        <v>23</v>
      </c>
      <c r="H1625" s="19" t="s">
        <v>215</v>
      </c>
      <c r="I1625" s="19" t="s">
        <v>216</v>
      </c>
      <c r="J1625" s="19" t="s">
        <v>217</v>
      </c>
      <c r="K1625" s="18">
        <v>46101.800821759258</v>
      </c>
    </row>
    <row r="1626" spans="1:11" x14ac:dyDescent="0.25">
      <c r="A1626" s="16" t="s">
        <v>2077</v>
      </c>
      <c r="B1626" s="20">
        <v>46085</v>
      </c>
      <c r="C1626" s="16">
        <v>3</v>
      </c>
      <c r="D1626" s="19" t="s">
        <v>39</v>
      </c>
      <c r="E1626" s="19" t="s">
        <v>453</v>
      </c>
      <c r="G1626" s="19">
        <v>24</v>
      </c>
      <c r="H1626" s="19" t="s">
        <v>215</v>
      </c>
      <c r="I1626" s="19" t="s">
        <v>216</v>
      </c>
      <c r="J1626" s="19" t="s">
        <v>217</v>
      </c>
      <c r="K1626" s="18">
        <v>46101.800833333335</v>
      </c>
    </row>
    <row r="1627" spans="1:11" x14ac:dyDescent="0.25">
      <c r="A1627" s="16" t="s">
        <v>2078</v>
      </c>
      <c r="B1627" s="20">
        <v>46085</v>
      </c>
      <c r="C1627" s="16">
        <v>3</v>
      </c>
      <c r="D1627" s="19" t="s">
        <v>41</v>
      </c>
      <c r="E1627" s="19" t="s">
        <v>453</v>
      </c>
      <c r="G1627" s="19">
        <v>0</v>
      </c>
      <c r="H1627" s="19" t="s">
        <v>306</v>
      </c>
      <c r="I1627" s="19" t="s">
        <v>246</v>
      </c>
      <c r="J1627" s="19" t="s">
        <v>217</v>
      </c>
      <c r="K1627" s="18">
        <v>46101.801030092596</v>
      </c>
    </row>
    <row r="1628" spans="1:11" x14ac:dyDescent="0.25">
      <c r="A1628" s="16" t="s">
        <v>2079</v>
      </c>
      <c r="B1628" s="20">
        <v>46085</v>
      </c>
      <c r="C1628" s="16">
        <v>3</v>
      </c>
      <c r="D1628" s="19" t="s">
        <v>41</v>
      </c>
      <c r="E1628" s="19" t="s">
        <v>453</v>
      </c>
      <c r="G1628" s="19">
        <v>0</v>
      </c>
      <c r="H1628" s="19" t="s">
        <v>306</v>
      </c>
      <c r="I1628" s="19" t="s">
        <v>216</v>
      </c>
      <c r="J1628" s="19" t="s">
        <v>217</v>
      </c>
      <c r="K1628" s="18">
        <v>46101.801111111112</v>
      </c>
    </row>
    <row r="1629" spans="1:11" x14ac:dyDescent="0.25">
      <c r="A1629" s="16" t="s">
        <v>2080</v>
      </c>
      <c r="B1629" s="20">
        <v>46096</v>
      </c>
      <c r="C1629" s="16">
        <v>3</v>
      </c>
      <c r="D1629" s="19" t="s">
        <v>35</v>
      </c>
      <c r="E1629" s="19" t="s">
        <v>453</v>
      </c>
      <c r="G1629" s="19">
        <v>38</v>
      </c>
      <c r="H1629" s="19" t="s">
        <v>215</v>
      </c>
      <c r="I1629" s="19" t="s">
        <v>216</v>
      </c>
      <c r="J1629" s="19" t="s">
        <v>217</v>
      </c>
      <c r="K1629" s="18">
        <v>46101.802581018521</v>
      </c>
    </row>
    <row r="1630" spans="1:11" x14ac:dyDescent="0.25">
      <c r="A1630" s="16" t="s">
        <v>2081</v>
      </c>
      <c r="B1630" s="20">
        <v>46096</v>
      </c>
      <c r="C1630" s="16">
        <v>3</v>
      </c>
      <c r="D1630" s="19" t="s">
        <v>35</v>
      </c>
      <c r="E1630" s="19" t="s">
        <v>453</v>
      </c>
      <c r="G1630" s="19">
        <v>33</v>
      </c>
      <c r="H1630" s="19" t="s">
        <v>215</v>
      </c>
      <c r="I1630" s="19" t="s">
        <v>216</v>
      </c>
      <c r="J1630" s="19" t="s">
        <v>217</v>
      </c>
      <c r="K1630" s="18">
        <v>46101.802604166667</v>
      </c>
    </row>
    <row r="1631" spans="1:11" x14ac:dyDescent="0.25">
      <c r="A1631" s="16" t="s">
        <v>2082</v>
      </c>
      <c r="B1631" s="20">
        <v>46096</v>
      </c>
      <c r="C1631" s="16">
        <v>3</v>
      </c>
      <c r="D1631" s="19" t="s">
        <v>35</v>
      </c>
      <c r="E1631" s="19" t="s">
        <v>453</v>
      </c>
      <c r="G1631" s="19">
        <v>32</v>
      </c>
      <c r="H1631" s="19" t="s">
        <v>215</v>
      </c>
      <c r="I1631" s="19" t="s">
        <v>216</v>
      </c>
      <c r="J1631" s="19" t="s">
        <v>217</v>
      </c>
      <c r="K1631" s="18">
        <v>46101.802615740744</v>
      </c>
    </row>
    <row r="1632" spans="1:11" x14ac:dyDescent="0.25">
      <c r="A1632" s="16" t="s">
        <v>2083</v>
      </c>
      <c r="B1632" s="20">
        <v>46096</v>
      </c>
      <c r="C1632" s="16">
        <v>3</v>
      </c>
      <c r="D1632" s="19" t="s">
        <v>35</v>
      </c>
      <c r="E1632" s="19" t="s">
        <v>453</v>
      </c>
      <c r="G1632" s="19">
        <v>22</v>
      </c>
      <c r="H1632" s="19" t="s">
        <v>215</v>
      </c>
      <c r="I1632" s="19" t="s">
        <v>216</v>
      </c>
      <c r="J1632" s="19" t="s">
        <v>217</v>
      </c>
      <c r="K1632" s="18">
        <v>46101.80263888889</v>
      </c>
    </row>
    <row r="1633" spans="1:11" x14ac:dyDescent="0.25">
      <c r="A1633" s="16" t="s">
        <v>2084</v>
      </c>
      <c r="B1633" s="20">
        <v>46096</v>
      </c>
      <c r="C1633" s="16">
        <v>3</v>
      </c>
      <c r="D1633" s="19" t="s">
        <v>39</v>
      </c>
      <c r="E1633" s="19" t="s">
        <v>453</v>
      </c>
      <c r="G1633" s="19">
        <v>28</v>
      </c>
      <c r="H1633" s="19" t="s">
        <v>215</v>
      </c>
      <c r="I1633" s="19" t="s">
        <v>216</v>
      </c>
      <c r="J1633" s="19" t="s">
        <v>217</v>
      </c>
      <c r="K1633" s="18">
        <v>46101.802812499998</v>
      </c>
    </row>
    <row r="1634" spans="1:11" x14ac:dyDescent="0.25">
      <c r="A1634" s="16" t="s">
        <v>2085</v>
      </c>
      <c r="B1634" s="20">
        <v>46096</v>
      </c>
      <c r="C1634" s="16">
        <v>3</v>
      </c>
      <c r="D1634" s="19" t="s">
        <v>39</v>
      </c>
      <c r="E1634" s="19" t="s">
        <v>453</v>
      </c>
      <c r="G1634" s="19">
        <v>31</v>
      </c>
      <c r="H1634" s="19" t="s">
        <v>215</v>
      </c>
      <c r="I1634" s="19" t="s">
        <v>216</v>
      </c>
      <c r="J1634" s="19" t="s">
        <v>217</v>
      </c>
      <c r="K1634" s="18">
        <v>46101.802835648145</v>
      </c>
    </row>
    <row r="1635" spans="1:11" x14ac:dyDescent="0.25">
      <c r="A1635" s="16" t="s">
        <v>2086</v>
      </c>
      <c r="B1635" s="20">
        <v>46096</v>
      </c>
      <c r="C1635" s="16">
        <v>3</v>
      </c>
      <c r="D1635" s="19" t="s">
        <v>43</v>
      </c>
      <c r="E1635" s="19" t="s">
        <v>453</v>
      </c>
      <c r="G1635" s="19">
        <v>27</v>
      </c>
      <c r="H1635" s="19" t="s">
        <v>215</v>
      </c>
      <c r="I1635" s="19" t="s">
        <v>246</v>
      </c>
      <c r="J1635" s="19" t="s">
        <v>217</v>
      </c>
      <c r="K1635" s="18">
        <v>46101.803217592591</v>
      </c>
    </row>
    <row r="1636" spans="1:11" x14ac:dyDescent="0.25">
      <c r="A1636" s="16" t="s">
        <v>2087</v>
      </c>
      <c r="B1636" s="20">
        <v>46096</v>
      </c>
      <c r="C1636" s="16">
        <v>3</v>
      </c>
      <c r="D1636" s="19" t="s">
        <v>45</v>
      </c>
      <c r="E1636" s="19" t="s">
        <v>453</v>
      </c>
      <c r="G1636" s="19">
        <v>49</v>
      </c>
      <c r="H1636" s="19" t="s">
        <v>215</v>
      </c>
      <c r="I1636" s="19" t="s">
        <v>216</v>
      </c>
      <c r="J1636" s="19" t="s">
        <v>217</v>
      </c>
      <c r="K1636" s="18">
        <v>46101.803333333337</v>
      </c>
    </row>
    <row r="1637" spans="1:11" x14ac:dyDescent="0.25">
      <c r="A1637" s="16" t="s">
        <v>2088</v>
      </c>
      <c r="B1637" s="20">
        <v>46096</v>
      </c>
      <c r="C1637" s="16">
        <v>3</v>
      </c>
      <c r="D1637" s="19" t="s">
        <v>45</v>
      </c>
      <c r="E1637" s="19" t="s">
        <v>453</v>
      </c>
      <c r="G1637" s="19">
        <v>54</v>
      </c>
      <c r="H1637" s="19" t="s">
        <v>215</v>
      </c>
      <c r="I1637" s="19" t="s">
        <v>216</v>
      </c>
      <c r="J1637" s="19" t="s">
        <v>217</v>
      </c>
      <c r="K1637" s="18">
        <v>46101.803391203706</v>
      </c>
    </row>
    <row r="1638" spans="1:11" x14ac:dyDescent="0.25">
      <c r="A1638" s="16" t="s">
        <v>2089</v>
      </c>
      <c r="B1638" s="20">
        <v>46097</v>
      </c>
      <c r="C1638" s="16">
        <v>3</v>
      </c>
      <c r="D1638" s="19" t="s">
        <v>29</v>
      </c>
      <c r="E1638" s="19" t="s">
        <v>453</v>
      </c>
      <c r="G1638" s="19">
        <v>70</v>
      </c>
      <c r="H1638" s="19" t="s">
        <v>215</v>
      </c>
      <c r="I1638" s="19" t="s">
        <v>246</v>
      </c>
      <c r="J1638" s="19" t="s">
        <v>217</v>
      </c>
      <c r="K1638" s="18">
        <v>46107.470856481479</v>
      </c>
    </row>
    <row r="1639" spans="1:11" x14ac:dyDescent="0.25">
      <c r="A1639" s="16" t="s">
        <v>2090</v>
      </c>
      <c r="B1639" s="20">
        <v>46097</v>
      </c>
      <c r="C1639" s="16">
        <v>3</v>
      </c>
      <c r="D1639" s="19" t="s">
        <v>31</v>
      </c>
      <c r="E1639" s="19" t="s">
        <v>453</v>
      </c>
      <c r="G1639" s="19">
        <v>44</v>
      </c>
      <c r="H1639" s="19" t="s">
        <v>215</v>
      </c>
      <c r="I1639" s="19" t="s">
        <v>216</v>
      </c>
      <c r="J1639" s="19" t="s">
        <v>217</v>
      </c>
      <c r="K1639" s="18">
        <v>46107.471377314818</v>
      </c>
    </row>
    <row r="1640" spans="1:11" x14ac:dyDescent="0.25">
      <c r="A1640" s="16" t="s">
        <v>2091</v>
      </c>
      <c r="B1640" s="20">
        <v>46097</v>
      </c>
      <c r="C1640" s="16">
        <v>3</v>
      </c>
      <c r="D1640" s="19" t="s">
        <v>31</v>
      </c>
      <c r="E1640" s="19" t="s">
        <v>453</v>
      </c>
      <c r="G1640" s="19">
        <v>41</v>
      </c>
      <c r="H1640" s="19" t="s">
        <v>215</v>
      </c>
      <c r="I1640" s="19" t="s">
        <v>216</v>
      </c>
      <c r="J1640" s="19" t="s">
        <v>217</v>
      </c>
      <c r="K1640" s="18">
        <v>46107.471446759257</v>
      </c>
    </row>
    <row r="1641" spans="1:11" x14ac:dyDescent="0.25">
      <c r="A1641" s="16" t="s">
        <v>2092</v>
      </c>
      <c r="B1641" s="20">
        <v>46097</v>
      </c>
      <c r="C1641" s="16">
        <v>3</v>
      </c>
      <c r="D1641" s="19" t="s">
        <v>31</v>
      </c>
      <c r="E1641" s="19" t="s">
        <v>453</v>
      </c>
      <c r="G1641" s="19">
        <v>26</v>
      </c>
      <c r="H1641" s="19" t="s">
        <v>215</v>
      </c>
      <c r="I1641" s="19" t="s">
        <v>216</v>
      </c>
      <c r="J1641" s="19" t="s">
        <v>217</v>
      </c>
      <c r="K1641" s="18">
        <v>46107.471504629626</v>
      </c>
    </row>
    <row r="1642" spans="1:11" x14ac:dyDescent="0.25">
      <c r="A1642" s="16" t="s">
        <v>2093</v>
      </c>
      <c r="B1642" s="20">
        <v>46097</v>
      </c>
      <c r="C1642" s="16">
        <v>3</v>
      </c>
      <c r="D1642" s="19" t="s">
        <v>31</v>
      </c>
      <c r="E1642" s="19" t="s">
        <v>453</v>
      </c>
      <c r="G1642" s="19">
        <v>35</v>
      </c>
      <c r="H1642" s="19" t="s">
        <v>215</v>
      </c>
      <c r="I1642" s="19" t="s">
        <v>216</v>
      </c>
      <c r="J1642" s="19" t="s">
        <v>217</v>
      </c>
      <c r="K1642" s="18">
        <v>46107.471550925926</v>
      </c>
    </row>
    <row r="1643" spans="1:11" x14ac:dyDescent="0.25">
      <c r="A1643" s="16" t="s">
        <v>2094</v>
      </c>
      <c r="B1643" s="20">
        <v>46097</v>
      </c>
      <c r="C1643" s="16">
        <v>3</v>
      </c>
      <c r="D1643" s="19" t="s">
        <v>31</v>
      </c>
      <c r="E1643" s="19" t="s">
        <v>453</v>
      </c>
      <c r="G1643" s="19">
        <v>34</v>
      </c>
      <c r="H1643" s="19" t="s">
        <v>215</v>
      </c>
      <c r="I1643" s="19" t="s">
        <v>216</v>
      </c>
      <c r="J1643" s="19" t="s">
        <v>217</v>
      </c>
      <c r="K1643" s="18">
        <v>46107.471608796295</v>
      </c>
    </row>
    <row r="1644" spans="1:11" x14ac:dyDescent="0.25">
      <c r="A1644" s="16" t="s">
        <v>2095</v>
      </c>
      <c r="B1644" s="20">
        <v>46097</v>
      </c>
      <c r="C1644" s="16">
        <v>3</v>
      </c>
      <c r="D1644" s="19" t="s">
        <v>31</v>
      </c>
      <c r="E1644" s="19" t="s">
        <v>453</v>
      </c>
      <c r="G1644" s="19">
        <v>66</v>
      </c>
      <c r="H1644" s="19" t="s">
        <v>215</v>
      </c>
      <c r="I1644" s="19" t="s">
        <v>216</v>
      </c>
      <c r="J1644" s="19" t="s">
        <v>217</v>
      </c>
      <c r="K1644" s="18">
        <v>46107.471678240741</v>
      </c>
    </row>
    <row r="1645" spans="1:11" x14ac:dyDescent="0.25">
      <c r="A1645" s="16" t="s">
        <v>2096</v>
      </c>
      <c r="B1645" s="20">
        <v>46097</v>
      </c>
      <c r="C1645" s="16">
        <v>3</v>
      </c>
      <c r="D1645" s="19" t="s">
        <v>31</v>
      </c>
      <c r="E1645" s="19" t="s">
        <v>453</v>
      </c>
      <c r="G1645" s="19">
        <v>22</v>
      </c>
      <c r="H1645" s="19" t="s">
        <v>215</v>
      </c>
      <c r="I1645" s="19" t="s">
        <v>216</v>
      </c>
      <c r="J1645" s="19" t="s">
        <v>217</v>
      </c>
      <c r="K1645" s="18">
        <v>46107.471759259257</v>
      </c>
    </row>
    <row r="1646" spans="1:11" x14ac:dyDescent="0.25">
      <c r="A1646" s="16" t="s">
        <v>2097</v>
      </c>
      <c r="B1646" s="20">
        <v>46097</v>
      </c>
      <c r="C1646" s="16">
        <v>3</v>
      </c>
      <c r="D1646" s="19" t="s">
        <v>33</v>
      </c>
      <c r="E1646" s="19" t="s">
        <v>453</v>
      </c>
      <c r="G1646" s="19">
        <v>4</v>
      </c>
      <c r="H1646" s="19" t="s">
        <v>215</v>
      </c>
      <c r="I1646" s="19" t="s">
        <v>246</v>
      </c>
      <c r="J1646" s="19" t="s">
        <v>217</v>
      </c>
      <c r="K1646" s="18">
        <v>46107.472037037034</v>
      </c>
    </row>
    <row r="1647" spans="1:11" x14ac:dyDescent="0.25">
      <c r="A1647" s="16" t="s">
        <v>2098</v>
      </c>
      <c r="B1647" s="20">
        <v>46097</v>
      </c>
      <c r="C1647" s="16">
        <v>3</v>
      </c>
      <c r="D1647" s="19" t="s">
        <v>33</v>
      </c>
      <c r="E1647" s="19" t="s">
        <v>453</v>
      </c>
      <c r="G1647" s="19">
        <v>7</v>
      </c>
      <c r="H1647" s="19" t="s">
        <v>215</v>
      </c>
      <c r="I1647" s="19" t="s">
        <v>246</v>
      </c>
      <c r="J1647" s="19" t="s">
        <v>217</v>
      </c>
      <c r="K1647" s="18">
        <v>46107.472210648149</v>
      </c>
    </row>
    <row r="1648" spans="1:11" x14ac:dyDescent="0.25">
      <c r="A1648" s="16" t="s">
        <v>2099</v>
      </c>
      <c r="B1648" s="20">
        <v>46097</v>
      </c>
      <c r="C1648" s="16">
        <v>3</v>
      </c>
      <c r="D1648" s="19" t="s">
        <v>33</v>
      </c>
      <c r="E1648" s="19" t="s">
        <v>453</v>
      </c>
      <c r="G1648" s="19">
        <v>5</v>
      </c>
      <c r="H1648" s="19" t="s">
        <v>215</v>
      </c>
      <c r="I1648" s="19" t="s">
        <v>216</v>
      </c>
      <c r="J1648" s="19" t="s">
        <v>217</v>
      </c>
      <c r="K1648" s="18">
        <v>46107.472303240742</v>
      </c>
    </row>
    <row r="1649" spans="1:11" x14ac:dyDescent="0.25">
      <c r="A1649" s="16" t="s">
        <v>2100</v>
      </c>
      <c r="B1649" s="20">
        <v>46097</v>
      </c>
      <c r="C1649" s="16">
        <v>3</v>
      </c>
      <c r="D1649" s="19" t="s">
        <v>35</v>
      </c>
      <c r="E1649" s="19" t="s">
        <v>453</v>
      </c>
      <c r="G1649" s="19">
        <v>20</v>
      </c>
      <c r="H1649" s="19" t="s">
        <v>215</v>
      </c>
      <c r="I1649" s="19" t="s">
        <v>216</v>
      </c>
      <c r="J1649" s="19" t="s">
        <v>217</v>
      </c>
      <c r="K1649" s="18">
        <v>46107.472442129627</v>
      </c>
    </row>
    <row r="1650" spans="1:11" x14ac:dyDescent="0.25">
      <c r="A1650" s="16" t="s">
        <v>2101</v>
      </c>
      <c r="B1650" s="20">
        <v>46097</v>
      </c>
      <c r="C1650" s="16">
        <v>3</v>
      </c>
      <c r="D1650" s="19" t="s">
        <v>35</v>
      </c>
      <c r="E1650" s="19" t="s">
        <v>453</v>
      </c>
      <c r="G1650" s="19">
        <v>31</v>
      </c>
      <c r="H1650" s="19" t="s">
        <v>215</v>
      </c>
      <c r="I1650" s="19" t="s">
        <v>216</v>
      </c>
      <c r="J1650" s="19" t="s">
        <v>217</v>
      </c>
      <c r="K1650" s="18">
        <v>46107.472488425927</v>
      </c>
    </row>
    <row r="1651" spans="1:11" x14ac:dyDescent="0.25">
      <c r="A1651" s="16" t="s">
        <v>2102</v>
      </c>
      <c r="B1651" s="20">
        <v>46097</v>
      </c>
      <c r="C1651" s="16">
        <v>3</v>
      </c>
      <c r="D1651" s="19" t="s">
        <v>37</v>
      </c>
      <c r="E1651" s="19" t="s">
        <v>453</v>
      </c>
      <c r="G1651" s="19">
        <v>24</v>
      </c>
      <c r="H1651" s="19" t="s">
        <v>215</v>
      </c>
      <c r="I1651" s="19" t="s">
        <v>216</v>
      </c>
      <c r="J1651" s="19" t="s">
        <v>217</v>
      </c>
      <c r="K1651" s="18">
        <v>46107.472627314812</v>
      </c>
    </row>
    <row r="1652" spans="1:11" x14ac:dyDescent="0.25">
      <c r="A1652" s="16" t="s">
        <v>2103</v>
      </c>
      <c r="B1652" s="20">
        <v>46097</v>
      </c>
      <c r="C1652" s="16">
        <v>3</v>
      </c>
      <c r="D1652" s="19" t="s">
        <v>37</v>
      </c>
      <c r="E1652" s="19" t="s">
        <v>453</v>
      </c>
      <c r="G1652" s="19">
        <v>33</v>
      </c>
      <c r="H1652" s="19" t="s">
        <v>215</v>
      </c>
      <c r="I1652" s="19" t="s">
        <v>216</v>
      </c>
      <c r="J1652" s="19" t="s">
        <v>217</v>
      </c>
      <c r="K1652" s="18">
        <v>46107.472824074073</v>
      </c>
    </row>
    <row r="1653" spans="1:11" x14ac:dyDescent="0.25">
      <c r="A1653" s="16" t="s">
        <v>2104</v>
      </c>
      <c r="B1653" s="20">
        <v>46097</v>
      </c>
      <c r="C1653" s="16">
        <v>3</v>
      </c>
      <c r="D1653" s="19" t="s">
        <v>37</v>
      </c>
      <c r="E1653" s="19" t="s">
        <v>453</v>
      </c>
      <c r="G1653" s="19">
        <v>34</v>
      </c>
      <c r="H1653" s="19" t="s">
        <v>215</v>
      </c>
      <c r="I1653" s="19" t="s">
        <v>216</v>
      </c>
      <c r="J1653" s="19" t="s">
        <v>217</v>
      </c>
      <c r="K1653" s="18">
        <v>46107.472881944443</v>
      </c>
    </row>
    <row r="1654" spans="1:11" x14ac:dyDescent="0.25">
      <c r="A1654" s="16" t="s">
        <v>2105</v>
      </c>
      <c r="B1654" s="20">
        <v>46097</v>
      </c>
      <c r="C1654" s="16">
        <v>3</v>
      </c>
      <c r="D1654" s="19" t="s">
        <v>39</v>
      </c>
      <c r="E1654" s="19" t="s">
        <v>453</v>
      </c>
      <c r="G1654" s="19">
        <v>21</v>
      </c>
      <c r="H1654" s="19" t="s">
        <v>215</v>
      </c>
      <c r="I1654" s="19" t="s">
        <v>216</v>
      </c>
      <c r="J1654" s="19" t="s">
        <v>217</v>
      </c>
      <c r="K1654" s="18">
        <v>46107.473958333336</v>
      </c>
    </row>
    <row r="1655" spans="1:11" x14ac:dyDescent="0.25">
      <c r="A1655" s="16" t="s">
        <v>2106</v>
      </c>
      <c r="B1655" s="20">
        <v>46097</v>
      </c>
      <c r="C1655" s="16">
        <v>3</v>
      </c>
      <c r="D1655" s="19" t="s">
        <v>39</v>
      </c>
      <c r="E1655" s="19" t="s">
        <v>453</v>
      </c>
      <c r="G1655" s="19">
        <v>21</v>
      </c>
      <c r="H1655" s="19" t="s">
        <v>215</v>
      </c>
      <c r="I1655" s="19" t="s">
        <v>216</v>
      </c>
      <c r="J1655" s="19" t="s">
        <v>217</v>
      </c>
      <c r="K1655" s="18">
        <v>46107.474004629628</v>
      </c>
    </row>
    <row r="1656" spans="1:11" x14ac:dyDescent="0.25">
      <c r="A1656" s="16" t="s">
        <v>2107</v>
      </c>
      <c r="B1656" s="20">
        <v>46097</v>
      </c>
      <c r="C1656" s="16">
        <v>3</v>
      </c>
      <c r="D1656" s="19" t="s">
        <v>39</v>
      </c>
      <c r="E1656" s="19" t="s">
        <v>453</v>
      </c>
      <c r="G1656" s="19">
        <v>33</v>
      </c>
      <c r="H1656" s="19" t="s">
        <v>215</v>
      </c>
      <c r="I1656" s="19" t="s">
        <v>216</v>
      </c>
      <c r="J1656" s="19" t="s">
        <v>217</v>
      </c>
      <c r="K1656" s="18">
        <v>46107.474062499998</v>
      </c>
    </row>
    <row r="1657" spans="1:11" x14ac:dyDescent="0.25">
      <c r="A1657" s="16" t="s">
        <v>2108</v>
      </c>
      <c r="B1657" s="20">
        <v>46097</v>
      </c>
      <c r="C1657" s="16">
        <v>3</v>
      </c>
      <c r="D1657" s="19" t="s">
        <v>39</v>
      </c>
      <c r="E1657" s="19" t="s">
        <v>453</v>
      </c>
      <c r="G1657" s="19">
        <v>33</v>
      </c>
      <c r="H1657" s="19" t="s">
        <v>215</v>
      </c>
      <c r="I1657" s="19" t="s">
        <v>216</v>
      </c>
      <c r="J1657" s="19" t="s">
        <v>217</v>
      </c>
      <c r="K1657" s="18">
        <v>46107.474120370367</v>
      </c>
    </row>
    <row r="1658" spans="1:11" x14ac:dyDescent="0.25">
      <c r="A1658" s="16" t="s">
        <v>2109</v>
      </c>
      <c r="B1658" s="20">
        <v>46097</v>
      </c>
      <c r="C1658" s="16">
        <v>3</v>
      </c>
      <c r="D1658" s="19" t="s">
        <v>39</v>
      </c>
      <c r="E1658" s="19" t="s">
        <v>453</v>
      </c>
      <c r="G1658" s="19">
        <v>28</v>
      </c>
      <c r="H1658" s="19" t="s">
        <v>215</v>
      </c>
      <c r="I1658" s="19" t="s">
        <v>216</v>
      </c>
      <c r="J1658" s="19" t="s">
        <v>217</v>
      </c>
      <c r="K1658" s="18">
        <v>46107.474166666667</v>
      </c>
    </row>
    <row r="1659" spans="1:11" x14ac:dyDescent="0.25">
      <c r="A1659" s="16" t="s">
        <v>2110</v>
      </c>
      <c r="B1659" s="20">
        <v>46097</v>
      </c>
      <c r="C1659" s="16">
        <v>3</v>
      </c>
      <c r="D1659" s="19" t="s">
        <v>39</v>
      </c>
      <c r="E1659" s="19" t="s">
        <v>453</v>
      </c>
      <c r="G1659" s="19">
        <v>25</v>
      </c>
      <c r="H1659" s="19" t="s">
        <v>215</v>
      </c>
      <c r="I1659" s="19" t="s">
        <v>216</v>
      </c>
      <c r="J1659" s="19" t="s">
        <v>217</v>
      </c>
      <c r="K1659" s="18">
        <v>46107.474317129629</v>
      </c>
    </row>
    <row r="1660" spans="1:11" x14ac:dyDescent="0.25">
      <c r="A1660" s="16" t="s">
        <v>2111</v>
      </c>
      <c r="B1660" s="20">
        <v>46097</v>
      </c>
      <c r="C1660" s="16">
        <v>3</v>
      </c>
      <c r="D1660" s="19" t="s">
        <v>41</v>
      </c>
      <c r="E1660" s="19" t="s">
        <v>453</v>
      </c>
      <c r="G1660" s="19">
        <v>9</v>
      </c>
      <c r="H1660" s="19" t="s">
        <v>306</v>
      </c>
      <c r="I1660" s="19" t="s">
        <v>246</v>
      </c>
      <c r="J1660" s="19" t="s">
        <v>217</v>
      </c>
      <c r="K1660" s="18">
        <v>46107.47457175926</v>
      </c>
    </row>
    <row r="1661" spans="1:11" x14ac:dyDescent="0.25">
      <c r="A1661" s="16" t="s">
        <v>2112</v>
      </c>
      <c r="B1661" s="20">
        <v>46097</v>
      </c>
      <c r="C1661" s="16">
        <v>3</v>
      </c>
      <c r="D1661" s="19" t="s">
        <v>41</v>
      </c>
      <c r="E1661" s="19" t="s">
        <v>453</v>
      </c>
      <c r="G1661" s="19">
        <v>8</v>
      </c>
      <c r="H1661" s="19" t="s">
        <v>306</v>
      </c>
      <c r="I1661" s="19" t="s">
        <v>216</v>
      </c>
      <c r="J1661" s="19" t="s">
        <v>217</v>
      </c>
      <c r="K1661" s="18">
        <v>46107.474687499998</v>
      </c>
    </row>
    <row r="1662" spans="1:11" x14ac:dyDescent="0.25">
      <c r="A1662" s="16" t="s">
        <v>2113</v>
      </c>
      <c r="B1662" s="20">
        <v>46097</v>
      </c>
      <c r="C1662" s="16">
        <v>3</v>
      </c>
      <c r="D1662" s="19" t="s">
        <v>43</v>
      </c>
      <c r="E1662" s="19" t="s">
        <v>453</v>
      </c>
      <c r="G1662" s="19">
        <v>75</v>
      </c>
      <c r="H1662" s="19" t="s">
        <v>215</v>
      </c>
      <c r="I1662" s="19" t="s">
        <v>246</v>
      </c>
      <c r="J1662" s="19" t="s">
        <v>217</v>
      </c>
      <c r="K1662" s="18">
        <v>46107.475671296299</v>
      </c>
    </row>
    <row r="1663" spans="1:11" x14ac:dyDescent="0.25">
      <c r="A1663" s="16" t="s">
        <v>2114</v>
      </c>
      <c r="B1663" s="20">
        <v>46097</v>
      </c>
      <c r="C1663" s="16">
        <v>3</v>
      </c>
      <c r="D1663" s="19" t="s">
        <v>43</v>
      </c>
      <c r="E1663" s="19" t="s">
        <v>453</v>
      </c>
      <c r="G1663" s="19">
        <v>56</v>
      </c>
      <c r="H1663" s="19" t="s">
        <v>215</v>
      </c>
      <c r="I1663" s="19" t="s">
        <v>246</v>
      </c>
      <c r="J1663" s="19" t="s">
        <v>217</v>
      </c>
      <c r="K1663" s="18">
        <v>46107.475740740738</v>
      </c>
    </row>
    <row r="1664" spans="1:11" x14ac:dyDescent="0.25">
      <c r="A1664" s="16" t="s">
        <v>2115</v>
      </c>
      <c r="B1664" s="20">
        <v>46097</v>
      </c>
      <c r="C1664" s="16">
        <v>3</v>
      </c>
      <c r="D1664" s="19" t="s">
        <v>43</v>
      </c>
      <c r="E1664" s="19" t="s">
        <v>453</v>
      </c>
      <c r="G1664" s="19">
        <v>37</v>
      </c>
      <c r="H1664" s="19" t="s">
        <v>215</v>
      </c>
      <c r="I1664" s="19" t="s">
        <v>246</v>
      </c>
      <c r="J1664" s="19" t="s">
        <v>217</v>
      </c>
      <c r="K1664" s="18">
        <v>46107.475810185184</v>
      </c>
    </row>
    <row r="1665" spans="1:11" x14ac:dyDescent="0.25">
      <c r="A1665" s="16" t="s">
        <v>2116</v>
      </c>
      <c r="B1665" s="20">
        <v>46097</v>
      </c>
      <c r="C1665" s="16">
        <v>3</v>
      </c>
      <c r="D1665" s="19" t="s">
        <v>45</v>
      </c>
      <c r="E1665" s="19" t="s">
        <v>453</v>
      </c>
      <c r="G1665" s="19">
        <v>66</v>
      </c>
      <c r="H1665" s="19" t="s">
        <v>215</v>
      </c>
      <c r="I1665" s="19" t="s">
        <v>216</v>
      </c>
      <c r="J1665" s="19" t="s">
        <v>217</v>
      </c>
      <c r="K1665" s="18">
        <v>46107.475995370369</v>
      </c>
    </row>
    <row r="1666" spans="1:11" x14ac:dyDescent="0.25">
      <c r="A1666" s="16" t="s">
        <v>2117</v>
      </c>
      <c r="B1666" s="20">
        <v>46097</v>
      </c>
      <c r="C1666" s="16">
        <v>3</v>
      </c>
      <c r="D1666" s="19" t="s">
        <v>45</v>
      </c>
      <c r="E1666" s="19" t="s">
        <v>453</v>
      </c>
      <c r="G1666" s="19">
        <v>70</v>
      </c>
      <c r="H1666" s="19" t="s">
        <v>215</v>
      </c>
      <c r="I1666" s="19" t="s">
        <v>216</v>
      </c>
      <c r="J1666" s="19" t="s">
        <v>217</v>
      </c>
      <c r="K1666" s="18">
        <v>46107.476053240738</v>
      </c>
    </row>
    <row r="1667" spans="1:11" x14ac:dyDescent="0.25">
      <c r="A1667" s="16" t="s">
        <v>2118</v>
      </c>
      <c r="B1667" s="20">
        <v>46098</v>
      </c>
      <c r="C1667" s="16">
        <v>3</v>
      </c>
      <c r="D1667" s="19" t="s">
        <v>29</v>
      </c>
      <c r="E1667" s="19" t="s">
        <v>453</v>
      </c>
      <c r="G1667" s="19">
        <v>69</v>
      </c>
      <c r="H1667" s="19" t="s">
        <v>215</v>
      </c>
      <c r="I1667" s="19" t="s">
        <v>246</v>
      </c>
      <c r="J1667" s="19" t="s">
        <v>217</v>
      </c>
      <c r="K1667" s="18">
        <v>46107.476990740739</v>
      </c>
    </row>
    <row r="1668" spans="1:11" x14ac:dyDescent="0.25">
      <c r="A1668" s="16" t="s">
        <v>2119</v>
      </c>
      <c r="B1668" s="20">
        <v>46098</v>
      </c>
      <c r="C1668" s="16">
        <v>3</v>
      </c>
      <c r="D1668" s="19" t="s">
        <v>29</v>
      </c>
      <c r="E1668" s="19" t="s">
        <v>453</v>
      </c>
      <c r="G1668" s="19">
        <v>29</v>
      </c>
      <c r="H1668" s="19" t="s">
        <v>215</v>
      </c>
      <c r="I1668" s="19" t="s">
        <v>246</v>
      </c>
      <c r="J1668" s="19" t="s">
        <v>217</v>
      </c>
      <c r="K1668" s="18">
        <v>46107.477372685185</v>
      </c>
    </row>
    <row r="1669" spans="1:11" x14ac:dyDescent="0.25">
      <c r="A1669" s="16" t="s">
        <v>2120</v>
      </c>
      <c r="B1669" s="20">
        <v>46098</v>
      </c>
      <c r="C1669" s="16">
        <v>3</v>
      </c>
      <c r="D1669" s="19" t="s">
        <v>29</v>
      </c>
      <c r="E1669" s="19" t="s">
        <v>453</v>
      </c>
      <c r="G1669" s="19">
        <v>34</v>
      </c>
      <c r="H1669" s="19" t="s">
        <v>215</v>
      </c>
      <c r="I1669" s="19" t="s">
        <v>246</v>
      </c>
      <c r="J1669" s="19" t="s">
        <v>217</v>
      </c>
      <c r="K1669" s="18">
        <v>46107.477476851855</v>
      </c>
    </row>
    <row r="1670" spans="1:11" x14ac:dyDescent="0.25">
      <c r="A1670" s="16" t="s">
        <v>2121</v>
      </c>
      <c r="B1670" s="20">
        <v>46098</v>
      </c>
      <c r="C1670" s="16">
        <v>3</v>
      </c>
      <c r="D1670" s="19" t="s">
        <v>33</v>
      </c>
      <c r="E1670" s="19" t="s">
        <v>453</v>
      </c>
      <c r="G1670" s="19">
        <v>2</v>
      </c>
      <c r="H1670" s="19" t="s">
        <v>215</v>
      </c>
      <c r="I1670" s="19" t="s">
        <v>246</v>
      </c>
      <c r="J1670" s="19" t="s">
        <v>217</v>
      </c>
      <c r="K1670" s="18">
        <v>46107.478055555555</v>
      </c>
    </row>
    <row r="1671" spans="1:11" x14ac:dyDescent="0.25">
      <c r="A1671" s="16" t="s">
        <v>2122</v>
      </c>
      <c r="B1671" s="20">
        <v>46098</v>
      </c>
      <c r="C1671" s="16">
        <v>3</v>
      </c>
      <c r="D1671" s="19" t="s">
        <v>35</v>
      </c>
      <c r="E1671" s="19" t="s">
        <v>453</v>
      </c>
      <c r="G1671" s="19">
        <v>25</v>
      </c>
      <c r="H1671" s="19" t="s">
        <v>215</v>
      </c>
      <c r="I1671" s="19" t="s">
        <v>216</v>
      </c>
      <c r="J1671" s="19" t="s">
        <v>217</v>
      </c>
      <c r="K1671" s="18">
        <v>46107.478356481479</v>
      </c>
    </row>
    <row r="1672" spans="1:11" x14ac:dyDescent="0.25">
      <c r="A1672" s="16" t="s">
        <v>2123</v>
      </c>
      <c r="B1672" s="20">
        <v>46098</v>
      </c>
      <c r="C1672" s="16">
        <v>3</v>
      </c>
      <c r="D1672" s="19" t="s">
        <v>37</v>
      </c>
      <c r="E1672" s="19" t="s">
        <v>453</v>
      </c>
      <c r="G1672" s="19">
        <v>21</v>
      </c>
      <c r="H1672" s="19" t="s">
        <v>215</v>
      </c>
      <c r="I1672" s="19" t="s">
        <v>216</v>
      </c>
      <c r="J1672" s="19" t="s">
        <v>217</v>
      </c>
      <c r="K1672" s="18">
        <v>46107.478576388887</v>
      </c>
    </row>
    <row r="1673" spans="1:11" x14ac:dyDescent="0.25">
      <c r="A1673" s="16" t="s">
        <v>2124</v>
      </c>
      <c r="B1673" s="20">
        <v>46098</v>
      </c>
      <c r="C1673" s="16">
        <v>3</v>
      </c>
      <c r="D1673" s="19" t="s">
        <v>37</v>
      </c>
      <c r="E1673" s="19" t="s">
        <v>453</v>
      </c>
      <c r="G1673" s="19">
        <v>26</v>
      </c>
      <c r="H1673" s="19" t="s">
        <v>215</v>
      </c>
      <c r="I1673" s="19" t="s">
        <v>216</v>
      </c>
      <c r="J1673" s="19" t="s">
        <v>217</v>
      </c>
      <c r="K1673" s="18">
        <v>46107.478668981479</v>
      </c>
    </row>
    <row r="1674" spans="1:11" x14ac:dyDescent="0.25">
      <c r="A1674" s="16" t="s">
        <v>2125</v>
      </c>
      <c r="B1674" s="20">
        <v>46098</v>
      </c>
      <c r="C1674" s="16">
        <v>3</v>
      </c>
      <c r="D1674" s="19" t="s">
        <v>39</v>
      </c>
      <c r="E1674" s="19" t="s">
        <v>453</v>
      </c>
      <c r="G1674" s="19">
        <v>30</v>
      </c>
      <c r="H1674" s="19" t="s">
        <v>215</v>
      </c>
      <c r="I1674" s="19" t="s">
        <v>216</v>
      </c>
      <c r="J1674" s="19" t="s">
        <v>217</v>
      </c>
      <c r="K1674" s="18">
        <v>46107.47896990741</v>
      </c>
    </row>
    <row r="1675" spans="1:11" x14ac:dyDescent="0.25">
      <c r="A1675" s="16" t="s">
        <v>2126</v>
      </c>
      <c r="B1675" s="20">
        <v>46098</v>
      </c>
      <c r="C1675" s="16">
        <v>3</v>
      </c>
      <c r="D1675" s="19" t="s">
        <v>39</v>
      </c>
      <c r="E1675" s="19" t="s">
        <v>453</v>
      </c>
      <c r="G1675" s="19">
        <v>34</v>
      </c>
      <c r="H1675" s="19" t="s">
        <v>215</v>
      </c>
      <c r="I1675" s="19" t="s">
        <v>216</v>
      </c>
      <c r="J1675" s="19" t="s">
        <v>217</v>
      </c>
      <c r="K1675" s="18">
        <v>46107.479039351849</v>
      </c>
    </row>
    <row r="1676" spans="1:11" x14ac:dyDescent="0.25">
      <c r="A1676" s="16" t="s">
        <v>2127</v>
      </c>
      <c r="B1676" s="20">
        <v>46098</v>
      </c>
      <c r="C1676" s="16">
        <v>3</v>
      </c>
      <c r="D1676" s="19" t="s">
        <v>39</v>
      </c>
      <c r="E1676" s="19" t="s">
        <v>453</v>
      </c>
      <c r="G1676" s="19">
        <v>27</v>
      </c>
      <c r="H1676" s="19" t="s">
        <v>215</v>
      </c>
      <c r="I1676" s="19" t="s">
        <v>216</v>
      </c>
      <c r="J1676" s="19" t="s">
        <v>217</v>
      </c>
      <c r="K1676" s="18">
        <v>46107.479108796295</v>
      </c>
    </row>
    <row r="1677" spans="1:11" x14ac:dyDescent="0.25">
      <c r="A1677" s="16" t="s">
        <v>2128</v>
      </c>
      <c r="B1677" s="20">
        <v>46098</v>
      </c>
      <c r="C1677" s="16">
        <v>3</v>
      </c>
      <c r="D1677" s="19" t="s">
        <v>39</v>
      </c>
      <c r="E1677" s="19" t="s">
        <v>453</v>
      </c>
      <c r="G1677" s="19">
        <v>24</v>
      </c>
      <c r="H1677" s="19" t="s">
        <v>215</v>
      </c>
      <c r="I1677" s="19" t="s">
        <v>216</v>
      </c>
      <c r="J1677" s="19" t="s">
        <v>217</v>
      </c>
      <c r="K1677" s="18">
        <v>46107.479166666664</v>
      </c>
    </row>
    <row r="1678" spans="1:11" x14ac:dyDescent="0.25">
      <c r="A1678" s="16" t="s">
        <v>2129</v>
      </c>
      <c r="B1678" s="20">
        <v>46098</v>
      </c>
      <c r="C1678" s="16">
        <v>3</v>
      </c>
      <c r="D1678" s="19" t="s">
        <v>39</v>
      </c>
      <c r="E1678" s="19" t="s">
        <v>453</v>
      </c>
      <c r="G1678" s="19">
        <v>33</v>
      </c>
      <c r="H1678" s="19" t="s">
        <v>215</v>
      </c>
      <c r="I1678" s="19" t="s">
        <v>216</v>
      </c>
      <c r="J1678" s="19" t="s">
        <v>217</v>
      </c>
      <c r="K1678" s="18">
        <v>46107.47923611111</v>
      </c>
    </row>
    <row r="1679" spans="1:11" x14ac:dyDescent="0.25">
      <c r="A1679" s="16" t="s">
        <v>2130</v>
      </c>
      <c r="B1679" s="20">
        <v>46098</v>
      </c>
      <c r="C1679" s="16">
        <v>3</v>
      </c>
      <c r="D1679" s="19" t="s">
        <v>41</v>
      </c>
      <c r="E1679" s="19" t="s">
        <v>453</v>
      </c>
      <c r="G1679" s="19">
        <v>0</v>
      </c>
      <c r="H1679" s="19" t="s">
        <v>306</v>
      </c>
      <c r="I1679" s="19" t="s">
        <v>246</v>
      </c>
      <c r="J1679" s="19" t="s">
        <v>217</v>
      </c>
      <c r="K1679" s="18">
        <v>46107.479629629626</v>
      </c>
    </row>
    <row r="1680" spans="1:11" x14ac:dyDescent="0.25">
      <c r="A1680" s="16" t="s">
        <v>2131</v>
      </c>
      <c r="B1680" s="20">
        <v>46098</v>
      </c>
      <c r="C1680" s="16">
        <v>3</v>
      </c>
      <c r="D1680" s="19" t="s">
        <v>41</v>
      </c>
      <c r="E1680" s="19" t="s">
        <v>453</v>
      </c>
      <c r="G1680" s="19">
        <v>5</v>
      </c>
      <c r="H1680" s="19" t="s">
        <v>306</v>
      </c>
      <c r="I1680" s="19" t="s">
        <v>246</v>
      </c>
      <c r="J1680" s="19" t="s">
        <v>217</v>
      </c>
      <c r="K1680" s="18">
        <v>46107.479814814818</v>
      </c>
    </row>
    <row r="1681" spans="1:11" x14ac:dyDescent="0.25">
      <c r="A1681" s="16" t="s">
        <v>2132</v>
      </c>
      <c r="B1681" s="20">
        <v>46098</v>
      </c>
      <c r="C1681" s="16">
        <v>3</v>
      </c>
      <c r="D1681" s="19" t="s">
        <v>41</v>
      </c>
      <c r="E1681" s="19" t="s">
        <v>453</v>
      </c>
      <c r="G1681" s="19">
        <v>8</v>
      </c>
      <c r="H1681" s="19" t="s">
        <v>306</v>
      </c>
      <c r="I1681" s="19" t="s">
        <v>246</v>
      </c>
      <c r="J1681" s="19" t="s">
        <v>217</v>
      </c>
      <c r="K1681" s="18">
        <v>46107.47996527778</v>
      </c>
    </row>
    <row r="1682" spans="1:11" x14ac:dyDescent="0.25">
      <c r="A1682" s="16" t="s">
        <v>2133</v>
      </c>
      <c r="B1682" s="20">
        <v>46098</v>
      </c>
      <c r="C1682" s="16">
        <v>3</v>
      </c>
      <c r="D1682" s="19" t="s">
        <v>41</v>
      </c>
      <c r="E1682" s="19" t="s">
        <v>453</v>
      </c>
      <c r="G1682" s="19">
        <v>0</v>
      </c>
      <c r="H1682" s="19" t="s">
        <v>306</v>
      </c>
      <c r="I1682" s="19" t="s">
        <v>246</v>
      </c>
      <c r="J1682" s="19" t="s">
        <v>217</v>
      </c>
      <c r="K1682" s="18">
        <v>46107.480115740742</v>
      </c>
    </row>
    <row r="1683" spans="1:11" x14ac:dyDescent="0.25">
      <c r="A1683" s="16" t="s">
        <v>2134</v>
      </c>
      <c r="B1683" s="20">
        <v>46098</v>
      </c>
      <c r="C1683" s="16">
        <v>3</v>
      </c>
      <c r="D1683" s="19" t="s">
        <v>43</v>
      </c>
      <c r="E1683" s="19" t="s">
        <v>453</v>
      </c>
      <c r="G1683" s="19">
        <v>60</v>
      </c>
      <c r="H1683" s="19" t="s">
        <v>215</v>
      </c>
      <c r="I1683" s="19" t="s">
        <v>246</v>
      </c>
      <c r="J1683" s="19" t="s">
        <v>217</v>
      </c>
      <c r="K1683" s="18">
        <v>46107.480613425927</v>
      </c>
    </row>
    <row r="1684" spans="1:11" x14ac:dyDescent="0.25">
      <c r="A1684" s="16" t="s">
        <v>2135</v>
      </c>
      <c r="B1684" s="20">
        <v>46098</v>
      </c>
      <c r="C1684" s="16">
        <v>3</v>
      </c>
      <c r="D1684" s="19" t="s">
        <v>45</v>
      </c>
      <c r="E1684" s="19" t="s">
        <v>453</v>
      </c>
      <c r="G1684" s="19">
        <v>21</v>
      </c>
      <c r="H1684" s="19" t="s">
        <v>215</v>
      </c>
      <c r="I1684" s="19" t="s">
        <v>216</v>
      </c>
      <c r="J1684" s="19" t="s">
        <v>217</v>
      </c>
      <c r="K1684" s="18">
        <v>46107.480856481481</v>
      </c>
    </row>
    <row r="1685" spans="1:11" x14ac:dyDescent="0.25">
      <c r="A1685" s="16" t="s">
        <v>2136</v>
      </c>
      <c r="B1685" s="20">
        <v>46098</v>
      </c>
      <c r="C1685" s="16">
        <v>3</v>
      </c>
      <c r="D1685" s="19" t="s">
        <v>45</v>
      </c>
      <c r="E1685" s="19" t="s">
        <v>453</v>
      </c>
      <c r="G1685" s="19">
        <v>60</v>
      </c>
      <c r="H1685" s="19" t="s">
        <v>215</v>
      </c>
      <c r="I1685" s="19" t="s">
        <v>216</v>
      </c>
      <c r="J1685" s="19" t="s">
        <v>217</v>
      </c>
      <c r="K1685" s="18">
        <v>46107.48097222222</v>
      </c>
    </row>
    <row r="1686" spans="1:11" x14ac:dyDescent="0.25">
      <c r="A1686" s="16" t="s">
        <v>2137</v>
      </c>
      <c r="B1686" s="20">
        <v>46098</v>
      </c>
      <c r="C1686" s="16">
        <v>3</v>
      </c>
      <c r="D1686" s="19" t="s">
        <v>45</v>
      </c>
      <c r="E1686" s="19" t="s">
        <v>453</v>
      </c>
      <c r="G1686" s="19">
        <v>21</v>
      </c>
      <c r="H1686" s="19" t="s">
        <v>215</v>
      </c>
      <c r="I1686" s="19" t="s">
        <v>216</v>
      </c>
      <c r="J1686" s="19" t="s">
        <v>217</v>
      </c>
      <c r="K1686" s="18">
        <v>46107.481053240743</v>
      </c>
    </row>
    <row r="1687" spans="1:11" x14ac:dyDescent="0.25">
      <c r="A1687" s="16" t="s">
        <v>2138</v>
      </c>
      <c r="B1687" s="20">
        <v>46098</v>
      </c>
      <c r="C1687" s="16">
        <v>3</v>
      </c>
      <c r="D1687" s="19" t="s">
        <v>45</v>
      </c>
      <c r="E1687" s="19" t="s">
        <v>453</v>
      </c>
      <c r="G1687" s="19">
        <v>82</v>
      </c>
      <c r="H1687" s="19" t="s">
        <v>215</v>
      </c>
      <c r="I1687" s="19" t="s">
        <v>216</v>
      </c>
      <c r="J1687" s="19" t="s">
        <v>217</v>
      </c>
      <c r="K1687" s="18">
        <v>46107.481145833335</v>
      </c>
    </row>
    <row r="1688" spans="1:11" x14ac:dyDescent="0.25">
      <c r="A1688" s="16" t="s">
        <v>2139</v>
      </c>
      <c r="B1688" s="20">
        <v>46099</v>
      </c>
      <c r="C1688" s="16">
        <v>3</v>
      </c>
      <c r="D1688" s="19" t="s">
        <v>29</v>
      </c>
      <c r="E1688" s="19" t="s">
        <v>453</v>
      </c>
      <c r="G1688" s="19">
        <v>38</v>
      </c>
      <c r="H1688" s="19" t="s">
        <v>215</v>
      </c>
      <c r="I1688" s="19" t="s">
        <v>246</v>
      </c>
      <c r="J1688" s="19" t="s">
        <v>217</v>
      </c>
      <c r="K1688" s="18">
        <v>46107.481944444444</v>
      </c>
    </row>
    <row r="1689" spans="1:11" x14ac:dyDescent="0.25">
      <c r="A1689" s="16" t="s">
        <v>2140</v>
      </c>
      <c r="B1689" s="20">
        <v>46099</v>
      </c>
      <c r="C1689" s="16">
        <v>3</v>
      </c>
      <c r="D1689" s="19" t="s">
        <v>33</v>
      </c>
      <c r="E1689" s="19" t="s">
        <v>453</v>
      </c>
      <c r="G1689" s="19">
        <v>2</v>
      </c>
      <c r="H1689" s="19" t="s">
        <v>215</v>
      </c>
      <c r="I1689" s="19" t="s">
        <v>216</v>
      </c>
      <c r="J1689" s="19" t="s">
        <v>217</v>
      </c>
      <c r="K1689" s="18">
        <v>46107.482465277775</v>
      </c>
    </row>
    <row r="1690" spans="1:11" x14ac:dyDescent="0.25">
      <c r="A1690" s="16" t="s">
        <v>2141</v>
      </c>
      <c r="B1690" s="20">
        <v>46099</v>
      </c>
      <c r="C1690" s="16">
        <v>3</v>
      </c>
      <c r="D1690" s="19" t="s">
        <v>33</v>
      </c>
      <c r="E1690" s="19" t="s">
        <v>453</v>
      </c>
      <c r="G1690" s="19">
        <v>1</v>
      </c>
      <c r="H1690" s="19" t="s">
        <v>215</v>
      </c>
      <c r="I1690" s="19" t="s">
        <v>216</v>
      </c>
      <c r="J1690" s="19" t="s">
        <v>217</v>
      </c>
      <c r="K1690" s="18">
        <v>46107.482615740744</v>
      </c>
    </row>
    <row r="1691" spans="1:11" x14ac:dyDescent="0.25">
      <c r="A1691" s="16" t="s">
        <v>2142</v>
      </c>
      <c r="B1691" s="20">
        <v>46099</v>
      </c>
      <c r="C1691" s="16">
        <v>3</v>
      </c>
      <c r="D1691" s="19" t="s">
        <v>33</v>
      </c>
      <c r="E1691" s="19" t="s">
        <v>453</v>
      </c>
      <c r="G1691" s="19">
        <v>7</v>
      </c>
      <c r="H1691" s="19" t="s">
        <v>215</v>
      </c>
      <c r="I1691" s="19" t="s">
        <v>216</v>
      </c>
      <c r="J1691" s="19" t="s">
        <v>217</v>
      </c>
      <c r="K1691" s="18">
        <v>46107.482673611114</v>
      </c>
    </row>
    <row r="1692" spans="1:11" x14ac:dyDescent="0.25">
      <c r="A1692" s="16" t="s">
        <v>2143</v>
      </c>
      <c r="B1692" s="20">
        <v>46099</v>
      </c>
      <c r="C1692" s="16">
        <v>3</v>
      </c>
      <c r="D1692" s="19" t="s">
        <v>35</v>
      </c>
      <c r="E1692" s="19" t="s">
        <v>453</v>
      </c>
      <c r="G1692" s="19">
        <v>27</v>
      </c>
      <c r="H1692" s="19" t="s">
        <v>215</v>
      </c>
      <c r="I1692" s="19" t="s">
        <v>216</v>
      </c>
      <c r="J1692" s="19" t="s">
        <v>217</v>
      </c>
      <c r="K1692" s="18">
        <v>46107.482939814814</v>
      </c>
    </row>
    <row r="1693" spans="1:11" x14ac:dyDescent="0.25">
      <c r="A1693" s="16" t="s">
        <v>2144</v>
      </c>
      <c r="B1693" s="20">
        <v>46099</v>
      </c>
      <c r="C1693" s="16">
        <v>3</v>
      </c>
      <c r="D1693" s="19" t="s">
        <v>35</v>
      </c>
      <c r="E1693" s="19" t="s">
        <v>453</v>
      </c>
      <c r="G1693" s="19">
        <v>31</v>
      </c>
      <c r="H1693" s="19" t="s">
        <v>215</v>
      </c>
      <c r="I1693" s="19" t="s">
        <v>216</v>
      </c>
      <c r="J1693" s="19" t="s">
        <v>217</v>
      </c>
      <c r="K1693" s="18">
        <v>46107.482986111114</v>
      </c>
    </row>
    <row r="1694" spans="1:11" x14ac:dyDescent="0.25">
      <c r="A1694" s="16" t="s">
        <v>2145</v>
      </c>
      <c r="B1694" s="20">
        <v>46099</v>
      </c>
      <c r="C1694" s="16">
        <v>3</v>
      </c>
      <c r="D1694" s="19" t="s">
        <v>35</v>
      </c>
      <c r="E1694" s="19" t="s">
        <v>453</v>
      </c>
      <c r="G1694" s="19">
        <v>32</v>
      </c>
      <c r="H1694" s="19" t="s">
        <v>215</v>
      </c>
      <c r="I1694" s="19" t="s">
        <v>216</v>
      </c>
      <c r="J1694" s="19" t="s">
        <v>217</v>
      </c>
      <c r="K1694" s="18">
        <v>46107.483043981483</v>
      </c>
    </row>
    <row r="1695" spans="1:11" x14ac:dyDescent="0.25">
      <c r="A1695" s="16" t="s">
        <v>2146</v>
      </c>
      <c r="B1695" s="20">
        <v>46099</v>
      </c>
      <c r="C1695" s="16">
        <v>3</v>
      </c>
      <c r="D1695" s="19" t="s">
        <v>37</v>
      </c>
      <c r="E1695" s="19" t="s">
        <v>453</v>
      </c>
      <c r="G1695" s="19">
        <v>27</v>
      </c>
      <c r="H1695" s="19" t="s">
        <v>215</v>
      </c>
      <c r="I1695" s="19" t="s">
        <v>216</v>
      </c>
      <c r="J1695" s="19" t="s">
        <v>217</v>
      </c>
      <c r="K1695" s="18">
        <v>46107.483310185184</v>
      </c>
    </row>
    <row r="1696" spans="1:11" x14ac:dyDescent="0.25">
      <c r="A1696" s="16" t="s">
        <v>2147</v>
      </c>
      <c r="B1696" s="20">
        <v>46099</v>
      </c>
      <c r="C1696" s="16">
        <v>3</v>
      </c>
      <c r="D1696" s="19" t="s">
        <v>37</v>
      </c>
      <c r="E1696" s="19" t="s">
        <v>453</v>
      </c>
      <c r="G1696" s="19">
        <v>22</v>
      </c>
      <c r="H1696" s="19" t="s">
        <v>215</v>
      </c>
      <c r="I1696" s="19" t="s">
        <v>216</v>
      </c>
      <c r="J1696" s="19" t="s">
        <v>217</v>
      </c>
      <c r="K1696" s="18">
        <v>46107.483368055553</v>
      </c>
    </row>
    <row r="1697" spans="1:11" x14ac:dyDescent="0.25">
      <c r="A1697" s="16" t="s">
        <v>2148</v>
      </c>
      <c r="B1697" s="20">
        <v>46099</v>
      </c>
      <c r="C1697" s="16">
        <v>3</v>
      </c>
      <c r="D1697" s="19" t="s">
        <v>37</v>
      </c>
      <c r="E1697" s="19" t="s">
        <v>453</v>
      </c>
      <c r="G1697" s="19">
        <v>18</v>
      </c>
      <c r="H1697" s="19" t="s">
        <v>215</v>
      </c>
      <c r="I1697" s="19" t="s">
        <v>216</v>
      </c>
      <c r="J1697" s="19" t="s">
        <v>217</v>
      </c>
      <c r="K1697" s="18">
        <v>46107.483437499999</v>
      </c>
    </row>
    <row r="1698" spans="1:11" x14ac:dyDescent="0.25">
      <c r="A1698" s="16" t="s">
        <v>2149</v>
      </c>
      <c r="B1698" s="20">
        <v>46099</v>
      </c>
      <c r="C1698" s="16">
        <v>3</v>
      </c>
      <c r="D1698" s="19" t="s">
        <v>37</v>
      </c>
      <c r="E1698" s="19" t="s">
        <v>453</v>
      </c>
      <c r="G1698" s="19">
        <v>18</v>
      </c>
      <c r="H1698" s="19" t="s">
        <v>215</v>
      </c>
      <c r="I1698" s="19" t="s">
        <v>216</v>
      </c>
      <c r="J1698" s="19" t="s">
        <v>217</v>
      </c>
      <c r="K1698" s="18">
        <v>46107.483506944445</v>
      </c>
    </row>
    <row r="1699" spans="1:11" x14ac:dyDescent="0.25">
      <c r="A1699" s="16" t="s">
        <v>2150</v>
      </c>
      <c r="B1699" s="20">
        <v>46099</v>
      </c>
      <c r="C1699" s="16">
        <v>3</v>
      </c>
      <c r="D1699" s="19" t="s">
        <v>37</v>
      </c>
      <c r="E1699" s="19" t="s">
        <v>453</v>
      </c>
      <c r="G1699" s="19">
        <v>26</v>
      </c>
      <c r="H1699" s="19" t="s">
        <v>215</v>
      </c>
      <c r="I1699" s="19" t="s">
        <v>216</v>
      </c>
      <c r="J1699" s="19" t="s">
        <v>217</v>
      </c>
      <c r="K1699" s="18">
        <v>46107.483576388891</v>
      </c>
    </row>
    <row r="1700" spans="1:11" x14ac:dyDescent="0.25">
      <c r="A1700" s="16" t="s">
        <v>2151</v>
      </c>
      <c r="B1700" s="20">
        <v>46099</v>
      </c>
      <c r="C1700" s="16">
        <v>3</v>
      </c>
      <c r="D1700" s="19" t="s">
        <v>37</v>
      </c>
      <c r="E1700" s="19" t="s">
        <v>453</v>
      </c>
      <c r="G1700" s="19">
        <v>30</v>
      </c>
      <c r="H1700" s="19" t="s">
        <v>215</v>
      </c>
      <c r="I1700" s="19" t="s">
        <v>216</v>
      </c>
      <c r="J1700" s="19" t="s">
        <v>217</v>
      </c>
      <c r="K1700" s="18">
        <v>46107.48364583333</v>
      </c>
    </row>
    <row r="1701" spans="1:11" x14ac:dyDescent="0.25">
      <c r="A1701" s="16" t="s">
        <v>2152</v>
      </c>
      <c r="B1701" s="20">
        <v>46099</v>
      </c>
      <c r="C1701" s="16">
        <v>3</v>
      </c>
      <c r="D1701" s="19" t="s">
        <v>37</v>
      </c>
      <c r="E1701" s="19" t="s">
        <v>453</v>
      </c>
      <c r="G1701" s="19">
        <v>30</v>
      </c>
      <c r="H1701" s="19" t="s">
        <v>215</v>
      </c>
      <c r="I1701" s="19" t="s">
        <v>216</v>
      </c>
      <c r="J1701" s="19" t="s">
        <v>217</v>
      </c>
      <c r="K1701" s="18">
        <v>46107.483715277776</v>
      </c>
    </row>
    <row r="1702" spans="1:11" x14ac:dyDescent="0.25">
      <c r="A1702" s="16" t="s">
        <v>2153</v>
      </c>
      <c r="B1702" s="20">
        <v>46099</v>
      </c>
      <c r="C1702" s="16">
        <v>3</v>
      </c>
      <c r="D1702" s="19" t="s">
        <v>37</v>
      </c>
      <c r="E1702" s="19" t="s">
        <v>453</v>
      </c>
      <c r="G1702" s="19">
        <v>33</v>
      </c>
      <c r="H1702" s="19" t="s">
        <v>215</v>
      </c>
      <c r="I1702" s="19" t="s">
        <v>216</v>
      </c>
      <c r="J1702" s="19" t="s">
        <v>217</v>
      </c>
      <c r="K1702" s="18">
        <v>46107.483784722222</v>
      </c>
    </row>
    <row r="1703" spans="1:11" x14ac:dyDescent="0.25">
      <c r="A1703" s="16" t="s">
        <v>2154</v>
      </c>
      <c r="B1703" s="20">
        <v>46099</v>
      </c>
      <c r="C1703" s="16">
        <v>3</v>
      </c>
      <c r="D1703" s="19" t="s">
        <v>37</v>
      </c>
      <c r="E1703" s="19" t="s">
        <v>453</v>
      </c>
      <c r="G1703" s="19">
        <v>36</v>
      </c>
      <c r="H1703" s="19" t="s">
        <v>215</v>
      </c>
      <c r="I1703" s="19" t="s">
        <v>216</v>
      </c>
      <c r="J1703" s="19" t="s">
        <v>217</v>
      </c>
      <c r="K1703" s="18">
        <v>46107.483865740738</v>
      </c>
    </row>
    <row r="1704" spans="1:11" x14ac:dyDescent="0.25">
      <c r="A1704" s="16" t="s">
        <v>2155</v>
      </c>
      <c r="B1704" s="20">
        <v>46099</v>
      </c>
      <c r="C1704" s="16">
        <v>3</v>
      </c>
      <c r="D1704" s="19" t="s">
        <v>39</v>
      </c>
      <c r="E1704" s="19" t="s">
        <v>453</v>
      </c>
      <c r="G1704" s="19">
        <v>36</v>
      </c>
      <c r="H1704" s="19" t="s">
        <v>215</v>
      </c>
      <c r="I1704" s="19" t="s">
        <v>216</v>
      </c>
      <c r="J1704" s="19" t="s">
        <v>217</v>
      </c>
      <c r="K1704" s="18">
        <v>46107.484120370369</v>
      </c>
    </row>
    <row r="1705" spans="1:11" x14ac:dyDescent="0.25">
      <c r="A1705" s="16" t="s">
        <v>2156</v>
      </c>
      <c r="B1705" s="20">
        <v>46099</v>
      </c>
      <c r="C1705" s="16">
        <v>3</v>
      </c>
      <c r="D1705" s="19" t="s">
        <v>43</v>
      </c>
      <c r="E1705" s="19" t="s">
        <v>453</v>
      </c>
      <c r="G1705" s="19">
        <v>78</v>
      </c>
      <c r="H1705" s="19" t="s">
        <v>215</v>
      </c>
      <c r="I1705" s="19" t="s">
        <v>246</v>
      </c>
      <c r="J1705" s="19" t="s">
        <v>217</v>
      </c>
      <c r="K1705" s="18">
        <v>46107.484606481485</v>
      </c>
    </row>
    <row r="1706" spans="1:11" x14ac:dyDescent="0.25">
      <c r="A1706" s="16" t="s">
        <v>2157</v>
      </c>
      <c r="B1706" s="20">
        <v>46099</v>
      </c>
      <c r="C1706" s="16">
        <v>3</v>
      </c>
      <c r="D1706" s="19" t="s">
        <v>43</v>
      </c>
      <c r="E1706" s="19" t="s">
        <v>453</v>
      </c>
      <c r="G1706" s="19">
        <v>51</v>
      </c>
      <c r="H1706" s="19" t="s">
        <v>215</v>
      </c>
      <c r="I1706" s="19" t="s">
        <v>246</v>
      </c>
      <c r="J1706" s="19" t="s">
        <v>217</v>
      </c>
      <c r="K1706" s="18">
        <v>46107.484675925924</v>
      </c>
    </row>
    <row r="1707" spans="1:11" x14ac:dyDescent="0.25">
      <c r="A1707" s="16" t="s">
        <v>2158</v>
      </c>
      <c r="B1707" s="20">
        <v>46099</v>
      </c>
      <c r="C1707" s="16">
        <v>3</v>
      </c>
      <c r="D1707" s="19" t="s">
        <v>43</v>
      </c>
      <c r="E1707" s="19" t="s">
        <v>453</v>
      </c>
      <c r="G1707" s="19">
        <v>23</v>
      </c>
      <c r="H1707" s="19" t="s">
        <v>215</v>
      </c>
      <c r="I1707" s="19" t="s">
        <v>246</v>
      </c>
      <c r="J1707" s="19" t="s">
        <v>217</v>
      </c>
      <c r="K1707" s="18">
        <v>46107.484733796293</v>
      </c>
    </row>
    <row r="1708" spans="1:11" x14ac:dyDescent="0.25">
      <c r="A1708" s="16" t="s">
        <v>2159</v>
      </c>
      <c r="B1708" s="20">
        <v>46099</v>
      </c>
      <c r="C1708" s="16">
        <v>3</v>
      </c>
      <c r="D1708" s="19" t="s">
        <v>43</v>
      </c>
      <c r="E1708" s="19" t="s">
        <v>453</v>
      </c>
      <c r="G1708" s="19">
        <v>77</v>
      </c>
      <c r="H1708" s="19" t="s">
        <v>215</v>
      </c>
      <c r="I1708" s="19" t="s">
        <v>246</v>
      </c>
      <c r="J1708" s="19" t="s">
        <v>217</v>
      </c>
      <c r="K1708" s="18">
        <v>46107.484814814816</v>
      </c>
    </row>
    <row r="1709" spans="1:11" x14ac:dyDescent="0.25">
      <c r="A1709" s="16" t="s">
        <v>2160</v>
      </c>
      <c r="B1709" s="20">
        <v>46099</v>
      </c>
      <c r="C1709" s="16">
        <v>3</v>
      </c>
      <c r="D1709" s="19" t="s">
        <v>45</v>
      </c>
      <c r="E1709" s="19" t="s">
        <v>453</v>
      </c>
      <c r="G1709" s="19">
        <v>55</v>
      </c>
      <c r="H1709" s="19" t="s">
        <v>215</v>
      </c>
      <c r="I1709" s="19" t="s">
        <v>216</v>
      </c>
      <c r="J1709" s="19" t="s">
        <v>217</v>
      </c>
      <c r="K1709" s="18">
        <v>46107.485023148147</v>
      </c>
    </row>
    <row r="1710" spans="1:11" x14ac:dyDescent="0.25">
      <c r="A1710" s="16" t="s">
        <v>2161</v>
      </c>
      <c r="B1710" s="20">
        <v>46100</v>
      </c>
      <c r="C1710" s="16">
        <v>3</v>
      </c>
      <c r="D1710" s="19" t="s">
        <v>29</v>
      </c>
      <c r="E1710" s="19" t="s">
        <v>453</v>
      </c>
      <c r="G1710" s="19">
        <v>32</v>
      </c>
      <c r="H1710" s="19" t="s">
        <v>215</v>
      </c>
      <c r="I1710" s="19" t="s">
        <v>246</v>
      </c>
      <c r="J1710" s="19" t="s">
        <v>217</v>
      </c>
      <c r="K1710" s="18">
        <v>46107.489085648151</v>
      </c>
    </row>
    <row r="1711" spans="1:11" x14ac:dyDescent="0.25">
      <c r="A1711" s="16" t="s">
        <v>2162</v>
      </c>
      <c r="B1711" s="20">
        <v>46100</v>
      </c>
      <c r="C1711" s="16">
        <v>3</v>
      </c>
      <c r="D1711" s="19" t="s">
        <v>29</v>
      </c>
      <c r="E1711" s="19" t="s">
        <v>453</v>
      </c>
      <c r="G1711" s="19">
        <v>29</v>
      </c>
      <c r="H1711" s="19" t="s">
        <v>215</v>
      </c>
      <c r="I1711" s="19" t="s">
        <v>246</v>
      </c>
      <c r="J1711" s="19" t="s">
        <v>217</v>
      </c>
      <c r="K1711" s="18">
        <v>46107.485613425924</v>
      </c>
    </row>
    <row r="1712" spans="1:11" x14ac:dyDescent="0.25">
      <c r="A1712" s="16" t="s">
        <v>2163</v>
      </c>
      <c r="B1712" s="20">
        <v>46100</v>
      </c>
      <c r="C1712" s="16">
        <v>3</v>
      </c>
      <c r="D1712" s="19" t="s">
        <v>29</v>
      </c>
      <c r="E1712" s="19" t="s">
        <v>453</v>
      </c>
      <c r="G1712" s="19">
        <v>81</v>
      </c>
      <c r="H1712" s="19" t="s">
        <v>215</v>
      </c>
      <c r="I1712" s="19" t="s">
        <v>246</v>
      </c>
      <c r="J1712" s="19" t="s">
        <v>217</v>
      </c>
      <c r="K1712" s="18">
        <v>46107.489259259259</v>
      </c>
    </row>
    <row r="1713" spans="1:11" x14ac:dyDescent="0.25">
      <c r="A1713" s="16" t="s">
        <v>2164</v>
      </c>
      <c r="B1713" s="20">
        <v>46100</v>
      </c>
      <c r="C1713" s="16">
        <v>3</v>
      </c>
      <c r="D1713" s="19" t="s">
        <v>31</v>
      </c>
      <c r="E1713" s="19" t="s">
        <v>453</v>
      </c>
      <c r="G1713" s="19">
        <v>53</v>
      </c>
      <c r="H1713" s="19" t="s">
        <v>215</v>
      </c>
      <c r="I1713" s="19" t="s">
        <v>216</v>
      </c>
      <c r="J1713" s="19" t="s">
        <v>217</v>
      </c>
      <c r="K1713" s="18">
        <v>46107.490023148152</v>
      </c>
    </row>
    <row r="1714" spans="1:11" x14ac:dyDescent="0.25">
      <c r="A1714" s="16" t="s">
        <v>2165</v>
      </c>
      <c r="B1714" s="20">
        <v>46100</v>
      </c>
      <c r="C1714" s="16">
        <v>3</v>
      </c>
      <c r="D1714" s="19" t="s">
        <v>31</v>
      </c>
      <c r="E1714" s="19" t="s">
        <v>453</v>
      </c>
      <c r="G1714" s="19">
        <v>60</v>
      </c>
      <c r="H1714" s="19" t="s">
        <v>215</v>
      </c>
      <c r="I1714" s="19" t="s">
        <v>216</v>
      </c>
      <c r="J1714" s="19" t="s">
        <v>217</v>
      </c>
      <c r="K1714" s="18">
        <v>46107.49009259259</v>
      </c>
    </row>
    <row r="1715" spans="1:11" x14ac:dyDescent="0.25">
      <c r="A1715" s="16" t="s">
        <v>2166</v>
      </c>
      <c r="B1715" s="20">
        <v>46100</v>
      </c>
      <c r="C1715" s="16">
        <v>3</v>
      </c>
      <c r="D1715" s="19" t="s">
        <v>31</v>
      </c>
      <c r="E1715" s="19" t="s">
        <v>453</v>
      </c>
      <c r="G1715" s="19">
        <v>68</v>
      </c>
      <c r="H1715" s="19" t="s">
        <v>215</v>
      </c>
      <c r="I1715" s="19" t="s">
        <v>216</v>
      </c>
      <c r="J1715" s="19" t="s">
        <v>217</v>
      </c>
      <c r="K1715" s="18">
        <v>46107.490173611113</v>
      </c>
    </row>
    <row r="1716" spans="1:11" x14ac:dyDescent="0.25">
      <c r="A1716" s="16" t="s">
        <v>2167</v>
      </c>
      <c r="B1716" s="20">
        <v>46100</v>
      </c>
      <c r="C1716" s="16">
        <v>3</v>
      </c>
      <c r="D1716" s="19" t="s">
        <v>33</v>
      </c>
      <c r="E1716" s="19" t="s">
        <v>453</v>
      </c>
      <c r="G1716" s="19">
        <v>3</v>
      </c>
      <c r="H1716" s="19" t="s">
        <v>427</v>
      </c>
      <c r="I1716" s="19" t="s">
        <v>216</v>
      </c>
      <c r="J1716" s="19" t="s">
        <v>217</v>
      </c>
      <c r="K1716" s="18">
        <v>46107.490543981483</v>
      </c>
    </row>
    <row r="1717" spans="1:11" x14ac:dyDescent="0.25">
      <c r="A1717" s="16" t="s">
        <v>2168</v>
      </c>
      <c r="B1717" s="20">
        <v>46100</v>
      </c>
      <c r="C1717" s="16">
        <v>3</v>
      </c>
      <c r="D1717" s="19" t="s">
        <v>33</v>
      </c>
      <c r="E1717" s="19" t="s">
        <v>453</v>
      </c>
      <c r="G1717" s="19">
        <v>4</v>
      </c>
      <c r="H1717" s="19" t="s">
        <v>215</v>
      </c>
      <c r="I1717" s="19" t="s">
        <v>246</v>
      </c>
      <c r="J1717" s="19" t="s">
        <v>217</v>
      </c>
      <c r="K1717" s="18">
        <v>46107.490659722222</v>
      </c>
    </row>
    <row r="1718" spans="1:11" x14ac:dyDescent="0.25">
      <c r="A1718" s="16" t="s">
        <v>2169</v>
      </c>
      <c r="B1718" s="20">
        <v>46100</v>
      </c>
      <c r="C1718" s="16">
        <v>3</v>
      </c>
      <c r="D1718" s="19" t="s">
        <v>33</v>
      </c>
      <c r="E1718" s="19" t="s">
        <v>453</v>
      </c>
      <c r="G1718" s="19">
        <v>8</v>
      </c>
      <c r="H1718" s="19" t="s">
        <v>215</v>
      </c>
      <c r="I1718" s="19" t="s">
        <v>216</v>
      </c>
      <c r="J1718" s="19" t="s">
        <v>217</v>
      </c>
      <c r="K1718" s="18">
        <v>46107.49077546296</v>
      </c>
    </row>
    <row r="1719" spans="1:11" x14ac:dyDescent="0.25">
      <c r="A1719" s="16" t="s">
        <v>2170</v>
      </c>
      <c r="B1719" s="20">
        <v>46100</v>
      </c>
      <c r="C1719" s="16">
        <v>3</v>
      </c>
      <c r="D1719" s="19" t="s">
        <v>33</v>
      </c>
      <c r="E1719" s="19" t="s">
        <v>453</v>
      </c>
      <c r="G1719" s="19">
        <v>5</v>
      </c>
      <c r="H1719" s="19" t="s">
        <v>427</v>
      </c>
      <c r="I1719" s="19" t="s">
        <v>216</v>
      </c>
      <c r="J1719" s="19" t="s">
        <v>217</v>
      </c>
      <c r="K1719" s="18">
        <v>46107.490937499999</v>
      </c>
    </row>
    <row r="1720" spans="1:11" x14ac:dyDescent="0.25">
      <c r="A1720" s="16" t="s">
        <v>2171</v>
      </c>
      <c r="B1720" s="20">
        <v>46100</v>
      </c>
      <c r="C1720" s="16">
        <v>3</v>
      </c>
      <c r="D1720" s="19" t="s">
        <v>33</v>
      </c>
      <c r="E1720" s="19" t="s">
        <v>453</v>
      </c>
      <c r="G1720" s="19">
        <v>7</v>
      </c>
      <c r="H1720" s="19" t="s">
        <v>215</v>
      </c>
      <c r="I1720" s="19" t="s">
        <v>246</v>
      </c>
      <c r="J1720" s="19" t="s">
        <v>217</v>
      </c>
      <c r="K1720" s="18">
        <v>46107.491053240738</v>
      </c>
    </row>
    <row r="1721" spans="1:11" x14ac:dyDescent="0.25">
      <c r="A1721" s="16" t="s">
        <v>2172</v>
      </c>
      <c r="B1721" s="20">
        <v>46100</v>
      </c>
      <c r="C1721" s="16">
        <v>3</v>
      </c>
      <c r="D1721" s="19" t="s">
        <v>35</v>
      </c>
      <c r="E1721" s="19" t="s">
        <v>453</v>
      </c>
      <c r="G1721" s="19">
        <v>28</v>
      </c>
      <c r="H1721" s="19" t="s">
        <v>215</v>
      </c>
      <c r="I1721" s="19" t="s">
        <v>216</v>
      </c>
      <c r="J1721" s="19" t="s">
        <v>217</v>
      </c>
      <c r="K1721" s="18">
        <v>46107.49150462963</v>
      </c>
    </row>
    <row r="1722" spans="1:11" x14ac:dyDescent="0.25">
      <c r="A1722" s="16" t="s">
        <v>2173</v>
      </c>
      <c r="B1722" s="20">
        <v>46100</v>
      </c>
      <c r="C1722" s="16">
        <v>3</v>
      </c>
      <c r="D1722" s="19" t="s">
        <v>35</v>
      </c>
      <c r="E1722" s="19" t="s">
        <v>453</v>
      </c>
      <c r="G1722" s="19">
        <v>32</v>
      </c>
      <c r="H1722" s="19" t="s">
        <v>215</v>
      </c>
      <c r="I1722" s="19" t="s">
        <v>216</v>
      </c>
      <c r="J1722" s="19" t="s">
        <v>217</v>
      </c>
      <c r="K1722" s="18">
        <v>46107.491620370369</v>
      </c>
    </row>
    <row r="1723" spans="1:11" x14ac:dyDescent="0.25">
      <c r="A1723" s="16" t="s">
        <v>2174</v>
      </c>
      <c r="B1723" s="20">
        <v>46100</v>
      </c>
      <c r="C1723" s="16">
        <v>3</v>
      </c>
      <c r="D1723" s="19" t="s">
        <v>35</v>
      </c>
      <c r="E1723" s="19" t="s">
        <v>453</v>
      </c>
      <c r="G1723" s="19">
        <v>26</v>
      </c>
      <c r="H1723" s="19" t="s">
        <v>215</v>
      </c>
      <c r="I1723" s="19" t="s">
        <v>216</v>
      </c>
      <c r="J1723" s="19" t="s">
        <v>217</v>
      </c>
      <c r="K1723" s="18">
        <v>46107.491689814815</v>
      </c>
    </row>
    <row r="1724" spans="1:11" x14ac:dyDescent="0.25">
      <c r="A1724" s="16" t="s">
        <v>2175</v>
      </c>
      <c r="B1724" s="20">
        <v>46100</v>
      </c>
      <c r="C1724" s="16">
        <v>3</v>
      </c>
      <c r="D1724" s="19" t="s">
        <v>37</v>
      </c>
      <c r="E1724" s="19" t="s">
        <v>453</v>
      </c>
      <c r="G1724" s="19">
        <v>20</v>
      </c>
      <c r="H1724" s="19" t="s">
        <v>215</v>
      </c>
      <c r="I1724" s="19" t="s">
        <v>216</v>
      </c>
      <c r="J1724" s="19" t="s">
        <v>217</v>
      </c>
      <c r="K1724" s="18">
        <v>46107.491932870369</v>
      </c>
    </row>
    <row r="1725" spans="1:11" x14ac:dyDescent="0.25">
      <c r="A1725" s="16" t="s">
        <v>2176</v>
      </c>
      <c r="B1725" s="20">
        <v>46100</v>
      </c>
      <c r="C1725" s="16">
        <v>3</v>
      </c>
      <c r="D1725" s="19" t="s">
        <v>37</v>
      </c>
      <c r="E1725" s="19" t="s">
        <v>453</v>
      </c>
      <c r="G1725" s="19">
        <v>32</v>
      </c>
      <c r="H1725" s="19" t="s">
        <v>215</v>
      </c>
      <c r="I1725" s="19" t="s">
        <v>216</v>
      </c>
      <c r="J1725" s="19" t="s">
        <v>217</v>
      </c>
      <c r="K1725" s="18">
        <v>46107.491990740738</v>
      </c>
    </row>
    <row r="1726" spans="1:11" x14ac:dyDescent="0.25">
      <c r="A1726" s="16" t="s">
        <v>2177</v>
      </c>
      <c r="B1726" s="20">
        <v>46100</v>
      </c>
      <c r="C1726" s="16">
        <v>3</v>
      </c>
      <c r="D1726" s="19" t="s">
        <v>37</v>
      </c>
      <c r="E1726" s="19" t="s">
        <v>453</v>
      </c>
      <c r="G1726" s="19">
        <v>28</v>
      </c>
      <c r="H1726" s="19" t="s">
        <v>215</v>
      </c>
      <c r="I1726" s="19" t="s">
        <v>216</v>
      </c>
      <c r="J1726" s="19" t="s">
        <v>217</v>
      </c>
      <c r="K1726" s="18">
        <v>46107.492060185185</v>
      </c>
    </row>
    <row r="1727" spans="1:11" x14ac:dyDescent="0.25">
      <c r="A1727" s="16" t="s">
        <v>2178</v>
      </c>
      <c r="B1727" s="20">
        <v>46100</v>
      </c>
      <c r="C1727" s="16">
        <v>3</v>
      </c>
      <c r="D1727" s="19" t="s">
        <v>37</v>
      </c>
      <c r="E1727" s="19" t="s">
        <v>453</v>
      </c>
      <c r="G1727" s="19">
        <v>21</v>
      </c>
      <c r="H1727" s="19" t="s">
        <v>215</v>
      </c>
      <c r="I1727" s="19" t="s">
        <v>216</v>
      </c>
      <c r="J1727" s="19" t="s">
        <v>217</v>
      </c>
      <c r="K1727" s="18">
        <v>46107.492129629631</v>
      </c>
    </row>
    <row r="1728" spans="1:11" x14ac:dyDescent="0.25">
      <c r="A1728" s="16" t="s">
        <v>2179</v>
      </c>
      <c r="B1728" s="20">
        <v>46100</v>
      </c>
      <c r="C1728" s="16">
        <v>3</v>
      </c>
      <c r="D1728" s="19" t="s">
        <v>39</v>
      </c>
      <c r="E1728" s="19" t="s">
        <v>453</v>
      </c>
      <c r="G1728" s="19">
        <v>20</v>
      </c>
      <c r="H1728" s="19" t="s">
        <v>215</v>
      </c>
      <c r="I1728" s="19" t="s">
        <v>216</v>
      </c>
      <c r="J1728" s="19" t="s">
        <v>217</v>
      </c>
      <c r="K1728" s="18">
        <v>46107.492465277777</v>
      </c>
    </row>
    <row r="1729" spans="1:11" x14ac:dyDescent="0.25">
      <c r="A1729" s="16" t="s">
        <v>2180</v>
      </c>
      <c r="B1729" s="20">
        <v>46100</v>
      </c>
      <c r="C1729" s="16">
        <v>3</v>
      </c>
      <c r="D1729" s="19" t="s">
        <v>39</v>
      </c>
      <c r="E1729" s="19" t="s">
        <v>453</v>
      </c>
      <c r="G1729" s="19">
        <v>30</v>
      </c>
      <c r="H1729" s="19" t="s">
        <v>215</v>
      </c>
      <c r="I1729" s="19" t="s">
        <v>216</v>
      </c>
      <c r="J1729" s="19" t="s">
        <v>217</v>
      </c>
      <c r="K1729" s="18">
        <v>46107.492523148147</v>
      </c>
    </row>
    <row r="1730" spans="1:11" x14ac:dyDescent="0.25">
      <c r="A1730" s="16" t="s">
        <v>2181</v>
      </c>
      <c r="B1730" s="20">
        <v>46100</v>
      </c>
      <c r="C1730" s="16">
        <v>3</v>
      </c>
      <c r="D1730" s="19" t="s">
        <v>39</v>
      </c>
      <c r="E1730" s="19" t="s">
        <v>453</v>
      </c>
      <c r="G1730" s="19">
        <v>28</v>
      </c>
      <c r="H1730" s="19" t="s">
        <v>215</v>
      </c>
      <c r="I1730" s="19" t="s">
        <v>216</v>
      </c>
      <c r="J1730" s="19" t="s">
        <v>217</v>
      </c>
      <c r="K1730" s="18">
        <v>46107.492581018516</v>
      </c>
    </row>
    <row r="1731" spans="1:11" x14ac:dyDescent="0.25">
      <c r="A1731" s="16" t="s">
        <v>2182</v>
      </c>
      <c r="B1731" s="20">
        <v>46100</v>
      </c>
      <c r="C1731" s="16">
        <v>3</v>
      </c>
      <c r="D1731" s="19" t="s">
        <v>39</v>
      </c>
      <c r="E1731" s="19" t="s">
        <v>453</v>
      </c>
      <c r="G1731" s="19">
        <v>31</v>
      </c>
      <c r="H1731" s="19" t="s">
        <v>215</v>
      </c>
      <c r="I1731" s="19" t="s">
        <v>216</v>
      </c>
      <c r="J1731" s="19" t="s">
        <v>217</v>
      </c>
      <c r="K1731" s="18">
        <v>46107.492662037039</v>
      </c>
    </row>
    <row r="1732" spans="1:11" x14ac:dyDescent="0.25">
      <c r="A1732" s="16" t="s">
        <v>2183</v>
      </c>
      <c r="B1732" s="20">
        <v>46100</v>
      </c>
      <c r="C1732" s="16">
        <v>3</v>
      </c>
      <c r="D1732" s="19" t="s">
        <v>41</v>
      </c>
      <c r="E1732" s="19" t="s">
        <v>453</v>
      </c>
      <c r="G1732" s="19">
        <v>0</v>
      </c>
      <c r="H1732" s="19" t="s">
        <v>306</v>
      </c>
      <c r="I1732" s="19" t="s">
        <v>216</v>
      </c>
      <c r="J1732" s="19" t="s">
        <v>217</v>
      </c>
      <c r="K1732" s="18">
        <v>46107.493067129632</v>
      </c>
    </row>
    <row r="1733" spans="1:11" x14ac:dyDescent="0.25">
      <c r="A1733" s="16" t="s">
        <v>2184</v>
      </c>
      <c r="B1733" s="20">
        <v>46100</v>
      </c>
      <c r="C1733" s="16">
        <v>3</v>
      </c>
      <c r="D1733" s="19" t="s">
        <v>43</v>
      </c>
      <c r="E1733" s="19" t="s">
        <v>453</v>
      </c>
      <c r="G1733" s="19">
        <v>53</v>
      </c>
      <c r="H1733" s="19" t="s">
        <v>215</v>
      </c>
      <c r="I1733" s="19" t="s">
        <v>246</v>
      </c>
      <c r="J1733" s="19" t="s">
        <v>217</v>
      </c>
      <c r="K1733" s="18">
        <v>46107.493564814817</v>
      </c>
    </row>
    <row r="1734" spans="1:11" x14ac:dyDescent="0.25">
      <c r="A1734" s="16" t="s">
        <v>2185</v>
      </c>
      <c r="B1734" s="20">
        <v>46100</v>
      </c>
      <c r="C1734" s="16">
        <v>3</v>
      </c>
      <c r="D1734" s="19" t="s">
        <v>43</v>
      </c>
      <c r="E1734" s="19" t="s">
        <v>453</v>
      </c>
      <c r="G1734" s="19">
        <v>14</v>
      </c>
      <c r="H1734" s="19" t="s">
        <v>215</v>
      </c>
      <c r="I1734" s="19" t="s">
        <v>246</v>
      </c>
      <c r="J1734" s="19" t="s">
        <v>217</v>
      </c>
      <c r="K1734" s="18">
        <v>46107.493645833332</v>
      </c>
    </row>
    <row r="1735" spans="1:11" x14ac:dyDescent="0.25">
      <c r="A1735" s="16" t="s">
        <v>2186</v>
      </c>
      <c r="B1735" s="20">
        <v>46100</v>
      </c>
      <c r="C1735" s="16">
        <v>3</v>
      </c>
      <c r="D1735" s="19" t="s">
        <v>43</v>
      </c>
      <c r="E1735" s="19" t="s">
        <v>453</v>
      </c>
      <c r="G1735" s="19">
        <v>70</v>
      </c>
      <c r="H1735" s="19" t="s">
        <v>215</v>
      </c>
      <c r="I1735" s="19" t="s">
        <v>246</v>
      </c>
      <c r="J1735" s="19" t="s">
        <v>217</v>
      </c>
      <c r="K1735" s="18">
        <v>46107.493715277778</v>
      </c>
    </row>
    <row r="1736" spans="1:11" x14ac:dyDescent="0.25">
      <c r="A1736" s="16" t="s">
        <v>2187</v>
      </c>
      <c r="B1736" s="20">
        <v>46100</v>
      </c>
      <c r="C1736" s="16">
        <v>3</v>
      </c>
      <c r="D1736" s="19" t="s">
        <v>43</v>
      </c>
      <c r="E1736" s="19" t="s">
        <v>453</v>
      </c>
      <c r="G1736" s="19">
        <v>71</v>
      </c>
      <c r="H1736" s="19" t="s">
        <v>215</v>
      </c>
      <c r="I1736" s="19" t="s">
        <v>246</v>
      </c>
      <c r="J1736" s="19" t="s">
        <v>217</v>
      </c>
      <c r="K1736" s="18">
        <v>46107.493807870371</v>
      </c>
    </row>
    <row r="1737" spans="1:11" x14ac:dyDescent="0.25">
      <c r="A1737" s="16" t="s">
        <v>2188</v>
      </c>
      <c r="B1737" s="20">
        <v>46100</v>
      </c>
      <c r="C1737" s="16">
        <v>3</v>
      </c>
      <c r="D1737" s="19" t="s">
        <v>43</v>
      </c>
      <c r="E1737" s="19" t="s">
        <v>453</v>
      </c>
      <c r="G1737" s="19">
        <v>2</v>
      </c>
      <c r="H1737" s="19" t="s">
        <v>215</v>
      </c>
      <c r="I1737" s="19" t="s">
        <v>246</v>
      </c>
      <c r="J1737" s="19" t="s">
        <v>217</v>
      </c>
      <c r="K1737" s="18">
        <v>46107.493888888886</v>
      </c>
    </row>
    <row r="1738" spans="1:11" x14ac:dyDescent="0.25">
      <c r="A1738" s="16" t="s">
        <v>2189</v>
      </c>
      <c r="B1738" s="20">
        <v>46101</v>
      </c>
      <c r="C1738" s="16">
        <v>3</v>
      </c>
      <c r="D1738" s="19" t="s">
        <v>29</v>
      </c>
      <c r="E1738" s="19" t="s">
        <v>453</v>
      </c>
      <c r="G1738" s="19">
        <v>69</v>
      </c>
      <c r="H1738" s="19" t="s">
        <v>215</v>
      </c>
      <c r="I1738" s="19" t="s">
        <v>246</v>
      </c>
      <c r="J1738" s="19" t="s">
        <v>217</v>
      </c>
      <c r="K1738" s="18">
        <v>46107.494641203702</v>
      </c>
    </row>
    <row r="1739" spans="1:11" x14ac:dyDescent="0.25">
      <c r="A1739" s="16" t="s">
        <v>2190</v>
      </c>
      <c r="B1739" s="20">
        <v>46101</v>
      </c>
      <c r="C1739" s="16">
        <v>3</v>
      </c>
      <c r="D1739" s="19" t="s">
        <v>29</v>
      </c>
      <c r="E1739" s="19" t="s">
        <v>453</v>
      </c>
      <c r="G1739" s="19">
        <v>54</v>
      </c>
      <c r="H1739" s="19" t="s">
        <v>215</v>
      </c>
      <c r="I1739" s="19" t="s">
        <v>246</v>
      </c>
      <c r="J1739" s="19" t="s">
        <v>217</v>
      </c>
      <c r="K1739" s="18">
        <v>46107.494710648149</v>
      </c>
    </row>
    <row r="1740" spans="1:11" x14ac:dyDescent="0.25">
      <c r="A1740" s="16" t="s">
        <v>2191</v>
      </c>
      <c r="B1740" s="20">
        <v>46101</v>
      </c>
      <c r="C1740" s="16">
        <v>3</v>
      </c>
      <c r="D1740" s="19" t="s">
        <v>29</v>
      </c>
      <c r="E1740" s="19" t="s">
        <v>453</v>
      </c>
      <c r="G1740" s="19">
        <v>61</v>
      </c>
      <c r="H1740" s="19" t="s">
        <v>215</v>
      </c>
      <c r="I1740" s="19" t="s">
        <v>246</v>
      </c>
      <c r="J1740" s="19" t="s">
        <v>217</v>
      </c>
      <c r="K1740" s="18">
        <v>46107.494780092595</v>
      </c>
    </row>
    <row r="1741" spans="1:11" x14ac:dyDescent="0.25">
      <c r="A1741" s="16" t="s">
        <v>2192</v>
      </c>
      <c r="B1741" s="20">
        <v>46101</v>
      </c>
      <c r="C1741" s="16">
        <v>3</v>
      </c>
      <c r="D1741" s="19" t="s">
        <v>31</v>
      </c>
      <c r="E1741" s="19" t="s">
        <v>453</v>
      </c>
      <c r="G1741" s="19">
        <v>61</v>
      </c>
      <c r="H1741" s="19" t="s">
        <v>215</v>
      </c>
      <c r="I1741" s="19" t="s">
        <v>216</v>
      </c>
      <c r="J1741" s="19" t="s">
        <v>217</v>
      </c>
      <c r="K1741" s="18">
        <v>46107.495150462964</v>
      </c>
    </row>
    <row r="1742" spans="1:11" x14ac:dyDescent="0.25">
      <c r="A1742" s="16" t="s">
        <v>2193</v>
      </c>
      <c r="B1742" s="20">
        <v>46101</v>
      </c>
      <c r="C1742" s="16">
        <v>3</v>
      </c>
      <c r="D1742" s="19" t="s">
        <v>31</v>
      </c>
      <c r="E1742" s="19" t="s">
        <v>453</v>
      </c>
      <c r="G1742" s="19">
        <v>46</v>
      </c>
      <c r="H1742" s="19" t="s">
        <v>215</v>
      </c>
      <c r="I1742" s="19" t="s">
        <v>216</v>
      </c>
      <c r="J1742" s="19" t="s">
        <v>217</v>
      </c>
      <c r="K1742" s="18">
        <v>46107.495254629626</v>
      </c>
    </row>
    <row r="1743" spans="1:11" x14ac:dyDescent="0.25">
      <c r="A1743" s="16" t="s">
        <v>2194</v>
      </c>
      <c r="B1743" s="20">
        <v>46101</v>
      </c>
      <c r="C1743" s="16">
        <v>3</v>
      </c>
      <c r="D1743" s="19" t="s">
        <v>31</v>
      </c>
      <c r="E1743" s="19" t="s">
        <v>453</v>
      </c>
      <c r="G1743" s="19">
        <v>68</v>
      </c>
      <c r="H1743" s="19" t="s">
        <v>215</v>
      </c>
      <c r="I1743" s="19" t="s">
        <v>216</v>
      </c>
      <c r="J1743" s="19" t="s">
        <v>217</v>
      </c>
      <c r="K1743" s="18">
        <v>46107.495324074072</v>
      </c>
    </row>
    <row r="1744" spans="1:11" x14ac:dyDescent="0.25">
      <c r="A1744" s="16" t="s">
        <v>2195</v>
      </c>
      <c r="B1744" s="20">
        <v>46101</v>
      </c>
      <c r="C1744" s="16">
        <v>3</v>
      </c>
      <c r="D1744" s="19" t="s">
        <v>33</v>
      </c>
      <c r="E1744" s="19" t="s">
        <v>453</v>
      </c>
      <c r="G1744" s="19">
        <v>11</v>
      </c>
      <c r="H1744" s="19" t="s">
        <v>215</v>
      </c>
      <c r="I1744" s="19" t="s">
        <v>246</v>
      </c>
      <c r="J1744" s="19" t="s">
        <v>217</v>
      </c>
      <c r="K1744" s="18">
        <v>46107.495682870373</v>
      </c>
    </row>
    <row r="1745" spans="1:11" x14ac:dyDescent="0.25">
      <c r="A1745" s="16" t="s">
        <v>2196</v>
      </c>
      <c r="B1745" s="20">
        <v>46101</v>
      </c>
      <c r="C1745" s="16">
        <v>3</v>
      </c>
      <c r="D1745" s="19" t="s">
        <v>33</v>
      </c>
      <c r="E1745" s="19" t="s">
        <v>453</v>
      </c>
      <c r="G1745" s="19">
        <v>9</v>
      </c>
      <c r="H1745" s="19" t="s">
        <v>427</v>
      </c>
      <c r="I1745" s="19" t="s">
        <v>246</v>
      </c>
      <c r="J1745" s="19" t="s">
        <v>217</v>
      </c>
      <c r="K1745" s="18">
        <v>46107.495868055557</v>
      </c>
    </row>
    <row r="1746" spans="1:11" x14ac:dyDescent="0.25">
      <c r="A1746" s="16" t="s">
        <v>2197</v>
      </c>
      <c r="B1746" s="20">
        <v>46101</v>
      </c>
      <c r="C1746" s="16">
        <v>3</v>
      </c>
      <c r="D1746" s="19" t="s">
        <v>33</v>
      </c>
      <c r="E1746" s="19" t="s">
        <v>453</v>
      </c>
      <c r="G1746" s="19">
        <v>5</v>
      </c>
      <c r="H1746" s="19" t="s">
        <v>215</v>
      </c>
      <c r="I1746" s="19" t="s">
        <v>216</v>
      </c>
      <c r="J1746" s="19" t="s">
        <v>217</v>
      </c>
      <c r="K1746" s="18">
        <v>46107.496030092596</v>
      </c>
    </row>
    <row r="1747" spans="1:11" x14ac:dyDescent="0.25">
      <c r="A1747" s="16" t="s">
        <v>2198</v>
      </c>
      <c r="B1747" s="20">
        <v>46101</v>
      </c>
      <c r="C1747" s="16">
        <v>3</v>
      </c>
      <c r="D1747" s="19" t="s">
        <v>35</v>
      </c>
      <c r="E1747" s="19" t="s">
        <v>453</v>
      </c>
      <c r="G1747" s="19">
        <v>69</v>
      </c>
      <c r="H1747" s="19" t="s">
        <v>215</v>
      </c>
      <c r="I1747" s="19" t="s">
        <v>216</v>
      </c>
      <c r="J1747" s="19" t="s">
        <v>217</v>
      </c>
      <c r="K1747" s="18">
        <v>46107.49627314815</v>
      </c>
    </row>
    <row r="1748" spans="1:11" x14ac:dyDescent="0.25">
      <c r="A1748" s="16" t="s">
        <v>2199</v>
      </c>
      <c r="B1748" s="20">
        <v>46101</v>
      </c>
      <c r="C1748" s="16">
        <v>3</v>
      </c>
      <c r="D1748" s="19" t="s">
        <v>35</v>
      </c>
      <c r="E1748" s="19" t="s">
        <v>453</v>
      </c>
      <c r="G1748" s="19">
        <v>20</v>
      </c>
      <c r="H1748" s="19" t="s">
        <v>215</v>
      </c>
      <c r="I1748" s="19" t="s">
        <v>216</v>
      </c>
      <c r="J1748" s="19" t="s">
        <v>217</v>
      </c>
      <c r="K1748" s="18">
        <v>46107.496354166666</v>
      </c>
    </row>
    <row r="1749" spans="1:11" x14ac:dyDescent="0.25">
      <c r="A1749" s="16" t="s">
        <v>2200</v>
      </c>
      <c r="B1749" s="20">
        <v>46101</v>
      </c>
      <c r="C1749" s="16">
        <v>3</v>
      </c>
      <c r="D1749" s="19" t="s">
        <v>37</v>
      </c>
      <c r="E1749" s="19" t="s">
        <v>453</v>
      </c>
      <c r="G1749" s="19">
        <v>69</v>
      </c>
      <c r="H1749" s="19" t="s">
        <v>215</v>
      </c>
      <c r="I1749" s="19" t="s">
        <v>216</v>
      </c>
      <c r="J1749" s="19" t="s">
        <v>217</v>
      </c>
      <c r="K1749" s="18">
        <v>46107.49658564815</v>
      </c>
    </row>
    <row r="1750" spans="1:11" x14ac:dyDescent="0.25">
      <c r="A1750" s="16" t="s">
        <v>2201</v>
      </c>
      <c r="B1750" s="20">
        <v>46101</v>
      </c>
      <c r="C1750" s="16">
        <v>3</v>
      </c>
      <c r="D1750" s="19" t="s">
        <v>37</v>
      </c>
      <c r="E1750" s="19" t="s">
        <v>453</v>
      </c>
      <c r="G1750" s="19">
        <v>20</v>
      </c>
      <c r="H1750" s="19" t="s">
        <v>215</v>
      </c>
      <c r="I1750" s="19" t="s">
        <v>216</v>
      </c>
      <c r="J1750" s="19" t="s">
        <v>217</v>
      </c>
      <c r="K1750" s="18">
        <v>46107.496631944443</v>
      </c>
    </row>
    <row r="1751" spans="1:11" x14ac:dyDescent="0.25">
      <c r="A1751" s="16" t="s">
        <v>2202</v>
      </c>
      <c r="B1751" s="20">
        <v>46101</v>
      </c>
      <c r="C1751" s="16">
        <v>3</v>
      </c>
      <c r="D1751" s="19" t="s">
        <v>39</v>
      </c>
      <c r="E1751" s="19" t="s">
        <v>453</v>
      </c>
      <c r="G1751" s="19">
        <v>35</v>
      </c>
      <c r="H1751" s="19" t="s">
        <v>215</v>
      </c>
      <c r="I1751" s="19" t="s">
        <v>216</v>
      </c>
      <c r="J1751" s="19" t="s">
        <v>217</v>
      </c>
      <c r="K1751" s="18">
        <v>46107.49722222222</v>
      </c>
    </row>
    <row r="1752" spans="1:11" x14ac:dyDescent="0.25">
      <c r="A1752" s="16" t="s">
        <v>2203</v>
      </c>
      <c r="B1752" s="20">
        <v>46101</v>
      </c>
      <c r="C1752" s="16">
        <v>3</v>
      </c>
      <c r="D1752" s="19" t="s">
        <v>39</v>
      </c>
      <c r="E1752" s="19" t="s">
        <v>453</v>
      </c>
      <c r="G1752" s="19">
        <v>21</v>
      </c>
      <c r="H1752" s="19" t="s">
        <v>215</v>
      </c>
      <c r="I1752" s="19" t="s">
        <v>216</v>
      </c>
      <c r="J1752" s="19" t="s">
        <v>217</v>
      </c>
      <c r="K1752" s="18">
        <v>46107.497291666667</v>
      </c>
    </row>
    <row r="1753" spans="1:11" x14ac:dyDescent="0.25">
      <c r="A1753" s="16" t="s">
        <v>2204</v>
      </c>
      <c r="B1753" s="20">
        <v>46101</v>
      </c>
      <c r="C1753" s="16">
        <v>3</v>
      </c>
      <c r="D1753" s="19" t="s">
        <v>39</v>
      </c>
      <c r="E1753" s="19" t="s">
        <v>453</v>
      </c>
      <c r="G1753" s="19">
        <v>39</v>
      </c>
      <c r="H1753" s="19" t="s">
        <v>215</v>
      </c>
      <c r="I1753" s="19" t="s">
        <v>216</v>
      </c>
      <c r="J1753" s="19" t="s">
        <v>217</v>
      </c>
      <c r="K1753" s="18">
        <v>46107.497407407405</v>
      </c>
    </row>
    <row r="1754" spans="1:11" x14ac:dyDescent="0.25">
      <c r="A1754" s="16" t="s">
        <v>2205</v>
      </c>
      <c r="B1754" s="20">
        <v>46101</v>
      </c>
      <c r="C1754" s="16">
        <v>3</v>
      </c>
      <c r="D1754" s="19" t="s">
        <v>39</v>
      </c>
      <c r="E1754" s="19" t="s">
        <v>453</v>
      </c>
      <c r="G1754" s="19">
        <v>35</v>
      </c>
      <c r="H1754" s="19" t="s">
        <v>215</v>
      </c>
      <c r="I1754" s="19" t="s">
        <v>216</v>
      </c>
      <c r="J1754" s="19" t="s">
        <v>217</v>
      </c>
      <c r="K1754" s="18">
        <v>46107.497488425928</v>
      </c>
    </row>
    <row r="1755" spans="1:11" x14ac:dyDescent="0.25">
      <c r="A1755" s="16" t="s">
        <v>2206</v>
      </c>
      <c r="B1755" s="20">
        <v>46101</v>
      </c>
      <c r="C1755" s="16">
        <v>3</v>
      </c>
      <c r="D1755" s="19" t="s">
        <v>41</v>
      </c>
      <c r="E1755" s="19" t="s">
        <v>453</v>
      </c>
      <c r="G1755" s="19">
        <v>0</v>
      </c>
      <c r="H1755" s="19" t="s">
        <v>306</v>
      </c>
      <c r="I1755" s="19" t="s">
        <v>246</v>
      </c>
      <c r="J1755" s="19" t="s">
        <v>217</v>
      </c>
      <c r="K1755" s="18">
        <v>46107.497858796298</v>
      </c>
    </row>
    <row r="1756" spans="1:11" x14ac:dyDescent="0.25">
      <c r="A1756" s="16" t="s">
        <v>2207</v>
      </c>
      <c r="B1756" s="20">
        <v>46101</v>
      </c>
      <c r="C1756" s="16">
        <v>3</v>
      </c>
      <c r="D1756" s="19" t="s">
        <v>43</v>
      </c>
      <c r="E1756" s="19" t="s">
        <v>453</v>
      </c>
      <c r="G1756" s="19">
        <v>46</v>
      </c>
      <c r="H1756" s="19" t="s">
        <v>215</v>
      </c>
      <c r="I1756" s="19" t="s">
        <v>246</v>
      </c>
      <c r="J1756" s="19" t="s">
        <v>217</v>
      </c>
      <c r="K1756" s="18">
        <v>46107.498749999999</v>
      </c>
    </row>
    <row r="1757" spans="1:11" x14ac:dyDescent="0.25">
      <c r="A1757" s="16" t="s">
        <v>2208</v>
      </c>
      <c r="B1757" s="20">
        <v>46101</v>
      </c>
      <c r="C1757" s="16">
        <v>3</v>
      </c>
      <c r="D1757" s="19" t="s">
        <v>45</v>
      </c>
      <c r="E1757" s="19" t="s">
        <v>453</v>
      </c>
      <c r="G1757" s="19">
        <v>46</v>
      </c>
      <c r="H1757" s="19" t="s">
        <v>215</v>
      </c>
      <c r="I1757" s="19" t="s">
        <v>216</v>
      </c>
      <c r="J1757" s="19" t="s">
        <v>217</v>
      </c>
      <c r="K1757" s="18">
        <v>46107.499351851853</v>
      </c>
    </row>
    <row r="1758" spans="1:11" x14ac:dyDescent="0.25">
      <c r="A1758" s="16" t="s">
        <v>2209</v>
      </c>
      <c r="B1758" s="20">
        <v>46102</v>
      </c>
      <c r="C1758" s="16">
        <v>3</v>
      </c>
      <c r="D1758" s="19" t="s">
        <v>29</v>
      </c>
      <c r="E1758" s="19" t="s">
        <v>453</v>
      </c>
      <c r="G1758" s="19">
        <v>25</v>
      </c>
      <c r="H1758" s="19" t="s">
        <v>215</v>
      </c>
      <c r="I1758" s="19" t="s">
        <v>246</v>
      </c>
      <c r="J1758" s="19" t="s">
        <v>217</v>
      </c>
      <c r="K1758" s="18">
        <v>46107.500104166669</v>
      </c>
    </row>
    <row r="1759" spans="1:11" x14ac:dyDescent="0.25">
      <c r="A1759" s="16" t="s">
        <v>2210</v>
      </c>
      <c r="B1759" s="20">
        <v>46102</v>
      </c>
      <c r="C1759" s="16">
        <v>3</v>
      </c>
      <c r="D1759" s="19" t="s">
        <v>29</v>
      </c>
      <c r="E1759" s="19" t="s">
        <v>453</v>
      </c>
      <c r="G1759" s="19">
        <v>15</v>
      </c>
      <c r="H1759" s="19" t="s">
        <v>215</v>
      </c>
      <c r="I1759" s="19" t="s">
        <v>246</v>
      </c>
      <c r="J1759" s="19" t="s">
        <v>217</v>
      </c>
      <c r="K1759" s="18">
        <v>46107.500162037039</v>
      </c>
    </row>
    <row r="1760" spans="1:11" x14ac:dyDescent="0.25">
      <c r="A1760" s="16" t="s">
        <v>2211</v>
      </c>
      <c r="B1760" s="20">
        <v>46102</v>
      </c>
      <c r="C1760" s="16">
        <v>3</v>
      </c>
      <c r="D1760" s="19" t="s">
        <v>29</v>
      </c>
      <c r="E1760" s="19" t="s">
        <v>453</v>
      </c>
      <c r="G1760" s="19">
        <v>13</v>
      </c>
      <c r="H1760" s="19" t="s">
        <v>215</v>
      </c>
      <c r="I1760" s="19" t="s">
        <v>246</v>
      </c>
      <c r="J1760" s="19" t="s">
        <v>217</v>
      </c>
      <c r="K1760" s="18">
        <v>46107.500219907408</v>
      </c>
    </row>
    <row r="1761" spans="1:11" x14ac:dyDescent="0.25">
      <c r="A1761" s="16" t="s">
        <v>2212</v>
      </c>
      <c r="B1761" s="20">
        <v>46102</v>
      </c>
      <c r="C1761" s="16">
        <v>3</v>
      </c>
      <c r="D1761" s="19" t="s">
        <v>31</v>
      </c>
      <c r="E1761" s="19" t="s">
        <v>453</v>
      </c>
      <c r="G1761" s="19">
        <v>98</v>
      </c>
      <c r="H1761" s="19" t="s">
        <v>215</v>
      </c>
      <c r="I1761" s="19" t="s">
        <v>216</v>
      </c>
      <c r="J1761" s="19" t="s">
        <v>217</v>
      </c>
      <c r="K1761" s="18">
        <v>46107.500509259262</v>
      </c>
    </row>
    <row r="1762" spans="1:11" x14ac:dyDescent="0.25">
      <c r="A1762" s="16" t="s">
        <v>2213</v>
      </c>
      <c r="B1762" s="20">
        <v>46102</v>
      </c>
      <c r="C1762" s="16">
        <v>3</v>
      </c>
      <c r="D1762" s="19" t="s">
        <v>31</v>
      </c>
      <c r="E1762" s="19" t="s">
        <v>453</v>
      </c>
      <c r="G1762" s="19">
        <v>17</v>
      </c>
      <c r="H1762" s="19" t="s">
        <v>215</v>
      </c>
      <c r="I1762" s="19" t="s">
        <v>216</v>
      </c>
      <c r="J1762" s="19" t="s">
        <v>217</v>
      </c>
      <c r="K1762" s="18">
        <v>46107.500590277778</v>
      </c>
    </row>
    <row r="1763" spans="1:11" x14ac:dyDescent="0.25">
      <c r="A1763" s="16" t="s">
        <v>2214</v>
      </c>
      <c r="B1763" s="20">
        <v>46102</v>
      </c>
      <c r="C1763" s="16">
        <v>3</v>
      </c>
      <c r="D1763" s="19" t="s">
        <v>31</v>
      </c>
      <c r="E1763" s="19" t="s">
        <v>453</v>
      </c>
      <c r="G1763" s="19">
        <v>21</v>
      </c>
      <c r="H1763" s="19" t="s">
        <v>215</v>
      </c>
      <c r="I1763" s="19" t="s">
        <v>216</v>
      </c>
      <c r="J1763" s="19" t="s">
        <v>217</v>
      </c>
      <c r="K1763" s="18">
        <v>46107.500659722224</v>
      </c>
    </row>
    <row r="1764" spans="1:11" x14ac:dyDescent="0.25">
      <c r="A1764" s="16" t="s">
        <v>2215</v>
      </c>
      <c r="B1764" s="20">
        <v>46102</v>
      </c>
      <c r="C1764" s="16">
        <v>3</v>
      </c>
      <c r="D1764" s="19" t="s">
        <v>33</v>
      </c>
      <c r="E1764" s="19" t="s">
        <v>453</v>
      </c>
      <c r="G1764" s="19">
        <v>3</v>
      </c>
      <c r="H1764" s="19" t="s">
        <v>215</v>
      </c>
      <c r="I1764" s="19" t="s">
        <v>246</v>
      </c>
      <c r="J1764" s="19" t="s">
        <v>217</v>
      </c>
      <c r="K1764" s="18">
        <v>46107.500960648147</v>
      </c>
    </row>
    <row r="1765" spans="1:11" x14ac:dyDescent="0.25">
      <c r="A1765" s="16" t="s">
        <v>2216</v>
      </c>
      <c r="B1765" s="20">
        <v>46102</v>
      </c>
      <c r="C1765" s="16">
        <v>3</v>
      </c>
      <c r="D1765" s="19" t="s">
        <v>33</v>
      </c>
      <c r="E1765" s="19" t="s">
        <v>453</v>
      </c>
      <c r="G1765" s="19">
        <v>5</v>
      </c>
      <c r="H1765" s="19" t="s">
        <v>215</v>
      </c>
      <c r="I1765" s="19" t="s">
        <v>216</v>
      </c>
      <c r="J1765" s="19" t="s">
        <v>217</v>
      </c>
      <c r="K1765" s="18">
        <v>46107.501030092593</v>
      </c>
    </row>
    <row r="1766" spans="1:11" x14ac:dyDescent="0.25">
      <c r="A1766" s="16" t="s">
        <v>2217</v>
      </c>
      <c r="B1766" s="20">
        <v>46102</v>
      </c>
      <c r="C1766" s="16">
        <v>3</v>
      </c>
      <c r="D1766" s="19" t="s">
        <v>35</v>
      </c>
      <c r="E1766" s="19" t="s">
        <v>453</v>
      </c>
      <c r="G1766" s="19">
        <v>34</v>
      </c>
      <c r="H1766" s="19" t="s">
        <v>215</v>
      </c>
      <c r="I1766" s="19" t="s">
        <v>216</v>
      </c>
      <c r="J1766" s="19" t="s">
        <v>217</v>
      </c>
      <c r="K1766" s="18">
        <v>46107.501250000001</v>
      </c>
    </row>
    <row r="1767" spans="1:11" x14ac:dyDescent="0.25">
      <c r="A1767" s="16" t="s">
        <v>2218</v>
      </c>
      <c r="B1767" s="20">
        <v>46102</v>
      </c>
      <c r="C1767" s="16">
        <v>3</v>
      </c>
      <c r="D1767" s="19" t="s">
        <v>35</v>
      </c>
      <c r="E1767" s="19" t="s">
        <v>453</v>
      </c>
      <c r="G1767" s="19">
        <v>32</v>
      </c>
      <c r="H1767" s="19" t="s">
        <v>215</v>
      </c>
      <c r="I1767" s="19" t="s">
        <v>216</v>
      </c>
      <c r="J1767" s="19" t="s">
        <v>217</v>
      </c>
      <c r="K1767" s="18">
        <v>46107.501296296294</v>
      </c>
    </row>
    <row r="1768" spans="1:11" x14ac:dyDescent="0.25">
      <c r="A1768" s="16" t="s">
        <v>2219</v>
      </c>
      <c r="B1768" s="20">
        <v>46102</v>
      </c>
      <c r="C1768" s="16">
        <v>3</v>
      </c>
      <c r="D1768" s="19" t="s">
        <v>37</v>
      </c>
      <c r="E1768" s="19" t="s">
        <v>453</v>
      </c>
      <c r="G1768" s="19">
        <v>25</v>
      </c>
      <c r="H1768" s="19" t="s">
        <v>215</v>
      </c>
      <c r="I1768" s="19" t="s">
        <v>216</v>
      </c>
      <c r="J1768" s="19" t="s">
        <v>217</v>
      </c>
      <c r="K1768" s="18">
        <v>46107.501863425925</v>
      </c>
    </row>
    <row r="1769" spans="1:11" x14ac:dyDescent="0.25">
      <c r="A1769" s="16" t="s">
        <v>2220</v>
      </c>
      <c r="B1769" s="20">
        <v>46102</v>
      </c>
      <c r="C1769" s="16">
        <v>3</v>
      </c>
      <c r="D1769" s="19" t="s">
        <v>37</v>
      </c>
      <c r="E1769" s="19" t="s">
        <v>453</v>
      </c>
      <c r="G1769" s="19">
        <v>25</v>
      </c>
      <c r="H1769" s="19" t="s">
        <v>215</v>
      </c>
      <c r="I1769" s="19" t="s">
        <v>216</v>
      </c>
      <c r="J1769" s="19" t="s">
        <v>217</v>
      </c>
      <c r="K1769" s="18">
        <v>46107.501932870371</v>
      </c>
    </row>
    <row r="1770" spans="1:11" x14ac:dyDescent="0.25">
      <c r="A1770" s="16" t="s">
        <v>2221</v>
      </c>
      <c r="B1770" s="20">
        <v>46102</v>
      </c>
      <c r="C1770" s="16">
        <v>3</v>
      </c>
      <c r="D1770" s="19" t="s">
        <v>37</v>
      </c>
      <c r="E1770" s="19" t="s">
        <v>453</v>
      </c>
      <c r="G1770" s="19">
        <v>23</v>
      </c>
      <c r="H1770" s="19" t="s">
        <v>215</v>
      </c>
      <c r="I1770" s="19" t="s">
        <v>216</v>
      </c>
      <c r="J1770" s="19" t="s">
        <v>217</v>
      </c>
      <c r="K1770" s="18">
        <v>46107.502002314817</v>
      </c>
    </row>
    <row r="1771" spans="1:11" x14ac:dyDescent="0.25">
      <c r="A1771" s="16" t="s">
        <v>2222</v>
      </c>
      <c r="B1771" s="20">
        <v>46102</v>
      </c>
      <c r="C1771" s="16">
        <v>3</v>
      </c>
      <c r="D1771" s="19" t="s">
        <v>37</v>
      </c>
      <c r="E1771" s="19" t="s">
        <v>453</v>
      </c>
      <c r="G1771" s="19">
        <v>30</v>
      </c>
      <c r="H1771" s="19" t="s">
        <v>215</v>
      </c>
      <c r="I1771" s="19" t="s">
        <v>216</v>
      </c>
      <c r="J1771" s="19" t="s">
        <v>217</v>
      </c>
      <c r="K1771" s="18">
        <v>46107.502060185187</v>
      </c>
    </row>
    <row r="1772" spans="1:11" x14ac:dyDescent="0.25">
      <c r="A1772" s="16" t="s">
        <v>2223</v>
      </c>
      <c r="B1772" s="20">
        <v>46102</v>
      </c>
      <c r="C1772" s="16">
        <v>3</v>
      </c>
      <c r="D1772" s="19" t="s">
        <v>37</v>
      </c>
      <c r="E1772" s="19" t="s">
        <v>453</v>
      </c>
      <c r="G1772" s="19">
        <v>33</v>
      </c>
      <c r="H1772" s="19" t="s">
        <v>215</v>
      </c>
      <c r="I1772" s="19" t="s">
        <v>216</v>
      </c>
      <c r="J1772" s="19" t="s">
        <v>217</v>
      </c>
      <c r="K1772" s="18">
        <v>46107.502106481479</v>
      </c>
    </row>
    <row r="1773" spans="1:11" x14ac:dyDescent="0.25">
      <c r="A1773" s="16" t="s">
        <v>2224</v>
      </c>
      <c r="B1773" s="20">
        <v>46102</v>
      </c>
      <c r="C1773" s="16">
        <v>3</v>
      </c>
      <c r="D1773" s="19" t="s">
        <v>37</v>
      </c>
      <c r="E1773" s="19" t="s">
        <v>453</v>
      </c>
      <c r="G1773" s="19">
        <v>19</v>
      </c>
      <c r="H1773" s="19" t="s">
        <v>215</v>
      </c>
      <c r="I1773" s="19" t="s">
        <v>216</v>
      </c>
      <c r="J1773" s="19" t="s">
        <v>217</v>
      </c>
      <c r="K1773" s="18">
        <v>46107.502187500002</v>
      </c>
    </row>
    <row r="1774" spans="1:11" x14ac:dyDescent="0.25">
      <c r="A1774" s="16" t="s">
        <v>2225</v>
      </c>
      <c r="B1774" s="20">
        <v>46102</v>
      </c>
      <c r="C1774" s="16">
        <v>3</v>
      </c>
      <c r="D1774" s="19" t="s">
        <v>39</v>
      </c>
      <c r="E1774" s="19" t="s">
        <v>453</v>
      </c>
      <c r="G1774" s="19">
        <v>21</v>
      </c>
      <c r="H1774" s="19" t="s">
        <v>215</v>
      </c>
      <c r="I1774" s="19" t="s">
        <v>216</v>
      </c>
      <c r="J1774" s="19" t="s">
        <v>217</v>
      </c>
      <c r="K1774" s="18">
        <v>46107.502627314818</v>
      </c>
    </row>
    <row r="1775" spans="1:11" x14ac:dyDescent="0.25">
      <c r="A1775" s="16" t="s">
        <v>2226</v>
      </c>
      <c r="B1775" s="20">
        <v>46102</v>
      </c>
      <c r="C1775" s="16">
        <v>3</v>
      </c>
      <c r="D1775" s="19" t="s">
        <v>39</v>
      </c>
      <c r="E1775" s="19" t="s">
        <v>453</v>
      </c>
      <c r="G1775" s="19">
        <v>22</v>
      </c>
      <c r="H1775" s="19" t="s">
        <v>215</v>
      </c>
      <c r="I1775" s="19" t="s">
        <v>216</v>
      </c>
      <c r="J1775" s="19" t="s">
        <v>217</v>
      </c>
      <c r="K1775" s="18">
        <v>46107.502685185187</v>
      </c>
    </row>
    <row r="1776" spans="1:11" x14ac:dyDescent="0.25">
      <c r="A1776" s="16" t="s">
        <v>2227</v>
      </c>
      <c r="B1776" s="20">
        <v>46102</v>
      </c>
      <c r="C1776" s="16">
        <v>3</v>
      </c>
      <c r="D1776" s="19" t="s">
        <v>43</v>
      </c>
      <c r="E1776" s="19" t="s">
        <v>453</v>
      </c>
      <c r="G1776" s="19">
        <v>17</v>
      </c>
      <c r="H1776" s="19" t="s">
        <v>215</v>
      </c>
      <c r="I1776" s="19" t="s">
        <v>246</v>
      </c>
      <c r="J1776" s="19" t="s">
        <v>217</v>
      </c>
      <c r="K1776" s="18">
        <v>46107.503125000003</v>
      </c>
    </row>
    <row r="1777" spans="1:11" x14ac:dyDescent="0.25">
      <c r="A1777" s="16" t="s">
        <v>2228</v>
      </c>
      <c r="B1777" s="20">
        <v>46102</v>
      </c>
      <c r="C1777" s="16">
        <v>3</v>
      </c>
      <c r="D1777" s="19" t="s">
        <v>45</v>
      </c>
      <c r="E1777" s="19" t="s">
        <v>453</v>
      </c>
      <c r="G1777" s="19">
        <v>50</v>
      </c>
      <c r="H1777" s="19" t="s">
        <v>215</v>
      </c>
      <c r="I1777" s="19" t="s">
        <v>216</v>
      </c>
      <c r="J1777" s="19" t="s">
        <v>217</v>
      </c>
      <c r="K1777" s="18">
        <v>46107.503310185188</v>
      </c>
    </row>
    <row r="1778" spans="1:11" x14ac:dyDescent="0.25">
      <c r="A1778" s="16" t="s">
        <v>2229</v>
      </c>
      <c r="B1778" s="20">
        <v>46102</v>
      </c>
      <c r="C1778" s="16">
        <v>3</v>
      </c>
      <c r="D1778" s="19" t="s">
        <v>45</v>
      </c>
      <c r="E1778" s="19" t="s">
        <v>453</v>
      </c>
      <c r="G1778" s="19">
        <v>24</v>
      </c>
      <c r="H1778" s="19" t="s">
        <v>215</v>
      </c>
      <c r="I1778" s="19" t="s">
        <v>216</v>
      </c>
      <c r="J1778" s="19" t="s">
        <v>217</v>
      </c>
      <c r="K1778" s="18">
        <v>46107.503495370373</v>
      </c>
    </row>
    <row r="1779" spans="1:11" x14ac:dyDescent="0.25">
      <c r="A1779" s="16" t="s">
        <v>2230</v>
      </c>
      <c r="B1779" s="20">
        <v>46103</v>
      </c>
      <c r="C1779" s="16">
        <v>3</v>
      </c>
      <c r="D1779" s="19" t="s">
        <v>29</v>
      </c>
      <c r="E1779" s="19" t="s">
        <v>453</v>
      </c>
      <c r="G1779" s="19">
        <v>25</v>
      </c>
      <c r="H1779" s="19" t="s">
        <v>215</v>
      </c>
      <c r="I1779" s="19" t="s">
        <v>246</v>
      </c>
      <c r="J1779" s="19" t="s">
        <v>217</v>
      </c>
      <c r="K1779" s="18">
        <v>46107.510844907411</v>
      </c>
    </row>
    <row r="1780" spans="1:11" x14ac:dyDescent="0.25">
      <c r="A1780" s="16" t="s">
        <v>2231</v>
      </c>
      <c r="B1780" s="20">
        <v>46103</v>
      </c>
      <c r="C1780" s="16">
        <v>3</v>
      </c>
      <c r="D1780" s="19" t="s">
        <v>29</v>
      </c>
      <c r="E1780" s="19" t="s">
        <v>453</v>
      </c>
      <c r="G1780" s="19">
        <v>15</v>
      </c>
      <c r="H1780" s="19" t="s">
        <v>215</v>
      </c>
      <c r="I1780" s="19" t="s">
        <v>246</v>
      </c>
      <c r="J1780" s="19" t="s">
        <v>217</v>
      </c>
      <c r="K1780" s="18">
        <v>46107.510925925926</v>
      </c>
    </row>
    <row r="1781" spans="1:11" x14ac:dyDescent="0.25">
      <c r="A1781" s="16" t="s">
        <v>2232</v>
      </c>
      <c r="B1781" s="20">
        <v>46103</v>
      </c>
      <c r="C1781" s="16">
        <v>3</v>
      </c>
      <c r="D1781" s="19" t="s">
        <v>31</v>
      </c>
      <c r="E1781" s="19" t="s">
        <v>453</v>
      </c>
      <c r="G1781" s="19">
        <v>49</v>
      </c>
      <c r="H1781" s="19" t="s">
        <v>215</v>
      </c>
      <c r="I1781" s="19" t="s">
        <v>216</v>
      </c>
      <c r="J1781" s="19" t="s">
        <v>217</v>
      </c>
      <c r="K1781" s="18">
        <v>46107.513773148145</v>
      </c>
    </row>
    <row r="1782" spans="1:11" x14ac:dyDescent="0.25">
      <c r="A1782" s="16" t="s">
        <v>2233</v>
      </c>
      <c r="B1782" s="20">
        <v>46103</v>
      </c>
      <c r="C1782" s="16">
        <v>3</v>
      </c>
      <c r="D1782" s="19" t="s">
        <v>31</v>
      </c>
      <c r="E1782" s="19" t="s">
        <v>453</v>
      </c>
      <c r="G1782" s="19">
        <v>27</v>
      </c>
      <c r="H1782" s="19" t="s">
        <v>215</v>
      </c>
      <c r="I1782" s="19" t="s">
        <v>216</v>
      </c>
      <c r="J1782" s="19" t="s">
        <v>217</v>
      </c>
      <c r="K1782" s="18">
        <v>46107.513807870368</v>
      </c>
    </row>
    <row r="1783" spans="1:11" x14ac:dyDescent="0.25">
      <c r="A1783" s="16" t="s">
        <v>2234</v>
      </c>
      <c r="B1783" s="20">
        <v>46103</v>
      </c>
      <c r="C1783" s="16">
        <v>3</v>
      </c>
      <c r="D1783" s="19" t="s">
        <v>31</v>
      </c>
      <c r="E1783" s="19" t="s">
        <v>453</v>
      </c>
      <c r="G1783" s="19">
        <v>39</v>
      </c>
      <c r="H1783" s="19" t="s">
        <v>215</v>
      </c>
      <c r="I1783" s="19" t="s">
        <v>216</v>
      </c>
      <c r="J1783" s="19" t="s">
        <v>217</v>
      </c>
      <c r="K1783" s="18">
        <v>46107.513842592591</v>
      </c>
    </row>
    <row r="1784" spans="1:11" x14ac:dyDescent="0.25">
      <c r="A1784" s="16" t="s">
        <v>2235</v>
      </c>
      <c r="B1784" s="20">
        <v>46103</v>
      </c>
      <c r="C1784" s="16">
        <v>3</v>
      </c>
      <c r="D1784" s="19" t="s">
        <v>33</v>
      </c>
      <c r="E1784" s="19" t="s">
        <v>453</v>
      </c>
      <c r="G1784" s="19">
        <v>7</v>
      </c>
      <c r="H1784" s="19" t="s">
        <v>215</v>
      </c>
      <c r="I1784" s="19" t="s">
        <v>246</v>
      </c>
      <c r="J1784" s="19" t="s">
        <v>217</v>
      </c>
      <c r="K1784" s="18">
        <v>46107.513981481483</v>
      </c>
    </row>
    <row r="1785" spans="1:11" x14ac:dyDescent="0.25">
      <c r="A1785" s="16" t="s">
        <v>2236</v>
      </c>
      <c r="B1785" s="20">
        <v>46103</v>
      </c>
      <c r="C1785" s="16">
        <v>3</v>
      </c>
      <c r="D1785" s="19" t="s">
        <v>33</v>
      </c>
      <c r="E1785" s="19" t="s">
        <v>453</v>
      </c>
      <c r="G1785" s="19">
        <v>11</v>
      </c>
      <c r="H1785" s="19" t="s">
        <v>215</v>
      </c>
      <c r="I1785" s="19" t="s">
        <v>216</v>
      </c>
      <c r="J1785" s="19" t="s">
        <v>217</v>
      </c>
      <c r="K1785" s="18">
        <v>46107.514050925929</v>
      </c>
    </row>
    <row r="1786" spans="1:11" x14ac:dyDescent="0.25">
      <c r="A1786" s="16" t="s">
        <v>2237</v>
      </c>
      <c r="B1786" s="20">
        <v>46103</v>
      </c>
      <c r="C1786" s="16">
        <v>3</v>
      </c>
      <c r="D1786" s="19" t="s">
        <v>33</v>
      </c>
      <c r="E1786" s="19" t="s">
        <v>453</v>
      </c>
      <c r="G1786" s="19">
        <v>6</v>
      </c>
      <c r="H1786" s="19" t="s">
        <v>215</v>
      </c>
      <c r="I1786" s="19" t="s">
        <v>216</v>
      </c>
      <c r="J1786" s="19" t="s">
        <v>217</v>
      </c>
      <c r="K1786" s="18">
        <v>46107.514108796298</v>
      </c>
    </row>
    <row r="1787" spans="1:11" x14ac:dyDescent="0.25">
      <c r="A1787" s="16" t="s">
        <v>2238</v>
      </c>
      <c r="B1787" s="20">
        <v>46103</v>
      </c>
      <c r="C1787" s="16">
        <v>3</v>
      </c>
      <c r="D1787" s="19" t="s">
        <v>37</v>
      </c>
      <c r="E1787" s="19" t="s">
        <v>453</v>
      </c>
      <c r="G1787" s="19">
        <v>32</v>
      </c>
      <c r="H1787" s="19" t="s">
        <v>215</v>
      </c>
      <c r="I1787" s="19" t="s">
        <v>216</v>
      </c>
      <c r="J1787" s="19" t="s">
        <v>217</v>
      </c>
      <c r="K1787" s="18">
        <v>46107.514270833337</v>
      </c>
    </row>
    <row r="1788" spans="1:11" x14ac:dyDescent="0.25">
      <c r="A1788" s="16" t="s">
        <v>2239</v>
      </c>
      <c r="B1788" s="20">
        <v>46103</v>
      </c>
      <c r="C1788" s="16">
        <v>3</v>
      </c>
      <c r="D1788" s="19" t="s">
        <v>37</v>
      </c>
      <c r="E1788" s="19" t="s">
        <v>453</v>
      </c>
      <c r="G1788" s="19">
        <v>34</v>
      </c>
      <c r="H1788" s="19" t="s">
        <v>215</v>
      </c>
      <c r="I1788" s="19" t="s">
        <v>216</v>
      </c>
      <c r="J1788" s="19" t="s">
        <v>217</v>
      </c>
      <c r="K1788" s="18">
        <v>46107.514317129629</v>
      </c>
    </row>
    <row r="1789" spans="1:11" x14ac:dyDescent="0.25">
      <c r="A1789" s="16" t="s">
        <v>2240</v>
      </c>
      <c r="B1789" s="20">
        <v>46103</v>
      </c>
      <c r="C1789" s="16">
        <v>3</v>
      </c>
      <c r="D1789" s="19" t="s">
        <v>37</v>
      </c>
      <c r="E1789" s="19" t="s">
        <v>453</v>
      </c>
      <c r="G1789" s="19">
        <v>22</v>
      </c>
      <c r="H1789" s="19" t="s">
        <v>215</v>
      </c>
      <c r="I1789" s="19" t="s">
        <v>216</v>
      </c>
      <c r="J1789" s="19" t="s">
        <v>217</v>
      </c>
      <c r="K1789" s="18">
        <v>46107.514351851853</v>
      </c>
    </row>
    <row r="1790" spans="1:11" x14ac:dyDescent="0.25">
      <c r="A1790" s="16" t="s">
        <v>2241</v>
      </c>
      <c r="B1790" s="20">
        <v>46103</v>
      </c>
      <c r="C1790" s="16">
        <v>3</v>
      </c>
      <c r="D1790" s="19" t="s">
        <v>39</v>
      </c>
      <c r="E1790" s="19" t="s">
        <v>453</v>
      </c>
      <c r="G1790" s="19">
        <v>23</v>
      </c>
      <c r="H1790" s="19" t="s">
        <v>215</v>
      </c>
      <c r="I1790" s="19" t="s">
        <v>216</v>
      </c>
      <c r="J1790" s="19" t="s">
        <v>217</v>
      </c>
      <c r="K1790" s="18">
        <v>46107.514525462961</v>
      </c>
    </row>
    <row r="1791" spans="1:11" x14ac:dyDescent="0.25">
      <c r="A1791" s="16" t="s">
        <v>2242</v>
      </c>
      <c r="B1791" s="20">
        <v>46103</v>
      </c>
      <c r="C1791" s="16">
        <v>3</v>
      </c>
      <c r="D1791" s="19" t="s">
        <v>41</v>
      </c>
      <c r="E1791" s="19" t="s">
        <v>453</v>
      </c>
      <c r="G1791" s="19">
        <v>0</v>
      </c>
      <c r="H1791" s="19" t="s">
        <v>306</v>
      </c>
      <c r="I1791" s="19" t="s">
        <v>246</v>
      </c>
      <c r="J1791" s="19" t="s">
        <v>217</v>
      </c>
      <c r="K1791" s="18">
        <v>46107.514837962961</v>
      </c>
    </row>
    <row r="1792" spans="1:11" x14ac:dyDescent="0.25">
      <c r="A1792" s="16" t="s">
        <v>2243</v>
      </c>
      <c r="B1792" s="20">
        <v>46103</v>
      </c>
      <c r="C1792" s="16">
        <v>3</v>
      </c>
      <c r="D1792" s="19" t="s">
        <v>43</v>
      </c>
      <c r="E1792" s="19" t="s">
        <v>453</v>
      </c>
      <c r="G1792" s="19">
        <v>53</v>
      </c>
      <c r="H1792" s="19" t="s">
        <v>215</v>
      </c>
      <c r="I1792" s="19" t="s">
        <v>246</v>
      </c>
      <c r="J1792" s="19" t="s">
        <v>217</v>
      </c>
      <c r="K1792" s="18">
        <v>46107.515057870369</v>
      </c>
    </row>
    <row r="1793" spans="1:11" x14ac:dyDescent="0.25">
      <c r="A1793" s="16" t="s">
        <v>2244</v>
      </c>
      <c r="B1793" s="20">
        <v>46103</v>
      </c>
      <c r="C1793" s="16">
        <v>3</v>
      </c>
      <c r="D1793" s="19" t="s">
        <v>43</v>
      </c>
      <c r="E1793" s="19" t="s">
        <v>453</v>
      </c>
      <c r="G1793" s="19">
        <v>60</v>
      </c>
      <c r="H1793" s="19" t="s">
        <v>215</v>
      </c>
      <c r="I1793" s="19" t="s">
        <v>246</v>
      </c>
      <c r="J1793" s="19" t="s">
        <v>217</v>
      </c>
      <c r="K1793" s="18">
        <v>46107.515115740738</v>
      </c>
    </row>
    <row r="1794" spans="1:11" x14ac:dyDescent="0.25">
      <c r="A1794" s="16" t="s">
        <v>2245</v>
      </c>
      <c r="B1794" s="20">
        <v>46103</v>
      </c>
      <c r="C1794" s="16">
        <v>3</v>
      </c>
      <c r="D1794" s="19" t="s">
        <v>43</v>
      </c>
      <c r="E1794" s="19" t="s">
        <v>453</v>
      </c>
      <c r="G1794" s="19">
        <v>74</v>
      </c>
      <c r="H1794" s="19" t="s">
        <v>215</v>
      </c>
      <c r="I1794" s="19" t="s">
        <v>246</v>
      </c>
      <c r="J1794" s="19" t="s">
        <v>217</v>
      </c>
      <c r="K1794" s="18">
        <v>46107.515150462961</v>
      </c>
    </row>
    <row r="1795" spans="1:11" x14ac:dyDescent="0.25">
      <c r="A1795" s="16" t="s">
        <v>2246</v>
      </c>
      <c r="B1795" s="20">
        <v>46103</v>
      </c>
      <c r="C1795" s="16">
        <v>3</v>
      </c>
      <c r="D1795" s="19" t="s">
        <v>43</v>
      </c>
      <c r="E1795" s="19" t="s">
        <v>453</v>
      </c>
      <c r="G1795" s="19">
        <v>2</v>
      </c>
      <c r="H1795" s="19" t="s">
        <v>215</v>
      </c>
      <c r="I1795" s="19" t="s">
        <v>246</v>
      </c>
      <c r="J1795" s="19" t="s">
        <v>217</v>
      </c>
      <c r="K1795" s="18">
        <v>46107.515196759261</v>
      </c>
    </row>
    <row r="1796" spans="1:11" x14ac:dyDescent="0.25">
      <c r="A1796" s="16" t="s">
        <v>2247</v>
      </c>
      <c r="B1796" s="20">
        <v>46103</v>
      </c>
      <c r="C1796" s="16">
        <v>3</v>
      </c>
      <c r="D1796" s="19" t="s">
        <v>43</v>
      </c>
      <c r="E1796" s="19" t="s">
        <v>453</v>
      </c>
      <c r="G1796" s="19">
        <v>82</v>
      </c>
      <c r="H1796" s="19" t="s">
        <v>215</v>
      </c>
      <c r="I1796" s="19" t="s">
        <v>246</v>
      </c>
      <c r="J1796" s="19" t="s">
        <v>217</v>
      </c>
      <c r="K1796" s="18">
        <v>46107.515243055554</v>
      </c>
    </row>
    <row r="1797" spans="1:11" x14ac:dyDescent="0.25">
      <c r="A1797" s="16" t="s">
        <v>2248</v>
      </c>
      <c r="B1797" s="20">
        <v>46104</v>
      </c>
      <c r="C1797" s="16">
        <v>3</v>
      </c>
      <c r="D1797" s="19" t="s">
        <v>29</v>
      </c>
      <c r="E1797" s="19" t="s">
        <v>453</v>
      </c>
      <c r="G1797" s="19">
        <v>38</v>
      </c>
      <c r="H1797" s="19" t="s">
        <v>215</v>
      </c>
      <c r="I1797" s="19" t="s">
        <v>246</v>
      </c>
      <c r="J1797" s="19" t="s">
        <v>217</v>
      </c>
      <c r="K1797" s="18">
        <v>46107.534629629627</v>
      </c>
    </row>
    <row r="1798" spans="1:11" x14ac:dyDescent="0.25">
      <c r="A1798" s="16" t="s">
        <v>2249</v>
      </c>
      <c r="B1798" s="20">
        <v>46104</v>
      </c>
      <c r="C1798" s="16">
        <v>3</v>
      </c>
      <c r="D1798" s="19" t="s">
        <v>29</v>
      </c>
      <c r="E1798" s="19" t="s">
        <v>453</v>
      </c>
      <c r="G1798" s="19">
        <v>51</v>
      </c>
      <c r="H1798" s="19" t="s">
        <v>215</v>
      </c>
      <c r="I1798" s="19" t="s">
        <v>246</v>
      </c>
      <c r="J1798" s="19" t="s">
        <v>217</v>
      </c>
      <c r="K1798" s="18">
        <v>46107.534699074073</v>
      </c>
    </row>
    <row r="1799" spans="1:11" x14ac:dyDescent="0.25">
      <c r="A1799" s="16" t="s">
        <v>2250</v>
      </c>
      <c r="B1799" s="20">
        <v>46104</v>
      </c>
      <c r="C1799" s="16">
        <v>3</v>
      </c>
      <c r="D1799" s="19" t="s">
        <v>29</v>
      </c>
      <c r="E1799" s="19" t="s">
        <v>453</v>
      </c>
      <c r="G1799" s="19">
        <v>41</v>
      </c>
      <c r="H1799" s="19" t="s">
        <v>215</v>
      </c>
      <c r="I1799" s="19" t="s">
        <v>246</v>
      </c>
      <c r="J1799" s="19" t="s">
        <v>217</v>
      </c>
      <c r="K1799" s="18">
        <v>46107.534756944442</v>
      </c>
    </row>
    <row r="1800" spans="1:11" x14ac:dyDescent="0.25">
      <c r="A1800" s="16" t="s">
        <v>2251</v>
      </c>
      <c r="B1800" s="20">
        <v>46104</v>
      </c>
      <c r="C1800" s="16">
        <v>3</v>
      </c>
      <c r="D1800" s="19" t="s">
        <v>31</v>
      </c>
      <c r="E1800" s="19" t="s">
        <v>453</v>
      </c>
      <c r="G1800" s="19">
        <v>63</v>
      </c>
      <c r="H1800" s="19" t="s">
        <v>215</v>
      </c>
      <c r="I1800" s="19" t="s">
        <v>216</v>
      </c>
      <c r="J1800" s="19" t="s">
        <v>217</v>
      </c>
      <c r="K1800" s="18">
        <v>46107.535046296296</v>
      </c>
    </row>
    <row r="1801" spans="1:11" x14ac:dyDescent="0.25">
      <c r="A1801" s="16" t="s">
        <v>2252</v>
      </c>
      <c r="B1801" s="20">
        <v>46104</v>
      </c>
      <c r="C1801" s="16">
        <v>3</v>
      </c>
      <c r="D1801" s="19" t="s">
        <v>31</v>
      </c>
      <c r="E1801" s="19" t="s">
        <v>453</v>
      </c>
      <c r="G1801" s="19">
        <v>44</v>
      </c>
      <c r="H1801" s="19" t="s">
        <v>215</v>
      </c>
      <c r="I1801" s="19" t="s">
        <v>216</v>
      </c>
      <c r="J1801" s="19" t="s">
        <v>217</v>
      </c>
      <c r="K1801" s="18">
        <v>46107.535104166665</v>
      </c>
    </row>
    <row r="1802" spans="1:11" x14ac:dyDescent="0.25">
      <c r="A1802" s="16" t="s">
        <v>2253</v>
      </c>
      <c r="B1802" s="20">
        <v>46104</v>
      </c>
      <c r="C1802" s="16">
        <v>3</v>
      </c>
      <c r="D1802" s="19" t="s">
        <v>31</v>
      </c>
      <c r="E1802" s="19" t="s">
        <v>453</v>
      </c>
      <c r="G1802" s="19">
        <v>19</v>
      </c>
      <c r="H1802" s="19" t="s">
        <v>215</v>
      </c>
      <c r="I1802" s="19" t="s">
        <v>216</v>
      </c>
      <c r="J1802" s="19" t="s">
        <v>217</v>
      </c>
      <c r="K1802" s="18">
        <v>46107.535208333335</v>
      </c>
    </row>
    <row r="1803" spans="1:11" x14ac:dyDescent="0.25">
      <c r="A1803" s="16" t="s">
        <v>2254</v>
      </c>
      <c r="B1803" s="20">
        <v>46104</v>
      </c>
      <c r="C1803" s="16">
        <v>3</v>
      </c>
      <c r="D1803" s="19" t="s">
        <v>33</v>
      </c>
      <c r="E1803" s="19" t="s">
        <v>453</v>
      </c>
      <c r="G1803" s="19">
        <v>7</v>
      </c>
      <c r="H1803" s="19" t="s">
        <v>215</v>
      </c>
      <c r="I1803" s="19" t="s">
        <v>246</v>
      </c>
      <c r="J1803" s="19" t="s">
        <v>217</v>
      </c>
      <c r="K1803" s="18">
        <v>46107.535509259258</v>
      </c>
    </row>
    <row r="1804" spans="1:11" x14ac:dyDescent="0.25">
      <c r="A1804" s="16" t="s">
        <v>2255</v>
      </c>
      <c r="B1804" s="20">
        <v>46104</v>
      </c>
      <c r="C1804" s="16">
        <v>3</v>
      </c>
      <c r="D1804" s="19" t="s">
        <v>35</v>
      </c>
      <c r="E1804" s="19" t="s">
        <v>453</v>
      </c>
      <c r="G1804" s="19">
        <v>43</v>
      </c>
      <c r="H1804" s="19" t="s">
        <v>215</v>
      </c>
      <c r="I1804" s="19" t="s">
        <v>216</v>
      </c>
      <c r="J1804" s="19" t="s">
        <v>217</v>
      </c>
      <c r="K1804" s="18">
        <v>46107.535798611112</v>
      </c>
    </row>
    <row r="1805" spans="1:11" x14ac:dyDescent="0.25">
      <c r="A1805" s="16" t="s">
        <v>2256</v>
      </c>
      <c r="B1805" s="20">
        <v>46104</v>
      </c>
      <c r="C1805" s="16">
        <v>3</v>
      </c>
      <c r="D1805" s="19" t="s">
        <v>35</v>
      </c>
      <c r="E1805" s="19" t="s">
        <v>453</v>
      </c>
      <c r="G1805" s="19">
        <v>51</v>
      </c>
      <c r="H1805" s="19" t="s">
        <v>215</v>
      </c>
      <c r="I1805" s="19" t="s">
        <v>216</v>
      </c>
      <c r="J1805" s="19" t="s">
        <v>217</v>
      </c>
      <c r="K1805" s="18">
        <v>46107.535856481481</v>
      </c>
    </row>
    <row r="1806" spans="1:11" x14ac:dyDescent="0.25">
      <c r="A1806" s="16" t="s">
        <v>2257</v>
      </c>
      <c r="B1806" s="20">
        <v>46104</v>
      </c>
      <c r="C1806" s="16">
        <v>3</v>
      </c>
      <c r="D1806" s="19" t="s">
        <v>35</v>
      </c>
      <c r="E1806" s="19" t="s">
        <v>453</v>
      </c>
      <c r="G1806" s="19">
        <v>29</v>
      </c>
      <c r="H1806" s="19" t="s">
        <v>215</v>
      </c>
      <c r="I1806" s="19" t="s">
        <v>216</v>
      </c>
      <c r="J1806" s="19" t="s">
        <v>217</v>
      </c>
      <c r="K1806" s="18">
        <v>46107.535995370374</v>
      </c>
    </row>
    <row r="1807" spans="1:11" x14ac:dyDescent="0.25">
      <c r="A1807" s="16" t="s">
        <v>2258</v>
      </c>
      <c r="B1807" s="20">
        <v>46104</v>
      </c>
      <c r="C1807" s="16">
        <v>3</v>
      </c>
      <c r="D1807" s="19" t="s">
        <v>37</v>
      </c>
      <c r="E1807" s="19" t="s">
        <v>453</v>
      </c>
      <c r="G1807" s="19">
        <v>26</v>
      </c>
      <c r="H1807" s="19" t="s">
        <v>215</v>
      </c>
      <c r="I1807" s="19" t="s">
        <v>216</v>
      </c>
      <c r="J1807" s="19" t="s">
        <v>217</v>
      </c>
      <c r="K1807" s="18">
        <v>46107.536273148151</v>
      </c>
    </row>
    <row r="1808" spans="1:11" x14ac:dyDescent="0.25">
      <c r="A1808" s="16" t="s">
        <v>2259</v>
      </c>
      <c r="B1808" s="20">
        <v>46104</v>
      </c>
      <c r="C1808" s="16">
        <v>3</v>
      </c>
      <c r="D1808" s="19" t="s">
        <v>37</v>
      </c>
      <c r="E1808" s="19" t="s">
        <v>453</v>
      </c>
      <c r="G1808" s="19">
        <v>37</v>
      </c>
      <c r="H1808" s="19" t="s">
        <v>215</v>
      </c>
      <c r="I1808" s="19" t="s">
        <v>216</v>
      </c>
      <c r="J1808" s="19" t="s">
        <v>217</v>
      </c>
      <c r="K1808" s="18">
        <v>46107.53633101852</v>
      </c>
    </row>
    <row r="1809" spans="1:11" x14ac:dyDescent="0.25">
      <c r="A1809" s="16" t="s">
        <v>2260</v>
      </c>
      <c r="B1809" s="20">
        <v>46104</v>
      </c>
      <c r="C1809" s="16">
        <v>3</v>
      </c>
      <c r="D1809" s="19" t="s">
        <v>37</v>
      </c>
      <c r="E1809" s="19" t="s">
        <v>453</v>
      </c>
      <c r="G1809" s="19">
        <v>35</v>
      </c>
      <c r="H1809" s="19" t="s">
        <v>215</v>
      </c>
      <c r="I1809" s="19" t="s">
        <v>216</v>
      </c>
      <c r="J1809" s="19" t="s">
        <v>217</v>
      </c>
      <c r="K1809" s="18">
        <v>46107.53638888889</v>
      </c>
    </row>
    <row r="1810" spans="1:11" x14ac:dyDescent="0.25">
      <c r="A1810" s="16" t="s">
        <v>2261</v>
      </c>
      <c r="B1810" s="20">
        <v>46104</v>
      </c>
      <c r="C1810" s="16">
        <v>3</v>
      </c>
      <c r="D1810" s="19" t="s">
        <v>37</v>
      </c>
      <c r="E1810" s="19" t="s">
        <v>453</v>
      </c>
      <c r="G1810" s="19">
        <v>28</v>
      </c>
      <c r="H1810" s="19" t="s">
        <v>215</v>
      </c>
      <c r="I1810" s="19" t="s">
        <v>216</v>
      </c>
      <c r="J1810" s="19" t="s">
        <v>217</v>
      </c>
      <c r="K1810" s="18">
        <v>46107.536493055559</v>
      </c>
    </row>
    <row r="1811" spans="1:11" x14ac:dyDescent="0.25">
      <c r="A1811" s="16" t="s">
        <v>2262</v>
      </c>
      <c r="B1811" s="20">
        <v>46104</v>
      </c>
      <c r="C1811" s="16">
        <v>3</v>
      </c>
      <c r="D1811" s="19" t="s">
        <v>37</v>
      </c>
      <c r="E1811" s="19" t="s">
        <v>453</v>
      </c>
      <c r="G1811" s="19">
        <v>27</v>
      </c>
      <c r="H1811" s="19" t="s">
        <v>215</v>
      </c>
      <c r="I1811" s="19" t="s">
        <v>216</v>
      </c>
      <c r="J1811" s="19" t="s">
        <v>217</v>
      </c>
      <c r="K1811" s="18">
        <v>46107.536574074074</v>
      </c>
    </row>
    <row r="1812" spans="1:11" x14ac:dyDescent="0.25">
      <c r="A1812" s="16" t="s">
        <v>2263</v>
      </c>
      <c r="B1812" s="20">
        <v>46104</v>
      </c>
      <c r="C1812" s="16">
        <v>3</v>
      </c>
      <c r="D1812" s="19" t="s">
        <v>37</v>
      </c>
      <c r="E1812" s="19" t="s">
        <v>453</v>
      </c>
      <c r="G1812" s="19">
        <v>39</v>
      </c>
      <c r="H1812" s="19" t="s">
        <v>215</v>
      </c>
      <c r="I1812" s="19" t="s">
        <v>216</v>
      </c>
      <c r="J1812" s="19" t="s">
        <v>217</v>
      </c>
      <c r="K1812" s="18">
        <v>46107.536643518521</v>
      </c>
    </row>
    <row r="1813" spans="1:11" x14ac:dyDescent="0.25">
      <c r="A1813" s="16" t="s">
        <v>2264</v>
      </c>
      <c r="B1813" s="20">
        <v>46104</v>
      </c>
      <c r="C1813" s="16">
        <v>3</v>
      </c>
      <c r="D1813" s="19" t="s">
        <v>37</v>
      </c>
      <c r="E1813" s="19" t="s">
        <v>453</v>
      </c>
      <c r="G1813" s="19">
        <v>22</v>
      </c>
      <c r="H1813" s="19" t="s">
        <v>215</v>
      </c>
      <c r="I1813" s="19" t="s">
        <v>216</v>
      </c>
      <c r="J1813" s="19" t="s">
        <v>217</v>
      </c>
      <c r="K1813" s="18">
        <v>46107.536782407406</v>
      </c>
    </row>
    <row r="1814" spans="1:11" x14ac:dyDescent="0.25">
      <c r="A1814" s="16" t="s">
        <v>2265</v>
      </c>
      <c r="B1814" s="20">
        <v>46104</v>
      </c>
      <c r="C1814" s="16">
        <v>3</v>
      </c>
      <c r="D1814" s="19" t="s">
        <v>39</v>
      </c>
      <c r="E1814" s="19" t="s">
        <v>453</v>
      </c>
      <c r="G1814" s="19">
        <v>32</v>
      </c>
      <c r="H1814" s="19" t="s">
        <v>215</v>
      </c>
      <c r="I1814" s="19" t="s">
        <v>216</v>
      </c>
      <c r="J1814" s="19" t="s">
        <v>217</v>
      </c>
      <c r="K1814" s="18">
        <v>46107.537060185183</v>
      </c>
    </row>
    <row r="1815" spans="1:11" x14ac:dyDescent="0.25">
      <c r="A1815" s="16" t="s">
        <v>2266</v>
      </c>
      <c r="B1815" s="20">
        <v>46104</v>
      </c>
      <c r="C1815" s="16">
        <v>3</v>
      </c>
      <c r="D1815" s="19" t="s">
        <v>39</v>
      </c>
      <c r="E1815" s="19" t="s">
        <v>453</v>
      </c>
      <c r="G1815" s="19">
        <v>31</v>
      </c>
      <c r="H1815" s="19" t="s">
        <v>215</v>
      </c>
      <c r="I1815" s="19" t="s">
        <v>216</v>
      </c>
      <c r="J1815" s="19" t="s">
        <v>217</v>
      </c>
      <c r="K1815" s="18">
        <v>46107.537118055552</v>
      </c>
    </row>
    <row r="1816" spans="1:11" x14ac:dyDescent="0.25">
      <c r="A1816" s="16" t="s">
        <v>2267</v>
      </c>
      <c r="B1816" s="20">
        <v>46104</v>
      </c>
      <c r="C1816" s="16">
        <v>3</v>
      </c>
      <c r="D1816" s="19" t="s">
        <v>39</v>
      </c>
      <c r="E1816" s="19" t="s">
        <v>453</v>
      </c>
      <c r="G1816" s="19">
        <v>27</v>
      </c>
      <c r="H1816" s="19" t="s">
        <v>215</v>
      </c>
      <c r="I1816" s="19" t="s">
        <v>216</v>
      </c>
      <c r="J1816" s="19" t="s">
        <v>217</v>
      </c>
      <c r="K1816" s="18">
        <v>46107.537199074075</v>
      </c>
    </row>
    <row r="1817" spans="1:11" x14ac:dyDescent="0.25">
      <c r="A1817" s="16" t="s">
        <v>2268</v>
      </c>
      <c r="B1817" s="20">
        <v>46104</v>
      </c>
      <c r="C1817" s="16">
        <v>3</v>
      </c>
      <c r="D1817" s="19" t="s">
        <v>39</v>
      </c>
      <c r="E1817" s="19" t="s">
        <v>453</v>
      </c>
      <c r="G1817" s="19">
        <v>22</v>
      </c>
      <c r="H1817" s="19" t="s">
        <v>215</v>
      </c>
      <c r="I1817" s="19" t="s">
        <v>216</v>
      </c>
      <c r="J1817" s="19" t="s">
        <v>217</v>
      </c>
      <c r="K1817" s="18">
        <v>46107.537256944444</v>
      </c>
    </row>
    <row r="1818" spans="1:11" x14ac:dyDescent="0.25">
      <c r="A1818" s="16" t="s">
        <v>2269</v>
      </c>
      <c r="B1818" s="20">
        <v>46104</v>
      </c>
      <c r="C1818" s="16">
        <v>3</v>
      </c>
      <c r="D1818" s="19" t="s">
        <v>39</v>
      </c>
      <c r="E1818" s="19" t="s">
        <v>453</v>
      </c>
      <c r="G1818" s="19">
        <v>33</v>
      </c>
      <c r="H1818" s="19" t="s">
        <v>215</v>
      </c>
      <c r="I1818" s="19" t="s">
        <v>216</v>
      </c>
      <c r="J1818" s="19" t="s">
        <v>217</v>
      </c>
      <c r="K1818" s="18">
        <v>46107.537314814814</v>
      </c>
    </row>
    <row r="1819" spans="1:11" x14ac:dyDescent="0.25">
      <c r="A1819" s="16" t="s">
        <v>2270</v>
      </c>
      <c r="B1819" s="20">
        <v>46104</v>
      </c>
      <c r="C1819" s="16">
        <v>3</v>
      </c>
      <c r="D1819" s="19" t="s">
        <v>41</v>
      </c>
      <c r="E1819" s="19" t="s">
        <v>453</v>
      </c>
      <c r="G1819" s="19">
        <v>0</v>
      </c>
      <c r="H1819" s="19" t="s">
        <v>306</v>
      </c>
      <c r="I1819" s="19" t="s">
        <v>216</v>
      </c>
      <c r="J1819" s="19" t="s">
        <v>217</v>
      </c>
      <c r="K1819" s="18">
        <v>46107.537638888891</v>
      </c>
    </row>
    <row r="1820" spans="1:11" x14ac:dyDescent="0.25">
      <c r="A1820" s="16" t="s">
        <v>2271</v>
      </c>
      <c r="B1820" s="20">
        <v>46104</v>
      </c>
      <c r="C1820" s="16">
        <v>3</v>
      </c>
      <c r="D1820" s="19" t="s">
        <v>41</v>
      </c>
      <c r="E1820" s="19" t="s">
        <v>453</v>
      </c>
      <c r="G1820" s="19">
        <v>0</v>
      </c>
      <c r="H1820" s="19" t="s">
        <v>306</v>
      </c>
      <c r="I1820" s="19" t="s">
        <v>216</v>
      </c>
      <c r="J1820" s="19" t="s">
        <v>217</v>
      </c>
      <c r="K1820" s="18">
        <v>46107.537789351853</v>
      </c>
    </row>
    <row r="1821" spans="1:11" x14ac:dyDescent="0.25">
      <c r="A1821" s="16" t="s">
        <v>2272</v>
      </c>
      <c r="B1821" s="20">
        <v>46104</v>
      </c>
      <c r="C1821" s="16">
        <v>3</v>
      </c>
      <c r="D1821" s="19" t="s">
        <v>41</v>
      </c>
      <c r="E1821" s="19" t="s">
        <v>453</v>
      </c>
      <c r="G1821" s="19">
        <v>0</v>
      </c>
      <c r="H1821" s="19" t="s">
        <v>306</v>
      </c>
      <c r="I1821" s="19" t="s">
        <v>216</v>
      </c>
      <c r="J1821" s="19" t="s">
        <v>217</v>
      </c>
      <c r="K1821" s="18">
        <v>46107.537916666668</v>
      </c>
    </row>
    <row r="1822" spans="1:11" x14ac:dyDescent="0.25">
      <c r="A1822" s="16" t="s">
        <v>2273</v>
      </c>
      <c r="B1822" s="20">
        <v>46104</v>
      </c>
      <c r="C1822" s="16">
        <v>3</v>
      </c>
      <c r="D1822" s="19" t="s">
        <v>41</v>
      </c>
      <c r="E1822" s="19" t="s">
        <v>453</v>
      </c>
      <c r="G1822" s="19">
        <v>1</v>
      </c>
      <c r="H1822" s="19" t="s">
        <v>306</v>
      </c>
      <c r="I1822" s="19" t="s">
        <v>216</v>
      </c>
      <c r="J1822" s="19" t="s">
        <v>217</v>
      </c>
      <c r="K1822" s="18">
        <v>46107.538055555553</v>
      </c>
    </row>
    <row r="1823" spans="1:11" x14ac:dyDescent="0.25">
      <c r="A1823" s="16" t="s">
        <v>2274</v>
      </c>
      <c r="B1823" s="20">
        <v>46104</v>
      </c>
      <c r="C1823" s="16">
        <v>3</v>
      </c>
      <c r="D1823" s="19" t="s">
        <v>43</v>
      </c>
      <c r="E1823" s="19" t="s">
        <v>453</v>
      </c>
      <c r="G1823" s="19">
        <v>48</v>
      </c>
      <c r="H1823" s="19" t="s">
        <v>215</v>
      </c>
      <c r="I1823" s="19" t="s">
        <v>246</v>
      </c>
      <c r="J1823" s="19" t="s">
        <v>217</v>
      </c>
      <c r="K1823" s="18">
        <v>46107.538483796299</v>
      </c>
    </row>
    <row r="1824" spans="1:11" x14ac:dyDescent="0.25">
      <c r="A1824" s="16" t="s">
        <v>2275</v>
      </c>
      <c r="B1824" s="20">
        <v>46104</v>
      </c>
      <c r="C1824" s="16">
        <v>3</v>
      </c>
      <c r="D1824" s="19" t="s">
        <v>45</v>
      </c>
      <c r="E1824" s="19" t="s">
        <v>453</v>
      </c>
      <c r="G1824" s="19">
        <v>44</v>
      </c>
      <c r="H1824" s="19" t="s">
        <v>215</v>
      </c>
      <c r="I1824" s="19" t="s">
        <v>216</v>
      </c>
      <c r="J1824" s="19" t="s">
        <v>217</v>
      </c>
      <c r="K1824" s="18">
        <v>46107.538680555554</v>
      </c>
    </row>
    <row r="1825" spans="1:11" x14ac:dyDescent="0.25">
      <c r="A1825" s="16" t="s">
        <v>2276</v>
      </c>
      <c r="B1825" s="20">
        <v>46104</v>
      </c>
      <c r="C1825" s="16">
        <v>3</v>
      </c>
      <c r="D1825" s="19" t="s">
        <v>45</v>
      </c>
      <c r="E1825" s="19" t="s">
        <v>453</v>
      </c>
      <c r="G1825" s="19">
        <v>58</v>
      </c>
      <c r="H1825" s="19" t="s">
        <v>215</v>
      </c>
      <c r="I1825" s="19" t="s">
        <v>216</v>
      </c>
      <c r="J1825" s="19" t="s">
        <v>217</v>
      </c>
      <c r="K1825" s="18">
        <v>46107.5387962963</v>
      </c>
    </row>
    <row r="1826" spans="1:11" x14ac:dyDescent="0.25">
      <c r="A1826" s="16" t="s">
        <v>2277</v>
      </c>
      <c r="B1826" s="20">
        <v>46104</v>
      </c>
      <c r="C1826" s="16">
        <v>3</v>
      </c>
      <c r="D1826" s="19" t="s">
        <v>45</v>
      </c>
      <c r="E1826" s="19" t="s">
        <v>453</v>
      </c>
      <c r="G1826" s="19">
        <v>54</v>
      </c>
      <c r="H1826" s="19" t="s">
        <v>215</v>
      </c>
      <c r="I1826" s="19" t="s">
        <v>216</v>
      </c>
      <c r="J1826" s="19" t="s">
        <v>217</v>
      </c>
      <c r="K1826" s="18">
        <v>46107.538888888892</v>
      </c>
    </row>
    <row r="1827" spans="1:11" x14ac:dyDescent="0.25">
      <c r="A1827" s="16" t="s">
        <v>2278</v>
      </c>
      <c r="B1827" s="20">
        <v>46104</v>
      </c>
      <c r="C1827" s="16">
        <v>3</v>
      </c>
      <c r="D1827" s="19" t="s">
        <v>45</v>
      </c>
      <c r="E1827" s="19" t="s">
        <v>453</v>
      </c>
      <c r="G1827" s="19">
        <v>3</v>
      </c>
      <c r="H1827" s="19" t="s">
        <v>215</v>
      </c>
      <c r="I1827" s="19" t="s">
        <v>216</v>
      </c>
      <c r="J1827" s="19" t="s">
        <v>217</v>
      </c>
      <c r="K1827" s="18">
        <v>46107.5390162037</v>
      </c>
    </row>
    <row r="1828" spans="1:11" x14ac:dyDescent="0.25">
      <c r="A1828" s="16" t="s">
        <v>2279</v>
      </c>
      <c r="B1828" s="20">
        <v>46105</v>
      </c>
      <c r="C1828" s="16">
        <v>3</v>
      </c>
      <c r="D1828" s="19" t="s">
        <v>29</v>
      </c>
      <c r="E1828" s="19" t="s">
        <v>453</v>
      </c>
      <c r="G1828" s="19">
        <v>35</v>
      </c>
      <c r="H1828" s="19" t="s">
        <v>215</v>
      </c>
      <c r="I1828" s="19" t="s">
        <v>246</v>
      </c>
      <c r="J1828" s="19" t="s">
        <v>217</v>
      </c>
      <c r="K1828" s="18">
        <v>46115.600405092591</v>
      </c>
    </row>
    <row r="1829" spans="1:11" x14ac:dyDescent="0.25">
      <c r="A1829" s="16" t="s">
        <v>2280</v>
      </c>
      <c r="B1829" s="20">
        <v>46107</v>
      </c>
      <c r="C1829" s="16">
        <v>3</v>
      </c>
      <c r="D1829" s="19" t="s">
        <v>29</v>
      </c>
      <c r="E1829" s="19" t="s">
        <v>453</v>
      </c>
      <c r="G1829" s="19">
        <v>41</v>
      </c>
      <c r="H1829" s="19" t="s">
        <v>215</v>
      </c>
      <c r="I1829" s="19" t="s">
        <v>246</v>
      </c>
      <c r="J1829" s="19" t="s">
        <v>217</v>
      </c>
      <c r="K1829" s="18">
        <v>46115.600706018522</v>
      </c>
    </row>
    <row r="1830" spans="1:11" x14ac:dyDescent="0.25">
      <c r="A1830" s="16" t="s">
        <v>2281</v>
      </c>
      <c r="B1830" s="20">
        <v>46107</v>
      </c>
      <c r="C1830" s="16">
        <v>3</v>
      </c>
      <c r="D1830" s="19" t="s">
        <v>29</v>
      </c>
      <c r="E1830" s="19" t="s">
        <v>453</v>
      </c>
      <c r="G1830" s="19">
        <v>20</v>
      </c>
      <c r="H1830" s="19" t="s">
        <v>215</v>
      </c>
      <c r="I1830" s="19" t="s">
        <v>246</v>
      </c>
      <c r="J1830" s="19" t="s">
        <v>217</v>
      </c>
      <c r="K1830" s="18">
        <v>46115.600740740738</v>
      </c>
    </row>
    <row r="1831" spans="1:11" x14ac:dyDescent="0.25">
      <c r="A1831" s="16" t="s">
        <v>2282</v>
      </c>
      <c r="B1831" s="20">
        <v>46108</v>
      </c>
      <c r="C1831" s="16">
        <v>3</v>
      </c>
      <c r="D1831" s="19" t="s">
        <v>29</v>
      </c>
      <c r="E1831" s="19" t="s">
        <v>453</v>
      </c>
      <c r="G1831" s="19">
        <v>32</v>
      </c>
      <c r="H1831" s="19" t="s">
        <v>215</v>
      </c>
      <c r="I1831" s="19" t="s">
        <v>246</v>
      </c>
      <c r="J1831" s="19" t="s">
        <v>217</v>
      </c>
      <c r="K1831" s="18">
        <v>46115.600925925923</v>
      </c>
    </row>
    <row r="1832" spans="1:11" x14ac:dyDescent="0.25">
      <c r="A1832" s="16" t="s">
        <v>2283</v>
      </c>
      <c r="B1832" s="20">
        <v>46108</v>
      </c>
      <c r="C1832" s="16">
        <v>3</v>
      </c>
      <c r="D1832" s="19" t="s">
        <v>29</v>
      </c>
      <c r="E1832" s="19" t="s">
        <v>453</v>
      </c>
      <c r="G1832" s="19">
        <v>13</v>
      </c>
      <c r="H1832" s="19" t="s">
        <v>215</v>
      </c>
      <c r="I1832" s="19" t="s">
        <v>246</v>
      </c>
      <c r="J1832" s="19" t="s">
        <v>217</v>
      </c>
      <c r="K1832" s="18">
        <v>46115.600960648146</v>
      </c>
    </row>
    <row r="1833" spans="1:11" x14ac:dyDescent="0.25">
      <c r="A1833" s="16" t="s">
        <v>2284</v>
      </c>
      <c r="B1833" s="20">
        <v>46108</v>
      </c>
      <c r="C1833" s="16">
        <v>3</v>
      </c>
      <c r="D1833" s="19" t="s">
        <v>29</v>
      </c>
      <c r="E1833" s="19" t="s">
        <v>453</v>
      </c>
      <c r="G1833" s="19">
        <v>43</v>
      </c>
      <c r="H1833" s="19" t="s">
        <v>215</v>
      </c>
      <c r="I1833" s="19" t="s">
        <v>246</v>
      </c>
      <c r="J1833" s="19" t="s">
        <v>217</v>
      </c>
      <c r="K1833" s="18">
        <v>46115.600995370369</v>
      </c>
    </row>
    <row r="1834" spans="1:11" x14ac:dyDescent="0.25">
      <c r="A1834" s="16" t="s">
        <v>2285</v>
      </c>
      <c r="B1834" s="20">
        <v>46108</v>
      </c>
      <c r="C1834" s="16">
        <v>3</v>
      </c>
      <c r="D1834" s="19" t="s">
        <v>29</v>
      </c>
      <c r="E1834" s="19" t="s">
        <v>453</v>
      </c>
      <c r="G1834" s="19">
        <v>16</v>
      </c>
      <c r="H1834" s="19" t="s">
        <v>215</v>
      </c>
      <c r="I1834" s="19" t="s">
        <v>246</v>
      </c>
      <c r="J1834" s="19" t="s">
        <v>217</v>
      </c>
      <c r="K1834" s="18">
        <v>46115.601018518515</v>
      </c>
    </row>
    <row r="1835" spans="1:11" x14ac:dyDescent="0.25">
      <c r="A1835" s="16" t="s">
        <v>2286</v>
      </c>
      <c r="B1835" s="20">
        <v>46108</v>
      </c>
      <c r="C1835" s="16">
        <v>3</v>
      </c>
      <c r="D1835" s="19" t="s">
        <v>29</v>
      </c>
      <c r="E1835" s="19" t="s">
        <v>453</v>
      </c>
      <c r="G1835" s="19">
        <v>22</v>
      </c>
      <c r="H1835" s="19" t="s">
        <v>215</v>
      </c>
      <c r="I1835" s="19" t="s">
        <v>246</v>
      </c>
      <c r="J1835" s="19" t="s">
        <v>217</v>
      </c>
      <c r="K1835" s="18">
        <v>46115.601030092592</v>
      </c>
    </row>
    <row r="1836" spans="1:11" x14ac:dyDescent="0.25">
      <c r="A1836" s="16" t="s">
        <v>2287</v>
      </c>
      <c r="B1836" s="20">
        <v>46108</v>
      </c>
      <c r="C1836" s="16">
        <v>3</v>
      </c>
      <c r="D1836" s="19" t="s">
        <v>29</v>
      </c>
      <c r="E1836" s="19" t="s">
        <v>453</v>
      </c>
      <c r="G1836" s="19">
        <v>64</v>
      </c>
      <c r="H1836" s="19" t="s">
        <v>215</v>
      </c>
      <c r="I1836" s="19" t="s">
        <v>246</v>
      </c>
      <c r="J1836" s="19" t="s">
        <v>217</v>
      </c>
      <c r="K1836" s="18">
        <v>46115.601064814815</v>
      </c>
    </row>
    <row r="1837" spans="1:11" x14ac:dyDescent="0.25">
      <c r="A1837" s="16" t="s">
        <v>2288</v>
      </c>
      <c r="B1837" s="20">
        <v>46109</v>
      </c>
      <c r="C1837" s="16">
        <v>3</v>
      </c>
      <c r="D1837" s="19" t="s">
        <v>29</v>
      </c>
      <c r="E1837" s="19" t="s">
        <v>453</v>
      </c>
      <c r="G1837" s="19">
        <v>59</v>
      </c>
      <c r="H1837" s="19" t="s">
        <v>215</v>
      </c>
      <c r="I1837" s="19" t="s">
        <v>246</v>
      </c>
      <c r="J1837" s="19" t="s">
        <v>217</v>
      </c>
      <c r="K1837" s="18">
        <v>46115.601226851853</v>
      </c>
    </row>
    <row r="1838" spans="1:11" x14ac:dyDescent="0.25">
      <c r="A1838" s="16" t="s">
        <v>2289</v>
      </c>
      <c r="B1838" s="20">
        <v>46110</v>
      </c>
      <c r="C1838" s="16">
        <v>3</v>
      </c>
      <c r="D1838" s="19" t="s">
        <v>29</v>
      </c>
      <c r="E1838" s="19" t="s">
        <v>453</v>
      </c>
      <c r="G1838" s="19">
        <v>68</v>
      </c>
      <c r="H1838" s="19" t="s">
        <v>215</v>
      </c>
      <c r="I1838" s="19" t="s">
        <v>246</v>
      </c>
      <c r="J1838" s="19" t="s">
        <v>217</v>
      </c>
      <c r="K1838" s="18">
        <v>46115.601388888892</v>
      </c>
    </row>
    <row r="1839" spans="1:11" x14ac:dyDescent="0.25">
      <c r="A1839" s="16" t="s">
        <v>2290</v>
      </c>
      <c r="B1839" s="20">
        <v>46110</v>
      </c>
      <c r="C1839" s="16">
        <v>3</v>
      </c>
      <c r="D1839" s="19" t="s">
        <v>29</v>
      </c>
      <c r="E1839" s="19" t="s">
        <v>453</v>
      </c>
      <c r="G1839" s="19">
        <v>86</v>
      </c>
      <c r="H1839" s="19" t="s">
        <v>215</v>
      </c>
      <c r="I1839" s="19" t="s">
        <v>246</v>
      </c>
      <c r="J1839" s="19" t="s">
        <v>217</v>
      </c>
      <c r="K1839" s="18">
        <v>46115.601412037038</v>
      </c>
    </row>
    <row r="1840" spans="1:11" x14ac:dyDescent="0.25">
      <c r="A1840" s="16" t="s">
        <v>2291</v>
      </c>
      <c r="B1840" s="20">
        <v>46111</v>
      </c>
      <c r="C1840" s="16">
        <v>3</v>
      </c>
      <c r="D1840" s="19" t="s">
        <v>29</v>
      </c>
      <c r="E1840" s="19" t="s">
        <v>453</v>
      </c>
      <c r="G1840" s="19">
        <v>58</v>
      </c>
      <c r="H1840" s="19" t="s">
        <v>215</v>
      </c>
      <c r="I1840" s="19" t="s">
        <v>246</v>
      </c>
      <c r="J1840" s="19" t="s">
        <v>217</v>
      </c>
      <c r="K1840" s="18">
        <v>46115.601631944446</v>
      </c>
    </row>
    <row r="1841" spans="1:11" x14ac:dyDescent="0.25">
      <c r="A1841" s="16" t="s">
        <v>2292</v>
      </c>
      <c r="B1841" s="20">
        <v>46111</v>
      </c>
      <c r="C1841" s="16">
        <v>3</v>
      </c>
      <c r="D1841" s="19" t="s">
        <v>29</v>
      </c>
      <c r="E1841" s="19" t="s">
        <v>453</v>
      </c>
      <c r="G1841" s="19">
        <v>76</v>
      </c>
      <c r="H1841" s="19" t="s">
        <v>215</v>
      </c>
      <c r="I1841" s="19" t="s">
        <v>246</v>
      </c>
      <c r="J1841" s="19" t="s">
        <v>217</v>
      </c>
      <c r="K1841" s="18">
        <v>46115.601655092592</v>
      </c>
    </row>
    <row r="1842" spans="1:11" x14ac:dyDescent="0.25">
      <c r="A1842" s="16" t="s">
        <v>2293</v>
      </c>
      <c r="B1842" s="20">
        <v>46111</v>
      </c>
      <c r="C1842" s="16">
        <v>3</v>
      </c>
      <c r="D1842" s="19" t="s">
        <v>29</v>
      </c>
      <c r="E1842" s="19" t="s">
        <v>453</v>
      </c>
      <c r="G1842" s="19">
        <v>53</v>
      </c>
      <c r="H1842" s="19" t="s">
        <v>215</v>
      </c>
      <c r="I1842" s="19" t="s">
        <v>246</v>
      </c>
      <c r="J1842" s="19" t="s">
        <v>217</v>
      </c>
      <c r="K1842" s="18">
        <v>46115.601701388892</v>
      </c>
    </row>
    <row r="1843" spans="1:11" x14ac:dyDescent="0.25">
      <c r="A1843" s="16" t="s">
        <v>2294</v>
      </c>
      <c r="B1843" s="20">
        <v>46112</v>
      </c>
      <c r="C1843" s="16">
        <v>3</v>
      </c>
      <c r="D1843" s="19" t="s">
        <v>29</v>
      </c>
      <c r="E1843" s="19" t="s">
        <v>453</v>
      </c>
      <c r="G1843" s="19">
        <v>78</v>
      </c>
      <c r="H1843" s="19" t="s">
        <v>215</v>
      </c>
      <c r="I1843" s="19" t="s">
        <v>246</v>
      </c>
      <c r="J1843" s="19" t="s">
        <v>217</v>
      </c>
      <c r="K1843" s="18">
        <v>46115.601851851854</v>
      </c>
    </row>
    <row r="1844" spans="1:11" x14ac:dyDescent="0.25">
      <c r="A1844" s="16" t="s">
        <v>2295</v>
      </c>
      <c r="B1844" s="20">
        <v>46112</v>
      </c>
      <c r="C1844" s="16">
        <v>3</v>
      </c>
      <c r="D1844" s="19" t="s">
        <v>29</v>
      </c>
      <c r="E1844" s="19" t="s">
        <v>453</v>
      </c>
      <c r="G1844" s="19">
        <v>50</v>
      </c>
      <c r="H1844" s="19" t="s">
        <v>215</v>
      </c>
      <c r="I1844" s="19" t="s">
        <v>246</v>
      </c>
      <c r="J1844" s="19" t="s">
        <v>217</v>
      </c>
      <c r="K1844" s="18">
        <v>46115.601886574077</v>
      </c>
    </row>
    <row r="1845" spans="1:11" x14ac:dyDescent="0.25">
      <c r="A1845" s="16" t="s">
        <v>2296</v>
      </c>
      <c r="B1845" s="20">
        <v>46112</v>
      </c>
      <c r="C1845" s="16">
        <v>3</v>
      </c>
      <c r="D1845" s="19" t="s">
        <v>29</v>
      </c>
      <c r="E1845" s="19" t="s">
        <v>453</v>
      </c>
      <c r="G1845" s="19">
        <v>51</v>
      </c>
      <c r="H1845" s="19" t="s">
        <v>215</v>
      </c>
      <c r="I1845" s="19" t="s">
        <v>246</v>
      </c>
      <c r="J1845" s="19" t="s">
        <v>217</v>
      </c>
      <c r="K1845" s="18">
        <v>46115.601898148147</v>
      </c>
    </row>
    <row r="1846" spans="1:11" x14ac:dyDescent="0.25">
      <c r="A1846" s="16" t="s">
        <v>2297</v>
      </c>
      <c r="B1846" s="20">
        <v>46112</v>
      </c>
      <c r="C1846" s="16">
        <v>3</v>
      </c>
      <c r="D1846" s="19" t="s">
        <v>29</v>
      </c>
      <c r="E1846" s="19" t="s">
        <v>453</v>
      </c>
      <c r="G1846" s="19">
        <v>56</v>
      </c>
      <c r="H1846" s="19" t="s">
        <v>215</v>
      </c>
      <c r="I1846" s="19" t="s">
        <v>246</v>
      </c>
      <c r="J1846" s="19" t="s">
        <v>217</v>
      </c>
      <c r="K1846" s="18">
        <v>46115.601921296293</v>
      </c>
    </row>
    <row r="1847" spans="1:11" x14ac:dyDescent="0.25">
      <c r="A1847" s="16" t="s">
        <v>2298</v>
      </c>
      <c r="B1847" s="20">
        <v>46112</v>
      </c>
      <c r="C1847" s="16">
        <v>3</v>
      </c>
      <c r="D1847" s="19" t="s">
        <v>29</v>
      </c>
      <c r="E1847" s="19" t="s">
        <v>453</v>
      </c>
      <c r="G1847" s="19">
        <v>65</v>
      </c>
      <c r="H1847" s="19" t="s">
        <v>215</v>
      </c>
      <c r="I1847" s="19" t="s">
        <v>246</v>
      </c>
      <c r="J1847" s="19" t="s">
        <v>217</v>
      </c>
      <c r="K1847" s="18">
        <v>46115.60193287037</v>
      </c>
    </row>
    <row r="1848" spans="1:11" x14ac:dyDescent="0.25">
      <c r="A1848" s="16" t="s">
        <v>2299</v>
      </c>
      <c r="B1848" s="20">
        <v>46105</v>
      </c>
      <c r="C1848" s="16">
        <v>3</v>
      </c>
      <c r="D1848" s="19" t="s">
        <v>31</v>
      </c>
      <c r="E1848" s="19" t="s">
        <v>453</v>
      </c>
      <c r="G1848" s="19">
        <v>75</v>
      </c>
      <c r="H1848" s="19" t="s">
        <v>215</v>
      </c>
      <c r="I1848" s="19" t="s">
        <v>216</v>
      </c>
      <c r="J1848" s="19" t="s">
        <v>217</v>
      </c>
      <c r="K1848" s="18">
        <v>46115.604305555556</v>
      </c>
    </row>
    <row r="1849" spans="1:11" x14ac:dyDescent="0.25">
      <c r="A1849" s="16" t="s">
        <v>2300</v>
      </c>
      <c r="B1849" s="20">
        <v>46105</v>
      </c>
      <c r="C1849" s="16">
        <v>3</v>
      </c>
      <c r="D1849" s="19" t="s">
        <v>31</v>
      </c>
      <c r="E1849" s="19" t="s">
        <v>453</v>
      </c>
      <c r="G1849" s="19">
        <v>71</v>
      </c>
      <c r="H1849" s="19" t="s">
        <v>215</v>
      </c>
      <c r="I1849" s="19" t="s">
        <v>216</v>
      </c>
      <c r="J1849" s="19" t="s">
        <v>217</v>
      </c>
      <c r="K1849" s="18">
        <v>46115.60434027778</v>
      </c>
    </row>
    <row r="1850" spans="1:11" x14ac:dyDescent="0.25">
      <c r="A1850" s="16" t="s">
        <v>2301</v>
      </c>
      <c r="B1850" s="20">
        <v>46105</v>
      </c>
      <c r="C1850" s="16">
        <v>3</v>
      </c>
      <c r="D1850" s="19" t="s">
        <v>31</v>
      </c>
      <c r="E1850" s="19" t="s">
        <v>453</v>
      </c>
      <c r="G1850" s="19">
        <v>29</v>
      </c>
      <c r="H1850" s="19" t="s">
        <v>215</v>
      </c>
      <c r="I1850" s="19" t="s">
        <v>216</v>
      </c>
      <c r="J1850" s="19" t="s">
        <v>217</v>
      </c>
      <c r="K1850" s="18">
        <v>46115.604386574072</v>
      </c>
    </row>
    <row r="1851" spans="1:11" x14ac:dyDescent="0.25">
      <c r="A1851" s="16" t="s">
        <v>2302</v>
      </c>
      <c r="B1851" s="20">
        <v>46105</v>
      </c>
      <c r="C1851" s="16">
        <v>3</v>
      </c>
      <c r="D1851" s="19" t="s">
        <v>31</v>
      </c>
      <c r="E1851" s="19" t="s">
        <v>453</v>
      </c>
      <c r="G1851" s="19">
        <v>41</v>
      </c>
      <c r="H1851" s="19" t="s">
        <v>215</v>
      </c>
      <c r="I1851" s="19" t="s">
        <v>216</v>
      </c>
      <c r="J1851" s="19" t="s">
        <v>217</v>
      </c>
      <c r="K1851" s="18">
        <v>46115.604421296295</v>
      </c>
    </row>
    <row r="1852" spans="1:11" x14ac:dyDescent="0.25">
      <c r="A1852" s="16" t="s">
        <v>2303</v>
      </c>
      <c r="B1852" s="20">
        <v>46105</v>
      </c>
      <c r="C1852" s="16">
        <v>3</v>
      </c>
      <c r="D1852" s="19" t="s">
        <v>31</v>
      </c>
      <c r="E1852" s="19" t="s">
        <v>453</v>
      </c>
      <c r="G1852" s="19">
        <v>18</v>
      </c>
      <c r="H1852" s="19" t="s">
        <v>215</v>
      </c>
      <c r="I1852" s="19" t="s">
        <v>216</v>
      </c>
      <c r="J1852" s="19" t="s">
        <v>217</v>
      </c>
      <c r="K1852" s="18">
        <v>46115.604467592595</v>
      </c>
    </row>
    <row r="1853" spans="1:11" x14ac:dyDescent="0.25">
      <c r="A1853" s="16" t="s">
        <v>2304</v>
      </c>
      <c r="B1853" s="20">
        <v>46105</v>
      </c>
      <c r="C1853" s="16">
        <v>3</v>
      </c>
      <c r="D1853" s="19" t="s">
        <v>31</v>
      </c>
      <c r="E1853" s="19" t="s">
        <v>453</v>
      </c>
      <c r="G1853" s="19">
        <v>17</v>
      </c>
      <c r="H1853" s="19" t="s">
        <v>215</v>
      </c>
      <c r="I1853" s="19" t="s">
        <v>216</v>
      </c>
      <c r="J1853" s="19" t="s">
        <v>217</v>
      </c>
      <c r="K1853" s="18">
        <v>46115.604502314818</v>
      </c>
    </row>
    <row r="1854" spans="1:11" x14ac:dyDescent="0.25">
      <c r="A1854" s="16" t="s">
        <v>2305</v>
      </c>
      <c r="B1854" s="20">
        <v>46105</v>
      </c>
      <c r="C1854" s="16">
        <v>3</v>
      </c>
      <c r="D1854" s="19" t="s">
        <v>31</v>
      </c>
      <c r="E1854" s="19" t="s">
        <v>453</v>
      </c>
      <c r="G1854" s="19">
        <v>23</v>
      </c>
      <c r="H1854" s="19" t="s">
        <v>215</v>
      </c>
      <c r="I1854" s="19" t="s">
        <v>216</v>
      </c>
      <c r="J1854" s="19" t="s">
        <v>217</v>
      </c>
      <c r="K1854" s="18">
        <v>46115.604548611111</v>
      </c>
    </row>
    <row r="1855" spans="1:11" x14ac:dyDescent="0.25">
      <c r="A1855" s="16" t="s">
        <v>2306</v>
      </c>
      <c r="B1855" s="20">
        <v>46106</v>
      </c>
      <c r="C1855" s="16">
        <v>3</v>
      </c>
      <c r="D1855" s="19" t="s">
        <v>31</v>
      </c>
      <c r="E1855" s="19" t="s">
        <v>453</v>
      </c>
      <c r="G1855" s="19">
        <v>26</v>
      </c>
      <c r="H1855" s="19" t="s">
        <v>215</v>
      </c>
      <c r="I1855" s="19" t="s">
        <v>216</v>
      </c>
      <c r="J1855" s="19" t="s">
        <v>217</v>
      </c>
      <c r="K1855" s="18">
        <v>46115.604189814818</v>
      </c>
    </row>
    <row r="1856" spans="1:11" x14ac:dyDescent="0.25">
      <c r="A1856" s="16" t="s">
        <v>2307</v>
      </c>
      <c r="B1856" s="20">
        <v>46106</v>
      </c>
      <c r="C1856" s="16">
        <v>3</v>
      </c>
      <c r="D1856" s="19" t="s">
        <v>31</v>
      </c>
      <c r="E1856" s="19" t="s">
        <v>453</v>
      </c>
      <c r="G1856" s="19">
        <v>44</v>
      </c>
      <c r="H1856" s="19" t="s">
        <v>215</v>
      </c>
      <c r="I1856" s="19" t="s">
        <v>216</v>
      </c>
      <c r="J1856" s="19" t="s">
        <v>217</v>
      </c>
      <c r="K1856" s="18">
        <v>46115.604143518518</v>
      </c>
    </row>
    <row r="1857" spans="1:11" x14ac:dyDescent="0.25">
      <c r="A1857" s="16" t="s">
        <v>2308</v>
      </c>
      <c r="B1857" s="20">
        <v>46106</v>
      </c>
      <c r="C1857" s="16">
        <v>3</v>
      </c>
      <c r="D1857" s="19" t="s">
        <v>31</v>
      </c>
      <c r="E1857" s="19" t="s">
        <v>453</v>
      </c>
      <c r="G1857" s="19">
        <v>40</v>
      </c>
      <c r="H1857" s="19" t="s">
        <v>215</v>
      </c>
      <c r="I1857" s="19" t="s">
        <v>216</v>
      </c>
      <c r="J1857" s="19" t="s">
        <v>217</v>
      </c>
      <c r="K1857" s="18">
        <v>46115.604097222225</v>
      </c>
    </row>
    <row r="1858" spans="1:11" x14ac:dyDescent="0.25">
      <c r="A1858" s="16" t="s">
        <v>2309</v>
      </c>
      <c r="B1858" s="20">
        <v>46107</v>
      </c>
      <c r="C1858" s="16">
        <v>3</v>
      </c>
      <c r="D1858" s="19" t="s">
        <v>31</v>
      </c>
      <c r="E1858" s="19" t="s">
        <v>453</v>
      </c>
      <c r="G1858" s="19">
        <v>32</v>
      </c>
      <c r="H1858" s="19" t="s">
        <v>215</v>
      </c>
      <c r="I1858" s="19" t="s">
        <v>216</v>
      </c>
      <c r="J1858" s="19" t="s">
        <v>217</v>
      </c>
      <c r="K1858" s="18">
        <v>46115.603854166664</v>
      </c>
    </row>
    <row r="1859" spans="1:11" x14ac:dyDescent="0.25">
      <c r="A1859" s="16" t="s">
        <v>2310</v>
      </c>
      <c r="B1859" s="20">
        <v>46107</v>
      </c>
      <c r="C1859" s="16">
        <v>3</v>
      </c>
      <c r="D1859" s="19" t="s">
        <v>31</v>
      </c>
      <c r="E1859" s="19" t="s">
        <v>453</v>
      </c>
      <c r="G1859" s="19">
        <v>25</v>
      </c>
      <c r="H1859" s="19" t="s">
        <v>215</v>
      </c>
      <c r="I1859" s="19" t="s">
        <v>216</v>
      </c>
      <c r="J1859" s="19" t="s">
        <v>217</v>
      </c>
      <c r="K1859" s="18">
        <v>46115.603900462964</v>
      </c>
    </row>
    <row r="1860" spans="1:11" x14ac:dyDescent="0.25">
      <c r="A1860" s="16" t="s">
        <v>2311</v>
      </c>
      <c r="B1860" s="20">
        <v>46107</v>
      </c>
      <c r="C1860" s="16">
        <v>3</v>
      </c>
      <c r="D1860" s="19" t="s">
        <v>31</v>
      </c>
      <c r="E1860" s="19" t="s">
        <v>453</v>
      </c>
      <c r="G1860" s="19">
        <v>22</v>
      </c>
      <c r="H1860" s="19" t="s">
        <v>215</v>
      </c>
      <c r="I1860" s="19" t="s">
        <v>216</v>
      </c>
      <c r="J1860" s="19" t="s">
        <v>217</v>
      </c>
      <c r="K1860" s="18">
        <v>46115.603946759256</v>
      </c>
    </row>
    <row r="1861" spans="1:11" x14ac:dyDescent="0.25">
      <c r="A1861" s="16" t="s">
        <v>2312</v>
      </c>
      <c r="B1861" s="20">
        <v>46108</v>
      </c>
      <c r="C1861" s="16">
        <v>3</v>
      </c>
      <c r="D1861" s="19" t="s">
        <v>31</v>
      </c>
      <c r="E1861" s="19" t="s">
        <v>453</v>
      </c>
      <c r="G1861" s="19">
        <v>24</v>
      </c>
      <c r="H1861" s="19" t="s">
        <v>215</v>
      </c>
      <c r="I1861" s="19" t="s">
        <v>216</v>
      </c>
      <c r="J1861" s="19" t="s">
        <v>217</v>
      </c>
      <c r="K1861" s="18">
        <v>46115.604780092595</v>
      </c>
    </row>
    <row r="1862" spans="1:11" x14ac:dyDescent="0.25">
      <c r="A1862" s="16" t="s">
        <v>2313</v>
      </c>
      <c r="B1862" s="20">
        <v>46109</v>
      </c>
      <c r="C1862" s="16">
        <v>3</v>
      </c>
      <c r="D1862" s="19" t="s">
        <v>31</v>
      </c>
      <c r="E1862" s="19" t="s">
        <v>453</v>
      </c>
      <c r="G1862" s="19">
        <v>52</v>
      </c>
      <c r="H1862" s="19" t="s">
        <v>215</v>
      </c>
      <c r="I1862" s="19" t="s">
        <v>216</v>
      </c>
      <c r="J1862" s="19" t="s">
        <v>217</v>
      </c>
      <c r="K1862" s="18">
        <v>46115.605138888888</v>
      </c>
    </row>
    <row r="1863" spans="1:11" x14ac:dyDescent="0.25">
      <c r="A1863" s="16" t="s">
        <v>2314</v>
      </c>
      <c r="B1863" s="20">
        <v>46109</v>
      </c>
      <c r="C1863" s="16">
        <v>3</v>
      </c>
      <c r="D1863" s="19" t="s">
        <v>31</v>
      </c>
      <c r="E1863" s="19" t="s">
        <v>453</v>
      </c>
      <c r="G1863" s="19">
        <v>32</v>
      </c>
      <c r="H1863" s="19" t="s">
        <v>215</v>
      </c>
      <c r="I1863" s="19" t="s">
        <v>216</v>
      </c>
      <c r="J1863" s="19" t="s">
        <v>217</v>
      </c>
      <c r="K1863" s="18">
        <v>46115.605185185188</v>
      </c>
    </row>
    <row r="1864" spans="1:11" x14ac:dyDescent="0.25">
      <c r="A1864" s="16" t="s">
        <v>2315</v>
      </c>
      <c r="B1864" s="20">
        <v>46109</v>
      </c>
      <c r="C1864" s="16">
        <v>3</v>
      </c>
      <c r="D1864" s="19" t="s">
        <v>31</v>
      </c>
      <c r="E1864" s="19" t="s">
        <v>453</v>
      </c>
      <c r="G1864" s="19">
        <v>17</v>
      </c>
      <c r="H1864" s="19" t="s">
        <v>215</v>
      </c>
      <c r="I1864" s="19" t="s">
        <v>216</v>
      </c>
      <c r="J1864" s="19" t="s">
        <v>217</v>
      </c>
      <c r="K1864" s="18">
        <v>46115.605219907404</v>
      </c>
    </row>
    <row r="1865" spans="1:11" x14ac:dyDescent="0.25">
      <c r="A1865" s="16" t="s">
        <v>2316</v>
      </c>
      <c r="B1865" s="20">
        <v>46110</v>
      </c>
      <c r="C1865" s="16">
        <v>3</v>
      </c>
      <c r="D1865" s="19" t="s">
        <v>31</v>
      </c>
      <c r="E1865" s="19" t="s">
        <v>453</v>
      </c>
      <c r="G1865" s="19">
        <v>58</v>
      </c>
      <c r="H1865" s="19" t="s">
        <v>215</v>
      </c>
      <c r="I1865" s="19" t="s">
        <v>216</v>
      </c>
      <c r="J1865" s="19" t="s">
        <v>217</v>
      </c>
      <c r="K1865" s="18">
        <v>46115.605497685188</v>
      </c>
    </row>
    <row r="1866" spans="1:11" x14ac:dyDescent="0.25">
      <c r="A1866" s="16" t="s">
        <v>2317</v>
      </c>
      <c r="B1866" s="20">
        <v>46110</v>
      </c>
      <c r="C1866" s="16">
        <v>3</v>
      </c>
      <c r="D1866" s="19" t="s">
        <v>31</v>
      </c>
      <c r="E1866" s="19" t="s">
        <v>453</v>
      </c>
      <c r="G1866" s="19">
        <v>53</v>
      </c>
      <c r="H1866" s="19" t="s">
        <v>215</v>
      </c>
      <c r="I1866" s="19" t="s">
        <v>216</v>
      </c>
      <c r="J1866" s="19" t="s">
        <v>217</v>
      </c>
      <c r="K1866" s="18">
        <v>46115.605509259258</v>
      </c>
    </row>
    <row r="1867" spans="1:11" x14ac:dyDescent="0.25">
      <c r="A1867" s="16" t="s">
        <v>2318</v>
      </c>
      <c r="B1867" s="20">
        <v>46111</v>
      </c>
      <c r="C1867" s="16">
        <v>3</v>
      </c>
      <c r="D1867" s="19" t="s">
        <v>31</v>
      </c>
      <c r="E1867" s="19" t="s">
        <v>453</v>
      </c>
      <c r="G1867" s="19">
        <v>14</v>
      </c>
      <c r="H1867" s="19" t="s">
        <v>215</v>
      </c>
      <c r="I1867" s="19" t="s">
        <v>216</v>
      </c>
      <c r="J1867" s="19" t="s">
        <v>217</v>
      </c>
      <c r="K1867" s="18">
        <v>46115.60564814815</v>
      </c>
    </row>
    <row r="1868" spans="1:11" x14ac:dyDescent="0.25">
      <c r="A1868" s="16" t="s">
        <v>2319</v>
      </c>
      <c r="B1868" s="20">
        <v>46111</v>
      </c>
      <c r="C1868" s="16">
        <v>3</v>
      </c>
      <c r="D1868" s="19" t="s">
        <v>31</v>
      </c>
      <c r="E1868" s="19" t="s">
        <v>453</v>
      </c>
      <c r="G1868" s="19">
        <v>33</v>
      </c>
      <c r="H1868" s="19" t="s">
        <v>215</v>
      </c>
      <c r="I1868" s="19" t="s">
        <v>216</v>
      </c>
      <c r="J1868" s="19" t="s">
        <v>217</v>
      </c>
      <c r="K1868" s="18">
        <v>46115.60565972222</v>
      </c>
    </row>
    <row r="1869" spans="1:11" x14ac:dyDescent="0.25">
      <c r="A1869" s="16" t="s">
        <v>2320</v>
      </c>
      <c r="B1869" s="20">
        <v>46112</v>
      </c>
      <c r="C1869" s="16">
        <v>3</v>
      </c>
      <c r="D1869" s="19" t="s">
        <v>31</v>
      </c>
      <c r="E1869" s="19" t="s">
        <v>453</v>
      </c>
      <c r="G1869" s="19">
        <v>60</v>
      </c>
      <c r="H1869" s="19" t="s">
        <v>215</v>
      </c>
      <c r="I1869" s="19" t="s">
        <v>216</v>
      </c>
      <c r="J1869" s="19" t="s">
        <v>217</v>
      </c>
      <c r="K1869" s="18">
        <v>46115.605787037035</v>
      </c>
    </row>
    <row r="1870" spans="1:11" x14ac:dyDescent="0.25">
      <c r="A1870" s="16" t="s">
        <v>2321</v>
      </c>
      <c r="B1870" s="20">
        <v>46112</v>
      </c>
      <c r="C1870" s="16">
        <v>3</v>
      </c>
      <c r="D1870" s="19" t="s">
        <v>31</v>
      </c>
      <c r="E1870" s="19" t="s">
        <v>453</v>
      </c>
      <c r="G1870" s="19">
        <v>45</v>
      </c>
      <c r="H1870" s="19" t="s">
        <v>215</v>
      </c>
      <c r="I1870" s="19" t="s">
        <v>216</v>
      </c>
      <c r="J1870" s="19" t="s">
        <v>217</v>
      </c>
      <c r="K1870" s="18">
        <v>46115.605798611112</v>
      </c>
    </row>
    <row r="1871" spans="1:11" x14ac:dyDescent="0.25">
      <c r="A1871" s="16" t="s">
        <v>2322</v>
      </c>
      <c r="B1871" s="20">
        <v>46112</v>
      </c>
      <c r="C1871" s="16">
        <v>3</v>
      </c>
      <c r="D1871" s="19" t="s">
        <v>31</v>
      </c>
      <c r="E1871" s="19" t="s">
        <v>453</v>
      </c>
      <c r="G1871" s="19">
        <v>81</v>
      </c>
      <c r="H1871" s="19" t="s">
        <v>215</v>
      </c>
      <c r="I1871" s="19" t="s">
        <v>216</v>
      </c>
      <c r="J1871" s="19" t="s">
        <v>217</v>
      </c>
      <c r="K1871" s="18">
        <v>46115.605844907404</v>
      </c>
    </row>
    <row r="1872" spans="1:11" x14ac:dyDescent="0.25">
      <c r="A1872" s="16" t="s">
        <v>2323</v>
      </c>
      <c r="B1872" s="20">
        <v>46112</v>
      </c>
      <c r="C1872" s="16">
        <v>3</v>
      </c>
      <c r="D1872" s="19" t="s">
        <v>31</v>
      </c>
      <c r="E1872" s="19" t="s">
        <v>453</v>
      </c>
      <c r="G1872" s="19">
        <v>74</v>
      </c>
      <c r="H1872" s="19" t="s">
        <v>215</v>
      </c>
      <c r="I1872" s="19" t="s">
        <v>216</v>
      </c>
      <c r="J1872" s="19" t="s">
        <v>217</v>
      </c>
      <c r="K1872" s="18">
        <v>46115.605856481481</v>
      </c>
    </row>
    <row r="1873" spans="1:11" x14ac:dyDescent="0.25">
      <c r="A1873" s="16" t="s">
        <v>2324</v>
      </c>
      <c r="B1873" s="20">
        <v>46112</v>
      </c>
      <c r="C1873" s="16">
        <v>3</v>
      </c>
      <c r="D1873" s="19" t="s">
        <v>31</v>
      </c>
      <c r="E1873" s="19" t="s">
        <v>453</v>
      </c>
      <c r="G1873" s="19">
        <v>50</v>
      </c>
      <c r="H1873" s="19" t="s">
        <v>215</v>
      </c>
      <c r="I1873" s="19" t="s">
        <v>216</v>
      </c>
      <c r="J1873" s="19" t="s">
        <v>217</v>
      </c>
      <c r="K1873" s="18">
        <v>46115.605868055558</v>
      </c>
    </row>
    <row r="1874" spans="1:11" x14ac:dyDescent="0.25">
      <c r="A1874" s="16" t="s">
        <v>2325</v>
      </c>
      <c r="B1874" s="20">
        <v>46105</v>
      </c>
      <c r="C1874" s="16">
        <v>3</v>
      </c>
      <c r="D1874" s="19" t="s">
        <v>33</v>
      </c>
      <c r="E1874" s="19" t="s">
        <v>453</v>
      </c>
      <c r="G1874" s="19">
        <v>3</v>
      </c>
      <c r="H1874" s="19" t="s">
        <v>215</v>
      </c>
      <c r="I1874" s="19" t="s">
        <v>246</v>
      </c>
      <c r="J1874" s="19" t="s">
        <v>217</v>
      </c>
      <c r="K1874" s="18">
        <v>46115.611284722225</v>
      </c>
    </row>
    <row r="1875" spans="1:11" x14ac:dyDescent="0.25">
      <c r="A1875" s="16" t="s">
        <v>2326</v>
      </c>
      <c r="B1875" s="20">
        <v>46105</v>
      </c>
      <c r="C1875" s="16">
        <v>3</v>
      </c>
      <c r="D1875" s="19" t="s">
        <v>33</v>
      </c>
      <c r="E1875" s="19" t="s">
        <v>453</v>
      </c>
      <c r="G1875" s="19">
        <v>2</v>
      </c>
      <c r="H1875" s="19" t="s">
        <v>215</v>
      </c>
      <c r="I1875" s="19" t="s">
        <v>246</v>
      </c>
      <c r="J1875" s="19" t="s">
        <v>217</v>
      </c>
      <c r="K1875" s="18">
        <v>46115.611354166664</v>
      </c>
    </row>
    <row r="1876" spans="1:11" x14ac:dyDescent="0.25">
      <c r="A1876" s="16" t="s">
        <v>2327</v>
      </c>
      <c r="B1876" s="20">
        <v>46105</v>
      </c>
      <c r="C1876" s="16">
        <v>3</v>
      </c>
      <c r="D1876" s="19" t="s">
        <v>33</v>
      </c>
      <c r="E1876" s="19" t="s">
        <v>453</v>
      </c>
      <c r="G1876" s="19">
        <v>3</v>
      </c>
      <c r="H1876" s="19" t="s">
        <v>215</v>
      </c>
      <c r="I1876" s="19" t="s">
        <v>216</v>
      </c>
      <c r="J1876" s="19" t="s">
        <v>217</v>
      </c>
      <c r="K1876" s="18">
        <v>46115.611435185187</v>
      </c>
    </row>
    <row r="1877" spans="1:11" x14ac:dyDescent="0.25">
      <c r="A1877" s="16" t="s">
        <v>2328</v>
      </c>
      <c r="B1877" s="20">
        <v>46105</v>
      </c>
      <c r="C1877" s="16">
        <v>3</v>
      </c>
      <c r="D1877" s="19" t="s">
        <v>33</v>
      </c>
      <c r="E1877" s="19" t="s">
        <v>453</v>
      </c>
      <c r="G1877" s="19">
        <v>10</v>
      </c>
      <c r="H1877" s="19" t="s">
        <v>427</v>
      </c>
      <c r="I1877" s="19" t="s">
        <v>216</v>
      </c>
      <c r="J1877" s="19" t="s">
        <v>217</v>
      </c>
      <c r="K1877" s="18">
        <v>46115.611527777779</v>
      </c>
    </row>
    <row r="1878" spans="1:11" x14ac:dyDescent="0.25">
      <c r="A1878" s="16" t="s">
        <v>2329</v>
      </c>
      <c r="B1878" s="20">
        <v>46106</v>
      </c>
      <c r="C1878" s="16">
        <v>3</v>
      </c>
      <c r="D1878" s="19" t="s">
        <v>33</v>
      </c>
      <c r="E1878" s="19" t="s">
        <v>453</v>
      </c>
      <c r="G1878" s="19">
        <v>10</v>
      </c>
      <c r="H1878" s="19" t="s">
        <v>215</v>
      </c>
      <c r="I1878" s="19" t="s">
        <v>216</v>
      </c>
      <c r="J1878" s="19" t="s">
        <v>217</v>
      </c>
      <c r="K1878" s="18">
        <v>46115.611701388887</v>
      </c>
    </row>
    <row r="1879" spans="1:11" x14ac:dyDescent="0.25">
      <c r="A1879" s="16" t="s">
        <v>2330</v>
      </c>
      <c r="B1879" s="20">
        <v>46106</v>
      </c>
      <c r="C1879" s="16">
        <v>3</v>
      </c>
      <c r="D1879" s="19" t="s">
        <v>33</v>
      </c>
      <c r="E1879" s="19" t="s">
        <v>453</v>
      </c>
      <c r="G1879" s="19">
        <v>2</v>
      </c>
      <c r="H1879" s="19" t="s">
        <v>215</v>
      </c>
      <c r="I1879" s="19" t="s">
        <v>216</v>
      </c>
      <c r="J1879" s="19" t="s">
        <v>217</v>
      </c>
      <c r="K1879" s="18">
        <v>46115.611747685187</v>
      </c>
    </row>
    <row r="1880" spans="1:11" x14ac:dyDescent="0.25">
      <c r="A1880" s="16" t="s">
        <v>2331</v>
      </c>
      <c r="B1880" s="20">
        <v>46107</v>
      </c>
      <c r="C1880" s="16">
        <v>3</v>
      </c>
      <c r="D1880" s="19" t="s">
        <v>33</v>
      </c>
      <c r="E1880" s="19" t="s">
        <v>453</v>
      </c>
      <c r="G1880" s="19">
        <v>11</v>
      </c>
      <c r="H1880" s="19" t="s">
        <v>215</v>
      </c>
      <c r="I1880" s="19" t="s">
        <v>246</v>
      </c>
      <c r="J1880" s="19" t="s">
        <v>217</v>
      </c>
      <c r="K1880" s="18">
        <v>46115.611932870372</v>
      </c>
    </row>
    <row r="1881" spans="1:11" x14ac:dyDescent="0.25">
      <c r="A1881" s="16" t="s">
        <v>2332</v>
      </c>
      <c r="B1881" s="20">
        <v>46107</v>
      </c>
      <c r="C1881" s="16">
        <v>3</v>
      </c>
      <c r="D1881" s="19" t="s">
        <v>33</v>
      </c>
      <c r="E1881" s="19" t="s">
        <v>453</v>
      </c>
      <c r="G1881" s="19">
        <v>5</v>
      </c>
      <c r="H1881" s="19" t="s">
        <v>427</v>
      </c>
      <c r="I1881" s="19" t="s">
        <v>216</v>
      </c>
      <c r="J1881" s="19" t="s">
        <v>217</v>
      </c>
      <c r="K1881" s="18">
        <v>46115.612037037034</v>
      </c>
    </row>
    <row r="1882" spans="1:11" x14ac:dyDescent="0.25">
      <c r="A1882" s="16" t="s">
        <v>2333</v>
      </c>
      <c r="B1882" s="20">
        <v>46107</v>
      </c>
      <c r="C1882" s="16">
        <v>3</v>
      </c>
      <c r="D1882" s="19" t="s">
        <v>33</v>
      </c>
      <c r="E1882" s="19" t="s">
        <v>453</v>
      </c>
      <c r="G1882" s="19">
        <v>4</v>
      </c>
      <c r="H1882" s="19" t="s">
        <v>215</v>
      </c>
      <c r="I1882" s="19" t="s">
        <v>216</v>
      </c>
      <c r="J1882" s="19" t="s">
        <v>217</v>
      </c>
      <c r="K1882" s="18">
        <v>46115.61209490741</v>
      </c>
    </row>
    <row r="1883" spans="1:11" x14ac:dyDescent="0.25">
      <c r="A1883" s="16" t="s">
        <v>2334</v>
      </c>
      <c r="B1883" s="20">
        <v>46108</v>
      </c>
      <c r="C1883" s="16">
        <v>3</v>
      </c>
      <c r="D1883" s="19" t="s">
        <v>33</v>
      </c>
      <c r="E1883" s="19" t="s">
        <v>453</v>
      </c>
      <c r="G1883" s="19">
        <v>3</v>
      </c>
      <c r="H1883" s="19" t="s">
        <v>215</v>
      </c>
      <c r="I1883" s="19" t="s">
        <v>216</v>
      </c>
      <c r="J1883" s="19" t="s">
        <v>217</v>
      </c>
      <c r="K1883" s="18">
        <v>46115.612268518518</v>
      </c>
    </row>
    <row r="1884" spans="1:11" x14ac:dyDescent="0.25">
      <c r="A1884" s="16" t="s">
        <v>2335</v>
      </c>
      <c r="B1884" s="20">
        <v>46108</v>
      </c>
      <c r="C1884" s="16">
        <v>3</v>
      </c>
      <c r="D1884" s="19" t="s">
        <v>33</v>
      </c>
      <c r="E1884" s="19" t="s">
        <v>453</v>
      </c>
      <c r="G1884" s="19">
        <v>10</v>
      </c>
      <c r="H1884" s="19" t="s">
        <v>427</v>
      </c>
      <c r="I1884" s="19" t="s">
        <v>246</v>
      </c>
      <c r="J1884" s="19" t="s">
        <v>217</v>
      </c>
      <c r="K1884" s="18">
        <v>46115.612361111111</v>
      </c>
    </row>
    <row r="1885" spans="1:11" x14ac:dyDescent="0.25">
      <c r="A1885" s="16" t="s">
        <v>2336</v>
      </c>
      <c r="B1885" s="20">
        <v>46108</v>
      </c>
      <c r="C1885" s="16">
        <v>3</v>
      </c>
      <c r="D1885" s="19" t="s">
        <v>33</v>
      </c>
      <c r="E1885" s="19" t="s">
        <v>453</v>
      </c>
      <c r="G1885" s="19">
        <v>10</v>
      </c>
      <c r="H1885" s="19" t="s">
        <v>427</v>
      </c>
      <c r="I1885" s="19" t="s">
        <v>216</v>
      </c>
      <c r="J1885" s="19" t="s">
        <v>217</v>
      </c>
      <c r="K1885" s="18">
        <v>46115.612546296295</v>
      </c>
    </row>
    <row r="1886" spans="1:11" x14ac:dyDescent="0.25">
      <c r="A1886" s="16" t="s">
        <v>2337</v>
      </c>
      <c r="B1886" s="20">
        <v>46108</v>
      </c>
      <c r="C1886" s="16">
        <v>3</v>
      </c>
      <c r="D1886" s="19" t="s">
        <v>33</v>
      </c>
      <c r="E1886" s="19" t="s">
        <v>453</v>
      </c>
      <c r="G1886" s="19">
        <v>6</v>
      </c>
      <c r="H1886" s="19" t="s">
        <v>215</v>
      </c>
      <c r="I1886" s="19" t="s">
        <v>246</v>
      </c>
      <c r="J1886" s="19" t="s">
        <v>217</v>
      </c>
      <c r="K1886" s="18">
        <v>46115.612615740742</v>
      </c>
    </row>
    <row r="1887" spans="1:11" x14ac:dyDescent="0.25">
      <c r="A1887" s="16" t="s">
        <v>2338</v>
      </c>
      <c r="B1887" s="20">
        <v>46109</v>
      </c>
      <c r="C1887" s="16">
        <v>3</v>
      </c>
      <c r="D1887" s="19" t="s">
        <v>33</v>
      </c>
      <c r="E1887" s="19" t="s">
        <v>453</v>
      </c>
      <c r="G1887" s="19">
        <v>2</v>
      </c>
      <c r="H1887" s="19" t="s">
        <v>215</v>
      </c>
      <c r="I1887" s="19" t="s">
        <v>246</v>
      </c>
      <c r="J1887" s="19" t="s">
        <v>217</v>
      </c>
      <c r="K1887" s="18">
        <v>46115.612847222219</v>
      </c>
    </row>
    <row r="1888" spans="1:11" x14ac:dyDescent="0.25">
      <c r="A1888" s="16" t="s">
        <v>2339</v>
      </c>
      <c r="B1888" s="20">
        <v>46109</v>
      </c>
      <c r="C1888" s="16">
        <v>3</v>
      </c>
      <c r="D1888" s="19" t="s">
        <v>33</v>
      </c>
      <c r="E1888" s="19" t="s">
        <v>453</v>
      </c>
      <c r="G1888" s="19">
        <v>12</v>
      </c>
      <c r="H1888" s="19" t="s">
        <v>215</v>
      </c>
      <c r="I1888" s="19" t="s">
        <v>216</v>
      </c>
      <c r="J1888" s="19" t="s">
        <v>217</v>
      </c>
      <c r="K1888" s="18">
        <v>46115.612939814811</v>
      </c>
    </row>
    <row r="1889" spans="1:11" x14ac:dyDescent="0.25">
      <c r="A1889" s="16" t="s">
        <v>2340</v>
      </c>
      <c r="B1889" s="20">
        <v>46110</v>
      </c>
      <c r="C1889" s="16">
        <v>3</v>
      </c>
      <c r="D1889" s="19" t="s">
        <v>33</v>
      </c>
      <c r="E1889" s="19" t="s">
        <v>453</v>
      </c>
      <c r="G1889" s="19">
        <v>4</v>
      </c>
      <c r="H1889" s="19" t="s">
        <v>215</v>
      </c>
      <c r="I1889" s="19" t="s">
        <v>216</v>
      </c>
      <c r="J1889" s="19" t="s">
        <v>217</v>
      </c>
      <c r="K1889" s="18">
        <v>46115.613171296296</v>
      </c>
    </row>
    <row r="1890" spans="1:11" x14ac:dyDescent="0.25">
      <c r="A1890" s="16" t="s">
        <v>2341</v>
      </c>
      <c r="B1890" s="20">
        <v>46111</v>
      </c>
      <c r="C1890" s="16">
        <v>3</v>
      </c>
      <c r="D1890" s="19" t="s">
        <v>33</v>
      </c>
      <c r="E1890" s="19" t="s">
        <v>453</v>
      </c>
      <c r="G1890" s="19">
        <v>6</v>
      </c>
      <c r="H1890" s="19" t="s">
        <v>427</v>
      </c>
      <c r="I1890" s="19" t="s">
        <v>246</v>
      </c>
      <c r="J1890" s="19" t="s">
        <v>217</v>
      </c>
      <c r="K1890" s="18">
        <v>46115.61341435185</v>
      </c>
    </row>
    <row r="1891" spans="1:11" x14ac:dyDescent="0.25">
      <c r="A1891" s="16" t="s">
        <v>2342</v>
      </c>
      <c r="B1891" s="20">
        <v>46111</v>
      </c>
      <c r="C1891" s="16">
        <v>3</v>
      </c>
      <c r="D1891" s="19" t="s">
        <v>33</v>
      </c>
      <c r="E1891" s="19" t="s">
        <v>453</v>
      </c>
      <c r="G1891" s="19">
        <v>5</v>
      </c>
      <c r="H1891" s="19" t="s">
        <v>427</v>
      </c>
      <c r="I1891" s="19" t="s">
        <v>246</v>
      </c>
      <c r="J1891" s="19" t="s">
        <v>217</v>
      </c>
      <c r="K1891" s="18">
        <v>46115.613506944443</v>
      </c>
    </row>
    <row r="1892" spans="1:11" x14ac:dyDescent="0.25">
      <c r="A1892" s="16" t="s">
        <v>2343</v>
      </c>
      <c r="B1892" s="20">
        <v>46112</v>
      </c>
      <c r="C1892" s="16">
        <v>3</v>
      </c>
      <c r="D1892" s="19" t="s">
        <v>33</v>
      </c>
      <c r="E1892" s="19" t="s">
        <v>453</v>
      </c>
      <c r="G1892" s="19">
        <v>2</v>
      </c>
      <c r="H1892" s="19" t="s">
        <v>215</v>
      </c>
      <c r="I1892" s="19" t="s">
        <v>246</v>
      </c>
      <c r="J1892" s="19" t="s">
        <v>217</v>
      </c>
      <c r="K1892" s="18">
        <v>46115.613692129627</v>
      </c>
    </row>
    <row r="1893" spans="1:11" x14ac:dyDescent="0.25">
      <c r="A1893" s="16" t="s">
        <v>2344</v>
      </c>
      <c r="B1893" s="20">
        <v>46112</v>
      </c>
      <c r="C1893" s="16">
        <v>3</v>
      </c>
      <c r="D1893" s="19" t="s">
        <v>33</v>
      </c>
      <c r="E1893" s="19" t="s">
        <v>453</v>
      </c>
      <c r="G1893" s="19">
        <v>11</v>
      </c>
      <c r="H1893" s="19" t="s">
        <v>215</v>
      </c>
      <c r="I1893" s="19" t="s">
        <v>216</v>
      </c>
      <c r="J1893" s="19" t="s">
        <v>217</v>
      </c>
      <c r="K1893" s="18">
        <v>46115.613726851851</v>
      </c>
    </row>
    <row r="1894" spans="1:11" x14ac:dyDescent="0.25">
      <c r="A1894" s="16" t="s">
        <v>2345</v>
      </c>
      <c r="B1894" s="20">
        <v>46112</v>
      </c>
      <c r="C1894" s="16">
        <v>3</v>
      </c>
      <c r="D1894" s="19" t="s">
        <v>33</v>
      </c>
      <c r="E1894" s="19" t="s">
        <v>453</v>
      </c>
      <c r="G1894" s="19">
        <v>9</v>
      </c>
      <c r="H1894" s="19" t="s">
        <v>427</v>
      </c>
      <c r="I1894" s="19" t="s">
        <v>216</v>
      </c>
      <c r="J1894" s="19" t="s">
        <v>217</v>
      </c>
      <c r="K1894" s="18">
        <v>46115.61377314815</v>
      </c>
    </row>
    <row r="1895" spans="1:11" x14ac:dyDescent="0.25">
      <c r="A1895" s="16" t="s">
        <v>2346</v>
      </c>
      <c r="B1895" s="20">
        <v>46107</v>
      </c>
      <c r="C1895" s="16">
        <v>3</v>
      </c>
      <c r="D1895" s="19" t="s">
        <v>35</v>
      </c>
      <c r="E1895" s="19" t="s">
        <v>453</v>
      </c>
      <c r="G1895" s="19">
        <v>14</v>
      </c>
      <c r="H1895" s="19" t="s">
        <v>215</v>
      </c>
      <c r="I1895" s="19" t="s">
        <v>216</v>
      </c>
      <c r="J1895" s="19" t="s">
        <v>217</v>
      </c>
      <c r="K1895" s="18">
        <v>46115.622997685183</v>
      </c>
    </row>
    <row r="1896" spans="1:11" x14ac:dyDescent="0.25">
      <c r="A1896" s="16" t="s">
        <v>2347</v>
      </c>
      <c r="B1896" s="20">
        <v>46107</v>
      </c>
      <c r="C1896" s="16">
        <v>3</v>
      </c>
      <c r="D1896" s="19" t="s">
        <v>35</v>
      </c>
      <c r="E1896" s="19" t="s">
        <v>453</v>
      </c>
      <c r="G1896" s="19">
        <v>25</v>
      </c>
      <c r="H1896" s="19" t="s">
        <v>215</v>
      </c>
      <c r="I1896" s="19" t="s">
        <v>216</v>
      </c>
      <c r="J1896" s="19" t="s">
        <v>217</v>
      </c>
      <c r="K1896" s="18">
        <v>46115.623032407406</v>
      </c>
    </row>
    <row r="1897" spans="1:11" x14ac:dyDescent="0.25">
      <c r="A1897" s="16" t="s">
        <v>2348</v>
      </c>
      <c r="B1897" s="20">
        <v>46107</v>
      </c>
      <c r="C1897" s="16">
        <v>3</v>
      </c>
      <c r="D1897" s="19" t="s">
        <v>35</v>
      </c>
      <c r="E1897" s="19" t="s">
        <v>453</v>
      </c>
      <c r="G1897" s="19">
        <v>37</v>
      </c>
      <c r="H1897" s="19" t="s">
        <v>215</v>
      </c>
      <c r="I1897" s="19" t="s">
        <v>216</v>
      </c>
      <c r="J1897" s="19" t="s">
        <v>217</v>
      </c>
      <c r="K1897" s="18">
        <v>46115.623055555552</v>
      </c>
    </row>
    <row r="1898" spans="1:11" x14ac:dyDescent="0.25">
      <c r="A1898" s="16" t="s">
        <v>2349</v>
      </c>
      <c r="B1898" s="20">
        <v>46108</v>
      </c>
      <c r="C1898" s="16">
        <v>3</v>
      </c>
      <c r="D1898" s="19" t="s">
        <v>35</v>
      </c>
      <c r="E1898" s="19" t="s">
        <v>453</v>
      </c>
      <c r="G1898" s="19">
        <v>42</v>
      </c>
      <c r="H1898" s="19" t="s">
        <v>215</v>
      </c>
      <c r="I1898" s="19" t="s">
        <v>216</v>
      </c>
      <c r="J1898" s="19" t="s">
        <v>217</v>
      </c>
      <c r="K1898" s="18">
        <v>46115.623159722221</v>
      </c>
    </row>
    <row r="1899" spans="1:11" x14ac:dyDescent="0.25">
      <c r="A1899" s="16" t="s">
        <v>2350</v>
      </c>
      <c r="B1899" s="20">
        <v>46111</v>
      </c>
      <c r="C1899" s="16">
        <v>3</v>
      </c>
      <c r="D1899" s="19" t="s">
        <v>35</v>
      </c>
      <c r="E1899" s="19" t="s">
        <v>453</v>
      </c>
      <c r="G1899" s="19">
        <v>36</v>
      </c>
      <c r="H1899" s="19" t="s">
        <v>215</v>
      </c>
      <c r="I1899" s="19" t="s">
        <v>216</v>
      </c>
      <c r="J1899" s="19" t="s">
        <v>217</v>
      </c>
      <c r="K1899" s="18">
        <v>46115.623414351852</v>
      </c>
    </row>
    <row r="1900" spans="1:11" x14ac:dyDescent="0.25">
      <c r="A1900" s="16" t="s">
        <v>2351</v>
      </c>
      <c r="B1900" s="20">
        <v>46111</v>
      </c>
      <c r="C1900" s="16">
        <v>3</v>
      </c>
      <c r="D1900" s="19" t="s">
        <v>35</v>
      </c>
      <c r="E1900" s="19" t="s">
        <v>453</v>
      </c>
      <c r="G1900" s="19">
        <v>25</v>
      </c>
      <c r="H1900" s="19" t="s">
        <v>215</v>
      </c>
      <c r="I1900" s="19" t="s">
        <v>216</v>
      </c>
      <c r="J1900" s="19" t="s">
        <v>217</v>
      </c>
      <c r="K1900" s="18">
        <v>46115.623437499999</v>
      </c>
    </row>
    <row r="1901" spans="1:11" x14ac:dyDescent="0.25">
      <c r="A1901" s="16" t="s">
        <v>2352</v>
      </c>
      <c r="B1901" s="20">
        <v>46111</v>
      </c>
      <c r="C1901" s="16">
        <v>3</v>
      </c>
      <c r="D1901" s="19" t="s">
        <v>35</v>
      </c>
      <c r="E1901" s="19" t="s">
        <v>453</v>
      </c>
      <c r="G1901" s="19">
        <v>22</v>
      </c>
      <c r="H1901" s="19" t="s">
        <v>215</v>
      </c>
      <c r="I1901" s="19" t="s">
        <v>216</v>
      </c>
      <c r="J1901" s="19" t="s">
        <v>217</v>
      </c>
      <c r="K1901" s="18">
        <v>46115.623437499999</v>
      </c>
    </row>
    <row r="1902" spans="1:11" x14ac:dyDescent="0.25">
      <c r="A1902" s="16" t="s">
        <v>2353</v>
      </c>
      <c r="B1902" s="20">
        <v>46112</v>
      </c>
      <c r="C1902" s="16">
        <v>3</v>
      </c>
      <c r="D1902" s="19" t="s">
        <v>35</v>
      </c>
      <c r="E1902" s="19" t="s">
        <v>453</v>
      </c>
      <c r="G1902" s="19">
        <v>35</v>
      </c>
      <c r="H1902" s="19" t="s">
        <v>215</v>
      </c>
      <c r="I1902" s="19" t="s">
        <v>216</v>
      </c>
      <c r="J1902" s="19" t="s">
        <v>217</v>
      </c>
      <c r="K1902" s="18">
        <v>46115.623564814814</v>
      </c>
    </row>
    <row r="1903" spans="1:11" x14ac:dyDescent="0.25">
      <c r="A1903" s="16" t="s">
        <v>2354</v>
      </c>
      <c r="B1903" s="20">
        <v>46112</v>
      </c>
      <c r="C1903" s="16">
        <v>3</v>
      </c>
      <c r="D1903" s="19" t="s">
        <v>35</v>
      </c>
      <c r="E1903" s="19" t="s">
        <v>453</v>
      </c>
      <c r="G1903" s="19">
        <v>36</v>
      </c>
      <c r="H1903" s="19" t="s">
        <v>215</v>
      </c>
      <c r="I1903" s="19" t="s">
        <v>216</v>
      </c>
      <c r="J1903" s="19" t="s">
        <v>217</v>
      </c>
      <c r="K1903" s="18">
        <v>46115.623576388891</v>
      </c>
    </row>
    <row r="1904" spans="1:11" x14ac:dyDescent="0.25">
      <c r="A1904" s="16" t="s">
        <v>2355</v>
      </c>
      <c r="B1904" s="20">
        <v>46112</v>
      </c>
      <c r="C1904" s="16">
        <v>3</v>
      </c>
      <c r="D1904" s="19" t="s">
        <v>35</v>
      </c>
      <c r="E1904" s="19" t="s">
        <v>453</v>
      </c>
      <c r="G1904" s="19">
        <v>26</v>
      </c>
      <c r="H1904" s="19" t="s">
        <v>215</v>
      </c>
      <c r="I1904" s="19" t="s">
        <v>216</v>
      </c>
      <c r="J1904" s="19" t="s">
        <v>217</v>
      </c>
      <c r="K1904" s="18">
        <v>46115.62358796296</v>
      </c>
    </row>
    <row r="1905" spans="1:11" x14ac:dyDescent="0.25">
      <c r="A1905" s="16" t="s">
        <v>2356</v>
      </c>
      <c r="B1905" s="20">
        <v>46105</v>
      </c>
      <c r="C1905" s="16">
        <v>3</v>
      </c>
      <c r="D1905" s="19" t="s">
        <v>37</v>
      </c>
      <c r="E1905" s="19" t="s">
        <v>453</v>
      </c>
      <c r="G1905" s="19">
        <v>30</v>
      </c>
      <c r="H1905" s="19" t="s">
        <v>215</v>
      </c>
      <c r="I1905" s="19" t="s">
        <v>216</v>
      </c>
      <c r="J1905" s="19" t="s">
        <v>217</v>
      </c>
      <c r="K1905" s="18">
        <v>46115.624780092592</v>
      </c>
    </row>
    <row r="1906" spans="1:11" x14ac:dyDescent="0.25">
      <c r="A1906" s="16" t="s">
        <v>2357</v>
      </c>
      <c r="B1906" s="20">
        <v>46105</v>
      </c>
      <c r="C1906" s="16">
        <v>3</v>
      </c>
      <c r="D1906" s="19" t="s">
        <v>37</v>
      </c>
      <c r="E1906" s="19" t="s">
        <v>453</v>
      </c>
      <c r="G1906" s="19">
        <v>26</v>
      </c>
      <c r="H1906" s="19" t="s">
        <v>215</v>
      </c>
      <c r="I1906" s="19" t="s">
        <v>216</v>
      </c>
      <c r="J1906" s="19" t="s">
        <v>217</v>
      </c>
      <c r="K1906" s="18">
        <v>46115.624826388892</v>
      </c>
    </row>
    <row r="1907" spans="1:11" x14ac:dyDescent="0.25">
      <c r="A1907" s="16" t="s">
        <v>2358</v>
      </c>
      <c r="B1907" s="20">
        <v>46105</v>
      </c>
      <c r="C1907" s="16">
        <v>3</v>
      </c>
      <c r="D1907" s="19" t="s">
        <v>37</v>
      </c>
      <c r="E1907" s="19" t="s">
        <v>453</v>
      </c>
      <c r="G1907" s="19">
        <v>32</v>
      </c>
      <c r="H1907" s="19" t="s">
        <v>215</v>
      </c>
      <c r="I1907" s="19" t="s">
        <v>216</v>
      </c>
      <c r="J1907" s="19" t="s">
        <v>217</v>
      </c>
      <c r="K1907" s="18">
        <v>46115.624849537038</v>
      </c>
    </row>
    <row r="1908" spans="1:11" x14ac:dyDescent="0.25">
      <c r="A1908" s="16" t="s">
        <v>2359</v>
      </c>
      <c r="B1908" s="20">
        <v>46105</v>
      </c>
      <c r="C1908" s="16">
        <v>3</v>
      </c>
      <c r="D1908" s="19" t="s">
        <v>37</v>
      </c>
      <c r="E1908" s="19" t="s">
        <v>453</v>
      </c>
      <c r="G1908" s="19">
        <v>25</v>
      </c>
      <c r="H1908" s="19" t="s">
        <v>215</v>
      </c>
      <c r="I1908" s="19" t="s">
        <v>216</v>
      </c>
      <c r="J1908" s="19" t="s">
        <v>217</v>
      </c>
      <c r="K1908" s="18">
        <v>46115.624884259261</v>
      </c>
    </row>
    <row r="1909" spans="1:11" x14ac:dyDescent="0.25">
      <c r="A1909" s="16" t="s">
        <v>2360</v>
      </c>
      <c r="B1909" s="20">
        <v>46105</v>
      </c>
      <c r="C1909" s="16">
        <v>3</v>
      </c>
      <c r="D1909" s="19" t="s">
        <v>37</v>
      </c>
      <c r="E1909" s="19" t="s">
        <v>453</v>
      </c>
      <c r="G1909" s="19">
        <v>23</v>
      </c>
      <c r="H1909" s="19" t="s">
        <v>215</v>
      </c>
      <c r="I1909" s="19" t="s">
        <v>216</v>
      </c>
      <c r="J1909" s="19" t="s">
        <v>217</v>
      </c>
      <c r="K1909" s="18">
        <v>46115.624895833331</v>
      </c>
    </row>
    <row r="1910" spans="1:11" x14ac:dyDescent="0.25">
      <c r="A1910" s="16" t="s">
        <v>2361</v>
      </c>
      <c r="B1910" s="20">
        <v>46105</v>
      </c>
      <c r="C1910" s="16">
        <v>3</v>
      </c>
      <c r="D1910" s="19" t="s">
        <v>37</v>
      </c>
      <c r="E1910" s="19" t="s">
        <v>453</v>
      </c>
      <c r="G1910" s="19">
        <v>24</v>
      </c>
      <c r="H1910" s="19" t="s">
        <v>215</v>
      </c>
      <c r="I1910" s="19" t="s">
        <v>216</v>
      </c>
      <c r="J1910" s="19" t="s">
        <v>217</v>
      </c>
      <c r="K1910" s="18">
        <v>46115.624895833331</v>
      </c>
    </row>
    <row r="1911" spans="1:11" x14ac:dyDescent="0.25">
      <c r="A1911" s="16" t="s">
        <v>2362</v>
      </c>
      <c r="B1911" s="20">
        <v>46105</v>
      </c>
      <c r="C1911" s="16">
        <v>3</v>
      </c>
      <c r="D1911" s="19" t="s">
        <v>37</v>
      </c>
      <c r="E1911" s="19" t="s">
        <v>453</v>
      </c>
      <c r="G1911" s="19">
        <v>21</v>
      </c>
      <c r="H1911" s="19" t="s">
        <v>215</v>
      </c>
      <c r="I1911" s="19" t="s">
        <v>216</v>
      </c>
      <c r="J1911" s="19" t="s">
        <v>217</v>
      </c>
      <c r="K1911" s="18">
        <v>46115.624930555554</v>
      </c>
    </row>
    <row r="1912" spans="1:11" x14ac:dyDescent="0.25">
      <c r="A1912" s="16" t="s">
        <v>2363</v>
      </c>
      <c r="B1912" s="20">
        <v>46106</v>
      </c>
      <c r="C1912" s="16">
        <v>3</v>
      </c>
      <c r="D1912" s="19" t="s">
        <v>37</v>
      </c>
      <c r="E1912" s="19" t="s">
        <v>453</v>
      </c>
      <c r="G1912" s="19">
        <v>22</v>
      </c>
      <c r="H1912" s="19" t="s">
        <v>215</v>
      </c>
      <c r="I1912" s="19" t="s">
        <v>216</v>
      </c>
      <c r="J1912" s="19" t="s">
        <v>217</v>
      </c>
      <c r="K1912" s="18">
        <v>46115.625057870369</v>
      </c>
    </row>
    <row r="1913" spans="1:11" x14ac:dyDescent="0.25">
      <c r="A1913" s="16" t="s">
        <v>2364</v>
      </c>
      <c r="B1913" s="20">
        <v>46106</v>
      </c>
      <c r="C1913" s="16">
        <v>3</v>
      </c>
      <c r="D1913" s="19" t="s">
        <v>37</v>
      </c>
      <c r="E1913" s="19" t="s">
        <v>453</v>
      </c>
      <c r="G1913" s="19">
        <v>33</v>
      </c>
      <c r="H1913" s="19" t="s">
        <v>215</v>
      </c>
      <c r="I1913" s="19" t="s">
        <v>216</v>
      </c>
      <c r="J1913" s="19" t="s">
        <v>217</v>
      </c>
      <c r="K1913" s="18">
        <v>46115.625104166669</v>
      </c>
    </row>
    <row r="1914" spans="1:11" x14ac:dyDescent="0.25">
      <c r="A1914" s="16" t="s">
        <v>2365</v>
      </c>
      <c r="B1914" s="20">
        <v>46106</v>
      </c>
      <c r="C1914" s="16">
        <v>3</v>
      </c>
      <c r="D1914" s="19" t="s">
        <v>37</v>
      </c>
      <c r="E1914" s="19" t="s">
        <v>453</v>
      </c>
      <c r="G1914" s="19">
        <v>25</v>
      </c>
      <c r="H1914" s="19" t="s">
        <v>215</v>
      </c>
      <c r="I1914" s="19" t="s">
        <v>216</v>
      </c>
      <c r="J1914" s="19" t="s">
        <v>217</v>
      </c>
      <c r="K1914" s="18">
        <v>46115.625115740739</v>
      </c>
    </row>
    <row r="1915" spans="1:11" x14ac:dyDescent="0.25">
      <c r="A1915" s="16" t="s">
        <v>2366</v>
      </c>
      <c r="B1915" s="20">
        <v>46106</v>
      </c>
      <c r="C1915" s="16">
        <v>3</v>
      </c>
      <c r="D1915" s="19" t="s">
        <v>37</v>
      </c>
      <c r="E1915" s="19" t="s">
        <v>453</v>
      </c>
      <c r="G1915" s="19">
        <v>26</v>
      </c>
      <c r="H1915" s="19" t="s">
        <v>215</v>
      </c>
      <c r="I1915" s="19" t="s">
        <v>216</v>
      </c>
      <c r="J1915" s="19" t="s">
        <v>217</v>
      </c>
      <c r="K1915" s="18">
        <v>46115.625138888892</v>
      </c>
    </row>
    <row r="1916" spans="1:11" x14ac:dyDescent="0.25">
      <c r="A1916" s="16" t="s">
        <v>2367</v>
      </c>
      <c r="B1916" s="20">
        <v>46106</v>
      </c>
      <c r="C1916" s="16">
        <v>3</v>
      </c>
      <c r="D1916" s="19" t="s">
        <v>37</v>
      </c>
      <c r="E1916" s="19" t="s">
        <v>453</v>
      </c>
      <c r="G1916" s="19">
        <v>33</v>
      </c>
      <c r="H1916" s="19" t="s">
        <v>215</v>
      </c>
      <c r="I1916" s="19" t="s">
        <v>216</v>
      </c>
      <c r="J1916" s="19" t="s">
        <v>217</v>
      </c>
      <c r="K1916" s="18">
        <v>46115.625162037039</v>
      </c>
    </row>
    <row r="1917" spans="1:11" x14ac:dyDescent="0.25">
      <c r="A1917" s="16" t="s">
        <v>2368</v>
      </c>
      <c r="B1917" s="20">
        <v>46106</v>
      </c>
      <c r="C1917" s="16">
        <v>3</v>
      </c>
      <c r="D1917" s="19" t="s">
        <v>37</v>
      </c>
      <c r="E1917" s="19" t="s">
        <v>453</v>
      </c>
      <c r="G1917" s="19">
        <v>30</v>
      </c>
      <c r="H1917" s="19" t="s">
        <v>215</v>
      </c>
      <c r="I1917" s="19" t="s">
        <v>216</v>
      </c>
      <c r="J1917" s="19" t="s">
        <v>217</v>
      </c>
      <c r="K1917" s="18">
        <v>46115.625173611108</v>
      </c>
    </row>
    <row r="1918" spans="1:11" x14ac:dyDescent="0.25">
      <c r="A1918" s="16" t="s">
        <v>2369</v>
      </c>
      <c r="B1918" s="20">
        <v>46106</v>
      </c>
      <c r="C1918" s="16">
        <v>3</v>
      </c>
      <c r="D1918" s="19" t="s">
        <v>37</v>
      </c>
      <c r="E1918" s="19" t="s">
        <v>453</v>
      </c>
      <c r="G1918" s="19">
        <v>19</v>
      </c>
      <c r="H1918" s="19" t="s">
        <v>215</v>
      </c>
      <c r="I1918" s="19" t="s">
        <v>216</v>
      </c>
      <c r="J1918" s="19" t="s">
        <v>217</v>
      </c>
      <c r="K1918" s="18">
        <v>46115.625185185185</v>
      </c>
    </row>
    <row r="1919" spans="1:11" x14ac:dyDescent="0.25">
      <c r="A1919" s="16" t="s">
        <v>2370</v>
      </c>
      <c r="B1919" s="20">
        <v>46106</v>
      </c>
      <c r="C1919" s="16">
        <v>3</v>
      </c>
      <c r="D1919" s="19" t="s">
        <v>37</v>
      </c>
      <c r="E1919" s="19" t="s">
        <v>453</v>
      </c>
      <c r="G1919" s="19">
        <v>25</v>
      </c>
      <c r="H1919" s="19" t="s">
        <v>215</v>
      </c>
      <c r="I1919" s="19" t="s">
        <v>216</v>
      </c>
      <c r="J1919" s="19" t="s">
        <v>217</v>
      </c>
      <c r="K1919" s="18">
        <v>46115.625208333331</v>
      </c>
    </row>
    <row r="1920" spans="1:11" x14ac:dyDescent="0.25">
      <c r="A1920" s="16" t="s">
        <v>2371</v>
      </c>
      <c r="B1920" s="20">
        <v>46106</v>
      </c>
      <c r="C1920" s="16">
        <v>3</v>
      </c>
      <c r="D1920" s="19" t="s">
        <v>37</v>
      </c>
      <c r="E1920" s="19" t="s">
        <v>453</v>
      </c>
      <c r="G1920" s="19">
        <v>34</v>
      </c>
      <c r="H1920" s="19" t="s">
        <v>215</v>
      </c>
      <c r="I1920" s="19" t="s">
        <v>216</v>
      </c>
      <c r="J1920" s="19" t="s">
        <v>217</v>
      </c>
      <c r="K1920" s="18">
        <v>46115.625208333331</v>
      </c>
    </row>
    <row r="1921" spans="1:11" x14ac:dyDescent="0.25">
      <c r="A1921" s="16" t="s">
        <v>2372</v>
      </c>
      <c r="B1921" s="20">
        <v>46107</v>
      </c>
      <c r="C1921" s="16">
        <v>3</v>
      </c>
      <c r="D1921" s="19" t="s">
        <v>37</v>
      </c>
      <c r="E1921" s="19" t="s">
        <v>453</v>
      </c>
      <c r="G1921" s="19">
        <v>29</v>
      </c>
      <c r="H1921" s="19" t="s">
        <v>215</v>
      </c>
      <c r="I1921" s="19" t="s">
        <v>216</v>
      </c>
      <c r="J1921" s="19" t="s">
        <v>217</v>
      </c>
      <c r="K1921" s="18">
        <v>46115.625324074077</v>
      </c>
    </row>
    <row r="1922" spans="1:11" x14ac:dyDescent="0.25">
      <c r="A1922" s="16" t="s">
        <v>2373</v>
      </c>
      <c r="B1922" s="20">
        <v>46107</v>
      </c>
      <c r="C1922" s="16">
        <v>3</v>
      </c>
      <c r="D1922" s="19" t="s">
        <v>37</v>
      </c>
      <c r="E1922" s="19" t="s">
        <v>453</v>
      </c>
      <c r="G1922" s="19">
        <v>30</v>
      </c>
      <c r="H1922" s="19" t="s">
        <v>215</v>
      </c>
      <c r="I1922" s="19" t="s">
        <v>216</v>
      </c>
      <c r="J1922" s="19" t="s">
        <v>217</v>
      </c>
      <c r="K1922" s="18">
        <v>46115.625335648147</v>
      </c>
    </row>
    <row r="1923" spans="1:11" x14ac:dyDescent="0.25">
      <c r="A1923" s="16" t="s">
        <v>2374</v>
      </c>
      <c r="B1923" s="20">
        <v>46107</v>
      </c>
      <c r="C1923" s="16">
        <v>3</v>
      </c>
      <c r="D1923" s="19" t="s">
        <v>37</v>
      </c>
      <c r="E1923" s="19" t="s">
        <v>453</v>
      </c>
      <c r="G1923" s="19">
        <v>30</v>
      </c>
      <c r="H1923" s="19" t="s">
        <v>215</v>
      </c>
      <c r="I1923" s="19" t="s">
        <v>216</v>
      </c>
      <c r="J1923" s="19" t="s">
        <v>217</v>
      </c>
      <c r="K1923" s="18">
        <v>46115.625347222223</v>
      </c>
    </row>
    <row r="1924" spans="1:11" x14ac:dyDescent="0.25">
      <c r="A1924" s="16" t="s">
        <v>2375</v>
      </c>
      <c r="B1924" s="20">
        <v>46107</v>
      </c>
      <c r="C1924" s="16">
        <v>3</v>
      </c>
      <c r="D1924" s="19" t="s">
        <v>37</v>
      </c>
      <c r="E1924" s="19" t="s">
        <v>453</v>
      </c>
      <c r="G1924" s="19">
        <v>20</v>
      </c>
      <c r="H1924" s="19" t="s">
        <v>215</v>
      </c>
      <c r="I1924" s="19" t="s">
        <v>216</v>
      </c>
      <c r="J1924" s="19" t="s">
        <v>217</v>
      </c>
      <c r="K1924" s="18">
        <v>46115.625358796293</v>
      </c>
    </row>
    <row r="1925" spans="1:11" x14ac:dyDescent="0.25">
      <c r="A1925" s="16" t="s">
        <v>2376</v>
      </c>
      <c r="B1925" s="20">
        <v>46107</v>
      </c>
      <c r="C1925" s="16">
        <v>3</v>
      </c>
      <c r="D1925" s="19" t="s">
        <v>37</v>
      </c>
      <c r="E1925" s="19" t="s">
        <v>453</v>
      </c>
      <c r="G1925" s="19">
        <v>23</v>
      </c>
      <c r="H1925" s="19" t="s">
        <v>215</v>
      </c>
      <c r="I1925" s="19" t="s">
        <v>216</v>
      </c>
      <c r="J1925" s="19" t="s">
        <v>217</v>
      </c>
      <c r="K1925" s="18">
        <v>46115.625393518516</v>
      </c>
    </row>
    <row r="1926" spans="1:11" x14ac:dyDescent="0.25">
      <c r="A1926" s="16" t="s">
        <v>2377</v>
      </c>
      <c r="B1926" s="20">
        <v>46107</v>
      </c>
      <c r="C1926" s="16">
        <v>3</v>
      </c>
      <c r="D1926" s="19" t="s">
        <v>37</v>
      </c>
      <c r="E1926" s="19" t="s">
        <v>453</v>
      </c>
      <c r="G1926" s="19">
        <v>25</v>
      </c>
      <c r="H1926" s="19" t="s">
        <v>215</v>
      </c>
      <c r="I1926" s="19" t="s">
        <v>216</v>
      </c>
      <c r="J1926" s="19" t="s">
        <v>217</v>
      </c>
      <c r="K1926" s="18">
        <v>46115.625451388885</v>
      </c>
    </row>
    <row r="1927" spans="1:11" x14ac:dyDescent="0.25">
      <c r="A1927" s="16" t="s">
        <v>2378</v>
      </c>
      <c r="B1927" s="20">
        <v>46107</v>
      </c>
      <c r="C1927" s="16">
        <v>3</v>
      </c>
      <c r="D1927" s="19" t="s">
        <v>37</v>
      </c>
      <c r="E1927" s="19" t="s">
        <v>453</v>
      </c>
      <c r="G1927" s="19">
        <v>33</v>
      </c>
      <c r="H1927" s="19" t="s">
        <v>215</v>
      </c>
      <c r="I1927" s="19" t="s">
        <v>216</v>
      </c>
      <c r="J1927" s="19" t="s">
        <v>217</v>
      </c>
      <c r="K1927" s="18">
        <v>46115.625462962962</v>
      </c>
    </row>
    <row r="1928" spans="1:11" x14ac:dyDescent="0.25">
      <c r="A1928" s="16" t="s">
        <v>2379</v>
      </c>
      <c r="B1928" s="20">
        <v>46107</v>
      </c>
      <c r="C1928" s="16">
        <v>3</v>
      </c>
      <c r="D1928" s="19" t="s">
        <v>37</v>
      </c>
      <c r="E1928" s="19" t="s">
        <v>453</v>
      </c>
      <c r="G1928" s="19">
        <v>30</v>
      </c>
      <c r="H1928" s="19" t="s">
        <v>215</v>
      </c>
      <c r="I1928" s="19" t="s">
        <v>216</v>
      </c>
      <c r="J1928" s="19" t="s">
        <v>217</v>
      </c>
      <c r="K1928" s="18">
        <v>46115.625462962962</v>
      </c>
    </row>
    <row r="1929" spans="1:11" x14ac:dyDescent="0.25">
      <c r="A1929" s="16" t="s">
        <v>2380</v>
      </c>
      <c r="B1929" s="20">
        <v>46107</v>
      </c>
      <c r="C1929" s="16">
        <v>3</v>
      </c>
      <c r="D1929" s="19" t="s">
        <v>37</v>
      </c>
      <c r="E1929" s="19" t="s">
        <v>453</v>
      </c>
      <c r="G1929" s="19">
        <v>30</v>
      </c>
      <c r="H1929" s="19" t="s">
        <v>215</v>
      </c>
      <c r="I1929" s="19" t="s">
        <v>216</v>
      </c>
      <c r="J1929" s="19" t="s">
        <v>217</v>
      </c>
      <c r="K1929" s="18">
        <v>46115.625474537039</v>
      </c>
    </row>
    <row r="1930" spans="1:11" x14ac:dyDescent="0.25">
      <c r="A1930" s="16" t="s">
        <v>2381</v>
      </c>
      <c r="B1930" s="20">
        <v>46107</v>
      </c>
      <c r="C1930" s="16">
        <v>3</v>
      </c>
      <c r="D1930" s="19" t="s">
        <v>37</v>
      </c>
      <c r="E1930" s="19" t="s">
        <v>453</v>
      </c>
      <c r="G1930" s="19">
        <v>18</v>
      </c>
      <c r="H1930" s="19" t="s">
        <v>215</v>
      </c>
      <c r="I1930" s="19" t="s">
        <v>216</v>
      </c>
      <c r="J1930" s="19" t="s">
        <v>217</v>
      </c>
      <c r="K1930" s="18">
        <v>46115.625509259262</v>
      </c>
    </row>
    <row r="1931" spans="1:11" x14ac:dyDescent="0.25">
      <c r="A1931" s="16" t="s">
        <v>2382</v>
      </c>
      <c r="B1931" s="20">
        <v>46108</v>
      </c>
      <c r="C1931" s="16">
        <v>3</v>
      </c>
      <c r="D1931" s="19" t="s">
        <v>37</v>
      </c>
      <c r="E1931" s="19" t="s">
        <v>453</v>
      </c>
      <c r="G1931" s="19">
        <v>24</v>
      </c>
      <c r="H1931" s="19" t="s">
        <v>215</v>
      </c>
      <c r="I1931" s="19" t="s">
        <v>216</v>
      </c>
      <c r="J1931" s="19" t="s">
        <v>217</v>
      </c>
      <c r="K1931" s="18">
        <v>46115.625613425924</v>
      </c>
    </row>
    <row r="1932" spans="1:11" x14ac:dyDescent="0.25">
      <c r="A1932" s="16" t="s">
        <v>2383</v>
      </c>
      <c r="B1932" s="20">
        <v>46108</v>
      </c>
      <c r="C1932" s="16">
        <v>3</v>
      </c>
      <c r="D1932" s="19" t="s">
        <v>37</v>
      </c>
      <c r="E1932" s="19" t="s">
        <v>453</v>
      </c>
      <c r="G1932" s="19">
        <v>26</v>
      </c>
      <c r="H1932" s="19" t="s">
        <v>215</v>
      </c>
      <c r="I1932" s="19" t="s">
        <v>216</v>
      </c>
      <c r="J1932" s="19" t="s">
        <v>217</v>
      </c>
      <c r="K1932" s="18">
        <v>46115.625625000001</v>
      </c>
    </row>
    <row r="1933" spans="1:11" x14ac:dyDescent="0.25">
      <c r="A1933" s="16" t="s">
        <v>2384</v>
      </c>
      <c r="B1933" s="20">
        <v>46108</v>
      </c>
      <c r="C1933" s="16">
        <v>3</v>
      </c>
      <c r="D1933" s="19" t="s">
        <v>37</v>
      </c>
      <c r="E1933" s="19" t="s">
        <v>453</v>
      </c>
      <c r="G1933" s="19">
        <v>25</v>
      </c>
      <c r="H1933" s="19" t="s">
        <v>215</v>
      </c>
      <c r="I1933" s="19" t="s">
        <v>216</v>
      </c>
      <c r="J1933" s="19" t="s">
        <v>217</v>
      </c>
      <c r="K1933" s="18">
        <v>46115.625636574077</v>
      </c>
    </row>
    <row r="1934" spans="1:11" x14ac:dyDescent="0.25">
      <c r="A1934" s="16" t="s">
        <v>2385</v>
      </c>
      <c r="B1934" s="20">
        <v>46109</v>
      </c>
      <c r="C1934" s="16">
        <v>3</v>
      </c>
      <c r="D1934" s="19" t="s">
        <v>37</v>
      </c>
      <c r="E1934" s="19" t="s">
        <v>453</v>
      </c>
      <c r="G1934" s="19">
        <v>25</v>
      </c>
      <c r="H1934" s="19" t="s">
        <v>215</v>
      </c>
      <c r="I1934" s="19" t="s">
        <v>216</v>
      </c>
      <c r="J1934" s="19" t="s">
        <v>217</v>
      </c>
      <c r="K1934" s="18">
        <v>46115.625740740739</v>
      </c>
    </row>
    <row r="1935" spans="1:11" x14ac:dyDescent="0.25">
      <c r="A1935" s="16" t="s">
        <v>2386</v>
      </c>
      <c r="B1935" s="20">
        <v>46109</v>
      </c>
      <c r="C1935" s="16">
        <v>3</v>
      </c>
      <c r="D1935" s="19" t="s">
        <v>37</v>
      </c>
      <c r="E1935" s="19" t="s">
        <v>453</v>
      </c>
      <c r="G1935" s="19">
        <v>26</v>
      </c>
      <c r="H1935" s="19" t="s">
        <v>215</v>
      </c>
      <c r="I1935" s="19" t="s">
        <v>216</v>
      </c>
      <c r="J1935" s="19" t="s">
        <v>217</v>
      </c>
      <c r="K1935" s="18">
        <v>46115.625752314816</v>
      </c>
    </row>
    <row r="1936" spans="1:11" x14ac:dyDescent="0.25">
      <c r="A1936" s="16" t="s">
        <v>2387</v>
      </c>
      <c r="B1936" s="20">
        <v>46109</v>
      </c>
      <c r="C1936" s="16">
        <v>3</v>
      </c>
      <c r="D1936" s="19" t="s">
        <v>37</v>
      </c>
      <c r="E1936" s="19" t="s">
        <v>453</v>
      </c>
      <c r="G1936" s="19">
        <v>31</v>
      </c>
      <c r="H1936" s="19" t="s">
        <v>215</v>
      </c>
      <c r="I1936" s="19" t="s">
        <v>216</v>
      </c>
      <c r="J1936" s="19" t="s">
        <v>217</v>
      </c>
      <c r="K1936" s="18">
        <v>46115.625763888886</v>
      </c>
    </row>
    <row r="1937" spans="1:11" x14ac:dyDescent="0.25">
      <c r="A1937" s="16" t="s">
        <v>2388</v>
      </c>
      <c r="B1937" s="20">
        <v>46109</v>
      </c>
      <c r="C1937" s="16">
        <v>3</v>
      </c>
      <c r="D1937" s="19" t="s">
        <v>37</v>
      </c>
      <c r="E1937" s="19" t="s">
        <v>453</v>
      </c>
      <c r="G1937" s="19">
        <v>29</v>
      </c>
      <c r="H1937" s="19" t="s">
        <v>215</v>
      </c>
      <c r="I1937" s="19" t="s">
        <v>216</v>
      </c>
      <c r="J1937" s="19" t="s">
        <v>217</v>
      </c>
      <c r="K1937" s="18">
        <v>46115.625775462962</v>
      </c>
    </row>
    <row r="1938" spans="1:11" x14ac:dyDescent="0.25">
      <c r="A1938" s="16" t="s">
        <v>2389</v>
      </c>
      <c r="B1938" s="20">
        <v>46109</v>
      </c>
      <c r="C1938" s="16">
        <v>3</v>
      </c>
      <c r="D1938" s="19" t="s">
        <v>37</v>
      </c>
      <c r="E1938" s="19" t="s">
        <v>453</v>
      </c>
      <c r="G1938" s="19">
        <v>21</v>
      </c>
      <c r="H1938" s="19" t="s">
        <v>215</v>
      </c>
      <c r="I1938" s="19" t="s">
        <v>216</v>
      </c>
      <c r="J1938" s="19" t="s">
        <v>217</v>
      </c>
      <c r="K1938" s="18">
        <v>46115.625798611109</v>
      </c>
    </row>
    <row r="1939" spans="1:11" x14ac:dyDescent="0.25">
      <c r="A1939" s="16" t="s">
        <v>2390</v>
      </c>
      <c r="B1939" s="20">
        <v>46110</v>
      </c>
      <c r="C1939" s="16">
        <v>3</v>
      </c>
      <c r="D1939" s="19" t="s">
        <v>37</v>
      </c>
      <c r="E1939" s="19" t="s">
        <v>453</v>
      </c>
      <c r="G1939" s="19">
        <v>28</v>
      </c>
      <c r="H1939" s="19" t="s">
        <v>215</v>
      </c>
      <c r="I1939" s="19" t="s">
        <v>216</v>
      </c>
      <c r="J1939" s="19" t="s">
        <v>217</v>
      </c>
      <c r="K1939" s="18">
        <v>46115.625925925924</v>
      </c>
    </row>
    <row r="1940" spans="1:11" x14ac:dyDescent="0.25">
      <c r="A1940" s="16" t="s">
        <v>2391</v>
      </c>
      <c r="B1940" s="20">
        <v>46110</v>
      </c>
      <c r="C1940" s="16">
        <v>3</v>
      </c>
      <c r="D1940" s="19" t="s">
        <v>37</v>
      </c>
      <c r="E1940" s="19" t="s">
        <v>453</v>
      </c>
      <c r="G1940" s="19">
        <v>30</v>
      </c>
      <c r="H1940" s="19" t="s">
        <v>215</v>
      </c>
      <c r="I1940" s="19" t="s">
        <v>216</v>
      </c>
      <c r="J1940" s="19" t="s">
        <v>217</v>
      </c>
      <c r="K1940" s="18">
        <v>46115.625925925924</v>
      </c>
    </row>
    <row r="1941" spans="1:11" x14ac:dyDescent="0.25">
      <c r="A1941" s="16" t="s">
        <v>2392</v>
      </c>
      <c r="B1941" s="20">
        <v>46110</v>
      </c>
      <c r="C1941" s="16">
        <v>3</v>
      </c>
      <c r="D1941" s="19" t="s">
        <v>37</v>
      </c>
      <c r="E1941" s="19" t="s">
        <v>453</v>
      </c>
      <c r="G1941" s="19">
        <v>19</v>
      </c>
      <c r="H1941" s="19" t="s">
        <v>215</v>
      </c>
      <c r="I1941" s="19" t="s">
        <v>216</v>
      </c>
      <c r="J1941" s="19" t="s">
        <v>217</v>
      </c>
      <c r="K1941" s="18">
        <v>46115.625937500001</v>
      </c>
    </row>
    <row r="1942" spans="1:11" x14ac:dyDescent="0.25">
      <c r="A1942" s="16" t="s">
        <v>2393</v>
      </c>
      <c r="B1942" s="20">
        <v>46111</v>
      </c>
      <c r="C1942" s="16">
        <v>3</v>
      </c>
      <c r="D1942" s="19" t="s">
        <v>37</v>
      </c>
      <c r="E1942" s="19" t="s">
        <v>453</v>
      </c>
      <c r="G1942" s="19">
        <v>32</v>
      </c>
      <c r="H1942" s="19" t="s">
        <v>215</v>
      </c>
      <c r="I1942" s="19" t="s">
        <v>216</v>
      </c>
      <c r="J1942" s="19" t="s">
        <v>217</v>
      </c>
      <c r="K1942" s="18">
        <v>46115.626030092593</v>
      </c>
    </row>
    <row r="1943" spans="1:11" x14ac:dyDescent="0.25">
      <c r="A1943" s="16" t="s">
        <v>2394</v>
      </c>
      <c r="B1943" s="20">
        <v>46111</v>
      </c>
      <c r="C1943" s="16">
        <v>3</v>
      </c>
      <c r="D1943" s="19" t="s">
        <v>37</v>
      </c>
      <c r="E1943" s="19" t="s">
        <v>453</v>
      </c>
      <c r="G1943" s="19">
        <v>40</v>
      </c>
      <c r="H1943" s="19" t="s">
        <v>215</v>
      </c>
      <c r="I1943" s="19" t="s">
        <v>216</v>
      </c>
      <c r="J1943" s="19" t="s">
        <v>217</v>
      </c>
      <c r="K1943" s="18">
        <v>46115.62604166667</v>
      </c>
    </row>
    <row r="1944" spans="1:11" x14ac:dyDescent="0.25">
      <c r="A1944" s="16" t="s">
        <v>2395</v>
      </c>
      <c r="B1944" s="20">
        <v>46111</v>
      </c>
      <c r="C1944" s="16">
        <v>3</v>
      </c>
      <c r="D1944" s="19" t="s">
        <v>37</v>
      </c>
      <c r="E1944" s="19" t="s">
        <v>453</v>
      </c>
      <c r="G1944" s="19">
        <v>32</v>
      </c>
      <c r="H1944" s="19" t="s">
        <v>215</v>
      </c>
      <c r="I1944" s="19" t="s">
        <v>216</v>
      </c>
      <c r="J1944" s="19" t="s">
        <v>217</v>
      </c>
      <c r="K1944" s="18">
        <v>46115.62604166667</v>
      </c>
    </row>
    <row r="1945" spans="1:11" x14ac:dyDescent="0.25">
      <c r="A1945" s="16" t="s">
        <v>2396</v>
      </c>
      <c r="B1945" s="20">
        <v>46111</v>
      </c>
      <c r="C1945" s="16">
        <v>3</v>
      </c>
      <c r="D1945" s="19" t="s">
        <v>37</v>
      </c>
      <c r="E1945" s="19" t="s">
        <v>453</v>
      </c>
      <c r="G1945" s="19">
        <v>35</v>
      </c>
      <c r="H1945" s="19" t="s">
        <v>215</v>
      </c>
      <c r="I1945" s="19" t="s">
        <v>216</v>
      </c>
      <c r="J1945" s="19" t="s">
        <v>217</v>
      </c>
      <c r="K1945" s="18">
        <v>46115.62605324074</v>
      </c>
    </row>
    <row r="1946" spans="1:11" x14ac:dyDescent="0.25">
      <c r="A1946" s="16" t="s">
        <v>2397</v>
      </c>
      <c r="B1946" s="20">
        <v>46111</v>
      </c>
      <c r="C1946" s="16">
        <v>3</v>
      </c>
      <c r="D1946" s="19" t="s">
        <v>37</v>
      </c>
      <c r="E1946" s="19" t="s">
        <v>453</v>
      </c>
      <c r="G1946" s="19">
        <v>23</v>
      </c>
      <c r="H1946" s="19" t="s">
        <v>215</v>
      </c>
      <c r="I1946" s="19" t="s">
        <v>216</v>
      </c>
      <c r="J1946" s="19" t="s">
        <v>217</v>
      </c>
      <c r="K1946" s="18">
        <v>46115.626064814816</v>
      </c>
    </row>
    <row r="1947" spans="1:11" x14ac:dyDescent="0.25">
      <c r="A1947" s="16" t="s">
        <v>2398</v>
      </c>
      <c r="B1947" s="20">
        <v>46111</v>
      </c>
      <c r="C1947" s="16">
        <v>3</v>
      </c>
      <c r="D1947" s="19" t="s">
        <v>37</v>
      </c>
      <c r="E1947" s="19" t="s">
        <v>453</v>
      </c>
      <c r="G1947" s="19">
        <v>33</v>
      </c>
      <c r="H1947" s="19" t="s">
        <v>215</v>
      </c>
      <c r="I1947" s="19" t="s">
        <v>216</v>
      </c>
      <c r="J1947" s="19" t="s">
        <v>217</v>
      </c>
      <c r="K1947" s="18">
        <v>46115.626064814816</v>
      </c>
    </row>
    <row r="1948" spans="1:11" x14ac:dyDescent="0.25">
      <c r="A1948" s="16" t="s">
        <v>2399</v>
      </c>
      <c r="B1948" s="20">
        <v>46111</v>
      </c>
      <c r="C1948" s="16">
        <v>3</v>
      </c>
      <c r="D1948" s="19" t="s">
        <v>37</v>
      </c>
      <c r="E1948" s="19" t="s">
        <v>453</v>
      </c>
      <c r="G1948" s="19">
        <v>31</v>
      </c>
      <c r="H1948" s="19" t="s">
        <v>215</v>
      </c>
      <c r="I1948" s="19" t="s">
        <v>216</v>
      </c>
      <c r="J1948" s="19" t="s">
        <v>217</v>
      </c>
      <c r="K1948" s="18">
        <v>46115.626087962963</v>
      </c>
    </row>
    <row r="1949" spans="1:11" x14ac:dyDescent="0.25">
      <c r="A1949" s="16" t="s">
        <v>2400</v>
      </c>
      <c r="B1949" s="20">
        <v>46112</v>
      </c>
      <c r="C1949" s="16">
        <v>3</v>
      </c>
      <c r="D1949" s="19" t="s">
        <v>37</v>
      </c>
      <c r="E1949" s="19" t="s">
        <v>453</v>
      </c>
      <c r="G1949" s="19">
        <v>38</v>
      </c>
      <c r="H1949" s="19" t="s">
        <v>215</v>
      </c>
      <c r="I1949" s="19" t="s">
        <v>216</v>
      </c>
      <c r="J1949" s="19" t="s">
        <v>217</v>
      </c>
      <c r="K1949" s="18">
        <v>46115.626192129632</v>
      </c>
    </row>
    <row r="1950" spans="1:11" x14ac:dyDescent="0.25">
      <c r="A1950" s="16" t="s">
        <v>2401</v>
      </c>
      <c r="B1950" s="20">
        <v>46112</v>
      </c>
      <c r="C1950" s="16">
        <v>3</v>
      </c>
      <c r="D1950" s="19" t="s">
        <v>37</v>
      </c>
      <c r="E1950" s="19" t="s">
        <v>453</v>
      </c>
      <c r="G1950" s="19">
        <v>20</v>
      </c>
      <c r="H1950" s="19" t="s">
        <v>215</v>
      </c>
      <c r="I1950" s="19" t="s">
        <v>216</v>
      </c>
      <c r="J1950" s="19" t="s">
        <v>217</v>
      </c>
      <c r="K1950" s="18">
        <v>46115.626203703701</v>
      </c>
    </row>
    <row r="1951" spans="1:11" x14ac:dyDescent="0.25">
      <c r="A1951" s="16" t="s">
        <v>2402</v>
      </c>
      <c r="B1951" s="20">
        <v>46112</v>
      </c>
      <c r="C1951" s="16">
        <v>3</v>
      </c>
      <c r="D1951" s="19" t="s">
        <v>37</v>
      </c>
      <c r="E1951" s="19" t="s">
        <v>453</v>
      </c>
      <c r="G1951" s="19">
        <v>22</v>
      </c>
      <c r="H1951" s="19" t="s">
        <v>215</v>
      </c>
      <c r="I1951" s="19" t="s">
        <v>216</v>
      </c>
      <c r="J1951" s="19" t="s">
        <v>217</v>
      </c>
      <c r="K1951" s="18">
        <v>46115.626215277778</v>
      </c>
    </row>
    <row r="1952" spans="1:11" x14ac:dyDescent="0.25">
      <c r="A1952" s="16" t="s">
        <v>2403</v>
      </c>
      <c r="B1952" s="20">
        <v>46105</v>
      </c>
      <c r="C1952" s="16">
        <v>3</v>
      </c>
      <c r="D1952" s="19" t="s">
        <v>39</v>
      </c>
      <c r="E1952" s="19" t="s">
        <v>453</v>
      </c>
      <c r="G1952" s="19">
        <v>25</v>
      </c>
      <c r="H1952" s="19" t="s">
        <v>215</v>
      </c>
      <c r="I1952" s="19" t="s">
        <v>216</v>
      </c>
      <c r="J1952" s="19" t="s">
        <v>217</v>
      </c>
      <c r="K1952" s="18">
        <v>46115.627002314817</v>
      </c>
    </row>
    <row r="1953" spans="1:11" x14ac:dyDescent="0.25">
      <c r="A1953" s="16" t="s">
        <v>2404</v>
      </c>
      <c r="B1953" s="20">
        <v>46105</v>
      </c>
      <c r="C1953" s="16">
        <v>3</v>
      </c>
      <c r="D1953" s="19" t="s">
        <v>39</v>
      </c>
      <c r="E1953" s="19" t="s">
        <v>453</v>
      </c>
      <c r="G1953" s="19">
        <v>24</v>
      </c>
      <c r="H1953" s="19" t="s">
        <v>215</v>
      </c>
      <c r="I1953" s="19" t="s">
        <v>216</v>
      </c>
      <c r="J1953" s="19" t="s">
        <v>217</v>
      </c>
      <c r="K1953" s="18">
        <v>46115.627013888887</v>
      </c>
    </row>
    <row r="1954" spans="1:11" x14ac:dyDescent="0.25">
      <c r="A1954" s="16" t="s">
        <v>2405</v>
      </c>
      <c r="B1954" s="20">
        <v>46105</v>
      </c>
      <c r="C1954" s="16">
        <v>3</v>
      </c>
      <c r="D1954" s="19" t="s">
        <v>39</v>
      </c>
      <c r="E1954" s="19" t="s">
        <v>453</v>
      </c>
      <c r="G1954" s="19">
        <v>17</v>
      </c>
      <c r="H1954" s="19" t="s">
        <v>215</v>
      </c>
      <c r="I1954" s="19" t="s">
        <v>216</v>
      </c>
      <c r="J1954" s="19" t="s">
        <v>217</v>
      </c>
      <c r="K1954" s="18">
        <v>46115.627025462964</v>
      </c>
    </row>
    <row r="1955" spans="1:11" x14ac:dyDescent="0.25">
      <c r="A1955" s="16" t="s">
        <v>2406</v>
      </c>
      <c r="B1955" s="20">
        <v>46105</v>
      </c>
      <c r="C1955" s="16">
        <v>3</v>
      </c>
      <c r="D1955" s="19" t="s">
        <v>39</v>
      </c>
      <c r="E1955" s="19" t="s">
        <v>453</v>
      </c>
      <c r="G1955" s="19">
        <v>19</v>
      </c>
      <c r="H1955" s="19" t="s">
        <v>215</v>
      </c>
      <c r="I1955" s="19" t="s">
        <v>216</v>
      </c>
      <c r="J1955" s="19" t="s">
        <v>217</v>
      </c>
      <c r="K1955" s="18">
        <v>46115.62703703704</v>
      </c>
    </row>
    <row r="1956" spans="1:11" x14ac:dyDescent="0.25">
      <c r="A1956" s="16" t="s">
        <v>2407</v>
      </c>
      <c r="B1956" s="20">
        <v>46105</v>
      </c>
      <c r="C1956" s="16">
        <v>3</v>
      </c>
      <c r="D1956" s="19" t="s">
        <v>39</v>
      </c>
      <c r="E1956" s="19" t="s">
        <v>453</v>
      </c>
      <c r="G1956" s="19">
        <v>19</v>
      </c>
      <c r="H1956" s="19" t="s">
        <v>215</v>
      </c>
      <c r="I1956" s="19" t="s">
        <v>216</v>
      </c>
      <c r="J1956" s="19" t="s">
        <v>217</v>
      </c>
      <c r="K1956" s="18">
        <v>46115.62704861111</v>
      </c>
    </row>
    <row r="1957" spans="1:11" x14ac:dyDescent="0.25">
      <c r="A1957" s="16" t="s">
        <v>2408</v>
      </c>
      <c r="B1957" s="20">
        <v>46105</v>
      </c>
      <c r="C1957" s="16">
        <v>3</v>
      </c>
      <c r="D1957" s="19" t="s">
        <v>39</v>
      </c>
      <c r="E1957" s="19" t="s">
        <v>453</v>
      </c>
      <c r="G1957" s="19">
        <v>33</v>
      </c>
      <c r="H1957" s="19" t="s">
        <v>215</v>
      </c>
      <c r="I1957" s="19" t="s">
        <v>216</v>
      </c>
      <c r="J1957" s="19" t="s">
        <v>217</v>
      </c>
      <c r="K1957" s="18">
        <v>46115.627060185187</v>
      </c>
    </row>
    <row r="1958" spans="1:11" x14ac:dyDescent="0.25">
      <c r="A1958" s="16" t="s">
        <v>2409</v>
      </c>
      <c r="B1958" s="20">
        <v>46105</v>
      </c>
      <c r="C1958" s="16">
        <v>3</v>
      </c>
      <c r="D1958" s="19" t="s">
        <v>39</v>
      </c>
      <c r="E1958" s="19" t="s">
        <v>453</v>
      </c>
      <c r="G1958" s="19">
        <v>17</v>
      </c>
      <c r="H1958" s="19" t="s">
        <v>215</v>
      </c>
      <c r="I1958" s="19" t="s">
        <v>216</v>
      </c>
      <c r="J1958" s="19" t="s">
        <v>217</v>
      </c>
      <c r="K1958" s="18">
        <v>46115.627071759256</v>
      </c>
    </row>
    <row r="1959" spans="1:11" x14ac:dyDescent="0.25">
      <c r="A1959" s="16" t="s">
        <v>2410</v>
      </c>
      <c r="B1959" s="20">
        <v>46105</v>
      </c>
      <c r="C1959" s="16">
        <v>3</v>
      </c>
      <c r="D1959" s="19" t="s">
        <v>39</v>
      </c>
      <c r="E1959" s="19" t="s">
        <v>453</v>
      </c>
      <c r="G1959" s="19">
        <v>41</v>
      </c>
      <c r="H1959" s="19" t="s">
        <v>215</v>
      </c>
      <c r="I1959" s="19" t="s">
        <v>216</v>
      </c>
      <c r="J1959" s="19" t="s">
        <v>217</v>
      </c>
      <c r="K1959" s="18">
        <v>46115.627071759256</v>
      </c>
    </row>
    <row r="1960" spans="1:11" x14ac:dyDescent="0.25">
      <c r="A1960" s="16" t="s">
        <v>2411</v>
      </c>
      <c r="B1960" s="20">
        <v>46105</v>
      </c>
      <c r="C1960" s="16">
        <v>3</v>
      </c>
      <c r="D1960" s="19" t="s">
        <v>39</v>
      </c>
      <c r="E1960" s="19" t="s">
        <v>453</v>
      </c>
      <c r="G1960" s="19">
        <v>19</v>
      </c>
      <c r="H1960" s="19" t="s">
        <v>215</v>
      </c>
      <c r="I1960" s="19" t="s">
        <v>216</v>
      </c>
      <c r="J1960" s="19" t="s">
        <v>217</v>
      </c>
      <c r="K1960" s="18">
        <v>46115.627083333333</v>
      </c>
    </row>
    <row r="1961" spans="1:11" x14ac:dyDescent="0.25">
      <c r="A1961" s="16" t="s">
        <v>2412</v>
      </c>
      <c r="B1961" s="20">
        <v>46106</v>
      </c>
      <c r="C1961" s="16">
        <v>3</v>
      </c>
      <c r="D1961" s="19" t="s">
        <v>39</v>
      </c>
      <c r="E1961" s="19" t="s">
        <v>453</v>
      </c>
      <c r="G1961" s="19">
        <v>31</v>
      </c>
      <c r="H1961" s="19" t="s">
        <v>215</v>
      </c>
      <c r="I1961" s="19" t="s">
        <v>216</v>
      </c>
      <c r="J1961" s="19" t="s">
        <v>217</v>
      </c>
      <c r="K1961" s="18">
        <v>46115.627638888887</v>
      </c>
    </row>
    <row r="1962" spans="1:11" x14ac:dyDescent="0.25">
      <c r="A1962" s="16" t="s">
        <v>2413</v>
      </c>
      <c r="B1962" s="20">
        <v>46106</v>
      </c>
      <c r="C1962" s="16">
        <v>3</v>
      </c>
      <c r="D1962" s="19" t="s">
        <v>39</v>
      </c>
      <c r="E1962" s="19" t="s">
        <v>453</v>
      </c>
      <c r="G1962" s="19">
        <v>25</v>
      </c>
      <c r="H1962" s="19" t="s">
        <v>215</v>
      </c>
      <c r="I1962" s="19" t="s">
        <v>216</v>
      </c>
      <c r="J1962" s="19" t="s">
        <v>217</v>
      </c>
      <c r="K1962" s="18">
        <v>46115.627650462964</v>
      </c>
    </row>
    <row r="1963" spans="1:11" x14ac:dyDescent="0.25">
      <c r="A1963" s="16" t="s">
        <v>2414</v>
      </c>
      <c r="B1963" s="20">
        <v>46106</v>
      </c>
      <c r="C1963" s="16">
        <v>3</v>
      </c>
      <c r="D1963" s="19" t="s">
        <v>39</v>
      </c>
      <c r="E1963" s="19" t="s">
        <v>453</v>
      </c>
      <c r="G1963" s="19">
        <v>33</v>
      </c>
      <c r="H1963" s="19" t="s">
        <v>215</v>
      </c>
      <c r="I1963" s="19" t="s">
        <v>216</v>
      </c>
      <c r="J1963" s="19" t="s">
        <v>217</v>
      </c>
      <c r="K1963" s="18">
        <v>46115.627662037034</v>
      </c>
    </row>
    <row r="1964" spans="1:11" x14ac:dyDescent="0.25">
      <c r="A1964" s="16" t="s">
        <v>2415</v>
      </c>
      <c r="B1964" s="20">
        <v>46106</v>
      </c>
      <c r="C1964" s="16">
        <v>3</v>
      </c>
      <c r="D1964" s="19" t="s">
        <v>39</v>
      </c>
      <c r="E1964" s="19" t="s">
        <v>453</v>
      </c>
      <c r="G1964" s="19">
        <v>33</v>
      </c>
      <c r="H1964" s="19" t="s">
        <v>215</v>
      </c>
      <c r="I1964" s="19" t="s">
        <v>216</v>
      </c>
      <c r="J1964" s="19" t="s">
        <v>217</v>
      </c>
      <c r="K1964" s="18">
        <v>46115.62767361111</v>
      </c>
    </row>
    <row r="1965" spans="1:11" x14ac:dyDescent="0.25">
      <c r="A1965" s="16" t="s">
        <v>2416</v>
      </c>
      <c r="B1965" s="20">
        <v>46107</v>
      </c>
      <c r="C1965" s="16">
        <v>3</v>
      </c>
      <c r="D1965" s="19" t="s">
        <v>39</v>
      </c>
      <c r="E1965" s="19" t="s">
        <v>453</v>
      </c>
      <c r="G1965" s="19">
        <v>27</v>
      </c>
      <c r="H1965" s="19" t="s">
        <v>215</v>
      </c>
      <c r="I1965" s="19" t="s">
        <v>216</v>
      </c>
      <c r="J1965" s="19" t="s">
        <v>217</v>
      </c>
      <c r="K1965" s="18">
        <v>46115.627870370372</v>
      </c>
    </row>
    <row r="1966" spans="1:11" x14ac:dyDescent="0.25">
      <c r="A1966" s="16" t="s">
        <v>2417</v>
      </c>
      <c r="B1966" s="20">
        <v>46108</v>
      </c>
      <c r="C1966" s="16">
        <v>3</v>
      </c>
      <c r="D1966" s="19" t="s">
        <v>39</v>
      </c>
      <c r="E1966" s="19" t="s">
        <v>453</v>
      </c>
      <c r="G1966" s="19">
        <v>19</v>
      </c>
      <c r="H1966" s="19" t="s">
        <v>215</v>
      </c>
      <c r="I1966" s="19" t="s">
        <v>216</v>
      </c>
      <c r="J1966" s="19" t="s">
        <v>217</v>
      </c>
      <c r="K1966" s="18">
        <v>46115.628032407411</v>
      </c>
    </row>
    <row r="1967" spans="1:11" x14ac:dyDescent="0.25">
      <c r="A1967" s="16" t="s">
        <v>2418</v>
      </c>
      <c r="B1967" s="20">
        <v>46108</v>
      </c>
      <c r="C1967" s="16">
        <v>3</v>
      </c>
      <c r="D1967" s="19" t="s">
        <v>39</v>
      </c>
      <c r="E1967" s="19" t="s">
        <v>453</v>
      </c>
      <c r="G1967" s="19">
        <v>57</v>
      </c>
      <c r="H1967" s="19" t="s">
        <v>215</v>
      </c>
      <c r="I1967" s="19" t="s">
        <v>216</v>
      </c>
      <c r="J1967" s="19" t="s">
        <v>217</v>
      </c>
      <c r="K1967" s="18">
        <v>46115.62804398148</v>
      </c>
    </row>
    <row r="1968" spans="1:11" x14ac:dyDescent="0.25">
      <c r="A1968" s="16" t="s">
        <v>2419</v>
      </c>
      <c r="B1968" s="20">
        <v>46108</v>
      </c>
      <c r="C1968" s="16">
        <v>3</v>
      </c>
      <c r="D1968" s="19" t="s">
        <v>39</v>
      </c>
      <c r="E1968" s="19" t="s">
        <v>453</v>
      </c>
      <c r="G1968" s="19">
        <v>39</v>
      </c>
      <c r="H1968" s="19" t="s">
        <v>215</v>
      </c>
      <c r="I1968" s="19" t="s">
        <v>216</v>
      </c>
      <c r="J1968" s="19" t="s">
        <v>217</v>
      </c>
      <c r="K1968" s="18">
        <v>46115.628055555557</v>
      </c>
    </row>
    <row r="1969" spans="1:11" x14ac:dyDescent="0.25">
      <c r="A1969" s="16" t="s">
        <v>2420</v>
      </c>
      <c r="B1969" s="20">
        <v>46108</v>
      </c>
      <c r="C1969" s="16">
        <v>3</v>
      </c>
      <c r="D1969" s="19" t="s">
        <v>39</v>
      </c>
      <c r="E1969" s="19" t="s">
        <v>453</v>
      </c>
      <c r="G1969" s="19">
        <v>39</v>
      </c>
      <c r="H1969" s="19" t="s">
        <v>215</v>
      </c>
      <c r="I1969" s="19" t="s">
        <v>216</v>
      </c>
      <c r="J1969" s="19" t="s">
        <v>217</v>
      </c>
      <c r="K1969" s="18">
        <v>46115.62809027778</v>
      </c>
    </row>
    <row r="1970" spans="1:11" x14ac:dyDescent="0.25">
      <c r="A1970" s="16" t="s">
        <v>2421</v>
      </c>
      <c r="B1970" s="20">
        <v>46109</v>
      </c>
      <c r="C1970" s="16">
        <v>3</v>
      </c>
      <c r="D1970" s="19" t="s">
        <v>39</v>
      </c>
      <c r="E1970" s="19" t="s">
        <v>453</v>
      </c>
      <c r="G1970" s="19">
        <v>43</v>
      </c>
      <c r="H1970" s="19" t="s">
        <v>215</v>
      </c>
      <c r="I1970" s="19" t="s">
        <v>216</v>
      </c>
      <c r="J1970" s="19" t="s">
        <v>217</v>
      </c>
      <c r="K1970" s="18">
        <v>46115.628240740742</v>
      </c>
    </row>
    <row r="1971" spans="1:11" x14ac:dyDescent="0.25">
      <c r="A1971" s="16" t="s">
        <v>2422</v>
      </c>
      <c r="B1971" s="20">
        <v>46109</v>
      </c>
      <c r="C1971" s="16">
        <v>3</v>
      </c>
      <c r="D1971" s="19" t="s">
        <v>39</v>
      </c>
      <c r="E1971" s="19" t="s">
        <v>453</v>
      </c>
      <c r="G1971" s="19">
        <v>25</v>
      </c>
      <c r="H1971" s="19" t="s">
        <v>215</v>
      </c>
      <c r="I1971" s="19" t="s">
        <v>216</v>
      </c>
      <c r="J1971" s="19" t="s">
        <v>217</v>
      </c>
      <c r="K1971" s="18">
        <v>46115.628252314818</v>
      </c>
    </row>
    <row r="1972" spans="1:11" x14ac:dyDescent="0.25">
      <c r="A1972" s="16" t="s">
        <v>2423</v>
      </c>
      <c r="B1972" s="20">
        <v>46109</v>
      </c>
      <c r="C1972" s="16">
        <v>3</v>
      </c>
      <c r="D1972" s="19" t="s">
        <v>39</v>
      </c>
      <c r="E1972" s="19" t="s">
        <v>453</v>
      </c>
      <c r="G1972" s="19">
        <v>27</v>
      </c>
      <c r="H1972" s="19" t="s">
        <v>215</v>
      </c>
      <c r="I1972" s="19" t="s">
        <v>216</v>
      </c>
      <c r="J1972" s="19" t="s">
        <v>217</v>
      </c>
      <c r="K1972" s="18">
        <v>46115.628275462965</v>
      </c>
    </row>
    <row r="1973" spans="1:11" x14ac:dyDescent="0.25">
      <c r="A1973" s="16" t="s">
        <v>2424</v>
      </c>
      <c r="B1973" s="20">
        <v>46109</v>
      </c>
      <c r="C1973" s="16">
        <v>3</v>
      </c>
      <c r="D1973" s="19" t="s">
        <v>39</v>
      </c>
      <c r="E1973" s="19" t="s">
        <v>453</v>
      </c>
      <c r="G1973" s="19">
        <v>16</v>
      </c>
      <c r="H1973" s="19" t="s">
        <v>215</v>
      </c>
      <c r="I1973" s="19" t="s">
        <v>216</v>
      </c>
      <c r="J1973" s="19" t="s">
        <v>217</v>
      </c>
      <c r="K1973" s="18">
        <v>46115.628287037034</v>
      </c>
    </row>
    <row r="1974" spans="1:11" x14ac:dyDescent="0.25">
      <c r="A1974" s="16" t="s">
        <v>2425</v>
      </c>
      <c r="B1974" s="20">
        <v>46110</v>
      </c>
      <c r="C1974" s="16">
        <v>3</v>
      </c>
      <c r="D1974" s="19" t="s">
        <v>39</v>
      </c>
      <c r="E1974" s="19" t="s">
        <v>453</v>
      </c>
      <c r="G1974" s="19">
        <v>32</v>
      </c>
      <c r="H1974" s="19" t="s">
        <v>215</v>
      </c>
      <c r="I1974" s="19" t="s">
        <v>216</v>
      </c>
      <c r="J1974" s="19" t="s">
        <v>217</v>
      </c>
      <c r="K1974" s="18">
        <v>46115.628425925926</v>
      </c>
    </row>
    <row r="1975" spans="1:11" x14ac:dyDescent="0.25">
      <c r="A1975" s="16" t="s">
        <v>2426</v>
      </c>
      <c r="B1975" s="20">
        <v>46110</v>
      </c>
      <c r="C1975" s="16">
        <v>3</v>
      </c>
      <c r="D1975" s="19" t="s">
        <v>39</v>
      </c>
      <c r="E1975" s="19" t="s">
        <v>453</v>
      </c>
      <c r="G1975" s="19">
        <v>16</v>
      </c>
      <c r="H1975" s="19" t="s">
        <v>215</v>
      </c>
      <c r="I1975" s="19" t="s">
        <v>216</v>
      </c>
      <c r="J1975" s="19" t="s">
        <v>217</v>
      </c>
      <c r="K1975" s="18">
        <v>46115.628437500003</v>
      </c>
    </row>
    <row r="1976" spans="1:11" x14ac:dyDescent="0.25">
      <c r="A1976" s="16" t="s">
        <v>2427</v>
      </c>
      <c r="B1976" s="20">
        <v>46111</v>
      </c>
      <c r="C1976" s="16">
        <v>3</v>
      </c>
      <c r="D1976" s="19" t="s">
        <v>39</v>
      </c>
      <c r="E1976" s="19" t="s">
        <v>453</v>
      </c>
      <c r="G1976" s="19">
        <v>27</v>
      </c>
      <c r="H1976" s="19" t="s">
        <v>215</v>
      </c>
      <c r="I1976" s="19" t="s">
        <v>216</v>
      </c>
      <c r="J1976" s="19" t="s">
        <v>217</v>
      </c>
      <c r="K1976" s="18">
        <v>46115.628692129627</v>
      </c>
    </row>
    <row r="1977" spans="1:11" x14ac:dyDescent="0.25">
      <c r="A1977" s="16" t="s">
        <v>2428</v>
      </c>
      <c r="B1977" s="20">
        <v>46111</v>
      </c>
      <c r="C1977" s="16">
        <v>3</v>
      </c>
      <c r="D1977" s="19" t="s">
        <v>39</v>
      </c>
      <c r="E1977" s="19" t="s">
        <v>453</v>
      </c>
      <c r="G1977" s="19">
        <v>21</v>
      </c>
      <c r="H1977" s="19" t="s">
        <v>215</v>
      </c>
      <c r="I1977" s="19" t="s">
        <v>216</v>
      </c>
      <c r="J1977" s="19" t="s">
        <v>217</v>
      </c>
      <c r="K1977" s="18">
        <v>46115.628703703704</v>
      </c>
    </row>
    <row r="1978" spans="1:11" x14ac:dyDescent="0.25">
      <c r="A1978" s="16" t="s">
        <v>2429</v>
      </c>
      <c r="B1978" s="20">
        <v>46111</v>
      </c>
      <c r="C1978" s="16">
        <v>3</v>
      </c>
      <c r="D1978" s="19" t="s">
        <v>39</v>
      </c>
      <c r="E1978" s="19" t="s">
        <v>453</v>
      </c>
      <c r="G1978" s="19">
        <v>41</v>
      </c>
      <c r="H1978" s="19" t="s">
        <v>215</v>
      </c>
      <c r="I1978" s="19" t="s">
        <v>216</v>
      </c>
      <c r="J1978" s="19" t="s">
        <v>217</v>
      </c>
      <c r="K1978" s="18">
        <v>46115.628703703704</v>
      </c>
    </row>
    <row r="1979" spans="1:11" x14ac:dyDescent="0.25">
      <c r="A1979" s="16" t="s">
        <v>2430</v>
      </c>
      <c r="B1979" s="20">
        <v>46111</v>
      </c>
      <c r="C1979" s="16">
        <v>3</v>
      </c>
      <c r="D1979" s="19" t="s">
        <v>39</v>
      </c>
      <c r="E1979" s="19" t="s">
        <v>453</v>
      </c>
      <c r="G1979" s="19">
        <v>38</v>
      </c>
      <c r="H1979" s="19" t="s">
        <v>215</v>
      </c>
      <c r="I1979" s="19" t="s">
        <v>216</v>
      </c>
      <c r="J1979" s="19" t="s">
        <v>217</v>
      </c>
      <c r="K1979" s="18">
        <v>46115.62872685185</v>
      </c>
    </row>
    <row r="1980" spans="1:11" x14ac:dyDescent="0.25">
      <c r="A1980" s="16" t="s">
        <v>2431</v>
      </c>
      <c r="B1980" s="20">
        <v>46112</v>
      </c>
      <c r="C1980" s="16">
        <v>3</v>
      </c>
      <c r="D1980" s="19" t="s">
        <v>39</v>
      </c>
      <c r="E1980" s="19" t="s">
        <v>453</v>
      </c>
      <c r="G1980" s="19">
        <v>31</v>
      </c>
      <c r="H1980" s="19" t="s">
        <v>215</v>
      </c>
      <c r="I1980" s="19" t="s">
        <v>216</v>
      </c>
      <c r="J1980" s="19" t="s">
        <v>217</v>
      </c>
      <c r="K1980" s="18">
        <v>46115.628831018519</v>
      </c>
    </row>
    <row r="1981" spans="1:11" x14ac:dyDescent="0.25">
      <c r="A1981" s="16" t="s">
        <v>2432</v>
      </c>
      <c r="B1981" s="20">
        <v>46112</v>
      </c>
      <c r="C1981" s="16">
        <v>3</v>
      </c>
      <c r="D1981" s="19" t="s">
        <v>39</v>
      </c>
      <c r="E1981" s="19" t="s">
        <v>453</v>
      </c>
      <c r="G1981" s="19">
        <v>21</v>
      </c>
      <c r="H1981" s="19" t="s">
        <v>215</v>
      </c>
      <c r="I1981" s="19" t="s">
        <v>216</v>
      </c>
      <c r="J1981" s="19" t="s">
        <v>217</v>
      </c>
      <c r="K1981" s="18">
        <v>46115.628842592596</v>
      </c>
    </row>
    <row r="1982" spans="1:11" x14ac:dyDescent="0.25">
      <c r="A1982" s="16" t="s">
        <v>2433</v>
      </c>
      <c r="B1982" s="20">
        <v>46112</v>
      </c>
      <c r="C1982" s="16">
        <v>3</v>
      </c>
      <c r="D1982" s="19" t="s">
        <v>39</v>
      </c>
      <c r="E1982" s="19" t="s">
        <v>453</v>
      </c>
      <c r="G1982" s="19">
        <v>24</v>
      </c>
      <c r="H1982" s="19" t="s">
        <v>215</v>
      </c>
      <c r="I1982" s="19" t="s">
        <v>216</v>
      </c>
      <c r="J1982" s="19" t="s">
        <v>217</v>
      </c>
      <c r="K1982" s="18">
        <v>46115.628854166665</v>
      </c>
    </row>
    <row r="1983" spans="1:11" x14ac:dyDescent="0.25">
      <c r="A1983" s="16" t="s">
        <v>2434</v>
      </c>
      <c r="B1983" s="20">
        <v>46112</v>
      </c>
      <c r="C1983" s="16">
        <v>3</v>
      </c>
      <c r="D1983" s="19" t="s">
        <v>39</v>
      </c>
      <c r="E1983" s="19" t="s">
        <v>453</v>
      </c>
      <c r="G1983" s="19">
        <v>26</v>
      </c>
      <c r="H1983" s="19" t="s">
        <v>215</v>
      </c>
      <c r="I1983" s="19" t="s">
        <v>216</v>
      </c>
      <c r="J1983" s="19" t="s">
        <v>217</v>
      </c>
      <c r="K1983" s="18">
        <v>46115.628865740742</v>
      </c>
    </row>
    <row r="1984" spans="1:11" x14ac:dyDescent="0.25">
      <c r="A1984" s="16" t="s">
        <v>2435</v>
      </c>
      <c r="B1984" s="20">
        <v>46112</v>
      </c>
      <c r="C1984" s="16">
        <v>3</v>
      </c>
      <c r="D1984" s="19" t="s">
        <v>39</v>
      </c>
      <c r="E1984" s="19" t="s">
        <v>453</v>
      </c>
      <c r="G1984" s="19">
        <v>17</v>
      </c>
      <c r="H1984" s="19" t="s">
        <v>215</v>
      </c>
      <c r="I1984" s="19" t="s">
        <v>216</v>
      </c>
      <c r="J1984" s="19" t="s">
        <v>217</v>
      </c>
      <c r="K1984" s="18">
        <v>46115.628877314812</v>
      </c>
    </row>
    <row r="1985" spans="1:11" x14ac:dyDescent="0.25">
      <c r="A1985" s="16" t="s">
        <v>2436</v>
      </c>
      <c r="B1985" s="20">
        <v>46082</v>
      </c>
      <c r="C1985" s="16">
        <v>3</v>
      </c>
      <c r="D1985" s="19" t="s">
        <v>39</v>
      </c>
      <c r="E1985" s="19" t="s">
        <v>453</v>
      </c>
      <c r="G1985" s="19">
        <v>32</v>
      </c>
      <c r="H1985" s="19" t="s">
        <v>215</v>
      </c>
      <c r="I1985" s="19" t="s">
        <v>216</v>
      </c>
      <c r="J1985" s="19" t="s">
        <v>217</v>
      </c>
      <c r="K1985" s="18">
        <v>46115.630347222221</v>
      </c>
    </row>
    <row r="1986" spans="1:11" x14ac:dyDescent="0.25">
      <c r="A1986" s="16" t="s">
        <v>2437</v>
      </c>
      <c r="B1986" s="20">
        <v>46105</v>
      </c>
      <c r="C1986" s="16">
        <v>3</v>
      </c>
      <c r="D1986" s="19" t="s">
        <v>41</v>
      </c>
      <c r="E1986" s="19" t="s">
        <v>453</v>
      </c>
      <c r="G1986" s="19">
        <v>1</v>
      </c>
      <c r="H1986" s="19" t="s">
        <v>306</v>
      </c>
      <c r="I1986" s="19" t="s">
        <v>246</v>
      </c>
      <c r="J1986" s="19" t="s">
        <v>217</v>
      </c>
      <c r="K1986" s="18">
        <v>46115.631030092591</v>
      </c>
    </row>
    <row r="1987" spans="1:11" x14ac:dyDescent="0.25">
      <c r="A1987" s="16" t="s">
        <v>2438</v>
      </c>
      <c r="B1987" s="20">
        <v>46106</v>
      </c>
      <c r="C1987" s="16">
        <v>3</v>
      </c>
      <c r="D1987" s="19" t="s">
        <v>41</v>
      </c>
      <c r="E1987" s="19" t="s">
        <v>453</v>
      </c>
      <c r="G1987" s="19">
        <v>0</v>
      </c>
      <c r="H1987" s="19" t="s">
        <v>306</v>
      </c>
      <c r="I1987" s="19" t="s">
        <v>246</v>
      </c>
      <c r="J1987" s="19" t="s">
        <v>217</v>
      </c>
      <c r="K1987" s="18">
        <v>46115.63144675926</v>
      </c>
    </row>
    <row r="1988" spans="1:11" x14ac:dyDescent="0.25">
      <c r="A1988" s="16" t="s">
        <v>2439</v>
      </c>
      <c r="B1988" s="20">
        <v>46106</v>
      </c>
      <c r="C1988" s="16">
        <v>3</v>
      </c>
      <c r="D1988" s="19" t="s">
        <v>41</v>
      </c>
      <c r="E1988" s="19" t="s">
        <v>453</v>
      </c>
      <c r="G1988" s="19">
        <v>0</v>
      </c>
      <c r="H1988" s="19" t="s">
        <v>306</v>
      </c>
      <c r="I1988" s="19" t="s">
        <v>216</v>
      </c>
      <c r="J1988" s="19" t="s">
        <v>217</v>
      </c>
      <c r="K1988" s="18">
        <v>46115.631932870368</v>
      </c>
    </row>
    <row r="1989" spans="1:11" x14ac:dyDescent="0.25">
      <c r="A1989" s="16" t="s">
        <v>2440</v>
      </c>
      <c r="B1989" s="20">
        <v>46107</v>
      </c>
      <c r="C1989" s="16">
        <v>3</v>
      </c>
      <c r="D1989" s="19" t="s">
        <v>41</v>
      </c>
      <c r="E1989" s="19" t="s">
        <v>453</v>
      </c>
      <c r="G1989" s="19">
        <v>0</v>
      </c>
      <c r="H1989" s="19" t="s">
        <v>306</v>
      </c>
      <c r="I1989" s="19" t="s">
        <v>216</v>
      </c>
      <c r="J1989" s="19" t="s">
        <v>217</v>
      </c>
      <c r="K1989" s="18">
        <v>46115.631736111114</v>
      </c>
    </row>
    <row r="1990" spans="1:11" x14ac:dyDescent="0.25">
      <c r="A1990" s="16" t="s">
        <v>2441</v>
      </c>
      <c r="B1990" s="20">
        <v>46107</v>
      </c>
      <c r="C1990" s="16">
        <v>3</v>
      </c>
      <c r="D1990" s="19" t="s">
        <v>41</v>
      </c>
      <c r="E1990" s="19" t="s">
        <v>453</v>
      </c>
      <c r="G1990" s="19">
        <v>0</v>
      </c>
      <c r="H1990" s="19" t="s">
        <v>306</v>
      </c>
      <c r="I1990" s="19" t="s">
        <v>246</v>
      </c>
      <c r="J1990" s="19" t="s">
        <v>217</v>
      </c>
      <c r="K1990" s="18">
        <v>46115.63181712963</v>
      </c>
    </row>
    <row r="1991" spans="1:11" x14ac:dyDescent="0.25">
      <c r="A1991" s="16" t="s">
        <v>2442</v>
      </c>
      <c r="B1991" s="20">
        <v>46109</v>
      </c>
      <c r="C1991" s="16">
        <v>3</v>
      </c>
      <c r="D1991" s="19" t="s">
        <v>41</v>
      </c>
      <c r="E1991" s="19" t="s">
        <v>453</v>
      </c>
      <c r="G1991" s="19">
        <v>0</v>
      </c>
      <c r="H1991" s="19" t="s">
        <v>306</v>
      </c>
      <c r="I1991" s="19" t="s">
        <v>216</v>
      </c>
      <c r="J1991" s="19" t="s">
        <v>217</v>
      </c>
      <c r="K1991" s="18">
        <v>46115.632523148146</v>
      </c>
    </row>
    <row r="1992" spans="1:11" x14ac:dyDescent="0.25">
      <c r="A1992" s="16" t="s">
        <v>2443</v>
      </c>
      <c r="B1992" s="20">
        <v>46109</v>
      </c>
      <c r="C1992" s="16">
        <v>3</v>
      </c>
      <c r="D1992" s="19" t="s">
        <v>41</v>
      </c>
      <c r="E1992" s="19" t="s">
        <v>453</v>
      </c>
      <c r="G1992" s="19">
        <v>0</v>
      </c>
      <c r="H1992" s="19" t="s">
        <v>306</v>
      </c>
      <c r="I1992" s="19" t="s">
        <v>246</v>
      </c>
      <c r="J1992" s="19" t="s">
        <v>217</v>
      </c>
      <c r="K1992" s="18">
        <v>46115.632604166669</v>
      </c>
    </row>
    <row r="1993" spans="1:11" x14ac:dyDescent="0.25">
      <c r="A1993" s="16" t="s">
        <v>2444</v>
      </c>
      <c r="B1993" s="20">
        <v>46110</v>
      </c>
      <c r="C1993" s="16">
        <v>3</v>
      </c>
      <c r="D1993" s="19" t="s">
        <v>41</v>
      </c>
      <c r="E1993" s="19" t="s">
        <v>453</v>
      </c>
      <c r="G1993" s="19">
        <v>0</v>
      </c>
      <c r="H1993" s="19" t="s">
        <v>306</v>
      </c>
      <c r="I1993" s="19" t="s">
        <v>246</v>
      </c>
      <c r="J1993" s="19" t="s">
        <v>217</v>
      </c>
      <c r="K1993" s="18">
        <v>46115.632777777777</v>
      </c>
    </row>
    <row r="1994" spans="1:11" x14ac:dyDescent="0.25">
      <c r="A1994" s="16" t="s">
        <v>2445</v>
      </c>
      <c r="B1994" s="20">
        <v>46111</v>
      </c>
      <c r="C1994" s="16">
        <v>3</v>
      </c>
      <c r="D1994" s="19" t="s">
        <v>41</v>
      </c>
      <c r="E1994" s="19" t="s">
        <v>453</v>
      </c>
      <c r="G1994" s="19">
        <v>0</v>
      </c>
      <c r="H1994" s="19" t="s">
        <v>306</v>
      </c>
      <c r="I1994" s="19" t="s">
        <v>246</v>
      </c>
      <c r="J1994" s="19" t="s">
        <v>217</v>
      </c>
      <c r="K1994" s="18">
        <v>46115.632939814815</v>
      </c>
    </row>
    <row r="1995" spans="1:11" x14ac:dyDescent="0.25">
      <c r="A1995" s="16" t="s">
        <v>2446</v>
      </c>
      <c r="B1995" s="20">
        <v>46105</v>
      </c>
      <c r="C1995" s="16">
        <v>3</v>
      </c>
      <c r="D1995" s="19" t="s">
        <v>43</v>
      </c>
      <c r="E1995" s="19" t="s">
        <v>453</v>
      </c>
      <c r="G1995" s="19">
        <v>86</v>
      </c>
      <c r="H1995" s="19" t="s">
        <v>215</v>
      </c>
      <c r="I1995" s="19" t="s">
        <v>246</v>
      </c>
      <c r="J1995" s="19" t="s">
        <v>217</v>
      </c>
      <c r="K1995" s="18">
        <v>46115.633668981478</v>
      </c>
    </row>
    <row r="1996" spans="1:11" x14ac:dyDescent="0.25">
      <c r="A1996" s="16" t="s">
        <v>2447</v>
      </c>
      <c r="B1996" s="20">
        <v>46105</v>
      </c>
      <c r="C1996" s="16">
        <v>3</v>
      </c>
      <c r="D1996" s="19" t="s">
        <v>43</v>
      </c>
      <c r="E1996" s="19" t="s">
        <v>453</v>
      </c>
      <c r="G1996" s="19">
        <v>63</v>
      </c>
      <c r="H1996" s="19" t="s">
        <v>215</v>
      </c>
      <c r="I1996" s="19" t="s">
        <v>246</v>
      </c>
      <c r="J1996" s="19" t="s">
        <v>217</v>
      </c>
      <c r="K1996" s="18">
        <v>46115.633715277778</v>
      </c>
    </row>
    <row r="1997" spans="1:11" x14ac:dyDescent="0.25">
      <c r="A1997" s="16" t="s">
        <v>2448</v>
      </c>
      <c r="B1997" s="20">
        <v>46105</v>
      </c>
      <c r="C1997" s="16">
        <v>3</v>
      </c>
      <c r="D1997" s="19" t="s">
        <v>45</v>
      </c>
      <c r="E1997" s="19" t="s">
        <v>453</v>
      </c>
      <c r="G1997" s="19">
        <v>57</v>
      </c>
      <c r="H1997" s="19" t="s">
        <v>215</v>
      </c>
      <c r="I1997" s="19" t="s">
        <v>216</v>
      </c>
      <c r="J1997" s="19" t="s">
        <v>217</v>
      </c>
      <c r="K1997" s="18">
        <v>46115.633842592593</v>
      </c>
    </row>
    <row r="1998" spans="1:11" x14ac:dyDescent="0.25">
      <c r="A1998" s="16" t="s">
        <v>2449</v>
      </c>
      <c r="B1998" s="20">
        <v>46105</v>
      </c>
      <c r="C1998" s="16">
        <v>3</v>
      </c>
      <c r="D1998" s="19" t="s">
        <v>45</v>
      </c>
      <c r="E1998" s="19" t="s">
        <v>453</v>
      </c>
      <c r="G1998" s="19">
        <v>56</v>
      </c>
      <c r="H1998" s="19" t="s">
        <v>215</v>
      </c>
      <c r="I1998" s="19" t="s">
        <v>216</v>
      </c>
      <c r="J1998" s="19" t="s">
        <v>217</v>
      </c>
      <c r="K1998" s="18">
        <v>46115.63386574074</v>
      </c>
    </row>
    <row r="1999" spans="1:11" x14ac:dyDescent="0.25">
      <c r="A1999" s="16" t="s">
        <v>2450</v>
      </c>
      <c r="B1999" s="20">
        <v>46105</v>
      </c>
      <c r="C1999" s="16">
        <v>3</v>
      </c>
      <c r="D1999" s="19" t="s">
        <v>45</v>
      </c>
      <c r="E1999" s="19" t="s">
        <v>453</v>
      </c>
      <c r="G1999" s="19">
        <v>77</v>
      </c>
      <c r="H1999" s="19" t="s">
        <v>215</v>
      </c>
      <c r="I1999" s="19" t="s">
        <v>216</v>
      </c>
      <c r="J1999" s="19" t="s">
        <v>217</v>
      </c>
      <c r="K1999" s="18">
        <v>46115.633888888886</v>
      </c>
    </row>
    <row r="2000" spans="1:11" x14ac:dyDescent="0.25">
      <c r="A2000" s="16" t="s">
        <v>2451</v>
      </c>
      <c r="B2000" s="20">
        <v>46106</v>
      </c>
      <c r="C2000" s="16">
        <v>3</v>
      </c>
      <c r="D2000" s="19" t="s">
        <v>45</v>
      </c>
      <c r="E2000" s="19" t="s">
        <v>453</v>
      </c>
      <c r="G2000" s="19">
        <v>79</v>
      </c>
      <c r="H2000" s="19" t="s">
        <v>215</v>
      </c>
      <c r="I2000" s="19" t="s">
        <v>216</v>
      </c>
      <c r="J2000" s="19" t="s">
        <v>217</v>
      </c>
      <c r="K2000" s="18">
        <v>46115.634282407409</v>
      </c>
    </row>
    <row r="2001" spans="1:11" x14ac:dyDescent="0.25">
      <c r="A2001" s="16" t="s">
        <v>2452</v>
      </c>
      <c r="B2001" s="20">
        <v>46106</v>
      </c>
      <c r="C2001" s="16">
        <v>3</v>
      </c>
      <c r="D2001" s="19" t="s">
        <v>45</v>
      </c>
      <c r="E2001" s="19" t="s">
        <v>453</v>
      </c>
      <c r="G2001" s="19">
        <v>61</v>
      </c>
      <c r="H2001" s="19" t="s">
        <v>215</v>
      </c>
      <c r="I2001" s="19" t="s">
        <v>216</v>
      </c>
      <c r="J2001" s="19" t="s">
        <v>217</v>
      </c>
      <c r="K2001" s="18">
        <v>46115.634305555555</v>
      </c>
    </row>
    <row r="2002" spans="1:11" x14ac:dyDescent="0.25">
      <c r="A2002" s="16" t="s">
        <v>2453</v>
      </c>
      <c r="B2002" s="20">
        <v>46106</v>
      </c>
      <c r="C2002" s="16">
        <v>3</v>
      </c>
      <c r="D2002" s="19" t="s">
        <v>43</v>
      </c>
      <c r="E2002" s="19" t="s">
        <v>453</v>
      </c>
      <c r="G2002" s="19">
        <v>70</v>
      </c>
      <c r="H2002" s="19" t="s">
        <v>215</v>
      </c>
      <c r="I2002" s="19" t="s">
        <v>246</v>
      </c>
      <c r="J2002" s="19" t="s">
        <v>217</v>
      </c>
      <c r="K2002" s="18">
        <v>46115.634456018517</v>
      </c>
    </row>
    <row r="2003" spans="1:11" x14ac:dyDescent="0.25">
      <c r="A2003" s="16" t="s">
        <v>2454</v>
      </c>
      <c r="B2003" s="20">
        <v>46106</v>
      </c>
      <c r="C2003" s="16">
        <v>3</v>
      </c>
      <c r="D2003" s="19" t="s">
        <v>43</v>
      </c>
      <c r="E2003" s="19" t="s">
        <v>453</v>
      </c>
      <c r="G2003" s="19">
        <v>34</v>
      </c>
      <c r="H2003" s="19" t="s">
        <v>215</v>
      </c>
      <c r="I2003" s="19" t="s">
        <v>246</v>
      </c>
      <c r="J2003" s="19" t="s">
        <v>217</v>
      </c>
      <c r="K2003" s="18">
        <v>46115.634479166663</v>
      </c>
    </row>
    <row r="2004" spans="1:11" x14ac:dyDescent="0.25">
      <c r="A2004" s="16" t="s">
        <v>2455</v>
      </c>
      <c r="B2004" s="20">
        <v>46107</v>
      </c>
      <c r="C2004" s="16">
        <v>3</v>
      </c>
      <c r="D2004" s="19" t="s">
        <v>43</v>
      </c>
      <c r="E2004" s="19" t="s">
        <v>453</v>
      </c>
      <c r="G2004" s="19">
        <v>45</v>
      </c>
      <c r="H2004" s="19" t="s">
        <v>215</v>
      </c>
      <c r="I2004" s="19" t="s">
        <v>246</v>
      </c>
      <c r="J2004" s="19" t="s">
        <v>217</v>
      </c>
      <c r="K2004" s="18">
        <v>46115.634687500002</v>
      </c>
    </row>
    <row r="2005" spans="1:11" x14ac:dyDescent="0.25">
      <c r="A2005" s="16" t="s">
        <v>2456</v>
      </c>
      <c r="B2005" s="20">
        <v>46107</v>
      </c>
      <c r="C2005" s="16">
        <v>3</v>
      </c>
      <c r="D2005" s="19" t="s">
        <v>43</v>
      </c>
      <c r="E2005" s="19" t="s">
        <v>453</v>
      </c>
      <c r="G2005" s="19">
        <v>26</v>
      </c>
      <c r="H2005" s="19" t="s">
        <v>215</v>
      </c>
      <c r="I2005" s="19" t="s">
        <v>246</v>
      </c>
      <c r="J2005" s="19" t="s">
        <v>217</v>
      </c>
      <c r="K2005" s="18">
        <v>46115.634710648148</v>
      </c>
    </row>
    <row r="2006" spans="1:11" x14ac:dyDescent="0.25">
      <c r="A2006" s="16" t="s">
        <v>2457</v>
      </c>
      <c r="B2006" s="20">
        <v>46107</v>
      </c>
      <c r="C2006" s="16">
        <v>3</v>
      </c>
      <c r="D2006" s="19" t="s">
        <v>43</v>
      </c>
      <c r="E2006" s="19" t="s">
        <v>453</v>
      </c>
      <c r="G2006" s="19">
        <v>37</v>
      </c>
      <c r="H2006" s="19" t="s">
        <v>215</v>
      </c>
      <c r="I2006" s="19" t="s">
        <v>246</v>
      </c>
      <c r="J2006" s="19" t="s">
        <v>217</v>
      </c>
      <c r="K2006" s="18">
        <v>46115.634733796294</v>
      </c>
    </row>
    <row r="2007" spans="1:11" x14ac:dyDescent="0.25">
      <c r="A2007" s="16" t="s">
        <v>2458</v>
      </c>
      <c r="B2007" s="20">
        <v>46107</v>
      </c>
      <c r="C2007" s="16">
        <v>3</v>
      </c>
      <c r="D2007" s="19" t="s">
        <v>43</v>
      </c>
      <c r="E2007" s="19" t="s">
        <v>453</v>
      </c>
      <c r="G2007" s="19">
        <v>26</v>
      </c>
      <c r="H2007" s="19" t="s">
        <v>215</v>
      </c>
      <c r="I2007" s="19" t="s">
        <v>246</v>
      </c>
      <c r="J2007" s="19" t="s">
        <v>217</v>
      </c>
      <c r="K2007" s="18">
        <v>46115.634745370371</v>
      </c>
    </row>
    <row r="2008" spans="1:11" x14ac:dyDescent="0.25">
      <c r="A2008" s="16" t="s">
        <v>2459</v>
      </c>
      <c r="B2008" s="20">
        <v>46107</v>
      </c>
      <c r="C2008" s="16">
        <v>3</v>
      </c>
      <c r="D2008" s="19" t="s">
        <v>45</v>
      </c>
      <c r="E2008" s="19" t="s">
        <v>453</v>
      </c>
      <c r="G2008" s="19">
        <v>55</v>
      </c>
      <c r="H2008" s="19" t="s">
        <v>215</v>
      </c>
      <c r="I2008" s="19" t="s">
        <v>216</v>
      </c>
      <c r="J2008" s="19" t="s">
        <v>217</v>
      </c>
      <c r="K2008" s="18">
        <v>46115.634895833333</v>
      </c>
    </row>
    <row r="2009" spans="1:11" x14ac:dyDescent="0.25">
      <c r="A2009" s="16" t="s">
        <v>2460</v>
      </c>
      <c r="B2009" s="20">
        <v>46107</v>
      </c>
      <c r="C2009" s="16">
        <v>3</v>
      </c>
      <c r="D2009" s="19" t="s">
        <v>45</v>
      </c>
      <c r="E2009" s="19" t="s">
        <v>453</v>
      </c>
      <c r="G2009" s="19">
        <v>84</v>
      </c>
      <c r="H2009" s="19" t="s">
        <v>215</v>
      </c>
      <c r="I2009" s="19" t="s">
        <v>216</v>
      </c>
      <c r="J2009" s="19" t="s">
        <v>217</v>
      </c>
      <c r="K2009" s="18">
        <v>46115.634918981479</v>
      </c>
    </row>
    <row r="2010" spans="1:11" x14ac:dyDescent="0.25">
      <c r="A2010" s="16" t="s">
        <v>2461</v>
      </c>
      <c r="B2010" s="20">
        <v>46108</v>
      </c>
      <c r="C2010" s="16">
        <v>3</v>
      </c>
      <c r="D2010" s="19" t="s">
        <v>43</v>
      </c>
      <c r="E2010" s="19" t="s">
        <v>453</v>
      </c>
      <c r="G2010" s="19">
        <v>55</v>
      </c>
      <c r="H2010" s="19" t="s">
        <v>215</v>
      </c>
      <c r="I2010" s="19" t="s">
        <v>246</v>
      </c>
      <c r="J2010" s="19" t="s">
        <v>217</v>
      </c>
      <c r="K2010" s="18">
        <v>46115.635138888887</v>
      </c>
    </row>
    <row r="2011" spans="1:11" x14ac:dyDescent="0.25">
      <c r="A2011" s="16" t="s">
        <v>2462</v>
      </c>
      <c r="B2011" s="20">
        <v>46108</v>
      </c>
      <c r="C2011" s="16">
        <v>3</v>
      </c>
      <c r="D2011" s="19" t="s">
        <v>43</v>
      </c>
      <c r="E2011" s="19" t="s">
        <v>453</v>
      </c>
      <c r="G2011" s="19">
        <v>25</v>
      </c>
      <c r="H2011" s="19" t="s">
        <v>215</v>
      </c>
      <c r="I2011" s="19" t="s">
        <v>246</v>
      </c>
      <c r="J2011" s="19" t="s">
        <v>217</v>
      </c>
      <c r="K2011" s="18">
        <v>46115.635150462964</v>
      </c>
    </row>
    <row r="2012" spans="1:11" x14ac:dyDescent="0.25">
      <c r="A2012" s="16" t="s">
        <v>2463</v>
      </c>
      <c r="B2012" s="20">
        <v>46109</v>
      </c>
      <c r="C2012" s="16">
        <v>3</v>
      </c>
      <c r="D2012" s="19" t="s">
        <v>43</v>
      </c>
      <c r="E2012" s="19" t="s">
        <v>453</v>
      </c>
      <c r="G2012" s="19">
        <v>14</v>
      </c>
      <c r="H2012" s="19" t="s">
        <v>215</v>
      </c>
      <c r="I2012" s="19" t="s">
        <v>246</v>
      </c>
      <c r="J2012" s="19" t="s">
        <v>217</v>
      </c>
      <c r="K2012" s="18">
        <v>46115.635324074072</v>
      </c>
    </row>
    <row r="2013" spans="1:11" x14ac:dyDescent="0.25">
      <c r="A2013" s="16" t="s">
        <v>2464</v>
      </c>
      <c r="B2013" s="20">
        <v>46109</v>
      </c>
      <c r="C2013" s="16">
        <v>3</v>
      </c>
      <c r="D2013" s="19" t="s">
        <v>43</v>
      </c>
      <c r="E2013" s="19" t="s">
        <v>453</v>
      </c>
      <c r="G2013" s="19">
        <v>29</v>
      </c>
      <c r="H2013" s="19" t="s">
        <v>215</v>
      </c>
      <c r="I2013" s="19" t="s">
        <v>246</v>
      </c>
      <c r="J2013" s="19" t="s">
        <v>217</v>
      </c>
      <c r="K2013" s="18">
        <v>46115.635347222225</v>
      </c>
    </row>
    <row r="2014" spans="1:11" x14ac:dyDescent="0.25">
      <c r="A2014" s="16" t="s">
        <v>2465</v>
      </c>
      <c r="B2014" s="20">
        <v>46109</v>
      </c>
      <c r="C2014" s="16">
        <v>3</v>
      </c>
      <c r="D2014" s="19" t="s">
        <v>43</v>
      </c>
      <c r="E2014" s="19" t="s">
        <v>453</v>
      </c>
      <c r="G2014" s="19">
        <v>67</v>
      </c>
      <c r="H2014" s="19" t="s">
        <v>215</v>
      </c>
      <c r="I2014" s="19" t="s">
        <v>246</v>
      </c>
      <c r="J2014" s="19" t="s">
        <v>217</v>
      </c>
      <c r="K2014" s="18">
        <v>46115.635358796295</v>
      </c>
    </row>
    <row r="2015" spans="1:11" x14ac:dyDescent="0.25">
      <c r="A2015" s="16" t="s">
        <v>2466</v>
      </c>
      <c r="B2015" s="20">
        <v>46109</v>
      </c>
      <c r="C2015" s="16">
        <v>3</v>
      </c>
      <c r="D2015" s="19" t="s">
        <v>45</v>
      </c>
      <c r="E2015" s="19" t="s">
        <v>453</v>
      </c>
      <c r="G2015" s="19">
        <v>3</v>
      </c>
      <c r="H2015" s="19" t="s">
        <v>215</v>
      </c>
      <c r="I2015" s="19" t="s">
        <v>216</v>
      </c>
      <c r="J2015" s="19" t="s">
        <v>217</v>
      </c>
      <c r="K2015" s="18">
        <v>46115.635520833333</v>
      </c>
    </row>
    <row r="2016" spans="1:11" x14ac:dyDescent="0.25">
      <c r="A2016" s="16" t="s">
        <v>2467</v>
      </c>
      <c r="B2016" s="20">
        <v>46110</v>
      </c>
      <c r="C2016" s="16">
        <v>3</v>
      </c>
      <c r="D2016" s="19" t="s">
        <v>45</v>
      </c>
      <c r="E2016" s="19" t="s">
        <v>453</v>
      </c>
      <c r="G2016" s="19">
        <v>14</v>
      </c>
      <c r="H2016" s="19" t="s">
        <v>215</v>
      </c>
      <c r="I2016" s="19" t="s">
        <v>216</v>
      </c>
      <c r="J2016" s="19" t="s">
        <v>217</v>
      </c>
      <c r="K2016" s="18">
        <v>46115.635671296295</v>
      </c>
    </row>
    <row r="2017" spans="1:11" x14ac:dyDescent="0.25">
      <c r="A2017" s="16" t="s">
        <v>2468</v>
      </c>
      <c r="B2017" s="20">
        <v>46110</v>
      </c>
      <c r="C2017" s="16">
        <v>3</v>
      </c>
      <c r="D2017" s="19" t="s">
        <v>45</v>
      </c>
      <c r="E2017" s="19" t="s">
        <v>453</v>
      </c>
      <c r="G2017" s="19">
        <v>35</v>
      </c>
      <c r="H2017" s="19" t="s">
        <v>215</v>
      </c>
      <c r="I2017" s="19" t="s">
        <v>216</v>
      </c>
      <c r="J2017" s="19" t="s">
        <v>217</v>
      </c>
      <c r="K2017" s="18">
        <v>46115.635694444441</v>
      </c>
    </row>
    <row r="2018" spans="1:11" x14ac:dyDescent="0.25">
      <c r="A2018" s="16" t="s">
        <v>2469</v>
      </c>
      <c r="B2018" s="20">
        <v>46110</v>
      </c>
      <c r="C2018" s="16">
        <v>3</v>
      </c>
      <c r="D2018" s="19" t="s">
        <v>45</v>
      </c>
      <c r="E2018" s="19" t="s">
        <v>453</v>
      </c>
      <c r="G2018" s="19">
        <v>93</v>
      </c>
      <c r="H2018" s="19" t="s">
        <v>215</v>
      </c>
      <c r="I2018" s="19" t="s">
        <v>216</v>
      </c>
      <c r="J2018" s="19" t="s">
        <v>217</v>
      </c>
      <c r="K2018" s="18">
        <v>46115.635717592595</v>
      </c>
    </row>
    <row r="2019" spans="1:11" x14ac:dyDescent="0.25">
      <c r="A2019" s="16" t="s">
        <v>2470</v>
      </c>
      <c r="B2019" s="20">
        <v>46110</v>
      </c>
      <c r="C2019" s="16">
        <v>3</v>
      </c>
      <c r="D2019" s="19" t="s">
        <v>45</v>
      </c>
      <c r="E2019" s="19" t="s">
        <v>453</v>
      </c>
      <c r="G2019" s="19">
        <v>68</v>
      </c>
      <c r="H2019" s="19" t="s">
        <v>215</v>
      </c>
      <c r="I2019" s="19" t="s">
        <v>216</v>
      </c>
      <c r="J2019" s="19" t="s">
        <v>217</v>
      </c>
      <c r="K2019" s="18">
        <v>46115.635729166665</v>
      </c>
    </row>
    <row r="2020" spans="1:11" x14ac:dyDescent="0.25">
      <c r="A2020" s="16" t="s">
        <v>2471</v>
      </c>
      <c r="B2020" s="20">
        <v>46110</v>
      </c>
      <c r="C2020" s="16">
        <v>3</v>
      </c>
      <c r="D2020" s="19" t="s">
        <v>43</v>
      </c>
      <c r="E2020" s="19" t="s">
        <v>453</v>
      </c>
      <c r="G2020" s="19">
        <v>9</v>
      </c>
      <c r="H2020" s="19" t="s">
        <v>427</v>
      </c>
      <c r="I2020" s="19" t="s">
        <v>246</v>
      </c>
      <c r="J2020" s="19" t="s">
        <v>217</v>
      </c>
      <c r="K2020" s="18">
        <v>46115.635949074072</v>
      </c>
    </row>
    <row r="2021" spans="1:11" x14ac:dyDescent="0.25">
      <c r="A2021" s="16" t="s">
        <v>2472</v>
      </c>
      <c r="B2021" s="20">
        <v>46110</v>
      </c>
      <c r="C2021" s="16">
        <v>3</v>
      </c>
      <c r="D2021" s="19" t="s">
        <v>43</v>
      </c>
      <c r="E2021" s="19" t="s">
        <v>453</v>
      </c>
      <c r="G2021" s="19">
        <v>33</v>
      </c>
      <c r="H2021" s="19" t="s">
        <v>215</v>
      </c>
      <c r="I2021" s="19" t="s">
        <v>246</v>
      </c>
      <c r="J2021" s="19" t="s">
        <v>217</v>
      </c>
      <c r="K2021" s="18">
        <v>46115.636006944442</v>
      </c>
    </row>
    <row r="2022" spans="1:11" x14ac:dyDescent="0.25">
      <c r="A2022" s="16" t="s">
        <v>2473</v>
      </c>
      <c r="B2022" s="20">
        <v>46111</v>
      </c>
      <c r="C2022" s="16">
        <v>3</v>
      </c>
      <c r="D2022" s="19" t="s">
        <v>43</v>
      </c>
      <c r="E2022" s="19" t="s">
        <v>453</v>
      </c>
      <c r="G2022" s="19">
        <v>56</v>
      </c>
      <c r="H2022" s="19" t="s">
        <v>215</v>
      </c>
      <c r="I2022" s="19" t="s">
        <v>246</v>
      </c>
      <c r="J2022" s="19" t="s">
        <v>217</v>
      </c>
      <c r="K2022" s="18">
        <v>46115.636238425926</v>
      </c>
    </row>
    <row r="2023" spans="1:11" x14ac:dyDescent="0.25">
      <c r="A2023" s="16" t="s">
        <v>2474</v>
      </c>
      <c r="B2023" s="20">
        <v>46111</v>
      </c>
      <c r="C2023" s="16">
        <v>3</v>
      </c>
      <c r="D2023" s="19" t="s">
        <v>45</v>
      </c>
      <c r="E2023" s="19" t="s">
        <v>453</v>
      </c>
      <c r="G2023" s="19">
        <v>18</v>
      </c>
      <c r="H2023" s="19" t="s">
        <v>215</v>
      </c>
      <c r="I2023" s="19" t="s">
        <v>216</v>
      </c>
      <c r="J2023" s="19" t="s">
        <v>217</v>
      </c>
      <c r="K2023" s="18">
        <v>46115.636388888888</v>
      </c>
    </row>
    <row r="2024" spans="1:11" x14ac:dyDescent="0.25">
      <c r="A2024" s="16" t="s">
        <v>2475</v>
      </c>
      <c r="B2024" s="20">
        <v>46111</v>
      </c>
      <c r="C2024" s="16">
        <v>3</v>
      </c>
      <c r="D2024" s="19" t="s">
        <v>45</v>
      </c>
      <c r="E2024" s="19" t="s">
        <v>453</v>
      </c>
      <c r="G2024" s="19">
        <v>52</v>
      </c>
      <c r="H2024" s="19" t="s">
        <v>215</v>
      </c>
      <c r="I2024" s="19" t="s">
        <v>216</v>
      </c>
      <c r="J2024" s="19" t="s">
        <v>217</v>
      </c>
      <c r="K2024" s="18">
        <v>46115.636400462965</v>
      </c>
    </row>
    <row r="2025" spans="1:11" x14ac:dyDescent="0.25">
      <c r="A2025" s="16" t="s">
        <v>2476</v>
      </c>
      <c r="B2025" s="20">
        <v>46111</v>
      </c>
      <c r="C2025" s="16">
        <v>3</v>
      </c>
      <c r="D2025" s="19" t="s">
        <v>45</v>
      </c>
      <c r="E2025" s="19" t="s">
        <v>453</v>
      </c>
      <c r="G2025" s="19">
        <v>40</v>
      </c>
      <c r="H2025" s="19" t="s">
        <v>215</v>
      </c>
      <c r="I2025" s="19" t="s">
        <v>216</v>
      </c>
      <c r="J2025" s="19" t="s">
        <v>217</v>
      </c>
      <c r="K2025" s="18">
        <v>46115.636412037034</v>
      </c>
    </row>
    <row r="2026" spans="1:11" x14ac:dyDescent="0.25">
      <c r="A2026" s="16" t="s">
        <v>2477</v>
      </c>
      <c r="B2026" s="20">
        <v>46112</v>
      </c>
      <c r="C2026" s="16">
        <v>3</v>
      </c>
      <c r="D2026" s="19" t="s">
        <v>45</v>
      </c>
      <c r="E2026" s="19" t="s">
        <v>453</v>
      </c>
      <c r="G2026" s="19">
        <v>52</v>
      </c>
      <c r="H2026" s="19" t="s">
        <v>215</v>
      </c>
      <c r="I2026" s="19" t="s">
        <v>216</v>
      </c>
      <c r="J2026" s="19" t="s">
        <v>217</v>
      </c>
      <c r="K2026" s="18">
        <v>46115.636574074073</v>
      </c>
    </row>
    <row r="2027" spans="1:11" x14ac:dyDescent="0.25">
      <c r="A2027" s="16" t="s">
        <v>2478</v>
      </c>
      <c r="B2027" s="20">
        <v>46112</v>
      </c>
      <c r="C2027" s="16">
        <v>3</v>
      </c>
      <c r="D2027" s="19" t="s">
        <v>45</v>
      </c>
      <c r="E2027" s="19" t="s">
        <v>453</v>
      </c>
      <c r="G2027" s="19">
        <v>69</v>
      </c>
      <c r="H2027" s="19" t="s">
        <v>215</v>
      </c>
      <c r="I2027" s="19" t="s">
        <v>216</v>
      </c>
      <c r="J2027" s="19" t="s">
        <v>217</v>
      </c>
      <c r="K2027" s="18">
        <v>46115.63658564815</v>
      </c>
    </row>
    <row r="2028" spans="1:11" x14ac:dyDescent="0.25">
      <c r="A2028" s="16" t="s">
        <v>2479</v>
      </c>
      <c r="B2028" s="20">
        <v>46112</v>
      </c>
      <c r="C2028" s="16">
        <v>3</v>
      </c>
      <c r="D2028" s="19" t="s">
        <v>45</v>
      </c>
      <c r="E2028" s="19" t="s">
        <v>453</v>
      </c>
      <c r="G2028" s="19">
        <v>71</v>
      </c>
      <c r="H2028" s="19" t="s">
        <v>215</v>
      </c>
      <c r="I2028" s="19" t="s">
        <v>216</v>
      </c>
      <c r="J2028" s="19" t="s">
        <v>217</v>
      </c>
      <c r="K2028" s="18">
        <v>46115.636620370373</v>
      </c>
    </row>
    <row r="2029" spans="1:11" x14ac:dyDescent="0.25">
      <c r="A2029" s="16" t="s">
        <v>2480</v>
      </c>
      <c r="B2029" s="20">
        <v>46112</v>
      </c>
      <c r="C2029" s="16">
        <v>3</v>
      </c>
      <c r="D2029" s="19" t="s">
        <v>43</v>
      </c>
      <c r="E2029" s="19" t="s">
        <v>453</v>
      </c>
      <c r="G2029" s="19">
        <v>71</v>
      </c>
      <c r="H2029" s="19" t="s">
        <v>215</v>
      </c>
      <c r="I2029" s="19" t="s">
        <v>246</v>
      </c>
      <c r="J2029" s="19" t="s">
        <v>217</v>
      </c>
      <c r="K2029" s="18">
        <v>46115.636793981481</v>
      </c>
    </row>
    <row r="2030" spans="1:11" x14ac:dyDescent="0.25">
      <c r="A2030" s="16" t="s">
        <v>2481</v>
      </c>
      <c r="B2030" s="20">
        <v>46112</v>
      </c>
      <c r="C2030" s="16">
        <v>3</v>
      </c>
      <c r="D2030" s="19" t="s">
        <v>43</v>
      </c>
      <c r="E2030" s="19" t="s">
        <v>453</v>
      </c>
      <c r="G2030" s="19">
        <v>52</v>
      </c>
      <c r="H2030" s="19" t="s">
        <v>215</v>
      </c>
      <c r="I2030" s="19" t="s">
        <v>246</v>
      </c>
      <c r="J2030" s="19" t="s">
        <v>217</v>
      </c>
      <c r="K2030" s="18">
        <v>46115.636840277781</v>
      </c>
    </row>
    <row r="2031" spans="1:11" x14ac:dyDescent="0.25">
      <c r="A2031" s="16" t="s">
        <v>2482</v>
      </c>
      <c r="B2031" s="20">
        <v>46112</v>
      </c>
      <c r="C2031" s="16">
        <v>3</v>
      </c>
      <c r="D2031" s="19" t="s">
        <v>43</v>
      </c>
      <c r="E2031" s="19" t="s">
        <v>453</v>
      </c>
      <c r="G2031" s="19">
        <v>18</v>
      </c>
      <c r="H2031" s="19" t="s">
        <v>215</v>
      </c>
      <c r="I2031" s="19" t="s">
        <v>246</v>
      </c>
      <c r="J2031" s="19" t="s">
        <v>217</v>
      </c>
      <c r="K2031" s="18">
        <v>46115.63685185185</v>
      </c>
    </row>
  </sheetData>
  <sheetProtection sheet="1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83"/>
  <sheetViews>
    <sheetView workbookViewId="0"/>
  </sheetViews>
  <sheetFormatPr defaultRowHeight="15" x14ac:dyDescent="0.25"/>
  <cols>
    <col min="1" max="1" width="12" style="16" customWidth="1"/>
    <col min="2" max="2" width="14" style="19" customWidth="1"/>
    <col min="3" max="3" width="8" style="16" customWidth="1"/>
    <col min="4" max="4" width="12" style="19" customWidth="1"/>
    <col min="5" max="5" width="14" style="19" customWidth="1"/>
    <col min="6" max="6" width="25" style="19" customWidth="1"/>
    <col min="7" max="7" width="8" style="19" customWidth="1"/>
    <col min="8" max="8" width="10" style="19" customWidth="1"/>
    <col min="9" max="9" width="6" style="19" customWidth="1"/>
    <col min="10" max="10" width="14" style="19" customWidth="1"/>
    <col min="11" max="11" width="25" style="19" customWidth="1"/>
    <col min="12" max="12" width="16" style="19" customWidth="1"/>
    <col min="13" max="13" width="18" style="16" customWidth="1"/>
    <col min="14" max="16384" width="9.140625" style="19"/>
  </cols>
  <sheetData>
    <row r="1" spans="1:13" x14ac:dyDescent="0.25">
      <c r="A1" s="16" t="s">
        <v>94</v>
      </c>
      <c r="B1" s="19" t="s">
        <v>95</v>
      </c>
      <c r="C1" s="16" t="s">
        <v>76</v>
      </c>
      <c r="D1" s="19" t="s">
        <v>23</v>
      </c>
      <c r="E1" s="19" t="s">
        <v>96</v>
      </c>
      <c r="F1" s="19" t="s">
        <v>97</v>
      </c>
      <c r="G1" s="19" t="s">
        <v>90</v>
      </c>
      <c r="H1" s="19" t="s">
        <v>91</v>
      </c>
      <c r="I1" s="19" t="s">
        <v>92</v>
      </c>
      <c r="J1" s="19" t="s">
        <v>93</v>
      </c>
      <c r="K1" s="19" t="s">
        <v>98</v>
      </c>
      <c r="L1" s="19" t="s">
        <v>99</v>
      </c>
      <c r="M1" s="16" t="s">
        <v>85</v>
      </c>
    </row>
    <row r="2" spans="1:13" x14ac:dyDescent="0.25">
      <c r="A2" s="16" t="s">
        <v>213</v>
      </c>
      <c r="B2" s="20">
        <v>46024</v>
      </c>
      <c r="C2" s="16">
        <v>1</v>
      </c>
      <c r="D2" s="19" t="s">
        <v>31</v>
      </c>
      <c r="E2" s="19" t="s">
        <v>214</v>
      </c>
      <c r="G2" s="19">
        <v>45</v>
      </c>
      <c r="H2" s="19" t="s">
        <v>215</v>
      </c>
      <c r="I2" s="19" t="s">
        <v>216</v>
      </c>
      <c r="J2" s="19" t="s">
        <v>217</v>
      </c>
      <c r="L2" s="19" t="b">
        <v>0</v>
      </c>
      <c r="M2" s="18">
        <v>46072.423275462963</v>
      </c>
    </row>
    <row r="3" spans="1:13" x14ac:dyDescent="0.25">
      <c r="A3" s="16" t="s">
        <v>218</v>
      </c>
      <c r="B3" s="20">
        <v>46038</v>
      </c>
      <c r="C3" s="16">
        <v>1</v>
      </c>
      <c r="D3" s="19" t="s">
        <v>31</v>
      </c>
      <c r="E3" s="19" t="s">
        <v>219</v>
      </c>
      <c r="F3" s="19" t="s">
        <v>220</v>
      </c>
      <c r="G3" s="19">
        <v>43</v>
      </c>
      <c r="H3" s="19" t="s">
        <v>215</v>
      </c>
      <c r="I3" s="19" t="s">
        <v>216</v>
      </c>
      <c r="J3" s="19" t="s">
        <v>217</v>
      </c>
      <c r="L3" s="19" t="b">
        <v>0</v>
      </c>
      <c r="M3" s="18">
        <v>46072.424849537034</v>
      </c>
    </row>
    <row r="4" spans="1:13" x14ac:dyDescent="0.25">
      <c r="A4" s="16" t="s">
        <v>221</v>
      </c>
      <c r="B4" s="20">
        <v>46038</v>
      </c>
      <c r="C4" s="16">
        <v>1</v>
      </c>
      <c r="D4" s="19" t="s">
        <v>31</v>
      </c>
      <c r="E4" s="19" t="s">
        <v>222</v>
      </c>
      <c r="F4" s="19" t="s">
        <v>223</v>
      </c>
      <c r="G4" s="19">
        <v>51</v>
      </c>
      <c r="H4" s="19" t="s">
        <v>215</v>
      </c>
      <c r="I4" s="19" t="s">
        <v>216</v>
      </c>
      <c r="J4" s="19" t="s">
        <v>224</v>
      </c>
      <c r="L4" s="19" t="b">
        <v>0</v>
      </c>
      <c r="M4" s="18">
        <v>46072.425613425927</v>
      </c>
    </row>
    <row r="5" spans="1:13" x14ac:dyDescent="0.25">
      <c r="A5" s="16" t="s">
        <v>225</v>
      </c>
      <c r="B5" s="20">
        <v>46039</v>
      </c>
      <c r="C5" s="16">
        <v>1</v>
      </c>
      <c r="D5" s="19" t="s">
        <v>31</v>
      </c>
      <c r="E5" s="19" t="s">
        <v>226</v>
      </c>
      <c r="F5" s="19" t="s">
        <v>227</v>
      </c>
      <c r="G5" s="19">
        <v>64</v>
      </c>
      <c r="H5" s="19" t="s">
        <v>215</v>
      </c>
      <c r="I5" s="19" t="s">
        <v>216</v>
      </c>
      <c r="J5" s="19" t="s">
        <v>217</v>
      </c>
      <c r="L5" s="19" t="b">
        <v>0</v>
      </c>
      <c r="M5" s="18">
        <v>46072.426064814812</v>
      </c>
    </row>
    <row r="6" spans="1:13" x14ac:dyDescent="0.25">
      <c r="A6" s="16" t="s">
        <v>228</v>
      </c>
      <c r="B6" s="20">
        <v>46040</v>
      </c>
      <c r="C6" s="16">
        <v>1</v>
      </c>
      <c r="D6" s="19" t="s">
        <v>31</v>
      </c>
      <c r="E6" s="19" t="s">
        <v>229</v>
      </c>
      <c r="F6" s="19" t="s">
        <v>230</v>
      </c>
      <c r="G6" s="19">
        <v>58</v>
      </c>
      <c r="H6" s="19" t="s">
        <v>215</v>
      </c>
      <c r="I6" s="19" t="s">
        <v>216</v>
      </c>
      <c r="J6" s="19" t="s">
        <v>224</v>
      </c>
      <c r="L6" s="19" t="b">
        <v>0</v>
      </c>
      <c r="M6" s="18">
        <v>46072.427546296298</v>
      </c>
    </row>
    <row r="7" spans="1:13" x14ac:dyDescent="0.25">
      <c r="A7" s="16" t="s">
        <v>231</v>
      </c>
      <c r="B7" s="20">
        <v>46043</v>
      </c>
      <c r="C7" s="16">
        <v>1</v>
      </c>
      <c r="D7" s="19" t="s">
        <v>31</v>
      </c>
      <c r="E7" s="19" t="s">
        <v>232</v>
      </c>
      <c r="F7" s="19" t="s">
        <v>233</v>
      </c>
      <c r="G7" s="19">
        <v>40</v>
      </c>
      <c r="H7" s="19" t="s">
        <v>215</v>
      </c>
      <c r="I7" s="19" t="s">
        <v>216</v>
      </c>
      <c r="J7" s="19" t="s">
        <v>217</v>
      </c>
      <c r="L7" s="19" t="b">
        <v>0</v>
      </c>
      <c r="M7" s="18">
        <v>46072.42832175926</v>
      </c>
    </row>
    <row r="8" spans="1:13" x14ac:dyDescent="0.25">
      <c r="A8" s="16" t="s">
        <v>234</v>
      </c>
      <c r="B8" s="20">
        <v>46045</v>
      </c>
      <c r="C8" s="16">
        <v>1</v>
      </c>
      <c r="D8" s="19" t="s">
        <v>31</v>
      </c>
      <c r="E8" s="19" t="s">
        <v>235</v>
      </c>
      <c r="F8" s="19" t="s">
        <v>236</v>
      </c>
      <c r="G8" s="19">
        <v>65</v>
      </c>
      <c r="H8" s="19" t="s">
        <v>215</v>
      </c>
      <c r="I8" s="19" t="s">
        <v>216</v>
      </c>
      <c r="J8" s="19" t="s">
        <v>217</v>
      </c>
      <c r="L8" s="19" t="b">
        <v>0</v>
      </c>
      <c r="M8" s="18">
        <v>46072.429490740738</v>
      </c>
    </row>
    <row r="9" spans="1:13" x14ac:dyDescent="0.25">
      <c r="A9" s="16" t="s">
        <v>237</v>
      </c>
      <c r="B9" s="20">
        <v>46045</v>
      </c>
      <c r="C9" s="16">
        <v>1</v>
      </c>
      <c r="D9" s="19" t="s">
        <v>31</v>
      </c>
      <c r="E9" s="19" t="s">
        <v>238</v>
      </c>
      <c r="G9" s="19">
        <v>45</v>
      </c>
      <c r="H9" s="19" t="s">
        <v>215</v>
      </c>
      <c r="I9" s="19" t="s">
        <v>216</v>
      </c>
      <c r="J9" s="19" t="s">
        <v>217</v>
      </c>
      <c r="L9" s="19" t="b">
        <v>0</v>
      </c>
      <c r="M9" s="18">
        <v>46072.429768518516</v>
      </c>
    </row>
    <row r="10" spans="1:13" x14ac:dyDescent="0.25">
      <c r="A10" s="16" t="s">
        <v>239</v>
      </c>
      <c r="B10" s="20">
        <v>46049</v>
      </c>
      <c r="C10" s="16">
        <v>1</v>
      </c>
      <c r="D10" s="19" t="s">
        <v>31</v>
      </c>
      <c r="E10" s="19">
        <v>2659</v>
      </c>
      <c r="F10" s="19" t="s">
        <v>240</v>
      </c>
      <c r="G10" s="19">
        <v>73</v>
      </c>
      <c r="H10" s="19" t="s">
        <v>215</v>
      </c>
      <c r="I10" s="19" t="s">
        <v>216</v>
      </c>
      <c r="J10" s="19" t="s">
        <v>217</v>
      </c>
      <c r="L10" s="19" t="b">
        <v>0</v>
      </c>
      <c r="M10" s="18">
        <v>46072.430775462963</v>
      </c>
    </row>
    <row r="11" spans="1:13" x14ac:dyDescent="0.25">
      <c r="A11" s="16" t="s">
        <v>241</v>
      </c>
      <c r="B11" s="20">
        <v>46053</v>
      </c>
      <c r="C11" s="16">
        <v>1</v>
      </c>
      <c r="D11" s="19" t="s">
        <v>31</v>
      </c>
      <c r="E11" s="19">
        <v>26010439</v>
      </c>
      <c r="F11" s="19" t="s">
        <v>242</v>
      </c>
      <c r="G11" s="19">
        <v>21</v>
      </c>
      <c r="H11" s="19" t="s">
        <v>215</v>
      </c>
      <c r="I11" s="19" t="s">
        <v>216</v>
      </c>
      <c r="J11" s="19" t="s">
        <v>217</v>
      </c>
      <c r="L11" s="19" t="b">
        <v>0</v>
      </c>
      <c r="M11" s="18">
        <v>46072.431701388887</v>
      </c>
    </row>
    <row r="12" spans="1:13" x14ac:dyDescent="0.25">
      <c r="A12" s="16" t="s">
        <v>243</v>
      </c>
      <c r="B12" s="20">
        <v>46026</v>
      </c>
      <c r="C12" s="16">
        <v>1</v>
      </c>
      <c r="D12" s="19" t="s">
        <v>43</v>
      </c>
      <c r="E12" s="19" t="s">
        <v>244</v>
      </c>
      <c r="F12" s="19" t="s">
        <v>245</v>
      </c>
      <c r="G12" s="19">
        <v>75</v>
      </c>
      <c r="H12" s="19" t="s">
        <v>215</v>
      </c>
      <c r="I12" s="19" t="s">
        <v>246</v>
      </c>
      <c r="J12" s="19" t="s">
        <v>217</v>
      </c>
      <c r="L12" s="19" t="b">
        <v>1</v>
      </c>
      <c r="M12" s="18">
        <v>46072.435358796298</v>
      </c>
    </row>
    <row r="13" spans="1:13" x14ac:dyDescent="0.25">
      <c r="A13" s="16" t="s">
        <v>247</v>
      </c>
      <c r="B13" s="20">
        <v>46038</v>
      </c>
      <c r="C13" s="16">
        <v>1</v>
      </c>
      <c r="D13" s="19" t="s">
        <v>43</v>
      </c>
      <c r="E13" s="19" t="s">
        <v>248</v>
      </c>
      <c r="F13" s="19" t="s">
        <v>249</v>
      </c>
      <c r="G13" s="19">
        <v>73</v>
      </c>
      <c r="H13" s="19" t="s">
        <v>215</v>
      </c>
      <c r="I13" s="19" t="s">
        <v>246</v>
      </c>
      <c r="J13" s="19" t="s">
        <v>217</v>
      </c>
      <c r="L13" s="19" t="b">
        <v>1</v>
      </c>
      <c r="M13" s="18">
        <v>46072.436909722222</v>
      </c>
    </row>
    <row r="14" spans="1:13" x14ac:dyDescent="0.25">
      <c r="A14" s="16" t="s">
        <v>250</v>
      </c>
      <c r="B14" s="20">
        <v>46041</v>
      </c>
      <c r="C14" s="16">
        <v>1</v>
      </c>
      <c r="D14" s="19" t="s">
        <v>43</v>
      </c>
      <c r="E14" s="19" t="s">
        <v>251</v>
      </c>
      <c r="F14" s="19" t="s">
        <v>252</v>
      </c>
      <c r="G14" s="19">
        <v>60</v>
      </c>
      <c r="H14" s="19" t="s">
        <v>215</v>
      </c>
      <c r="I14" s="19" t="s">
        <v>246</v>
      </c>
      <c r="J14" s="19" t="s">
        <v>224</v>
      </c>
      <c r="L14" s="19" t="b">
        <v>1</v>
      </c>
      <c r="M14" s="18">
        <v>46072.438796296294</v>
      </c>
    </row>
    <row r="15" spans="1:13" x14ac:dyDescent="0.25">
      <c r="A15" s="16" t="s">
        <v>253</v>
      </c>
      <c r="B15" s="20">
        <v>46042</v>
      </c>
      <c r="C15" s="16">
        <v>1</v>
      </c>
      <c r="D15" s="19" t="s">
        <v>45</v>
      </c>
      <c r="E15" s="19" t="s">
        <v>254</v>
      </c>
      <c r="F15" s="19" t="s">
        <v>255</v>
      </c>
      <c r="G15" s="19">
        <v>77</v>
      </c>
      <c r="H15" s="19" t="s">
        <v>215</v>
      </c>
      <c r="I15" s="19" t="s">
        <v>216</v>
      </c>
      <c r="J15" s="19" t="s">
        <v>217</v>
      </c>
      <c r="L15" s="19" t="b">
        <v>1</v>
      </c>
      <c r="M15" s="18">
        <v>46072.44017361111</v>
      </c>
    </row>
    <row r="16" spans="1:13" x14ac:dyDescent="0.25">
      <c r="A16" s="16" t="s">
        <v>256</v>
      </c>
      <c r="B16" s="20">
        <v>46045</v>
      </c>
      <c r="C16" s="16">
        <v>1</v>
      </c>
      <c r="D16" s="19" t="s">
        <v>43</v>
      </c>
      <c r="E16" s="19" t="s">
        <v>257</v>
      </c>
      <c r="F16" s="19" t="s">
        <v>258</v>
      </c>
      <c r="G16" s="19">
        <v>73</v>
      </c>
      <c r="H16" s="19" t="s">
        <v>215</v>
      </c>
      <c r="I16" s="19" t="s">
        <v>246</v>
      </c>
      <c r="J16" s="19" t="s">
        <v>217</v>
      </c>
      <c r="L16" s="19" t="b">
        <v>0</v>
      </c>
      <c r="M16" s="18">
        <v>46072.441134259258</v>
      </c>
    </row>
    <row r="17" spans="1:13" x14ac:dyDescent="0.25">
      <c r="A17" s="16" t="s">
        <v>259</v>
      </c>
      <c r="B17" s="20">
        <v>46046</v>
      </c>
      <c r="C17" s="16">
        <v>1</v>
      </c>
      <c r="D17" s="19" t="s">
        <v>43</v>
      </c>
      <c r="E17" s="19" t="s">
        <v>260</v>
      </c>
      <c r="F17" s="19" t="s">
        <v>261</v>
      </c>
      <c r="G17" s="19">
        <v>24</v>
      </c>
      <c r="H17" s="19" t="s">
        <v>215</v>
      </c>
      <c r="I17" s="19" t="s">
        <v>246</v>
      </c>
      <c r="J17" s="19" t="s">
        <v>217</v>
      </c>
      <c r="L17" s="19" t="b">
        <v>1</v>
      </c>
      <c r="M17" s="18">
        <v>46072.442233796297</v>
      </c>
    </row>
    <row r="18" spans="1:13" x14ac:dyDescent="0.25">
      <c r="A18" s="16" t="s">
        <v>262</v>
      </c>
      <c r="B18" s="20">
        <v>46046</v>
      </c>
      <c r="C18" s="16">
        <v>1</v>
      </c>
      <c r="D18" s="19" t="s">
        <v>43</v>
      </c>
      <c r="E18" s="19" t="s">
        <v>263</v>
      </c>
      <c r="F18" s="19" t="s">
        <v>264</v>
      </c>
      <c r="G18" s="19">
        <v>27</v>
      </c>
      <c r="H18" s="19" t="s">
        <v>215</v>
      </c>
      <c r="I18" s="19" t="s">
        <v>246</v>
      </c>
      <c r="J18" s="19" t="s">
        <v>217</v>
      </c>
      <c r="L18" s="19" t="b">
        <v>0</v>
      </c>
      <c r="M18" s="18">
        <v>46072.442719907405</v>
      </c>
    </row>
    <row r="19" spans="1:13" x14ac:dyDescent="0.25">
      <c r="A19" s="16" t="s">
        <v>265</v>
      </c>
      <c r="B19" s="20">
        <v>46049</v>
      </c>
      <c r="C19" s="16">
        <v>1</v>
      </c>
      <c r="D19" s="19" t="s">
        <v>43</v>
      </c>
      <c r="E19" s="19">
        <v>10182</v>
      </c>
      <c r="F19" s="19" t="s">
        <v>266</v>
      </c>
      <c r="G19" s="19">
        <v>28</v>
      </c>
      <c r="H19" s="19" t="s">
        <v>215</v>
      </c>
      <c r="I19" s="19" t="s">
        <v>246</v>
      </c>
      <c r="J19" s="19" t="s">
        <v>217</v>
      </c>
      <c r="L19" s="19" t="b">
        <v>1</v>
      </c>
      <c r="M19" s="18">
        <v>46072.443611111114</v>
      </c>
    </row>
    <row r="20" spans="1:13" x14ac:dyDescent="0.25">
      <c r="A20" s="16" t="s">
        <v>267</v>
      </c>
      <c r="B20" s="20">
        <v>46052</v>
      </c>
      <c r="C20" s="16">
        <v>1</v>
      </c>
      <c r="D20" s="19" t="s">
        <v>43</v>
      </c>
      <c r="E20" s="19">
        <v>421</v>
      </c>
      <c r="F20" s="19" t="s">
        <v>268</v>
      </c>
      <c r="G20" s="19">
        <v>63</v>
      </c>
      <c r="H20" s="19" t="s">
        <v>215</v>
      </c>
      <c r="I20" s="19" t="s">
        <v>246</v>
      </c>
      <c r="J20" s="19" t="s">
        <v>217</v>
      </c>
      <c r="L20" s="19" t="b">
        <v>0</v>
      </c>
      <c r="M20" s="18">
        <v>46072.444560185184</v>
      </c>
    </row>
    <row r="21" spans="1:13" x14ac:dyDescent="0.25">
      <c r="A21" s="16" t="s">
        <v>269</v>
      </c>
      <c r="B21" s="20">
        <v>46052</v>
      </c>
      <c r="C21" s="16">
        <v>1</v>
      </c>
      <c r="D21" s="19" t="s">
        <v>43</v>
      </c>
      <c r="E21" s="19">
        <v>10384</v>
      </c>
      <c r="F21" s="19" t="s">
        <v>270</v>
      </c>
      <c r="G21" s="19">
        <v>67</v>
      </c>
      <c r="H21" s="19" t="s">
        <v>215</v>
      </c>
      <c r="I21" s="19" t="s">
        <v>246</v>
      </c>
      <c r="J21" s="19" t="s">
        <v>217</v>
      </c>
      <c r="L21" s="19" t="b">
        <v>0</v>
      </c>
      <c r="M21" s="18">
        <v>46072.444745370369</v>
      </c>
    </row>
    <row r="22" spans="1:13" x14ac:dyDescent="0.25">
      <c r="A22" s="16" t="s">
        <v>271</v>
      </c>
      <c r="B22" s="20">
        <v>46023</v>
      </c>
      <c r="C22" s="16">
        <v>1</v>
      </c>
      <c r="D22" s="19" t="s">
        <v>29</v>
      </c>
      <c r="E22" s="19" t="s">
        <v>272</v>
      </c>
      <c r="F22" s="19" t="s">
        <v>273</v>
      </c>
      <c r="G22" s="19">
        <v>82</v>
      </c>
      <c r="H22" s="19" t="s">
        <v>215</v>
      </c>
      <c r="I22" s="19" t="s">
        <v>246</v>
      </c>
      <c r="J22" s="19" t="s">
        <v>217</v>
      </c>
      <c r="L22" s="19" t="b">
        <v>0</v>
      </c>
      <c r="M22" s="18">
        <v>46072.45045138889</v>
      </c>
    </row>
    <row r="23" spans="1:13" x14ac:dyDescent="0.25">
      <c r="A23" s="16" t="s">
        <v>274</v>
      </c>
      <c r="B23" s="20">
        <v>46027</v>
      </c>
      <c r="C23" s="16">
        <v>1</v>
      </c>
      <c r="D23" s="19" t="s">
        <v>29</v>
      </c>
      <c r="E23" s="19" t="s">
        <v>275</v>
      </c>
      <c r="F23" s="19" t="s">
        <v>276</v>
      </c>
      <c r="G23" s="19">
        <v>54</v>
      </c>
      <c r="H23" s="19" t="s">
        <v>215</v>
      </c>
      <c r="I23" s="19" t="s">
        <v>246</v>
      </c>
      <c r="J23" s="19" t="s">
        <v>224</v>
      </c>
      <c r="L23" s="19" t="b">
        <v>0</v>
      </c>
      <c r="M23" s="18">
        <v>46072.458252314813</v>
      </c>
    </row>
    <row r="24" spans="1:13" x14ac:dyDescent="0.25">
      <c r="A24" s="16" t="s">
        <v>277</v>
      </c>
      <c r="B24" s="20">
        <v>46028</v>
      </c>
      <c r="C24" s="16">
        <v>1</v>
      </c>
      <c r="D24" s="19" t="s">
        <v>29</v>
      </c>
      <c r="E24" s="19" t="s">
        <v>272</v>
      </c>
      <c r="F24" s="19" t="s">
        <v>278</v>
      </c>
      <c r="G24" s="19">
        <v>38</v>
      </c>
      <c r="H24" s="19" t="s">
        <v>215</v>
      </c>
      <c r="I24" s="19" t="s">
        <v>246</v>
      </c>
      <c r="J24" s="19" t="s">
        <v>224</v>
      </c>
      <c r="L24" s="19" t="b">
        <v>0</v>
      </c>
      <c r="M24" s="18">
        <v>46072.452372685184</v>
      </c>
    </row>
    <row r="25" spans="1:13" x14ac:dyDescent="0.25">
      <c r="A25" s="16" t="s">
        <v>279</v>
      </c>
      <c r="B25" s="20">
        <v>46029</v>
      </c>
      <c r="C25" s="16">
        <v>1</v>
      </c>
      <c r="D25" s="19" t="s">
        <v>29</v>
      </c>
      <c r="E25" s="19" t="s">
        <v>280</v>
      </c>
      <c r="F25" s="19" t="s">
        <v>281</v>
      </c>
      <c r="G25" s="19">
        <v>38</v>
      </c>
      <c r="H25" s="19" t="s">
        <v>215</v>
      </c>
      <c r="I25" s="19" t="s">
        <v>246</v>
      </c>
      <c r="J25" s="19" t="s">
        <v>224</v>
      </c>
      <c r="L25" s="19" t="b">
        <v>0</v>
      </c>
      <c r="M25" s="18">
        <v>46072.452951388892</v>
      </c>
    </row>
    <row r="26" spans="1:13" x14ac:dyDescent="0.25">
      <c r="A26" s="16" t="s">
        <v>282</v>
      </c>
      <c r="B26" s="20">
        <v>46029</v>
      </c>
      <c r="C26" s="16">
        <v>1</v>
      </c>
      <c r="D26" s="19" t="s">
        <v>29</v>
      </c>
      <c r="E26" s="19" t="s">
        <v>283</v>
      </c>
      <c r="F26" s="19" t="s">
        <v>284</v>
      </c>
      <c r="G26" s="19">
        <v>66</v>
      </c>
      <c r="H26" s="19" t="s">
        <v>215</v>
      </c>
      <c r="I26" s="19" t="s">
        <v>246</v>
      </c>
      <c r="J26" s="19" t="s">
        <v>217</v>
      </c>
      <c r="L26" s="19" t="b">
        <v>0</v>
      </c>
      <c r="M26" s="18">
        <v>46072.453750000001</v>
      </c>
    </row>
    <row r="27" spans="1:13" x14ac:dyDescent="0.25">
      <c r="A27" s="16" t="s">
        <v>285</v>
      </c>
      <c r="B27" s="20">
        <v>46034</v>
      </c>
      <c r="C27" s="16">
        <v>1</v>
      </c>
      <c r="D27" s="19" t="s">
        <v>29</v>
      </c>
      <c r="E27" s="19" t="s">
        <v>286</v>
      </c>
      <c r="F27" s="19" t="s">
        <v>287</v>
      </c>
      <c r="G27" s="19">
        <v>40</v>
      </c>
      <c r="H27" s="19" t="s">
        <v>215</v>
      </c>
      <c r="I27" s="19" t="s">
        <v>246</v>
      </c>
      <c r="J27" s="19" t="s">
        <v>224</v>
      </c>
      <c r="L27" s="19" t="b">
        <v>0</v>
      </c>
      <c r="M27" s="18">
        <v>46072.455185185187</v>
      </c>
    </row>
    <row r="28" spans="1:13" x14ac:dyDescent="0.25">
      <c r="A28" s="16" t="s">
        <v>288</v>
      </c>
      <c r="B28" s="20">
        <v>46035</v>
      </c>
      <c r="C28" s="16">
        <v>1</v>
      </c>
      <c r="D28" s="19" t="s">
        <v>29</v>
      </c>
      <c r="E28" s="19" t="s">
        <v>289</v>
      </c>
      <c r="F28" s="19" t="s">
        <v>290</v>
      </c>
      <c r="G28" s="19">
        <v>75</v>
      </c>
      <c r="H28" s="19" t="s">
        <v>215</v>
      </c>
      <c r="I28" s="19" t="s">
        <v>246</v>
      </c>
      <c r="J28" s="19" t="s">
        <v>224</v>
      </c>
      <c r="L28" s="19" t="b">
        <v>0</v>
      </c>
      <c r="M28" s="18">
        <v>46072.456238425926</v>
      </c>
    </row>
    <row r="29" spans="1:13" x14ac:dyDescent="0.25">
      <c r="A29" s="16" t="s">
        <v>291</v>
      </c>
      <c r="B29" s="20">
        <v>46038</v>
      </c>
      <c r="C29" s="16">
        <v>1</v>
      </c>
      <c r="D29" s="19" t="s">
        <v>29</v>
      </c>
      <c r="E29" s="19" t="s">
        <v>292</v>
      </c>
      <c r="F29" s="19" t="s">
        <v>293</v>
      </c>
      <c r="G29" s="19">
        <v>41</v>
      </c>
      <c r="H29" s="19" t="s">
        <v>215</v>
      </c>
      <c r="I29" s="19" t="s">
        <v>246</v>
      </c>
      <c r="J29" s="19" t="s">
        <v>224</v>
      </c>
      <c r="L29" s="19" t="b">
        <v>0</v>
      </c>
      <c r="M29" s="18">
        <v>46072.456238425926</v>
      </c>
    </row>
    <row r="30" spans="1:13" x14ac:dyDescent="0.25">
      <c r="A30" s="16" t="s">
        <v>294</v>
      </c>
      <c r="B30" s="20">
        <v>46038</v>
      </c>
      <c r="C30" s="16">
        <v>1</v>
      </c>
      <c r="D30" s="19" t="s">
        <v>29</v>
      </c>
      <c r="E30" s="19" t="s">
        <v>295</v>
      </c>
      <c r="F30" s="19" t="s">
        <v>296</v>
      </c>
      <c r="G30" s="19">
        <v>45</v>
      </c>
      <c r="H30" s="19" t="s">
        <v>215</v>
      </c>
      <c r="I30" s="19" t="s">
        <v>246</v>
      </c>
      <c r="J30" s="19" t="s">
        <v>224</v>
      </c>
      <c r="L30" s="19" t="b">
        <v>0</v>
      </c>
      <c r="M30" s="18">
        <v>46072.456238425926</v>
      </c>
    </row>
    <row r="31" spans="1:13" x14ac:dyDescent="0.25">
      <c r="A31" s="16" t="s">
        <v>297</v>
      </c>
      <c r="B31" s="20">
        <v>46039</v>
      </c>
      <c r="C31" s="16">
        <v>1</v>
      </c>
      <c r="D31" s="19" t="s">
        <v>29</v>
      </c>
      <c r="E31" s="19" t="s">
        <v>298</v>
      </c>
      <c r="F31" s="19" t="s">
        <v>299</v>
      </c>
      <c r="G31" s="19">
        <v>19</v>
      </c>
      <c r="H31" s="19" t="s">
        <v>215</v>
      </c>
      <c r="I31" s="19" t="s">
        <v>246</v>
      </c>
      <c r="J31" s="19" t="s">
        <v>217</v>
      </c>
      <c r="L31" s="19" t="b">
        <v>0</v>
      </c>
      <c r="M31" s="18">
        <v>46072.456238425926</v>
      </c>
    </row>
    <row r="32" spans="1:13" x14ac:dyDescent="0.25">
      <c r="A32" s="16" t="s">
        <v>300</v>
      </c>
      <c r="B32" s="20">
        <v>46049</v>
      </c>
      <c r="C32" s="16">
        <v>1</v>
      </c>
      <c r="D32" s="19" t="s">
        <v>29</v>
      </c>
      <c r="E32" s="19" t="s">
        <v>301</v>
      </c>
      <c r="F32" s="19" t="s">
        <v>302</v>
      </c>
      <c r="G32" s="19">
        <v>31</v>
      </c>
      <c r="H32" s="19" t="s">
        <v>215</v>
      </c>
      <c r="I32" s="19" t="s">
        <v>246</v>
      </c>
      <c r="J32" s="19" t="s">
        <v>217</v>
      </c>
      <c r="L32" s="19" t="b">
        <v>0</v>
      </c>
      <c r="M32" s="18">
        <v>46072.456238425926</v>
      </c>
    </row>
    <row r="33" spans="1:13" x14ac:dyDescent="0.25">
      <c r="A33" s="16" t="s">
        <v>303</v>
      </c>
      <c r="B33" s="20">
        <v>46025</v>
      </c>
      <c r="C33" s="16">
        <v>1</v>
      </c>
      <c r="D33" s="19" t="s">
        <v>41</v>
      </c>
      <c r="E33" s="19" t="s">
        <v>304</v>
      </c>
      <c r="F33" s="19" t="s">
        <v>305</v>
      </c>
      <c r="G33" s="19">
        <v>7</v>
      </c>
      <c r="H33" s="19" t="s">
        <v>306</v>
      </c>
      <c r="I33" s="19" t="s">
        <v>216</v>
      </c>
      <c r="J33" s="19" t="s">
        <v>217</v>
      </c>
      <c r="L33" s="19" t="b">
        <v>0</v>
      </c>
      <c r="M33" s="18">
        <v>46073.456238425926</v>
      </c>
    </row>
    <row r="34" spans="1:13" x14ac:dyDescent="0.25">
      <c r="A34" s="16" t="s">
        <v>307</v>
      </c>
      <c r="B34" s="20">
        <v>46036</v>
      </c>
      <c r="C34" s="16">
        <v>1</v>
      </c>
      <c r="D34" s="19" t="s">
        <v>41</v>
      </c>
      <c r="E34" s="19" t="s">
        <v>308</v>
      </c>
      <c r="F34" s="19" t="s">
        <v>309</v>
      </c>
      <c r="G34" s="19">
        <v>26</v>
      </c>
      <c r="H34" s="19" t="s">
        <v>306</v>
      </c>
      <c r="I34" s="19" t="s">
        <v>216</v>
      </c>
      <c r="J34" s="19" t="s">
        <v>217</v>
      </c>
      <c r="L34" s="19" t="b">
        <v>0</v>
      </c>
      <c r="M34" s="18">
        <v>46074.456238425926</v>
      </c>
    </row>
    <row r="35" spans="1:13" x14ac:dyDescent="0.25">
      <c r="A35" s="16" t="s">
        <v>310</v>
      </c>
      <c r="B35" s="20">
        <v>46036</v>
      </c>
      <c r="C35" s="16">
        <v>1</v>
      </c>
      <c r="D35" s="19" t="s">
        <v>41</v>
      </c>
      <c r="E35" s="19" t="s">
        <v>311</v>
      </c>
      <c r="F35" s="19" t="s">
        <v>312</v>
      </c>
      <c r="G35" s="19">
        <v>2</v>
      </c>
      <c r="H35" s="19" t="s">
        <v>306</v>
      </c>
      <c r="I35" s="19" t="s">
        <v>216</v>
      </c>
      <c r="J35" s="19" t="s">
        <v>217</v>
      </c>
      <c r="L35" s="19" t="b">
        <v>0</v>
      </c>
      <c r="M35" s="18">
        <v>46075.456238425926</v>
      </c>
    </row>
    <row r="36" spans="1:13" x14ac:dyDescent="0.25">
      <c r="A36" s="16" t="s">
        <v>313</v>
      </c>
      <c r="B36" s="20">
        <v>46040</v>
      </c>
      <c r="C36" s="16">
        <v>1</v>
      </c>
      <c r="D36" s="19" t="s">
        <v>41</v>
      </c>
      <c r="E36" s="19" t="s">
        <v>314</v>
      </c>
      <c r="F36" s="19" t="s">
        <v>315</v>
      </c>
      <c r="G36" s="19">
        <v>12</v>
      </c>
      <c r="H36" s="19" t="s">
        <v>306</v>
      </c>
      <c r="I36" s="19" t="s">
        <v>246</v>
      </c>
      <c r="J36" s="19" t="s">
        <v>217</v>
      </c>
      <c r="L36" s="19" t="b">
        <v>0</v>
      </c>
      <c r="M36" s="18">
        <v>46076.456238425926</v>
      </c>
    </row>
    <row r="37" spans="1:13" x14ac:dyDescent="0.25">
      <c r="A37" s="16" t="s">
        <v>316</v>
      </c>
      <c r="B37" s="20">
        <v>46047</v>
      </c>
      <c r="C37" s="16">
        <v>1</v>
      </c>
      <c r="D37" s="19" t="s">
        <v>41</v>
      </c>
      <c r="E37" s="19" t="s">
        <v>317</v>
      </c>
      <c r="F37" s="19" t="s">
        <v>318</v>
      </c>
      <c r="G37" s="19">
        <v>5</v>
      </c>
      <c r="H37" s="19" t="s">
        <v>306</v>
      </c>
      <c r="I37" s="19" t="s">
        <v>216</v>
      </c>
      <c r="J37" s="19" t="s">
        <v>217</v>
      </c>
      <c r="L37" s="19" t="b">
        <v>0</v>
      </c>
      <c r="M37" s="18">
        <v>46077.456238425926</v>
      </c>
    </row>
    <row r="38" spans="1:13" x14ac:dyDescent="0.25">
      <c r="A38" s="16" t="s">
        <v>319</v>
      </c>
      <c r="B38" s="20">
        <v>46051</v>
      </c>
      <c r="C38" s="16">
        <v>1</v>
      </c>
      <c r="D38" s="19" t="s">
        <v>41</v>
      </c>
      <c r="E38" s="19" t="s">
        <v>320</v>
      </c>
      <c r="F38" s="19" t="s">
        <v>321</v>
      </c>
      <c r="G38" s="19">
        <v>1</v>
      </c>
      <c r="H38" s="19" t="s">
        <v>306</v>
      </c>
      <c r="I38" s="19" t="s">
        <v>216</v>
      </c>
      <c r="J38" s="19" t="s">
        <v>217</v>
      </c>
      <c r="L38" s="19" t="b">
        <v>0</v>
      </c>
      <c r="M38" s="18">
        <v>46078.456238425926</v>
      </c>
    </row>
    <row r="39" spans="1:13" x14ac:dyDescent="0.25">
      <c r="A39" s="16" t="s">
        <v>322</v>
      </c>
      <c r="B39" s="20">
        <v>46052</v>
      </c>
      <c r="C39" s="16">
        <v>1</v>
      </c>
      <c r="D39" s="19" t="s">
        <v>41</v>
      </c>
      <c r="E39" s="19" t="s">
        <v>323</v>
      </c>
      <c r="F39" s="19" t="s">
        <v>324</v>
      </c>
      <c r="G39" s="19">
        <v>2</v>
      </c>
      <c r="H39" s="19" t="s">
        <v>306</v>
      </c>
      <c r="I39" s="19" t="s">
        <v>216</v>
      </c>
      <c r="J39" s="19" t="s">
        <v>217</v>
      </c>
      <c r="L39" s="19" t="b">
        <v>0</v>
      </c>
      <c r="M39" s="18">
        <v>46079.456238425926</v>
      </c>
    </row>
    <row r="40" spans="1:13" x14ac:dyDescent="0.25">
      <c r="A40" s="16" t="s">
        <v>325</v>
      </c>
      <c r="B40" s="20">
        <v>46051</v>
      </c>
      <c r="C40" s="16">
        <v>1</v>
      </c>
      <c r="D40" s="19" t="s">
        <v>41</v>
      </c>
      <c r="E40" s="19" t="s">
        <v>326</v>
      </c>
      <c r="F40" s="19" t="s">
        <v>324</v>
      </c>
      <c r="G40" s="19">
        <v>2</v>
      </c>
      <c r="H40" s="19" t="s">
        <v>306</v>
      </c>
      <c r="I40" s="19" t="s">
        <v>216</v>
      </c>
      <c r="J40" s="19" t="s">
        <v>217</v>
      </c>
      <c r="L40" s="19" t="b">
        <v>0</v>
      </c>
      <c r="M40" s="18">
        <v>46079.456238425926</v>
      </c>
    </row>
    <row r="41" spans="1:13" x14ac:dyDescent="0.25">
      <c r="A41" s="16" t="s">
        <v>327</v>
      </c>
      <c r="B41" s="20">
        <v>46055</v>
      </c>
      <c r="C41" s="16">
        <v>2</v>
      </c>
      <c r="D41" s="19" t="s">
        <v>29</v>
      </c>
      <c r="E41" s="19" t="s">
        <v>328</v>
      </c>
      <c r="F41" s="19" t="s">
        <v>329</v>
      </c>
      <c r="G41" s="19">
        <v>39</v>
      </c>
      <c r="H41" s="19" t="s">
        <v>215</v>
      </c>
      <c r="I41" s="19" t="s">
        <v>246</v>
      </c>
      <c r="J41" s="19" t="s">
        <v>217</v>
      </c>
      <c r="L41" s="19" t="b">
        <v>0</v>
      </c>
      <c r="M41" s="18">
        <v>46084.754930555559</v>
      </c>
    </row>
    <row r="42" spans="1:13" x14ac:dyDescent="0.25">
      <c r="A42" s="16" t="s">
        <v>330</v>
      </c>
      <c r="B42" s="20">
        <v>46055</v>
      </c>
      <c r="C42" s="16">
        <v>2</v>
      </c>
      <c r="D42" s="19" t="s">
        <v>29</v>
      </c>
      <c r="E42" s="19">
        <v>26010917</v>
      </c>
      <c r="F42" s="19" t="s">
        <v>331</v>
      </c>
      <c r="G42" s="19">
        <v>96</v>
      </c>
      <c r="H42" s="19" t="s">
        <v>215</v>
      </c>
      <c r="I42" s="19" t="s">
        <v>246</v>
      </c>
      <c r="J42" s="19" t="s">
        <v>217</v>
      </c>
      <c r="L42" s="19" t="b">
        <v>0</v>
      </c>
      <c r="M42" s="18">
        <v>46084.755381944444</v>
      </c>
    </row>
    <row r="43" spans="1:13" x14ac:dyDescent="0.25">
      <c r="A43" s="16" t="s">
        <v>332</v>
      </c>
      <c r="B43" s="20">
        <v>46055</v>
      </c>
      <c r="C43" s="16">
        <v>2</v>
      </c>
      <c r="D43" s="19" t="s">
        <v>29</v>
      </c>
      <c r="E43" s="19">
        <v>26010191</v>
      </c>
      <c r="F43" s="19" t="s">
        <v>333</v>
      </c>
      <c r="G43" s="19">
        <v>38</v>
      </c>
      <c r="H43" s="19" t="s">
        <v>215</v>
      </c>
      <c r="I43" s="19" t="s">
        <v>246</v>
      </c>
      <c r="J43" s="19" t="s">
        <v>217</v>
      </c>
      <c r="L43" s="19" t="b">
        <v>0</v>
      </c>
      <c r="M43" s="18">
        <v>46084.756041666667</v>
      </c>
    </row>
    <row r="44" spans="1:13" x14ac:dyDescent="0.25">
      <c r="A44" s="16" t="s">
        <v>334</v>
      </c>
      <c r="B44" s="20">
        <v>46083</v>
      </c>
      <c r="C44" s="16">
        <v>3</v>
      </c>
      <c r="D44" s="19" t="s">
        <v>29</v>
      </c>
      <c r="E44" s="19" t="s">
        <v>335</v>
      </c>
      <c r="F44" s="19" t="s">
        <v>336</v>
      </c>
      <c r="G44" s="19">
        <v>63</v>
      </c>
      <c r="H44" s="19" t="s">
        <v>215</v>
      </c>
      <c r="I44" s="19" t="s">
        <v>246</v>
      </c>
      <c r="J44" s="19" t="s">
        <v>217</v>
      </c>
      <c r="L44" s="19" t="b">
        <v>0</v>
      </c>
      <c r="M44" s="18">
        <v>46101.520555555559</v>
      </c>
    </row>
    <row r="45" spans="1:13" x14ac:dyDescent="0.25">
      <c r="A45" s="16" t="s">
        <v>337</v>
      </c>
      <c r="B45" s="20">
        <v>46083</v>
      </c>
      <c r="C45" s="16">
        <v>3</v>
      </c>
      <c r="D45" s="19" t="s">
        <v>29</v>
      </c>
      <c r="E45" s="19" t="s">
        <v>338</v>
      </c>
      <c r="F45" s="19" t="s">
        <v>339</v>
      </c>
      <c r="G45" s="19">
        <v>48</v>
      </c>
      <c r="H45" s="19" t="s">
        <v>215</v>
      </c>
      <c r="I45" s="19" t="s">
        <v>246</v>
      </c>
      <c r="J45" s="19" t="s">
        <v>217</v>
      </c>
      <c r="L45" s="19" t="b">
        <v>0</v>
      </c>
      <c r="M45" s="18">
        <v>46101.519872685189</v>
      </c>
    </row>
    <row r="46" spans="1:13" x14ac:dyDescent="0.25">
      <c r="A46" s="16" t="s">
        <v>340</v>
      </c>
      <c r="B46" s="20">
        <v>46083</v>
      </c>
      <c r="C46" s="16">
        <v>3</v>
      </c>
      <c r="D46" s="19" t="s">
        <v>29</v>
      </c>
      <c r="E46" s="19" t="s">
        <v>341</v>
      </c>
      <c r="F46" s="19" t="s">
        <v>342</v>
      </c>
      <c r="G46" s="19">
        <v>45</v>
      </c>
      <c r="H46" s="19" t="s">
        <v>215</v>
      </c>
      <c r="I46" s="19" t="s">
        <v>246</v>
      </c>
      <c r="J46" s="19" t="s">
        <v>217</v>
      </c>
      <c r="L46" s="19" t="b">
        <v>0</v>
      </c>
      <c r="M46" s="18">
        <v>46101.521238425928</v>
      </c>
    </row>
    <row r="47" spans="1:13" x14ac:dyDescent="0.25">
      <c r="A47" s="16" t="s">
        <v>343</v>
      </c>
      <c r="B47" s="20">
        <v>46089</v>
      </c>
      <c r="C47" s="16">
        <v>3</v>
      </c>
      <c r="D47" s="19" t="s">
        <v>29</v>
      </c>
      <c r="E47" s="19" t="s">
        <v>344</v>
      </c>
      <c r="F47" s="19" t="s">
        <v>345</v>
      </c>
      <c r="G47" s="19">
        <v>62</v>
      </c>
      <c r="H47" s="19" t="s">
        <v>215</v>
      </c>
      <c r="I47" s="19" t="s">
        <v>246</v>
      </c>
      <c r="J47" s="19" t="s">
        <v>224</v>
      </c>
      <c r="L47" s="19" t="b">
        <v>0</v>
      </c>
      <c r="M47" s="18">
        <v>46101.522696759261</v>
      </c>
    </row>
    <row r="48" spans="1:13" x14ac:dyDescent="0.25">
      <c r="A48" s="16" t="s">
        <v>346</v>
      </c>
      <c r="B48" s="20">
        <v>46090</v>
      </c>
      <c r="C48" s="16">
        <v>3</v>
      </c>
      <c r="D48" s="19" t="s">
        <v>29</v>
      </c>
      <c r="E48" s="19" t="s">
        <v>347</v>
      </c>
      <c r="F48" s="19" t="s">
        <v>348</v>
      </c>
      <c r="G48" s="19">
        <v>47</v>
      </c>
      <c r="H48" s="19" t="s">
        <v>215</v>
      </c>
      <c r="I48" s="19" t="s">
        <v>246</v>
      </c>
      <c r="J48" s="19" t="s">
        <v>224</v>
      </c>
      <c r="L48" s="19" t="b">
        <v>0</v>
      </c>
      <c r="M48" s="18">
        <v>46101.523460648146</v>
      </c>
    </row>
    <row r="49" spans="1:13" x14ac:dyDescent="0.25">
      <c r="A49" s="16" t="s">
        <v>349</v>
      </c>
      <c r="B49" s="20">
        <v>46094</v>
      </c>
      <c r="C49" s="16">
        <v>3</v>
      </c>
      <c r="D49" s="19" t="s">
        <v>29</v>
      </c>
      <c r="E49" s="19" t="s">
        <v>350</v>
      </c>
      <c r="F49" s="19" t="s">
        <v>351</v>
      </c>
      <c r="G49" s="19">
        <v>61</v>
      </c>
      <c r="H49" s="19" t="s">
        <v>215</v>
      </c>
      <c r="I49" s="19" t="s">
        <v>246</v>
      </c>
      <c r="J49" s="19" t="s">
        <v>217</v>
      </c>
      <c r="L49" s="19" t="b">
        <v>0</v>
      </c>
      <c r="M49" s="18">
        <v>46101.524895833332</v>
      </c>
    </row>
    <row r="50" spans="1:13" x14ac:dyDescent="0.25">
      <c r="A50" s="16" t="s">
        <v>352</v>
      </c>
      <c r="B50" s="20">
        <v>46082</v>
      </c>
      <c r="C50" s="16">
        <v>3</v>
      </c>
      <c r="D50" s="19" t="s">
        <v>43</v>
      </c>
      <c r="E50" s="19" t="s">
        <v>353</v>
      </c>
      <c r="F50" s="19" t="s">
        <v>354</v>
      </c>
      <c r="G50" s="19">
        <v>81</v>
      </c>
      <c r="H50" s="19" t="s">
        <v>215</v>
      </c>
      <c r="I50" s="19" t="s">
        <v>246</v>
      </c>
      <c r="J50" s="19" t="s">
        <v>217</v>
      </c>
      <c r="L50" s="19" t="b">
        <v>0</v>
      </c>
      <c r="M50" s="18">
        <v>46103.4059375</v>
      </c>
    </row>
    <row r="51" spans="1:13" x14ac:dyDescent="0.25">
      <c r="A51" s="16" t="s">
        <v>355</v>
      </c>
      <c r="B51" s="20">
        <v>46085</v>
      </c>
      <c r="C51" s="16">
        <v>3</v>
      </c>
      <c r="D51" s="19" t="s">
        <v>33</v>
      </c>
      <c r="E51" s="19" t="s">
        <v>356</v>
      </c>
      <c r="F51" s="19" t="s">
        <v>357</v>
      </c>
      <c r="G51" s="19">
        <v>3</v>
      </c>
      <c r="H51" s="19" t="s">
        <v>215</v>
      </c>
      <c r="I51" s="19" t="s">
        <v>216</v>
      </c>
      <c r="J51" s="19" t="s">
        <v>217</v>
      </c>
      <c r="L51" s="19" t="b">
        <v>1</v>
      </c>
      <c r="M51" s="18">
        <v>46103.408032407409</v>
      </c>
    </row>
    <row r="52" spans="1:13" x14ac:dyDescent="0.25">
      <c r="A52" s="16" t="s">
        <v>358</v>
      </c>
      <c r="B52" s="20">
        <v>46088</v>
      </c>
      <c r="C52" s="16">
        <v>3</v>
      </c>
      <c r="D52" s="19" t="s">
        <v>31</v>
      </c>
      <c r="E52" s="19" t="s">
        <v>359</v>
      </c>
      <c r="F52" s="19" t="s">
        <v>360</v>
      </c>
      <c r="G52" s="19">
        <v>44</v>
      </c>
      <c r="H52" s="19" t="s">
        <v>215</v>
      </c>
      <c r="I52" s="19" t="s">
        <v>216</v>
      </c>
      <c r="J52" s="19" t="s">
        <v>217</v>
      </c>
      <c r="L52" s="19" t="b">
        <v>0</v>
      </c>
      <c r="M52" s="18">
        <v>46103.40960648148</v>
      </c>
    </row>
    <row r="53" spans="1:13" x14ac:dyDescent="0.25">
      <c r="A53" s="16" t="s">
        <v>361</v>
      </c>
      <c r="B53" s="20">
        <v>46093</v>
      </c>
      <c r="C53" s="16">
        <v>3</v>
      </c>
      <c r="D53" s="19" t="s">
        <v>41</v>
      </c>
      <c r="E53" s="19" t="s">
        <v>362</v>
      </c>
      <c r="F53" s="19" t="s">
        <v>363</v>
      </c>
      <c r="G53" s="19">
        <v>6</v>
      </c>
      <c r="H53" s="19" t="s">
        <v>306</v>
      </c>
      <c r="I53" s="19" t="s">
        <v>216</v>
      </c>
      <c r="J53" s="19" t="s">
        <v>217</v>
      </c>
      <c r="L53" s="19" t="b">
        <v>0</v>
      </c>
      <c r="M53" s="18">
        <v>46103.412129629629</v>
      </c>
    </row>
    <row r="54" spans="1:13" x14ac:dyDescent="0.25">
      <c r="A54" s="16" t="s">
        <v>364</v>
      </c>
      <c r="B54" s="20">
        <v>46094</v>
      </c>
      <c r="C54" s="16">
        <v>3</v>
      </c>
      <c r="D54" s="19" t="s">
        <v>41</v>
      </c>
      <c r="E54" s="19" t="s">
        <v>365</v>
      </c>
      <c r="F54" s="19" t="s">
        <v>366</v>
      </c>
      <c r="G54" s="19">
        <v>16</v>
      </c>
      <c r="H54" s="19" t="s">
        <v>306</v>
      </c>
      <c r="I54" s="19" t="s">
        <v>216</v>
      </c>
      <c r="J54" s="19" t="s">
        <v>217</v>
      </c>
      <c r="L54" s="19" t="b">
        <v>0</v>
      </c>
      <c r="M54" s="18">
        <v>46103.414212962962</v>
      </c>
    </row>
    <row r="55" spans="1:13" x14ac:dyDescent="0.25">
      <c r="A55" s="16" t="s">
        <v>367</v>
      </c>
      <c r="B55" s="20">
        <v>46094</v>
      </c>
      <c r="C55" s="16">
        <v>3</v>
      </c>
      <c r="D55" s="19" t="s">
        <v>45</v>
      </c>
      <c r="E55" s="19" t="s">
        <v>368</v>
      </c>
      <c r="F55" s="19" t="s">
        <v>369</v>
      </c>
      <c r="G55" s="19">
        <v>66</v>
      </c>
      <c r="H55" s="19" t="s">
        <v>215</v>
      </c>
      <c r="I55" s="19" t="s">
        <v>216</v>
      </c>
      <c r="J55" s="19" t="s">
        <v>217</v>
      </c>
      <c r="L55" s="19" t="b">
        <v>1</v>
      </c>
      <c r="M55" s="18">
        <v>46103.415659722225</v>
      </c>
    </row>
    <row r="56" spans="1:13" x14ac:dyDescent="0.25">
      <c r="A56" s="16" t="s">
        <v>370</v>
      </c>
      <c r="B56" s="20">
        <v>46095</v>
      </c>
      <c r="C56" s="16">
        <v>3</v>
      </c>
      <c r="D56" s="19" t="s">
        <v>31</v>
      </c>
      <c r="E56" s="19" t="s">
        <v>371</v>
      </c>
      <c r="F56" s="19" t="s">
        <v>372</v>
      </c>
      <c r="G56" s="19">
        <v>60</v>
      </c>
      <c r="H56" s="19" t="s">
        <v>215</v>
      </c>
      <c r="I56" s="19" t="s">
        <v>216</v>
      </c>
      <c r="J56" s="19" t="s">
        <v>224</v>
      </c>
      <c r="L56" s="19" t="b">
        <v>0</v>
      </c>
      <c r="M56" s="18">
        <v>46103.417951388888</v>
      </c>
    </row>
    <row r="57" spans="1:13" x14ac:dyDescent="0.25">
      <c r="A57" s="16" t="s">
        <v>373</v>
      </c>
      <c r="B57" s="20">
        <v>46097</v>
      </c>
      <c r="C57" s="16">
        <v>3</v>
      </c>
      <c r="D57" s="19" t="s">
        <v>45</v>
      </c>
      <c r="E57" s="19" t="s">
        <v>374</v>
      </c>
      <c r="F57" s="19" t="s">
        <v>375</v>
      </c>
      <c r="G57" s="19">
        <v>54</v>
      </c>
      <c r="H57" s="19" t="s">
        <v>215</v>
      </c>
      <c r="I57" s="19" t="s">
        <v>216</v>
      </c>
      <c r="J57" s="19" t="s">
        <v>217</v>
      </c>
      <c r="L57" s="19" t="b">
        <v>1</v>
      </c>
      <c r="M57" s="18">
        <v>46107.453541666669</v>
      </c>
    </row>
    <row r="58" spans="1:13" x14ac:dyDescent="0.25">
      <c r="A58" s="16" t="s">
        <v>376</v>
      </c>
      <c r="B58" s="20">
        <v>46098</v>
      </c>
      <c r="C58" s="16">
        <v>3</v>
      </c>
      <c r="D58" s="19" t="s">
        <v>31</v>
      </c>
      <c r="E58" s="19" t="s">
        <v>377</v>
      </c>
      <c r="F58" s="19" t="s">
        <v>378</v>
      </c>
      <c r="G58" s="19">
        <v>79</v>
      </c>
      <c r="H58" s="19" t="s">
        <v>215</v>
      </c>
      <c r="I58" s="19" t="s">
        <v>216</v>
      </c>
      <c r="J58" s="19" t="s">
        <v>217</v>
      </c>
      <c r="L58" s="19" t="b">
        <v>0</v>
      </c>
      <c r="M58" s="18">
        <v>46107.454942129632</v>
      </c>
    </row>
    <row r="59" spans="1:13" x14ac:dyDescent="0.25">
      <c r="A59" s="16" t="s">
        <v>379</v>
      </c>
      <c r="B59" s="20">
        <v>46099</v>
      </c>
      <c r="C59" s="16">
        <v>3</v>
      </c>
      <c r="D59" s="19" t="s">
        <v>43</v>
      </c>
      <c r="E59" s="19" t="s">
        <v>380</v>
      </c>
      <c r="F59" s="19" t="s">
        <v>381</v>
      </c>
      <c r="G59" s="19">
        <v>78</v>
      </c>
      <c r="H59" s="19" t="s">
        <v>215</v>
      </c>
      <c r="I59" s="19" t="s">
        <v>246</v>
      </c>
      <c r="J59" s="19" t="s">
        <v>217</v>
      </c>
      <c r="L59" s="19" t="b">
        <v>1</v>
      </c>
      <c r="M59" s="18">
        <v>46107.457280092596</v>
      </c>
    </row>
    <row r="60" spans="1:13" x14ac:dyDescent="0.25">
      <c r="A60" s="16" t="s">
        <v>382</v>
      </c>
      <c r="B60" s="20">
        <v>46100</v>
      </c>
      <c r="C60" s="16">
        <v>3</v>
      </c>
      <c r="D60" s="19" t="s">
        <v>43</v>
      </c>
      <c r="E60" s="19" t="s">
        <v>383</v>
      </c>
      <c r="F60" s="19" t="s">
        <v>384</v>
      </c>
      <c r="G60" s="19">
        <v>56</v>
      </c>
      <c r="H60" s="19" t="s">
        <v>215</v>
      </c>
      <c r="I60" s="19" t="s">
        <v>246</v>
      </c>
      <c r="J60" s="19" t="s">
        <v>217</v>
      </c>
      <c r="L60" s="19" t="b">
        <v>0</v>
      </c>
      <c r="M60" s="18">
        <v>46107.459409722222</v>
      </c>
    </row>
    <row r="61" spans="1:13" x14ac:dyDescent="0.25">
      <c r="A61" s="16" t="s">
        <v>385</v>
      </c>
      <c r="B61" s="20">
        <v>46100</v>
      </c>
      <c r="C61" s="16">
        <v>3</v>
      </c>
      <c r="D61" s="19" t="s">
        <v>43</v>
      </c>
      <c r="E61" s="19" t="s">
        <v>386</v>
      </c>
      <c r="F61" s="19" t="s">
        <v>387</v>
      </c>
      <c r="G61" s="19">
        <v>78</v>
      </c>
      <c r="H61" s="19" t="s">
        <v>215</v>
      </c>
      <c r="I61" s="19" t="s">
        <v>246</v>
      </c>
      <c r="J61" s="19" t="s">
        <v>217</v>
      </c>
      <c r="L61" s="19" t="b">
        <v>0</v>
      </c>
      <c r="M61" s="18">
        <v>46107.460752314815</v>
      </c>
    </row>
    <row r="62" spans="1:13" x14ac:dyDescent="0.25">
      <c r="A62" s="16" t="s">
        <v>388</v>
      </c>
      <c r="B62" s="20">
        <v>46101</v>
      </c>
      <c r="C62" s="16">
        <v>3</v>
      </c>
      <c r="D62" s="19" t="s">
        <v>43</v>
      </c>
      <c r="E62" s="19" t="s">
        <v>389</v>
      </c>
      <c r="F62" s="19" t="s">
        <v>390</v>
      </c>
      <c r="G62" s="19">
        <v>14</v>
      </c>
      <c r="H62" s="19" t="s">
        <v>215</v>
      </c>
      <c r="I62" s="19" t="s">
        <v>246</v>
      </c>
      <c r="J62" s="19" t="s">
        <v>217</v>
      </c>
      <c r="L62" s="19" t="b">
        <v>0</v>
      </c>
      <c r="M62" s="18">
        <v>46107.462256944447</v>
      </c>
    </row>
    <row r="63" spans="1:13" x14ac:dyDescent="0.25">
      <c r="A63" s="16" t="s">
        <v>391</v>
      </c>
      <c r="B63" s="20">
        <v>46101</v>
      </c>
      <c r="C63" s="16">
        <v>3</v>
      </c>
      <c r="D63" s="19" t="s">
        <v>43</v>
      </c>
      <c r="E63" s="19" t="s">
        <v>392</v>
      </c>
      <c r="F63" s="19" t="s">
        <v>393</v>
      </c>
      <c r="G63" s="19">
        <v>53</v>
      </c>
      <c r="H63" s="19" t="s">
        <v>215</v>
      </c>
      <c r="I63" s="19" t="s">
        <v>246</v>
      </c>
      <c r="J63" s="19" t="s">
        <v>224</v>
      </c>
      <c r="L63" s="19" t="b">
        <v>0</v>
      </c>
      <c r="M63" s="18">
        <v>46107.463518518518</v>
      </c>
    </row>
    <row r="64" spans="1:13" x14ac:dyDescent="0.25">
      <c r="A64" s="16" t="s">
        <v>394</v>
      </c>
      <c r="B64" s="20">
        <v>46102</v>
      </c>
      <c r="C64" s="16">
        <v>3</v>
      </c>
      <c r="D64" s="19" t="s">
        <v>41</v>
      </c>
      <c r="E64" s="19" t="s">
        <v>395</v>
      </c>
      <c r="F64" s="19" t="s">
        <v>396</v>
      </c>
      <c r="G64" s="19">
        <v>2</v>
      </c>
      <c r="H64" s="19" t="s">
        <v>306</v>
      </c>
      <c r="I64" s="19" t="s">
        <v>216</v>
      </c>
      <c r="J64" s="19" t="s">
        <v>217</v>
      </c>
      <c r="L64" s="19" t="b">
        <v>0</v>
      </c>
      <c r="M64" s="18">
        <v>46107.465289351851</v>
      </c>
    </row>
    <row r="65" spans="1:13" x14ac:dyDescent="0.25">
      <c r="A65" s="16" t="s">
        <v>397</v>
      </c>
      <c r="B65" s="20">
        <v>46103</v>
      </c>
      <c r="C65" s="16">
        <v>3</v>
      </c>
      <c r="D65" s="19" t="s">
        <v>35</v>
      </c>
      <c r="E65" s="19" t="s">
        <v>398</v>
      </c>
      <c r="F65" s="19" t="s">
        <v>399</v>
      </c>
      <c r="G65" s="19">
        <v>69</v>
      </c>
      <c r="H65" s="19" t="s">
        <v>215</v>
      </c>
      <c r="I65" s="19" t="s">
        <v>216</v>
      </c>
      <c r="J65" s="19" t="s">
        <v>217</v>
      </c>
      <c r="L65" s="19" t="b">
        <v>0</v>
      </c>
      <c r="M65" s="18">
        <v>46107.533414351848</v>
      </c>
    </row>
    <row r="66" spans="1:13" x14ac:dyDescent="0.25">
      <c r="A66" s="16" t="s">
        <v>400</v>
      </c>
      <c r="B66" s="20">
        <v>46105</v>
      </c>
      <c r="C66" s="16">
        <v>3</v>
      </c>
      <c r="D66" s="19" t="s">
        <v>43</v>
      </c>
      <c r="E66" s="19" t="s">
        <v>401</v>
      </c>
      <c r="F66" s="19" t="s">
        <v>402</v>
      </c>
      <c r="G66" s="19">
        <v>48</v>
      </c>
      <c r="H66" s="19" t="s">
        <v>215</v>
      </c>
      <c r="I66" s="19" t="s">
        <v>246</v>
      </c>
      <c r="J66" s="19" t="s">
        <v>217</v>
      </c>
      <c r="L66" s="19" t="b">
        <v>1</v>
      </c>
      <c r="M66" s="18">
        <v>46115.500740740739</v>
      </c>
    </row>
    <row r="67" spans="1:13" x14ac:dyDescent="0.25">
      <c r="A67" s="16" t="s">
        <v>403</v>
      </c>
      <c r="B67" s="20">
        <v>46106</v>
      </c>
      <c r="C67" s="16">
        <v>3</v>
      </c>
      <c r="D67" s="19" t="s">
        <v>43</v>
      </c>
      <c r="E67" s="19" t="s">
        <v>404</v>
      </c>
      <c r="F67" s="19" t="s">
        <v>405</v>
      </c>
      <c r="G67" s="19">
        <v>34</v>
      </c>
      <c r="H67" s="19" t="s">
        <v>215</v>
      </c>
      <c r="I67" s="19" t="s">
        <v>246</v>
      </c>
      <c r="J67" s="19" t="s">
        <v>224</v>
      </c>
      <c r="L67" s="19" t="b">
        <v>1</v>
      </c>
      <c r="M67" s="18">
        <v>46115.501446759263</v>
      </c>
    </row>
    <row r="68" spans="1:13" x14ac:dyDescent="0.25">
      <c r="A68" s="16" t="s">
        <v>406</v>
      </c>
      <c r="B68" s="20">
        <v>46107</v>
      </c>
      <c r="C68" s="16">
        <v>3</v>
      </c>
      <c r="D68" s="19" t="s">
        <v>43</v>
      </c>
      <c r="E68" s="19" t="s">
        <v>407</v>
      </c>
      <c r="F68" s="19" t="s">
        <v>408</v>
      </c>
      <c r="G68" s="19">
        <v>70</v>
      </c>
      <c r="H68" s="19" t="s">
        <v>215</v>
      </c>
      <c r="I68" s="19" t="s">
        <v>246</v>
      </c>
      <c r="J68" s="19" t="s">
        <v>217</v>
      </c>
      <c r="L68" s="19" t="b">
        <v>0</v>
      </c>
      <c r="M68" s="18">
        <v>46115.502002314817</v>
      </c>
    </row>
    <row r="69" spans="1:13" x14ac:dyDescent="0.25">
      <c r="A69" s="16" t="s">
        <v>409</v>
      </c>
      <c r="B69" s="20">
        <v>46108</v>
      </c>
      <c r="C69" s="16">
        <v>3</v>
      </c>
      <c r="D69" s="19" t="s">
        <v>45</v>
      </c>
      <c r="E69" s="19" t="s">
        <v>410</v>
      </c>
      <c r="F69" s="19" t="s">
        <v>411</v>
      </c>
      <c r="G69" s="19">
        <v>84</v>
      </c>
      <c r="H69" s="19" t="s">
        <v>215</v>
      </c>
      <c r="I69" s="19" t="s">
        <v>216</v>
      </c>
      <c r="J69" s="19" t="s">
        <v>224</v>
      </c>
      <c r="L69" s="19" t="b">
        <v>1</v>
      </c>
      <c r="M69" s="18">
        <v>46115.506203703706</v>
      </c>
    </row>
    <row r="70" spans="1:13" x14ac:dyDescent="0.25">
      <c r="A70" s="16" t="s">
        <v>412</v>
      </c>
      <c r="B70" s="20">
        <v>46108</v>
      </c>
      <c r="C70" s="16">
        <v>3</v>
      </c>
      <c r="D70" s="19" t="s">
        <v>45</v>
      </c>
      <c r="E70" s="19" t="s">
        <v>413</v>
      </c>
      <c r="F70" s="19" t="s">
        <v>414</v>
      </c>
      <c r="G70" s="19">
        <v>77</v>
      </c>
      <c r="H70" s="19" t="s">
        <v>215</v>
      </c>
      <c r="I70" s="19" t="s">
        <v>216</v>
      </c>
      <c r="J70" s="19" t="s">
        <v>217</v>
      </c>
      <c r="L70" s="19" t="b">
        <v>0</v>
      </c>
      <c r="M70" s="18">
        <v>46115.506018518521</v>
      </c>
    </row>
    <row r="71" spans="1:13" x14ac:dyDescent="0.25">
      <c r="A71" s="16" t="s">
        <v>415</v>
      </c>
      <c r="B71" s="20">
        <v>46108</v>
      </c>
      <c r="C71" s="16">
        <v>3</v>
      </c>
      <c r="D71" s="19" t="s">
        <v>45</v>
      </c>
      <c r="E71" s="19" t="s">
        <v>416</v>
      </c>
      <c r="F71" s="19" t="s">
        <v>417</v>
      </c>
      <c r="G71" s="19">
        <v>50</v>
      </c>
      <c r="H71" s="19" t="s">
        <v>215</v>
      </c>
      <c r="I71" s="19" t="s">
        <v>216</v>
      </c>
      <c r="J71" s="19" t="s">
        <v>217</v>
      </c>
      <c r="L71" s="19" t="b">
        <v>0</v>
      </c>
      <c r="M71" s="18">
        <v>46115.505844907406</v>
      </c>
    </row>
    <row r="72" spans="1:13" x14ac:dyDescent="0.25">
      <c r="A72" s="16" t="s">
        <v>418</v>
      </c>
      <c r="B72" s="20">
        <v>46108</v>
      </c>
      <c r="C72" s="16">
        <v>3</v>
      </c>
      <c r="D72" s="19" t="s">
        <v>45</v>
      </c>
      <c r="E72" s="19" t="s">
        <v>419</v>
      </c>
      <c r="F72" s="19" t="s">
        <v>420</v>
      </c>
      <c r="G72" s="19">
        <v>56</v>
      </c>
      <c r="H72" s="19" t="s">
        <v>215</v>
      </c>
      <c r="I72" s="19" t="s">
        <v>216</v>
      </c>
      <c r="J72" s="19" t="s">
        <v>224</v>
      </c>
      <c r="L72" s="19" t="b">
        <v>0</v>
      </c>
      <c r="M72" s="18">
        <v>46115.50576388889</v>
      </c>
    </row>
    <row r="73" spans="1:13" x14ac:dyDescent="0.25">
      <c r="A73" s="16" t="s">
        <v>421</v>
      </c>
      <c r="B73" s="20">
        <v>46110</v>
      </c>
      <c r="C73" s="16">
        <v>3</v>
      </c>
      <c r="D73" s="19" t="s">
        <v>43</v>
      </c>
      <c r="E73" s="19" t="s">
        <v>422</v>
      </c>
      <c r="F73" s="19" t="s">
        <v>423</v>
      </c>
      <c r="G73" s="19">
        <v>55</v>
      </c>
      <c r="H73" s="19" t="s">
        <v>215</v>
      </c>
      <c r="I73" s="19" t="s">
        <v>246</v>
      </c>
      <c r="J73" s="19" t="s">
        <v>217</v>
      </c>
      <c r="L73" s="19" t="b">
        <v>0</v>
      </c>
      <c r="M73" s="18">
        <v>46115.507719907408</v>
      </c>
    </row>
    <row r="74" spans="1:13" x14ac:dyDescent="0.25">
      <c r="A74" s="16" t="s">
        <v>424</v>
      </c>
      <c r="B74" s="20">
        <v>46111</v>
      </c>
      <c r="C74" s="16">
        <v>3</v>
      </c>
      <c r="D74" s="19" t="s">
        <v>43</v>
      </c>
      <c r="E74" s="19" t="s">
        <v>425</v>
      </c>
      <c r="F74" s="19" t="s">
        <v>426</v>
      </c>
      <c r="G74" s="19">
        <v>9</v>
      </c>
      <c r="H74" s="19" t="s">
        <v>427</v>
      </c>
      <c r="I74" s="19" t="s">
        <v>246</v>
      </c>
      <c r="J74" s="19" t="s">
        <v>217</v>
      </c>
      <c r="L74" s="19" t="b">
        <v>0</v>
      </c>
      <c r="M74" s="18">
        <v>46115.509375000001</v>
      </c>
    </row>
    <row r="75" spans="1:13" x14ac:dyDescent="0.25">
      <c r="A75" s="16" t="s">
        <v>428</v>
      </c>
      <c r="B75" s="20">
        <v>46111</v>
      </c>
      <c r="C75" s="16">
        <v>3</v>
      </c>
      <c r="D75" s="19" t="s">
        <v>45</v>
      </c>
      <c r="E75" s="19" t="s">
        <v>429</v>
      </c>
      <c r="F75" s="19" t="s">
        <v>430</v>
      </c>
      <c r="G75" s="19">
        <v>35</v>
      </c>
      <c r="H75" s="19" t="s">
        <v>215</v>
      </c>
      <c r="I75" s="19" t="s">
        <v>216</v>
      </c>
      <c r="J75" s="19" t="s">
        <v>217</v>
      </c>
      <c r="L75" s="19" t="b">
        <v>0</v>
      </c>
      <c r="M75" s="18">
        <v>46115.510497685187</v>
      </c>
    </row>
    <row r="76" spans="1:13" x14ac:dyDescent="0.25">
      <c r="A76" s="16" t="s">
        <v>431</v>
      </c>
      <c r="B76" s="20">
        <v>46112</v>
      </c>
      <c r="C76" s="16">
        <v>3</v>
      </c>
      <c r="D76" s="19" t="s">
        <v>43</v>
      </c>
      <c r="E76" s="19">
        <v>34</v>
      </c>
      <c r="F76" s="19" t="s">
        <v>432</v>
      </c>
      <c r="G76" s="19">
        <v>52</v>
      </c>
      <c r="H76" s="19" t="s">
        <v>215</v>
      </c>
      <c r="I76" s="19" t="s">
        <v>246</v>
      </c>
      <c r="J76" s="19" t="s">
        <v>224</v>
      </c>
      <c r="L76" s="19" t="b">
        <v>1</v>
      </c>
      <c r="M76" s="18">
        <v>46115.547951388886</v>
      </c>
    </row>
    <row r="77" spans="1:13" x14ac:dyDescent="0.25">
      <c r="A77" s="16" t="s">
        <v>433</v>
      </c>
      <c r="B77" s="20">
        <v>46112</v>
      </c>
      <c r="C77" s="16">
        <v>3</v>
      </c>
      <c r="D77" s="19" t="s">
        <v>45</v>
      </c>
      <c r="E77" s="19">
        <v>47</v>
      </c>
      <c r="F77" s="19" t="s">
        <v>434</v>
      </c>
      <c r="G77" s="19">
        <v>52</v>
      </c>
      <c r="H77" s="19" t="s">
        <v>215</v>
      </c>
      <c r="I77" s="19" t="s">
        <v>216</v>
      </c>
      <c r="J77" s="19" t="s">
        <v>224</v>
      </c>
      <c r="L77" s="19" t="b">
        <v>1</v>
      </c>
      <c r="M77" s="18">
        <v>46115.546087962961</v>
      </c>
    </row>
    <row r="78" spans="1:13" x14ac:dyDescent="0.25">
      <c r="A78" s="16" t="s">
        <v>435</v>
      </c>
      <c r="B78" s="20">
        <v>46112</v>
      </c>
      <c r="C78" s="16">
        <v>3</v>
      </c>
      <c r="D78" s="19" t="s">
        <v>45</v>
      </c>
      <c r="E78" s="19" t="s">
        <v>436</v>
      </c>
      <c r="F78" s="19" t="s">
        <v>437</v>
      </c>
      <c r="G78" s="19">
        <v>69</v>
      </c>
      <c r="H78" s="19" t="s">
        <v>215</v>
      </c>
      <c r="I78" s="19" t="s">
        <v>216</v>
      </c>
      <c r="J78" s="19" t="s">
        <v>217</v>
      </c>
      <c r="L78" s="19" t="b">
        <v>1</v>
      </c>
      <c r="M78" s="18">
        <v>46115.548645833333</v>
      </c>
    </row>
    <row r="79" spans="1:13" x14ac:dyDescent="0.25">
      <c r="A79" s="16" t="s">
        <v>438</v>
      </c>
      <c r="B79" s="20">
        <v>46112</v>
      </c>
      <c r="C79" s="16">
        <v>3</v>
      </c>
      <c r="D79" s="19" t="s">
        <v>45</v>
      </c>
      <c r="E79" s="19" t="s">
        <v>439</v>
      </c>
      <c r="F79" s="19" t="s">
        <v>440</v>
      </c>
      <c r="G79" s="19">
        <v>68</v>
      </c>
      <c r="H79" s="19" t="s">
        <v>215</v>
      </c>
      <c r="I79" s="19" t="s">
        <v>216</v>
      </c>
      <c r="J79" s="19" t="s">
        <v>217</v>
      </c>
      <c r="L79" s="19" t="b">
        <v>0</v>
      </c>
      <c r="M79" s="18">
        <v>46115.54886574074</v>
      </c>
    </row>
    <row r="80" spans="1:13" x14ac:dyDescent="0.25">
      <c r="A80" s="16" t="s">
        <v>441</v>
      </c>
      <c r="B80" s="20">
        <v>46111</v>
      </c>
      <c r="C80" s="16">
        <v>3</v>
      </c>
      <c r="D80" s="19" t="s">
        <v>29</v>
      </c>
      <c r="E80" s="19" t="s">
        <v>442</v>
      </c>
      <c r="F80" s="19" t="s">
        <v>443</v>
      </c>
      <c r="G80" s="19">
        <v>60</v>
      </c>
      <c r="H80" s="19" t="s">
        <v>215</v>
      </c>
      <c r="I80" s="19" t="s">
        <v>246</v>
      </c>
      <c r="J80" s="19" t="s">
        <v>224</v>
      </c>
      <c r="L80" s="19" t="b">
        <v>0</v>
      </c>
      <c r="M80" s="18">
        <v>46115.554560185185</v>
      </c>
    </row>
    <row r="81" spans="1:13" x14ac:dyDescent="0.25">
      <c r="A81" s="16" t="s">
        <v>444</v>
      </c>
      <c r="B81" s="20">
        <v>46112</v>
      </c>
      <c r="C81" s="16">
        <v>3</v>
      </c>
      <c r="D81" s="19" t="s">
        <v>29</v>
      </c>
      <c r="E81" s="19" t="s">
        <v>445</v>
      </c>
      <c r="F81" s="19" t="s">
        <v>446</v>
      </c>
      <c r="G81" s="19">
        <v>58</v>
      </c>
      <c r="H81" s="19" t="s">
        <v>215</v>
      </c>
      <c r="I81" s="19" t="s">
        <v>246</v>
      </c>
      <c r="J81" s="19" t="s">
        <v>217</v>
      </c>
      <c r="L81" s="19" t="b">
        <v>0</v>
      </c>
      <c r="M81" s="18">
        <v>46115.555902777778</v>
      </c>
    </row>
    <row r="82" spans="1:13" x14ac:dyDescent="0.25">
      <c r="A82" s="16" t="s">
        <v>447</v>
      </c>
      <c r="B82" s="20">
        <v>46106</v>
      </c>
      <c r="C82" s="16">
        <v>3</v>
      </c>
      <c r="D82" s="19" t="s">
        <v>31</v>
      </c>
      <c r="E82" s="19" t="s">
        <v>448</v>
      </c>
      <c r="F82" s="19" t="s">
        <v>449</v>
      </c>
      <c r="G82" s="19">
        <v>58</v>
      </c>
      <c r="H82" s="19" t="s">
        <v>215</v>
      </c>
      <c r="I82" s="19" t="s">
        <v>216</v>
      </c>
      <c r="J82" s="19" t="s">
        <v>217</v>
      </c>
      <c r="L82" s="19" t="b">
        <v>0</v>
      </c>
      <c r="M82" s="18">
        <v>46115.557581018518</v>
      </c>
    </row>
    <row r="83" spans="1:13" x14ac:dyDescent="0.25">
      <c r="A83" s="16" t="s">
        <v>450</v>
      </c>
      <c r="B83" s="20">
        <v>46112</v>
      </c>
      <c r="C83" s="16">
        <v>3</v>
      </c>
      <c r="D83" s="19" t="s">
        <v>41</v>
      </c>
      <c r="F83" s="19" t="s">
        <v>451</v>
      </c>
      <c r="G83" s="19">
        <v>0</v>
      </c>
      <c r="H83" s="19" t="s">
        <v>306</v>
      </c>
      <c r="I83" s="19" t="s">
        <v>246</v>
      </c>
      <c r="J83" s="19" t="s">
        <v>217</v>
      </c>
      <c r="L83" s="19" t="b">
        <v>0</v>
      </c>
      <c r="M83" s="18">
        <v>46115.579097222224</v>
      </c>
    </row>
  </sheetData>
  <sheetProtection sheet="1"/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cols>
    <col min="1" max="1" width="9.140625" style="16"/>
    <col min="2" max="2" width="9.140625" style="19"/>
    <col min="3" max="3" width="9.140625" style="16"/>
    <col min="4" max="7" width="9.140625" style="19"/>
    <col min="8" max="8" width="9.140625" style="16"/>
    <col min="9" max="16384" width="9.140625" style="19"/>
  </cols>
  <sheetData>
    <row r="1" spans="1:8" x14ac:dyDescent="0.25">
      <c r="A1" s="16" t="s">
        <v>100</v>
      </c>
      <c r="B1" s="19" t="s">
        <v>101</v>
      </c>
      <c r="C1" s="16" t="s">
        <v>76</v>
      </c>
      <c r="D1" s="19" t="s">
        <v>102</v>
      </c>
      <c r="E1" s="19" t="s">
        <v>103</v>
      </c>
      <c r="F1" s="19" t="s">
        <v>88</v>
      </c>
      <c r="G1" s="19" t="s">
        <v>89</v>
      </c>
      <c r="H1" s="16" t="s">
        <v>85</v>
      </c>
    </row>
    <row r="2" spans="1:8" x14ac:dyDescent="0.25">
      <c r="B2" s="20"/>
      <c r="H2" s="18"/>
    </row>
  </sheetData>
  <sheetProtection sheet="1"/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topLeftCell="A121"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106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IFERROR(INDEX(tblWardConfig[PrevYearRemaining],MATCH("MW",tblWardConfig[WardCode],0)),0)</f>
        <v>25</v>
      </c>
    </row>
    <row r="5" spans="1:8" x14ac:dyDescent="0.25">
      <c r="A5" s="24" t="s">
        <v>109</v>
      </c>
      <c r="H5" s="27">
        <f>IFERROR(INDEX(tblWardConfig[BedComplement],MATCH("MW",tblWardConfig[WardCode],0)),0)</f>
        <v>32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IFERROR(IF(SUMIFS(tblDaily[Admissions],tblDaily[EntryDate],DATE(2026,1,1),tblDaily[WardCode],"MW")=0,"",SUMIFS(tblDaily[Admissions],tblDaily[EntryDate],DATE(2026,1,1),tblDaily[WardCode],"MW")),"")</f>
        <v/>
      </c>
      <c r="C7" s="29" t="str">
        <f>IFERROR(IF(SUMIFS(tblDaily[Discharges],tblDaily[EntryDate],DATE(2026,1,1),tblDaily[WardCode],"MW")=0,"",SUMIFS(tblDaily[Discharges],tblDaily[EntryDate],DATE(2026,1,1),tblDaily[WardCode],"MW")),"")</f>
        <v/>
      </c>
      <c r="D7" s="29">
        <f>IFERROR(IF(SUMIFS(tblDaily[Deaths],tblDaily[EntryDate],DATE(2026,1,1),tblDaily[WardCode],"MW")=0,"",SUMIFS(tblDaily[Deaths],tblDaily[EntryDate],DATE(2026,1,1),tblDaily[WardCode],"MW")),"")</f>
        <v>1</v>
      </c>
      <c r="E7" s="29" t="str">
        <f>IFERROR(IF(SUMIFS(tblDaily[DeathsUnder24Hrs],tblDaily[EntryDate],DATE(2026,1,1),tblDaily[WardCode],"MW")=0,"",SUMIFS(tblDaily[DeathsUnder24Hrs],tblDaily[EntryDate],DATE(2026,1,1),tblDaily[WardCode],"MW")),"")</f>
        <v/>
      </c>
      <c r="F7" s="29">
        <f>IFERROR(IF(SUMIFS(tblDaily[TransfersIn],tblDaily[EntryDate],DATE(2026,1,1),tblDaily[WardCode],"MW")=0,"",SUMIFS(tblDaily[TransfersIn],tblDaily[EntryDate],DATE(2026,1,1),tblDaily[WardCode],"MW")),"")</f>
        <v>1</v>
      </c>
      <c r="G7" s="29" t="str">
        <f>IFERROR(IF(SUMIFS(tblDaily[TransfersOut],tblDaily[EntryDate],DATE(2026,1,1),tblDaily[WardCode],"MW")=0,"",SUMIFS(tblDaily[TransfersOut],tblDaily[EntryDate],DATE(2026,1,1),tblDaily[WardCode],"MW")),"")</f>
        <v/>
      </c>
      <c r="H7" s="29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29">
        <v>2</v>
      </c>
      <c r="B8" s="29" t="str">
        <f>IFERROR(IF(SUMIFS(tblDaily[Admissions],tblDaily[EntryDate],DATE(2026,1,2),tblDaily[WardCode],"MW")=0,"",SUMIFS(tblDaily[Admissions],tblDaily[EntryDate],DATE(2026,1,2),tblDaily[WardCode],"MW")),"")</f>
        <v/>
      </c>
      <c r="C8" s="29">
        <f>IFERROR(IF(SUMIFS(tblDaily[Discharges],tblDaily[EntryDate],DATE(2026,1,2),tblDaily[WardCode],"MW")=0,"",SUMIFS(tblDaily[Discharges],tblDaily[EntryDate],DATE(2026,1,2),tblDaily[WardCode],"MW")),"")</f>
        <v>2</v>
      </c>
      <c r="D8" s="29" t="str">
        <f>IFERROR(IF(SUMIFS(tblDaily[Deaths],tblDaily[EntryDate],DATE(2026,1,2),tblDaily[WardCode],"MW")=0,"",SUMIFS(tblDaily[Deaths],tblDaily[EntryDate],DATE(2026,1,2),tblDaily[WardCode],"MW")),"")</f>
        <v/>
      </c>
      <c r="E8" s="29" t="str">
        <f>IFERROR(IF(SUMIFS(tblDaily[DeathsUnder24Hrs],tblDaily[EntryDate],DATE(2026,1,2),tblDaily[WardCode],"MW")=0,"",SUMIFS(tblDaily[DeathsUnder24Hrs],tblDaily[EntryDate],DATE(2026,1,2),tblDaily[WardCode],"MW")),"")</f>
        <v/>
      </c>
      <c r="F8" s="29" t="str">
        <f>IFERROR(IF(SUMIFS(tblDaily[TransfersIn],tblDaily[EntryDate],DATE(2026,1,2),tblDaily[WardCode],"MW")=0,"",SUMIFS(tblDaily[TransfersIn],tblDaily[EntryDate],DATE(2026,1,2),tblDaily[WardCode],"MW")),"")</f>
        <v/>
      </c>
      <c r="G8" s="29" t="str">
        <f>IFERROR(IF(SUMIFS(tblDaily[TransfersOut],tblDaily[EntryDate],DATE(2026,1,2),tblDaily[WardCode],"MW")=0,"",SUMIFS(tblDaily[TransfersOut],tblDaily[EntryDate],DATE(2026,1,2),tblDaily[WardCode],"MW")),"")</f>
        <v/>
      </c>
      <c r="H8" s="29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29">
        <v>3</v>
      </c>
      <c r="B9" s="29" t="str">
        <f>IFERROR(IF(SUMIFS(tblDaily[Admissions],tblDaily[EntryDate],DATE(2026,1,3),tblDaily[WardCode],"MW")=0,"",SUMIFS(tblDaily[Admissions],tblDaily[EntryDate],DATE(2026,1,3),tblDaily[WardCode],"MW")),"")</f>
        <v/>
      </c>
      <c r="C9" s="29">
        <f>IFERROR(IF(SUMIFS(tblDaily[Discharges],tblDaily[EntryDate],DATE(2026,1,3),tblDaily[WardCode],"MW")=0,"",SUMIFS(tblDaily[Discharges],tblDaily[EntryDate],DATE(2026,1,3),tblDaily[WardCode],"MW")),"")</f>
        <v>2</v>
      </c>
      <c r="D9" s="29" t="str">
        <f>IFERROR(IF(SUMIFS(tblDaily[Deaths],tblDaily[EntryDate],DATE(2026,1,3),tblDaily[WardCode],"MW")=0,"",SUMIFS(tblDaily[Deaths],tblDaily[EntryDate],DATE(2026,1,3),tblDaily[WardCode],"MW")),"")</f>
        <v/>
      </c>
      <c r="E9" s="29" t="str">
        <f>IFERROR(IF(SUMIFS(tblDaily[DeathsUnder24Hrs],tblDaily[EntryDate],DATE(2026,1,3),tblDaily[WardCode],"MW")=0,"",SUMIFS(tblDaily[DeathsUnder24Hrs],tblDaily[EntryDate],DATE(2026,1,3),tblDaily[WardCode],"MW")),"")</f>
        <v/>
      </c>
      <c r="F9" s="29">
        <f>IFERROR(IF(SUMIFS(tblDaily[TransfersIn],tblDaily[EntryDate],DATE(2026,1,3),tblDaily[WardCode],"MW")=0,"",SUMIFS(tblDaily[TransfersIn],tblDaily[EntryDate],DATE(2026,1,3),tblDaily[WardCode],"MW")),"")</f>
        <v>2</v>
      </c>
      <c r="G9" s="29" t="str">
        <f>IFERROR(IF(SUMIFS(tblDaily[TransfersOut],tblDaily[EntryDate],DATE(2026,1,3),tblDaily[WardCode],"MW")=0,"",SUMIFS(tblDaily[TransfersOut],tblDaily[EntryDate],DATE(2026,1,3),tblDaily[WardCode],"MW")),"")</f>
        <v/>
      </c>
      <c r="H9" s="29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29">
        <v>4</v>
      </c>
      <c r="B10" s="29">
        <f>IFERROR(IF(SUMIFS(tblDaily[Admissions],tblDaily[EntryDate],DATE(2026,1,4),tblDaily[WardCode],"MW")=0,"",SUMIFS(tblDaily[Admissions],tblDaily[EntryDate],DATE(2026,1,4),tblDaily[WardCode],"MW")),"")</f>
        <v>3</v>
      </c>
      <c r="C10" s="29">
        <f>IFERROR(IF(SUMIFS(tblDaily[Discharges],tblDaily[EntryDate],DATE(2026,1,4),tblDaily[WardCode],"MW")=0,"",SUMIFS(tblDaily[Discharges],tblDaily[EntryDate],DATE(2026,1,4),tblDaily[WardCode],"MW")),"")</f>
        <v>5</v>
      </c>
      <c r="D10" s="29" t="str">
        <f>IFERROR(IF(SUMIFS(tblDaily[Deaths],tblDaily[EntryDate],DATE(2026,1,4),tblDaily[WardCode],"MW")=0,"",SUMIFS(tblDaily[Deaths],tblDaily[EntryDate],DATE(2026,1,4),tblDaily[WardCode],"MW")),"")</f>
        <v/>
      </c>
      <c r="E10" s="29" t="str">
        <f>IFERROR(IF(SUMIFS(tblDaily[DeathsUnder24Hrs],tblDaily[EntryDate],DATE(2026,1,4),tblDaily[WardCode],"MW")=0,"",SUMIFS(tblDaily[DeathsUnder24Hrs],tblDaily[EntryDate],DATE(2026,1,4),tblDaily[WardCode],"MW")),"")</f>
        <v/>
      </c>
      <c r="F10" s="29">
        <f>IFERROR(IF(SUMIFS(tblDaily[TransfersIn],tblDaily[EntryDate],DATE(2026,1,4),tblDaily[WardCode],"MW")=0,"",SUMIFS(tblDaily[TransfersIn],tblDaily[EntryDate],DATE(2026,1,4),tblDaily[WardCode],"MW")),"")</f>
        <v>3</v>
      </c>
      <c r="G10" s="29" t="str">
        <f>IFERROR(IF(SUMIFS(tblDaily[TransfersOut],tblDaily[EntryDate],DATE(2026,1,4),tblDaily[WardCode],"MW")=0,"",SUMIFS(tblDaily[TransfersOut],tblDaily[EntryDate],DATE(2026,1,4),tblDaily[WardCode],"MW")),"")</f>
        <v/>
      </c>
      <c r="H10" s="29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29">
        <v>5</v>
      </c>
      <c r="B11" s="29">
        <f>IFERROR(IF(SUMIFS(tblDaily[Admissions],tblDaily[EntryDate],DATE(2026,1,5),tblDaily[WardCode],"MW")=0,"",SUMIFS(tblDaily[Admissions],tblDaily[EntryDate],DATE(2026,1,5),tblDaily[WardCode],"MW")),"")</f>
        <v>3</v>
      </c>
      <c r="C11" s="29">
        <f>IFERROR(IF(SUMIFS(tblDaily[Discharges],tblDaily[EntryDate],DATE(2026,1,5),tblDaily[WardCode],"MW")=0,"",SUMIFS(tblDaily[Discharges],tblDaily[EntryDate],DATE(2026,1,5),tblDaily[WardCode],"MW")),"")</f>
        <v>4</v>
      </c>
      <c r="D11" s="29">
        <f>IFERROR(IF(SUMIFS(tblDaily[Deaths],tblDaily[EntryDate],DATE(2026,1,5),tblDaily[WardCode],"MW")=0,"",SUMIFS(tblDaily[Deaths],tblDaily[EntryDate],DATE(2026,1,5),tblDaily[WardCode],"MW")),"")</f>
        <v>1</v>
      </c>
      <c r="E11" s="29" t="str">
        <f>IFERROR(IF(SUMIFS(tblDaily[DeathsUnder24Hrs],tblDaily[EntryDate],DATE(2026,1,5),tblDaily[WardCode],"MW")=0,"",SUMIFS(tblDaily[DeathsUnder24Hrs],tblDaily[EntryDate],DATE(2026,1,5),tblDaily[WardCode],"MW")),"")</f>
        <v/>
      </c>
      <c r="F11" s="29" t="str">
        <f>IFERROR(IF(SUMIFS(tblDaily[TransfersIn],tblDaily[EntryDate],DATE(2026,1,5),tblDaily[WardCode],"MW")=0,"",SUMIFS(tblDaily[TransfersIn],tblDaily[EntryDate],DATE(2026,1,5),tblDaily[WardCode],"MW")),"")</f>
        <v/>
      </c>
      <c r="G11" s="29" t="str">
        <f>IFERROR(IF(SUMIFS(tblDaily[TransfersOut],tblDaily[EntryDate],DATE(2026,1,5),tblDaily[WardCode],"MW")=0,"",SUMIFS(tblDaily[TransfersOut],tblDaily[EntryDate],DATE(2026,1,5),tblDaily[WardCode],"MW")),"")</f>
        <v/>
      </c>
      <c r="H11" s="29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29">
        <v>6</v>
      </c>
      <c r="B12" s="29" t="str">
        <f>IFERROR(IF(SUMIFS(tblDaily[Admissions],tblDaily[EntryDate],DATE(2026,1,6),tblDaily[WardCode],"MW")=0,"",SUMIFS(tblDaily[Admissions],tblDaily[EntryDate],DATE(2026,1,6),tblDaily[WardCode],"MW")),"")</f>
        <v/>
      </c>
      <c r="C12" s="29">
        <f>IFERROR(IF(SUMIFS(tblDaily[Discharges],tblDaily[EntryDate],DATE(2026,1,6),tblDaily[WardCode],"MW")=0,"",SUMIFS(tblDaily[Discharges],tblDaily[EntryDate],DATE(2026,1,6),tblDaily[WardCode],"MW")),"")</f>
        <v>8</v>
      </c>
      <c r="D12" s="29">
        <f>IFERROR(IF(SUMIFS(tblDaily[Deaths],tblDaily[EntryDate],DATE(2026,1,6),tblDaily[WardCode],"MW")=0,"",SUMIFS(tblDaily[Deaths],tblDaily[EntryDate],DATE(2026,1,6),tblDaily[WardCode],"MW")),"")</f>
        <v>1</v>
      </c>
      <c r="E12" s="29" t="str">
        <f>IFERROR(IF(SUMIFS(tblDaily[DeathsUnder24Hrs],tblDaily[EntryDate],DATE(2026,1,6),tblDaily[WardCode],"MW")=0,"",SUMIFS(tblDaily[DeathsUnder24Hrs],tblDaily[EntryDate],DATE(2026,1,6),tblDaily[WardCode],"MW")),"")</f>
        <v/>
      </c>
      <c r="F12" s="29">
        <f>IFERROR(IF(SUMIFS(tblDaily[TransfersIn],tblDaily[EntryDate],DATE(2026,1,6),tblDaily[WardCode],"MW")=0,"",SUMIFS(tblDaily[TransfersIn],tblDaily[EntryDate],DATE(2026,1,6),tblDaily[WardCode],"MW")),"")</f>
        <v>2</v>
      </c>
      <c r="G12" s="29" t="str">
        <f>IFERROR(IF(SUMIFS(tblDaily[TransfersOut],tblDaily[EntryDate],DATE(2026,1,6),tblDaily[WardCode],"MW")=0,"",SUMIFS(tblDaily[TransfersOut],tblDaily[EntryDate],DATE(2026,1,6),tblDaily[WardCode],"MW")),"")</f>
        <v/>
      </c>
      <c r="H12" s="29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29">
        <v>7</v>
      </c>
      <c r="B13" s="29">
        <f>IFERROR(IF(SUMIFS(tblDaily[Admissions],tblDaily[EntryDate],DATE(2026,1,7),tblDaily[WardCode],"MW")=0,"",SUMIFS(tblDaily[Admissions],tblDaily[EntryDate],DATE(2026,1,7),tblDaily[WardCode],"MW")),"")</f>
        <v>3</v>
      </c>
      <c r="C13" s="29">
        <f>IFERROR(IF(SUMIFS(tblDaily[Discharges],tblDaily[EntryDate],DATE(2026,1,7),tblDaily[WardCode],"MW")=0,"",SUMIFS(tblDaily[Discharges],tblDaily[EntryDate],DATE(2026,1,7),tblDaily[WardCode],"MW")),"")</f>
        <v>3</v>
      </c>
      <c r="D13" s="29">
        <f>IFERROR(IF(SUMIFS(tblDaily[Deaths],tblDaily[EntryDate],DATE(2026,1,7),tblDaily[WardCode],"MW")=0,"",SUMIFS(tblDaily[Deaths],tblDaily[EntryDate],DATE(2026,1,7),tblDaily[WardCode],"MW")),"")</f>
        <v>2</v>
      </c>
      <c r="E13" s="29" t="str">
        <f>IFERROR(IF(SUMIFS(tblDaily[DeathsUnder24Hrs],tblDaily[EntryDate],DATE(2026,1,7),tblDaily[WardCode],"MW")=0,"",SUMIFS(tblDaily[DeathsUnder24Hrs],tblDaily[EntryDate],DATE(2026,1,7),tblDaily[WardCode],"MW")),"")</f>
        <v/>
      </c>
      <c r="F13" s="29">
        <f>IFERROR(IF(SUMIFS(tblDaily[TransfersIn],tblDaily[EntryDate],DATE(2026,1,7),tblDaily[WardCode],"MW")=0,"",SUMIFS(tblDaily[TransfersIn],tblDaily[EntryDate],DATE(2026,1,7),tblDaily[WardCode],"MW")),"")</f>
        <v>1</v>
      </c>
      <c r="G13" s="29" t="str">
        <f>IFERROR(IF(SUMIFS(tblDaily[TransfersOut],tblDaily[EntryDate],DATE(2026,1,7),tblDaily[WardCode],"MW")=0,"",SUMIFS(tblDaily[TransfersOut],tblDaily[EntryDate],DATE(2026,1,7),tblDaily[WardCode],"MW")),"")</f>
        <v/>
      </c>
      <c r="H13" s="29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29">
        <v>8</v>
      </c>
      <c r="B14" s="29">
        <f>IFERROR(IF(SUMIFS(tblDaily[Admissions],tblDaily[EntryDate],DATE(2026,1,8),tblDaily[WardCode],"MW")=0,"",SUMIFS(tblDaily[Admissions],tblDaily[EntryDate],DATE(2026,1,8),tblDaily[WardCode],"MW")),"")</f>
        <v>4</v>
      </c>
      <c r="C14" s="29">
        <f>IFERROR(IF(SUMIFS(tblDaily[Discharges],tblDaily[EntryDate],DATE(2026,1,8),tblDaily[WardCode],"MW")=0,"",SUMIFS(tblDaily[Discharges],tblDaily[EntryDate],DATE(2026,1,8),tblDaily[WardCode],"MW")),"")</f>
        <v>1</v>
      </c>
      <c r="D14" s="29" t="str">
        <f>IFERROR(IF(SUMIFS(tblDaily[Deaths],tblDaily[EntryDate],DATE(2026,1,8),tblDaily[WardCode],"MW")=0,"",SUMIFS(tblDaily[Deaths],tblDaily[EntryDate],DATE(2026,1,8),tblDaily[WardCode],"MW")),"")</f>
        <v/>
      </c>
      <c r="E14" s="29" t="str">
        <f>IFERROR(IF(SUMIFS(tblDaily[DeathsUnder24Hrs],tblDaily[EntryDate],DATE(2026,1,8),tblDaily[WardCode],"MW")=0,"",SUMIFS(tblDaily[DeathsUnder24Hrs],tblDaily[EntryDate],DATE(2026,1,8),tblDaily[WardCode],"MW")),"")</f>
        <v/>
      </c>
      <c r="F14" s="29" t="str">
        <f>IFERROR(IF(SUMIFS(tblDaily[TransfersIn],tblDaily[EntryDate],DATE(2026,1,8),tblDaily[WardCode],"MW")=0,"",SUMIFS(tblDaily[TransfersIn],tblDaily[EntryDate],DATE(2026,1,8),tblDaily[WardCode],"MW")),"")</f>
        <v/>
      </c>
      <c r="G14" s="29" t="str">
        <f>IFERROR(IF(SUMIFS(tblDaily[TransfersOut],tblDaily[EntryDate],DATE(2026,1,8),tblDaily[WardCode],"MW")=0,"",SUMIFS(tblDaily[TransfersOut],tblDaily[EntryDate],DATE(2026,1,8),tblDaily[WardCode],"MW")),"")</f>
        <v/>
      </c>
      <c r="H14" s="29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29">
        <v>9</v>
      </c>
      <c r="B15" s="29">
        <f>IFERROR(IF(SUMIFS(tblDaily[Admissions],tblDaily[EntryDate],DATE(2026,1,9),tblDaily[WardCode],"MW")=0,"",SUMIFS(tblDaily[Admissions],tblDaily[EntryDate],DATE(2026,1,9),tblDaily[WardCode],"MW")),"")</f>
        <v>1</v>
      </c>
      <c r="C15" s="29">
        <f>IFERROR(IF(SUMIFS(tblDaily[Discharges],tblDaily[EntryDate],DATE(2026,1,9),tblDaily[WardCode],"MW")=0,"",SUMIFS(tblDaily[Discharges],tblDaily[EntryDate],DATE(2026,1,9),tblDaily[WardCode],"MW")),"")</f>
        <v>3</v>
      </c>
      <c r="D15" s="29" t="str">
        <f>IFERROR(IF(SUMIFS(tblDaily[Deaths],tblDaily[EntryDate],DATE(2026,1,9),tblDaily[WardCode],"MW")=0,"",SUMIFS(tblDaily[Deaths],tblDaily[EntryDate],DATE(2026,1,9),tblDaily[WardCode],"MW")),"")</f>
        <v/>
      </c>
      <c r="E15" s="29" t="str">
        <f>IFERROR(IF(SUMIFS(tblDaily[DeathsUnder24Hrs],tblDaily[EntryDate],DATE(2026,1,9),tblDaily[WardCode],"MW")=0,"",SUMIFS(tblDaily[DeathsUnder24Hrs],tblDaily[EntryDate],DATE(2026,1,9),tblDaily[WardCode],"MW")),"")</f>
        <v/>
      </c>
      <c r="F15" s="29">
        <f>IFERROR(IF(SUMIFS(tblDaily[TransfersIn],tblDaily[EntryDate],DATE(2026,1,9),tblDaily[WardCode],"MW")=0,"",SUMIFS(tblDaily[TransfersIn],tblDaily[EntryDate],DATE(2026,1,9),tblDaily[WardCode],"MW")),"")</f>
        <v>2</v>
      </c>
      <c r="G15" s="29" t="str">
        <f>IFERROR(IF(SUMIFS(tblDaily[TransfersOut],tblDaily[EntryDate],DATE(2026,1,9),tblDaily[WardCode],"MW")=0,"",SUMIFS(tblDaily[TransfersOut],tblDaily[EntryDate],DATE(2026,1,9),tblDaily[WardCode],"MW")),"")</f>
        <v/>
      </c>
      <c r="H15" s="29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29">
        <v>10</v>
      </c>
      <c r="B16" s="29">
        <f>IFERROR(IF(SUMIFS(tblDaily[Admissions],tblDaily[EntryDate],DATE(2026,1,10),tblDaily[WardCode],"MW")=0,"",SUMIFS(tblDaily[Admissions],tblDaily[EntryDate],DATE(2026,1,10),tblDaily[WardCode],"MW")),"")</f>
        <v>1</v>
      </c>
      <c r="C16" s="29">
        <f>IFERROR(IF(SUMIFS(tblDaily[Discharges],tblDaily[EntryDate],DATE(2026,1,10),tblDaily[WardCode],"MW")=0,"",SUMIFS(tblDaily[Discharges],tblDaily[EntryDate],DATE(2026,1,10),tblDaily[WardCode],"MW")),"")</f>
        <v>3</v>
      </c>
      <c r="D16" s="29" t="str">
        <f>IFERROR(IF(SUMIFS(tblDaily[Deaths],tblDaily[EntryDate],DATE(2026,1,10),tblDaily[WardCode],"MW")=0,"",SUMIFS(tblDaily[Deaths],tblDaily[EntryDate],DATE(2026,1,10),tblDaily[WardCode],"MW")),"")</f>
        <v/>
      </c>
      <c r="E16" s="29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29" t="str">
        <f>IFERROR(IF(SUMIFS(tblDaily[TransfersIn],tblDaily[EntryDate],DATE(2026,1,10),tblDaily[WardCode],"MW")=0,"",SUMIFS(tblDaily[TransfersIn],tblDaily[EntryDate],DATE(2026,1,10),tblDaily[WardCode],"MW")),"")</f>
        <v/>
      </c>
      <c r="G16" s="29" t="str">
        <f>IFERROR(IF(SUMIFS(tblDaily[TransfersOut],tblDaily[EntryDate],DATE(2026,1,10),tblDaily[WardCode],"MW")=0,"",SUMIFS(tblDaily[TransfersOut],tblDaily[EntryDate],DATE(2026,1,10),tblDaily[WardCode],"MW")),"")</f>
        <v/>
      </c>
      <c r="H16" s="29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29">
        <v>11</v>
      </c>
      <c r="B17" s="29">
        <f>IFERROR(IF(SUMIFS(tblDaily[Admissions],tblDaily[EntryDate],DATE(2026,1,11),tblDaily[WardCode],"MW")=0,"",SUMIFS(tblDaily[Admissions],tblDaily[EntryDate],DATE(2026,1,11),tblDaily[WardCode],"MW")),"")</f>
        <v>1</v>
      </c>
      <c r="C17" s="29">
        <f>IFERROR(IF(SUMIFS(tblDaily[Discharges],tblDaily[EntryDate],DATE(2026,1,11),tblDaily[WardCode],"MW")=0,"",SUMIFS(tblDaily[Discharges],tblDaily[EntryDate],DATE(2026,1,11),tblDaily[WardCode],"MW")),"")</f>
        <v>3</v>
      </c>
      <c r="D17" s="29" t="str">
        <f>IFERROR(IF(SUMIFS(tblDaily[Deaths],tblDaily[EntryDate],DATE(2026,1,11),tblDaily[WardCode],"MW")=0,"",SUMIFS(tblDaily[Deaths],tblDaily[EntryDate],DATE(2026,1,11),tblDaily[WardCode],"MW")),"")</f>
        <v/>
      </c>
      <c r="E17" s="29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29">
        <f>IFERROR(IF(SUMIFS(tblDaily[TransfersIn],tblDaily[EntryDate],DATE(2026,1,11),tblDaily[WardCode],"MW")=0,"",SUMIFS(tblDaily[TransfersIn],tblDaily[EntryDate],DATE(2026,1,11),tblDaily[WardCode],"MW")),"")</f>
        <v>4</v>
      </c>
      <c r="G17" s="29" t="str">
        <f>IFERROR(IF(SUMIFS(tblDaily[TransfersOut],tblDaily[EntryDate],DATE(2026,1,11),tblDaily[WardCode],"MW")=0,"",SUMIFS(tblDaily[TransfersOut],tblDaily[EntryDate],DATE(2026,1,11),tblDaily[WardCode],"MW")),"")</f>
        <v/>
      </c>
      <c r="H17" s="29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29">
        <v>12</v>
      </c>
      <c r="B18" s="29">
        <f>IFERROR(IF(SUMIFS(tblDaily[Admissions],tblDaily[EntryDate],DATE(2026,1,12),tblDaily[WardCode],"MW")=0,"",SUMIFS(tblDaily[Admissions],tblDaily[EntryDate],DATE(2026,1,12),tblDaily[WardCode],"MW")),"")</f>
        <v>6</v>
      </c>
      <c r="C18" s="29">
        <f>IFERROR(IF(SUMIFS(tblDaily[Discharges],tblDaily[EntryDate],DATE(2026,1,12),tblDaily[WardCode],"MW")=0,"",SUMIFS(tblDaily[Discharges],tblDaily[EntryDate],DATE(2026,1,12),tblDaily[WardCode],"MW")),"")</f>
        <v>3</v>
      </c>
      <c r="D18" s="29">
        <f>IFERROR(IF(SUMIFS(tblDaily[Deaths],tblDaily[EntryDate],DATE(2026,1,12),tblDaily[WardCode],"MW")=0,"",SUMIFS(tblDaily[Deaths],tblDaily[EntryDate],DATE(2026,1,12),tblDaily[WardCode],"MW")),"")</f>
        <v>1</v>
      </c>
      <c r="E18" s="29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29">
        <f>IFERROR(IF(SUMIFS(tblDaily[TransfersIn],tblDaily[EntryDate],DATE(2026,1,12),tblDaily[WardCode],"MW")=0,"",SUMIFS(tblDaily[TransfersIn],tblDaily[EntryDate],DATE(2026,1,12),tblDaily[WardCode],"MW")),"")</f>
        <v>2</v>
      </c>
      <c r="G18" s="29" t="str">
        <f>IFERROR(IF(SUMIFS(tblDaily[TransfersOut],tblDaily[EntryDate],DATE(2026,1,12),tblDaily[WardCode],"MW")=0,"",SUMIFS(tblDaily[TransfersOut],tblDaily[EntryDate],DATE(2026,1,12),tblDaily[WardCode],"MW")),"")</f>
        <v/>
      </c>
      <c r="H18" s="29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29">
        <v>13</v>
      </c>
      <c r="B19" s="29">
        <f>IFERROR(IF(SUMIFS(tblDaily[Admissions],tblDaily[EntryDate],DATE(2026,1,13),tblDaily[WardCode],"MW")=0,"",SUMIFS(tblDaily[Admissions],tblDaily[EntryDate],DATE(2026,1,13),tblDaily[WardCode],"MW")),"")</f>
        <v>4</v>
      </c>
      <c r="C19" s="29">
        <f>IFERROR(IF(SUMIFS(tblDaily[Discharges],tblDaily[EntryDate],DATE(2026,1,13),tblDaily[WardCode],"MW")=0,"",SUMIFS(tblDaily[Discharges],tblDaily[EntryDate],DATE(2026,1,13),tblDaily[WardCode],"MW")),"")</f>
        <v>3</v>
      </c>
      <c r="D19" s="29">
        <f>IFERROR(IF(SUMIFS(tblDaily[Deaths],tblDaily[EntryDate],DATE(2026,1,13),tblDaily[WardCode],"MW")=0,"",SUMIFS(tblDaily[Deaths],tblDaily[EntryDate],DATE(2026,1,13),tblDaily[WardCode],"MW")),"")</f>
        <v>1</v>
      </c>
      <c r="E19" s="29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29">
        <f>IFERROR(IF(SUMIFS(tblDaily[TransfersIn],tblDaily[EntryDate],DATE(2026,1,13),tblDaily[WardCode],"MW")=0,"",SUMIFS(tblDaily[TransfersIn],tblDaily[EntryDate],DATE(2026,1,13),tblDaily[WardCode],"MW")),"")</f>
        <v>2</v>
      </c>
      <c r="G19" s="29" t="str">
        <f>IFERROR(IF(SUMIFS(tblDaily[TransfersOut],tblDaily[EntryDate],DATE(2026,1,13),tblDaily[WardCode],"MW")=0,"",SUMIFS(tblDaily[TransfersOut],tblDaily[EntryDate],DATE(2026,1,13),tblDaily[WardCode],"MW")),"")</f>
        <v/>
      </c>
      <c r="H19" s="29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29">
        <v>14</v>
      </c>
      <c r="B20" s="29">
        <f>IFERROR(IF(SUMIFS(tblDaily[Admissions],tblDaily[EntryDate],DATE(2026,1,14),tblDaily[WardCode],"MW")=0,"",SUMIFS(tblDaily[Admissions],tblDaily[EntryDate],DATE(2026,1,14),tblDaily[WardCode],"MW")),"")</f>
        <v>1</v>
      </c>
      <c r="C20" s="29">
        <f>IFERROR(IF(SUMIFS(tblDaily[Discharges],tblDaily[EntryDate],DATE(2026,1,14),tblDaily[WardCode],"MW")=0,"",SUMIFS(tblDaily[Discharges],tblDaily[EntryDate],DATE(2026,1,14),tblDaily[WardCode],"MW")),"")</f>
        <v>1</v>
      </c>
      <c r="D20" s="29" t="str">
        <f>IFERROR(IF(SUMIFS(tblDaily[Deaths],tblDaily[EntryDate],DATE(2026,1,14),tblDaily[WardCode],"MW")=0,"",SUMIFS(tblDaily[Deaths],tblDaily[EntryDate],DATE(2026,1,14),tblDaily[WardCode],"MW")),"")</f>
        <v/>
      </c>
      <c r="E20" s="29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29">
        <f>IFERROR(IF(SUMIFS(tblDaily[TransfersIn],tblDaily[EntryDate],DATE(2026,1,14),tblDaily[WardCode],"MW")=0,"",SUMIFS(tblDaily[TransfersIn],tblDaily[EntryDate],DATE(2026,1,14),tblDaily[WardCode],"MW")),"")</f>
        <v>1</v>
      </c>
      <c r="G20" s="29" t="str">
        <f>IFERROR(IF(SUMIFS(tblDaily[TransfersOut],tblDaily[EntryDate],DATE(2026,1,14),tblDaily[WardCode],"MW")=0,"",SUMIFS(tblDaily[TransfersOut],tblDaily[EntryDate],DATE(2026,1,14),tblDaily[WardCode],"MW")),"")</f>
        <v/>
      </c>
      <c r="H20" s="29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29">
        <v>15</v>
      </c>
      <c r="B21" s="29">
        <f>IFERROR(IF(SUMIFS(tblDaily[Admissions],tblDaily[EntryDate],DATE(2026,1,15),tblDaily[WardCode],"MW")=0,"",SUMIFS(tblDaily[Admissions],tblDaily[EntryDate],DATE(2026,1,15),tblDaily[WardCode],"MW")),"")</f>
        <v>4</v>
      </c>
      <c r="C21" s="29">
        <f>IFERROR(IF(SUMIFS(tblDaily[Discharges],tblDaily[EntryDate],DATE(2026,1,15),tblDaily[WardCode],"MW")=0,"",SUMIFS(tblDaily[Discharges],tblDaily[EntryDate],DATE(2026,1,15),tblDaily[WardCode],"MW")),"")</f>
        <v>4</v>
      </c>
      <c r="D21" s="29" t="str">
        <f>IFERROR(IF(SUMIFS(tblDaily[Deaths],tblDaily[EntryDate],DATE(2026,1,15),tblDaily[WardCode],"MW")=0,"",SUMIFS(tblDaily[Deaths],tblDaily[EntryDate],DATE(2026,1,15),tblDaily[WardCode],"MW")),"")</f>
        <v/>
      </c>
      <c r="E21" s="29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29" t="str">
        <f>IFERROR(IF(SUMIFS(tblDaily[TransfersIn],tblDaily[EntryDate],DATE(2026,1,15),tblDaily[WardCode],"MW")=0,"",SUMIFS(tblDaily[TransfersIn],tblDaily[EntryDate],DATE(2026,1,15),tblDaily[WardCode],"MW")),"")</f>
        <v/>
      </c>
      <c r="G21" s="29" t="str">
        <f>IFERROR(IF(SUMIFS(tblDaily[TransfersOut],tblDaily[EntryDate],DATE(2026,1,15),tblDaily[WardCode],"MW")=0,"",SUMIFS(tblDaily[TransfersOut],tblDaily[EntryDate],DATE(2026,1,15),tblDaily[WardCode],"MW")),"")</f>
        <v/>
      </c>
      <c r="H21" s="29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29">
        <v>16</v>
      </c>
      <c r="B22" s="29">
        <f>IFERROR(IF(SUMIFS(tblDaily[Admissions],tblDaily[EntryDate],DATE(2026,1,16),tblDaily[WardCode],"MW")=0,"",SUMIFS(tblDaily[Admissions],tblDaily[EntryDate],DATE(2026,1,16),tblDaily[WardCode],"MW")),"")</f>
        <v>4</v>
      </c>
      <c r="C22" s="29">
        <f>IFERROR(IF(SUMIFS(tblDaily[Discharges],tblDaily[EntryDate],DATE(2026,1,16),tblDaily[WardCode],"MW")=0,"",SUMIFS(tblDaily[Discharges],tblDaily[EntryDate],DATE(2026,1,16),tblDaily[WardCode],"MW")),"")</f>
        <v>2</v>
      </c>
      <c r="D22" s="29">
        <f>IFERROR(IF(SUMIFS(tblDaily[Deaths],tblDaily[EntryDate],DATE(2026,1,16),tblDaily[WardCode],"MW")=0,"",SUMIFS(tblDaily[Deaths],tblDaily[EntryDate],DATE(2026,1,16),tblDaily[WardCode],"MW")),"")</f>
        <v>2</v>
      </c>
      <c r="E22" s="29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29" t="str">
        <f>IFERROR(IF(SUMIFS(tblDaily[TransfersIn],tblDaily[EntryDate],DATE(2026,1,16),tblDaily[WardCode],"MW")=0,"",SUMIFS(tblDaily[TransfersIn],tblDaily[EntryDate],DATE(2026,1,16),tblDaily[WardCode],"MW")),"")</f>
        <v/>
      </c>
      <c r="G22" s="29" t="str">
        <f>IFERROR(IF(SUMIFS(tblDaily[TransfersOut],tblDaily[EntryDate],DATE(2026,1,16),tblDaily[WardCode],"MW")=0,"",SUMIFS(tblDaily[TransfersOut],tblDaily[EntryDate],DATE(2026,1,16),tblDaily[WardCode],"MW")),"")</f>
        <v/>
      </c>
      <c r="H22" s="29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29">
        <v>17</v>
      </c>
      <c r="B23" s="29" t="str">
        <f>IFERROR(IF(SUMIFS(tblDaily[Admissions],tblDaily[EntryDate],DATE(2026,1,17),tblDaily[WardCode],"MW")=0,"",SUMIFS(tblDaily[Admissions],tblDaily[EntryDate],DATE(2026,1,17),tblDaily[WardCode],"MW")),"")</f>
        <v/>
      </c>
      <c r="C23" s="29">
        <f>IFERROR(IF(SUMIFS(tblDaily[Discharges],tblDaily[EntryDate],DATE(2026,1,17),tblDaily[WardCode],"MW")=0,"",SUMIFS(tblDaily[Discharges],tblDaily[EntryDate],DATE(2026,1,17),tblDaily[WardCode],"MW")),"")</f>
        <v>2</v>
      </c>
      <c r="D23" s="29">
        <f>IFERROR(IF(SUMIFS(tblDaily[Deaths],tblDaily[EntryDate],DATE(2026,1,17),tblDaily[WardCode],"MW")=0,"",SUMIFS(tblDaily[Deaths],tblDaily[EntryDate],DATE(2026,1,17),tblDaily[WardCode],"MW")),"")</f>
        <v>1</v>
      </c>
      <c r="E23" s="29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29">
        <f>IFERROR(IF(SUMIFS(tblDaily[TransfersIn],tblDaily[EntryDate],DATE(2026,1,17),tblDaily[WardCode],"MW")=0,"",SUMIFS(tblDaily[TransfersIn],tblDaily[EntryDate],DATE(2026,1,17),tblDaily[WardCode],"MW")),"")</f>
        <v>3</v>
      </c>
      <c r="G23" s="29" t="str">
        <f>IFERROR(IF(SUMIFS(tblDaily[TransfersOut],tblDaily[EntryDate],DATE(2026,1,17),tblDaily[WardCode],"MW")=0,"",SUMIFS(tblDaily[TransfersOut],tblDaily[EntryDate],DATE(2026,1,17),tblDaily[WardCode],"MW")),"")</f>
        <v/>
      </c>
      <c r="H23" s="29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29">
        <v>18</v>
      </c>
      <c r="B24" s="29">
        <f>IFERROR(IF(SUMIFS(tblDaily[Admissions],tblDaily[EntryDate],DATE(2026,1,18),tblDaily[WardCode],"MW")=0,"",SUMIFS(tblDaily[Admissions],tblDaily[EntryDate],DATE(2026,1,18),tblDaily[WardCode],"MW")),"")</f>
        <v>1</v>
      </c>
      <c r="C24" s="29">
        <f>IFERROR(IF(SUMIFS(tblDaily[Discharges],tblDaily[EntryDate],DATE(2026,1,18),tblDaily[WardCode],"MW")=0,"",SUMIFS(tblDaily[Discharges],tblDaily[EntryDate],DATE(2026,1,18),tblDaily[WardCode],"MW")),"")</f>
        <v>3</v>
      </c>
      <c r="D24" s="29" t="str">
        <f>IFERROR(IF(SUMIFS(tblDaily[Deaths],tblDaily[EntryDate],DATE(2026,1,18),tblDaily[WardCode],"MW")=0,"",SUMIFS(tblDaily[Deaths],tblDaily[EntryDate],DATE(2026,1,18),tblDaily[WardCode],"MW")),"")</f>
        <v/>
      </c>
      <c r="E24" s="29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29">
        <f>IFERROR(IF(SUMIFS(tblDaily[TransfersIn],tblDaily[EntryDate],DATE(2026,1,18),tblDaily[WardCode],"MW")=0,"",SUMIFS(tblDaily[TransfersIn],tblDaily[EntryDate],DATE(2026,1,18),tblDaily[WardCode],"MW")),"")</f>
        <v>1</v>
      </c>
      <c r="G24" s="29" t="str">
        <f>IFERROR(IF(SUMIFS(tblDaily[TransfersOut],tblDaily[EntryDate],DATE(2026,1,18),tblDaily[WardCode],"MW")=0,"",SUMIFS(tblDaily[TransfersOut],tblDaily[EntryDate],DATE(2026,1,18),tblDaily[WardCode],"MW")),"")</f>
        <v/>
      </c>
      <c r="H24" s="29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29">
        <v>19</v>
      </c>
      <c r="B25" s="29">
        <f>IFERROR(IF(SUMIFS(tblDaily[Admissions],tblDaily[EntryDate],DATE(2026,1,19),tblDaily[WardCode],"MW")=0,"",SUMIFS(tblDaily[Admissions],tblDaily[EntryDate],DATE(2026,1,19),tblDaily[WardCode],"MW")),"")</f>
        <v>1</v>
      </c>
      <c r="C25" s="29">
        <f>IFERROR(IF(SUMIFS(tblDaily[Discharges],tblDaily[EntryDate],DATE(2026,1,19),tblDaily[WardCode],"MW")=0,"",SUMIFS(tblDaily[Discharges],tblDaily[EntryDate],DATE(2026,1,19),tblDaily[WardCode],"MW")),"")</f>
        <v>5</v>
      </c>
      <c r="D25" s="29" t="str">
        <f>IFERROR(IF(SUMIFS(tblDaily[Deaths],tblDaily[EntryDate],DATE(2026,1,19),tblDaily[WardCode],"MW")=0,"",SUMIFS(tblDaily[Deaths],tblDaily[EntryDate],DATE(2026,1,19),tblDaily[WardCode],"MW")),"")</f>
        <v/>
      </c>
      <c r="E25" s="29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29" t="str">
        <f>IFERROR(IF(SUMIFS(tblDaily[TransfersIn],tblDaily[EntryDate],DATE(2026,1,19),tblDaily[WardCode],"MW")=0,"",SUMIFS(tblDaily[TransfersIn],tblDaily[EntryDate],DATE(2026,1,19),tblDaily[WardCode],"MW")),"")</f>
        <v/>
      </c>
      <c r="G25" s="29" t="str">
        <f>IFERROR(IF(SUMIFS(tblDaily[TransfersOut],tblDaily[EntryDate],DATE(2026,1,19),tblDaily[WardCode],"MW")=0,"",SUMIFS(tblDaily[TransfersOut],tblDaily[EntryDate],DATE(2026,1,19),tblDaily[WardCode],"MW")),"")</f>
        <v/>
      </c>
      <c r="H25" s="29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29">
        <v>20</v>
      </c>
      <c r="B26" s="29">
        <f>IFERROR(IF(SUMIFS(tblDaily[Admissions],tblDaily[EntryDate],DATE(2026,1,20),tblDaily[WardCode],"MW")=0,"",SUMIFS(tblDaily[Admissions],tblDaily[EntryDate],DATE(2026,1,20),tblDaily[WardCode],"MW")),"")</f>
        <v>7</v>
      </c>
      <c r="C26" s="29">
        <f>IFERROR(IF(SUMIFS(tblDaily[Discharges],tblDaily[EntryDate],DATE(2026,1,20),tblDaily[WardCode],"MW")=0,"",SUMIFS(tblDaily[Discharges],tblDaily[EntryDate],DATE(2026,1,20),tblDaily[WardCode],"MW")),"")</f>
        <v>7</v>
      </c>
      <c r="D26" s="29" t="str">
        <f>IFERROR(IF(SUMIFS(tblDaily[Deaths],tblDaily[EntryDate],DATE(2026,1,20),tblDaily[WardCode],"MW")=0,"",SUMIFS(tblDaily[Deaths],tblDaily[EntryDate],DATE(2026,1,20),tblDaily[WardCode],"MW")),"")</f>
        <v/>
      </c>
      <c r="E26" s="29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29">
        <f>IFERROR(IF(SUMIFS(tblDaily[TransfersIn],tblDaily[EntryDate],DATE(2026,1,20),tblDaily[WardCode],"MW")=0,"",SUMIFS(tblDaily[TransfersIn],tblDaily[EntryDate],DATE(2026,1,20),tblDaily[WardCode],"MW")),"")</f>
        <v>1</v>
      </c>
      <c r="G26" s="29" t="str">
        <f>IFERROR(IF(SUMIFS(tblDaily[TransfersOut],tblDaily[EntryDate],DATE(2026,1,20),tblDaily[WardCode],"MW")=0,"",SUMIFS(tblDaily[TransfersOut],tblDaily[EntryDate],DATE(2026,1,20),tblDaily[WardCode],"MW")),"")</f>
        <v/>
      </c>
      <c r="H26" s="29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29">
        <v>21</v>
      </c>
      <c r="B27" s="29">
        <f>IFERROR(IF(SUMIFS(tblDaily[Admissions],tblDaily[EntryDate],DATE(2026,1,21),tblDaily[WardCode],"MW")=0,"",SUMIFS(tblDaily[Admissions],tblDaily[EntryDate],DATE(2026,1,21),tblDaily[WardCode],"MW")),"")</f>
        <v>1</v>
      </c>
      <c r="C27" s="29" t="str">
        <f>IFERROR(IF(SUMIFS(tblDaily[Discharges],tblDaily[EntryDate],DATE(2026,1,21),tblDaily[WardCode],"MW")=0,"",SUMIFS(tblDaily[Discharges],tblDaily[EntryDate],DATE(2026,1,21),tblDaily[WardCode],"MW")),"")</f>
        <v/>
      </c>
      <c r="D27" s="29" t="str">
        <f>IFERROR(IF(SUMIFS(tblDaily[Deaths],tblDaily[EntryDate],DATE(2026,1,21),tblDaily[WardCode],"MW")=0,"",SUMIFS(tblDaily[Deaths],tblDaily[EntryDate],DATE(2026,1,21),tblDaily[WardCode],"MW")),"")</f>
        <v/>
      </c>
      <c r="E27" s="29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29">
        <f>IFERROR(IF(SUMIFS(tblDaily[TransfersIn],tblDaily[EntryDate],DATE(2026,1,21),tblDaily[WardCode],"MW")=0,"",SUMIFS(tblDaily[TransfersIn],tblDaily[EntryDate],DATE(2026,1,21),tblDaily[WardCode],"MW")),"")</f>
        <v>1</v>
      </c>
      <c r="G27" s="29" t="str">
        <f>IFERROR(IF(SUMIFS(tblDaily[TransfersOut],tblDaily[EntryDate],DATE(2026,1,21),tblDaily[WardCode],"MW")=0,"",SUMIFS(tblDaily[TransfersOut],tblDaily[EntryDate],DATE(2026,1,21),tblDaily[WardCode],"MW")),"")</f>
        <v/>
      </c>
      <c r="H27" s="29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29">
        <v>22</v>
      </c>
      <c r="B28" s="29">
        <f>IFERROR(IF(SUMIFS(tblDaily[Admissions],tblDaily[EntryDate],DATE(2026,1,22),tblDaily[WardCode],"MW")=0,"",SUMIFS(tblDaily[Admissions],tblDaily[EntryDate],DATE(2026,1,22),tblDaily[WardCode],"MW")),"")</f>
        <v>3</v>
      </c>
      <c r="C28" s="29">
        <f>IFERROR(IF(SUMIFS(tblDaily[Discharges],tblDaily[EntryDate],DATE(2026,1,22),tblDaily[WardCode],"MW")=0,"",SUMIFS(tblDaily[Discharges],tblDaily[EntryDate],DATE(2026,1,22),tblDaily[WardCode],"MW")),"")</f>
        <v>5</v>
      </c>
      <c r="D28" s="29" t="str">
        <f>IFERROR(IF(SUMIFS(tblDaily[Deaths],tblDaily[EntryDate],DATE(2026,1,22),tblDaily[WardCode],"MW")=0,"",SUMIFS(tblDaily[Deaths],tblDaily[EntryDate],DATE(2026,1,22),tblDaily[WardCode],"MW")),"")</f>
        <v/>
      </c>
      <c r="E28" s="29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29">
        <f>IFERROR(IF(SUMIFS(tblDaily[TransfersIn],tblDaily[EntryDate],DATE(2026,1,22),tblDaily[WardCode],"MW")=0,"",SUMIFS(tblDaily[TransfersIn],tblDaily[EntryDate],DATE(2026,1,22),tblDaily[WardCode],"MW")),"")</f>
        <v>3</v>
      </c>
      <c r="G28" s="29" t="str">
        <f>IFERROR(IF(SUMIFS(tblDaily[TransfersOut],tblDaily[EntryDate],DATE(2026,1,22),tblDaily[WardCode],"MW")=0,"",SUMIFS(tblDaily[TransfersOut],tblDaily[EntryDate],DATE(2026,1,22),tblDaily[WardCode],"MW")),"")</f>
        <v/>
      </c>
      <c r="H28" s="29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29">
        <v>23</v>
      </c>
      <c r="B29" s="29">
        <f>IFERROR(IF(SUMIFS(tblDaily[Admissions],tblDaily[EntryDate],DATE(2026,1,23),tblDaily[WardCode],"MW")=0,"",SUMIFS(tblDaily[Admissions],tblDaily[EntryDate],DATE(2026,1,23),tblDaily[WardCode],"MW")),"")</f>
        <v>4</v>
      </c>
      <c r="C29" s="29">
        <f>IFERROR(IF(SUMIFS(tblDaily[Discharges],tblDaily[EntryDate],DATE(2026,1,23),tblDaily[WardCode],"MW")=0,"",SUMIFS(tblDaily[Discharges],tblDaily[EntryDate],DATE(2026,1,23),tblDaily[WardCode],"MW")),"")</f>
        <v>6</v>
      </c>
      <c r="D29" s="29" t="str">
        <f>IFERROR(IF(SUMIFS(tblDaily[Deaths],tblDaily[EntryDate],DATE(2026,1,23),tblDaily[WardCode],"MW")=0,"",SUMIFS(tblDaily[Deaths],tblDaily[EntryDate],DATE(2026,1,23),tblDaily[WardCode],"MW")),"")</f>
        <v/>
      </c>
      <c r="E29" s="29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29">
        <f>IFERROR(IF(SUMIFS(tblDaily[TransfersIn],tblDaily[EntryDate],DATE(2026,1,23),tblDaily[WardCode],"MW")=0,"",SUMIFS(tblDaily[TransfersIn],tblDaily[EntryDate],DATE(2026,1,23),tblDaily[WardCode],"MW")),"")</f>
        <v>2</v>
      </c>
      <c r="G29" s="29" t="str">
        <f>IFERROR(IF(SUMIFS(tblDaily[TransfersOut],tblDaily[EntryDate],DATE(2026,1,23),tblDaily[WardCode],"MW")=0,"",SUMIFS(tblDaily[TransfersOut],tblDaily[EntryDate],DATE(2026,1,23),tblDaily[WardCode],"MW")),"")</f>
        <v/>
      </c>
      <c r="H29" s="29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29">
        <v>24</v>
      </c>
      <c r="B30" s="29">
        <f>IFERROR(IF(SUMIFS(tblDaily[Admissions],tblDaily[EntryDate],DATE(2026,1,24),tblDaily[WardCode],"MW")=0,"",SUMIFS(tblDaily[Admissions],tblDaily[EntryDate],DATE(2026,1,24),tblDaily[WardCode],"MW")),"")</f>
        <v>3</v>
      </c>
      <c r="C30" s="29">
        <f>IFERROR(IF(SUMIFS(tblDaily[Discharges],tblDaily[EntryDate],DATE(2026,1,24),tblDaily[WardCode],"MW")=0,"",SUMIFS(tblDaily[Discharges],tblDaily[EntryDate],DATE(2026,1,24),tblDaily[WardCode],"MW")),"")</f>
        <v>2</v>
      </c>
      <c r="D30" s="29" t="str">
        <f>IFERROR(IF(SUMIFS(tblDaily[Deaths],tblDaily[EntryDate],DATE(2026,1,24),tblDaily[WardCode],"MW")=0,"",SUMIFS(tblDaily[Deaths],tblDaily[EntryDate],DATE(2026,1,24),tblDaily[WardCode],"MW")),"")</f>
        <v/>
      </c>
      <c r="E30" s="29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29">
        <f>IFERROR(IF(SUMIFS(tblDaily[TransfersIn],tblDaily[EntryDate],DATE(2026,1,24),tblDaily[WardCode],"MW")=0,"",SUMIFS(tblDaily[TransfersIn],tblDaily[EntryDate],DATE(2026,1,24),tblDaily[WardCode],"MW")),"")</f>
        <v>2</v>
      </c>
      <c r="G30" s="29" t="str">
        <f>IFERROR(IF(SUMIFS(tblDaily[TransfersOut],tblDaily[EntryDate],DATE(2026,1,24),tblDaily[WardCode],"MW")=0,"",SUMIFS(tblDaily[TransfersOut],tblDaily[EntryDate],DATE(2026,1,24),tblDaily[WardCode],"MW")),"")</f>
        <v/>
      </c>
      <c r="H30" s="29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29">
        <v>25</v>
      </c>
      <c r="B31" s="29">
        <f>IFERROR(IF(SUMIFS(tblDaily[Admissions],tblDaily[EntryDate],DATE(2026,1,25),tblDaily[WardCode],"MW")=0,"",SUMIFS(tblDaily[Admissions],tblDaily[EntryDate],DATE(2026,1,25),tblDaily[WardCode],"MW")),"")</f>
        <v>1</v>
      </c>
      <c r="C31" s="29">
        <f>IFERROR(IF(SUMIFS(tblDaily[Discharges],tblDaily[EntryDate],DATE(2026,1,25),tblDaily[WardCode],"MW")=0,"",SUMIFS(tblDaily[Discharges],tblDaily[EntryDate],DATE(2026,1,25),tblDaily[WardCode],"MW")),"")</f>
        <v>4</v>
      </c>
      <c r="D31" s="29" t="str">
        <f>IFERROR(IF(SUMIFS(tblDaily[Deaths],tblDaily[EntryDate],DATE(2026,1,25),tblDaily[WardCode],"MW")=0,"",SUMIFS(tblDaily[Deaths],tblDaily[EntryDate],DATE(2026,1,25),tblDaily[WardCode],"MW")),"")</f>
        <v/>
      </c>
      <c r="E31" s="29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29">
        <f>IFERROR(IF(SUMIFS(tblDaily[TransfersIn],tblDaily[EntryDate],DATE(2026,1,25),tblDaily[WardCode],"MW")=0,"",SUMIFS(tblDaily[TransfersIn],tblDaily[EntryDate],DATE(2026,1,25),tblDaily[WardCode],"MW")),"")</f>
        <v>2</v>
      </c>
      <c r="G31" s="29" t="str">
        <f>IFERROR(IF(SUMIFS(tblDaily[TransfersOut],tblDaily[EntryDate],DATE(2026,1,25),tblDaily[WardCode],"MW")=0,"",SUMIFS(tblDaily[TransfersOut],tblDaily[EntryDate],DATE(2026,1,25),tblDaily[WardCode],"MW")),"")</f>
        <v/>
      </c>
      <c r="H31" s="29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29">
        <v>26</v>
      </c>
      <c r="B32" s="29" t="str">
        <f>IFERROR(IF(SUMIFS(tblDaily[Admissions],tblDaily[EntryDate],DATE(2026,1,26),tblDaily[WardCode],"MW")=0,"",SUMIFS(tblDaily[Admissions],tblDaily[EntryDate],DATE(2026,1,26),tblDaily[WardCode],"MW")),"")</f>
        <v/>
      </c>
      <c r="C32" s="29">
        <f>IFERROR(IF(SUMIFS(tblDaily[Discharges],tblDaily[EntryDate],DATE(2026,1,26),tblDaily[WardCode],"MW")=0,"",SUMIFS(tblDaily[Discharges],tblDaily[EntryDate],DATE(2026,1,26),tblDaily[WardCode],"MW")),"")</f>
        <v>4</v>
      </c>
      <c r="D32" s="29" t="str">
        <f>IFERROR(IF(SUMIFS(tblDaily[Deaths],tblDaily[EntryDate],DATE(2026,1,26),tblDaily[WardCode],"MW")=0,"",SUMIFS(tblDaily[Deaths],tblDaily[EntryDate],DATE(2026,1,26),tblDaily[WardCode],"MW")),"")</f>
        <v/>
      </c>
      <c r="E32" s="29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29">
        <f>IFERROR(IF(SUMIFS(tblDaily[TransfersIn],tblDaily[EntryDate],DATE(2026,1,26),tblDaily[WardCode],"MW")=0,"",SUMIFS(tblDaily[TransfersIn],tblDaily[EntryDate],DATE(2026,1,26),tblDaily[WardCode],"MW")),"")</f>
        <v>1</v>
      </c>
      <c r="G32" s="29" t="str">
        <f>IFERROR(IF(SUMIFS(tblDaily[TransfersOut],tblDaily[EntryDate],DATE(2026,1,26),tblDaily[WardCode],"MW")=0,"",SUMIFS(tblDaily[TransfersOut],tblDaily[EntryDate],DATE(2026,1,26),tblDaily[WardCode],"MW")),"")</f>
        <v/>
      </c>
      <c r="H32" s="29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29">
        <v>27</v>
      </c>
      <c r="B33" s="29">
        <f>IFERROR(IF(SUMIFS(tblDaily[Admissions],tblDaily[EntryDate],DATE(2026,1,27),tblDaily[WardCode],"MW")=0,"",SUMIFS(tblDaily[Admissions],tblDaily[EntryDate],DATE(2026,1,27),tblDaily[WardCode],"MW")),"")</f>
        <v>2</v>
      </c>
      <c r="C33" s="29">
        <f>IFERROR(IF(SUMIFS(tblDaily[Discharges],tblDaily[EntryDate],DATE(2026,1,27),tblDaily[WardCode],"MW")=0,"",SUMIFS(tblDaily[Discharges],tblDaily[EntryDate],DATE(2026,1,27),tblDaily[WardCode],"MW")),"")</f>
        <v>5</v>
      </c>
      <c r="D33" s="29">
        <f>IFERROR(IF(SUMIFS(tblDaily[Deaths],tblDaily[EntryDate],DATE(2026,1,27),tblDaily[WardCode],"MW")=0,"",SUMIFS(tblDaily[Deaths],tblDaily[EntryDate],DATE(2026,1,27),tblDaily[WardCode],"MW")),"")</f>
        <v>1</v>
      </c>
      <c r="E33" s="29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29">
        <f>IFERROR(IF(SUMIFS(tblDaily[TransfersIn],tblDaily[EntryDate],DATE(2026,1,27),tblDaily[WardCode],"MW")=0,"",SUMIFS(tblDaily[TransfersIn],tblDaily[EntryDate],DATE(2026,1,27),tblDaily[WardCode],"MW")),"")</f>
        <v>2</v>
      </c>
      <c r="G33" s="29" t="str">
        <f>IFERROR(IF(SUMIFS(tblDaily[TransfersOut],tblDaily[EntryDate],DATE(2026,1,27),tblDaily[WardCode],"MW")=0,"",SUMIFS(tblDaily[TransfersOut],tblDaily[EntryDate],DATE(2026,1,27),tblDaily[WardCode],"MW")),"")</f>
        <v/>
      </c>
      <c r="H33" s="29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29">
        <v>28</v>
      </c>
      <c r="B34" s="29">
        <f>IFERROR(IF(SUMIFS(tblDaily[Admissions],tblDaily[EntryDate],DATE(2026,1,28),tblDaily[WardCode],"MW")=0,"",SUMIFS(tblDaily[Admissions],tblDaily[EntryDate],DATE(2026,1,28),tblDaily[WardCode],"MW")),"")</f>
        <v>3</v>
      </c>
      <c r="C34" s="29" t="str">
        <f>IFERROR(IF(SUMIFS(tblDaily[Discharges],tblDaily[EntryDate],DATE(2026,1,28),tblDaily[WardCode],"MW")=0,"",SUMIFS(tblDaily[Discharges],tblDaily[EntryDate],DATE(2026,1,28),tblDaily[WardCode],"MW")),"")</f>
        <v/>
      </c>
      <c r="D34" s="29" t="str">
        <f>IFERROR(IF(SUMIFS(tblDaily[Deaths],tblDaily[EntryDate],DATE(2026,1,28),tblDaily[WardCode],"MW")=0,"",SUMIFS(tblDaily[Deaths],tblDaily[EntryDate],DATE(2026,1,28),tblDaily[WardCode],"MW")),"")</f>
        <v/>
      </c>
      <c r="E34" s="29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29">
        <f>IFERROR(IF(SUMIFS(tblDaily[TransfersIn],tblDaily[EntryDate],DATE(2026,1,28),tblDaily[WardCode],"MW")=0,"",SUMIFS(tblDaily[TransfersIn],tblDaily[EntryDate],DATE(2026,1,28),tblDaily[WardCode],"MW")),"")</f>
        <v>2</v>
      </c>
      <c r="G34" s="29" t="str">
        <f>IFERROR(IF(SUMIFS(tblDaily[TransfersOut],tblDaily[EntryDate],DATE(2026,1,28),tblDaily[WardCode],"MW")=0,"",SUMIFS(tblDaily[TransfersOut],tblDaily[EntryDate],DATE(2026,1,28),tblDaily[WardCode],"MW")),"")</f>
        <v/>
      </c>
      <c r="H34" s="29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29">
        <v>29</v>
      </c>
      <c r="B35" s="29">
        <f>IFERROR(IF(SUMIFS(tblDaily[Admissions],tblDaily[EntryDate],DATE(2026,1,29),tblDaily[WardCode],"MW")=0,"",SUMIFS(tblDaily[Admissions],tblDaily[EntryDate],DATE(2026,1,29),tblDaily[WardCode],"MW")),"")</f>
        <v>1</v>
      </c>
      <c r="C35" s="29">
        <f>IFERROR(IF(SUMIFS(tblDaily[Discharges],tblDaily[EntryDate],DATE(2026,1,29),tblDaily[WardCode],"MW")=0,"",SUMIFS(tblDaily[Discharges],tblDaily[EntryDate],DATE(2026,1,29),tblDaily[WardCode],"MW")),"")</f>
        <v>6</v>
      </c>
      <c r="D35" s="29" t="str">
        <f>IFERROR(IF(SUMIFS(tblDaily[Deaths],tblDaily[EntryDate],DATE(2026,1,29),tblDaily[WardCode],"MW")=0,"",SUMIFS(tblDaily[Deaths],tblDaily[EntryDate],DATE(2026,1,29),tblDaily[WardCode],"MW")),"")</f>
        <v/>
      </c>
      <c r="E35" s="29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29" t="str">
        <f>IFERROR(IF(SUMIFS(tblDaily[TransfersIn],tblDaily[EntryDate],DATE(2026,1,29),tblDaily[WardCode],"MW")=0,"",SUMIFS(tblDaily[TransfersIn],tblDaily[EntryDate],DATE(2026,1,29),tblDaily[WardCode],"MW")),"")</f>
        <v/>
      </c>
      <c r="G35" s="29" t="str">
        <f>IFERROR(IF(SUMIFS(tblDaily[TransfersOut],tblDaily[EntryDate],DATE(2026,1,29),tblDaily[WardCode],"MW")=0,"",SUMIFS(tblDaily[TransfersOut],tblDaily[EntryDate],DATE(2026,1,29),tblDaily[WardCode],"MW")),"")</f>
        <v/>
      </c>
      <c r="H35" s="29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29">
        <v>30</v>
      </c>
      <c r="B36" s="29" t="str">
        <f>IFERROR(IF(SUMIFS(tblDaily[Admissions],tblDaily[EntryDate],DATE(2026,1,30),tblDaily[WardCode],"MW")=0,"",SUMIFS(tblDaily[Admissions],tblDaily[EntryDate],DATE(2026,1,30),tblDaily[WardCode],"MW")),"")</f>
        <v/>
      </c>
      <c r="C36" s="29">
        <f>IFERROR(IF(SUMIFS(tblDaily[Discharges],tblDaily[EntryDate],DATE(2026,1,30),tblDaily[WardCode],"MW")=0,"",SUMIFS(tblDaily[Discharges],tblDaily[EntryDate],DATE(2026,1,30),tblDaily[WardCode],"MW")),"")</f>
        <v>6</v>
      </c>
      <c r="D36" s="29" t="str">
        <f>IFERROR(IF(SUMIFS(tblDaily[Deaths],tblDaily[EntryDate],DATE(2026,1,30),tblDaily[WardCode],"MW")=0,"",SUMIFS(tblDaily[Deaths],tblDaily[EntryDate],DATE(2026,1,30),tblDaily[WardCode],"MW")),"")</f>
        <v/>
      </c>
      <c r="E36" s="29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29" t="str">
        <f>IFERROR(IF(SUMIFS(tblDaily[TransfersIn],tblDaily[EntryDate],DATE(2026,1,30),tblDaily[WardCode],"MW")=0,"",SUMIFS(tblDaily[TransfersIn],tblDaily[EntryDate],DATE(2026,1,30),tblDaily[WardCode],"MW")),"")</f>
        <v/>
      </c>
      <c r="G36" s="29" t="str">
        <f>IFERROR(IF(SUMIFS(tblDaily[TransfersOut],tblDaily[EntryDate],DATE(2026,1,30),tblDaily[WardCode],"MW")=0,"",SUMIFS(tblDaily[TransfersOut],tblDaily[EntryDate],DATE(2026,1,30),tblDaily[WardCode],"MW")),"")</f>
        <v/>
      </c>
      <c r="H36" s="29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29">
        <v>31</v>
      </c>
      <c r="B37" s="29">
        <f>IFERROR(IF(SUMIFS(tblDaily[Admissions],tblDaily[EntryDate],DATE(2026,1,31),tblDaily[WardCode],"MW")=0,"",SUMIFS(tblDaily[Admissions],tblDaily[EntryDate],DATE(2026,1,31),tblDaily[WardCode],"MW")),"")</f>
        <v>3</v>
      </c>
      <c r="C37" s="29">
        <f>IFERROR(IF(SUMIFS(tblDaily[Discharges],tblDaily[EntryDate],DATE(2026,1,31),tblDaily[WardCode],"MW")=0,"",SUMIFS(tblDaily[Discharges],tblDaily[EntryDate],DATE(2026,1,31),tblDaily[WardCode],"MW")),"")</f>
        <v>1</v>
      </c>
      <c r="D37" s="29" t="str">
        <f>IFERROR(IF(SUMIFS(tblDaily[Deaths],tblDaily[EntryDate],DATE(2026,1,31),tblDaily[WardCode],"MW")=0,"",SUMIFS(tblDaily[Deaths],tblDaily[EntryDate],DATE(2026,1,31),tblDaily[WardCode],"MW")),"")</f>
        <v/>
      </c>
      <c r="E37" s="29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29">
        <f>IFERROR(IF(SUMIFS(tblDaily[TransfersIn],tblDaily[EntryDate],DATE(2026,1,31),tblDaily[WardCode],"MW")=0,"",SUMIFS(tblDaily[TransfersIn],tblDaily[EntryDate],DATE(2026,1,31),tblDaily[WardCode],"MW")),"")</f>
        <v>3</v>
      </c>
      <c r="G37" s="29" t="str">
        <f>IFERROR(IF(SUMIFS(tblDaily[TransfersOut],tblDaily[EntryDate],DATE(2026,1,31),tblDaily[WardCode],"MW")=0,"",SUMIFS(tblDaily[TransfersOut],tblDaily[EntryDate],DATE(2026,1,31),tblDaily[WardCode],"MW")),"")</f>
        <v/>
      </c>
      <c r="H37" s="29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30" t="s">
        <v>115</v>
      </c>
      <c r="B38" s="30">
        <f>SUMIFS(tblDaily[Admissions],tblDaily[Month],1,tblDaily[WardCode],"MW") - SUMIFS(tblDaily[DeathsUnder24Hrs],tblDaily[Month],1,tblDaily[WardCode],"MW")</f>
        <v>65</v>
      </c>
      <c r="C38" s="30">
        <f>SUMIFS(tblDaily[Discharges],tblDaily[Month],1,tblDaily[WardCode],"MW")</f>
        <v>103</v>
      </c>
      <c r="D38" s="30">
        <f>SUMIFS(tblDaily[Deaths],tblDaily[Month],1,tblDaily[WardCode],"MW")</f>
        <v>11</v>
      </c>
      <c r="E38" s="30">
        <f>SUMIFS(tblDaily[DeathsUnder24Hrs],tblDaily[Month],1,tblDaily[WardCode],"MW")</f>
        <v>0</v>
      </c>
      <c r="F38" s="30">
        <f>SUMIFS(tblDaily[TransfersIn],tblDaily[Month],1,tblDaily[WardCode],"MW")</f>
        <v>43</v>
      </c>
      <c r="G38" s="30">
        <f>SUMIFS(tblDaily[TransfersOut],tblDaily[Month],1,tblDaily[WardCode],"MW")</f>
        <v>0</v>
      </c>
      <c r="H38" s="30">
        <f>SUMIFS(tblDaily[Remaining],tblDaily[Month],1,tblDaily[WardCode],"MW")</f>
        <v>653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106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IFERROR(SUMIFS(tblDaily[Remaining],tblDaily[EntryDate],DATE(2026,1,31),tblDaily[WardCode],"MW"),0)</f>
        <v>19</v>
      </c>
    </row>
    <row r="44" spans="1:8" x14ac:dyDescent="0.25">
      <c r="A44" s="24" t="s">
        <v>109</v>
      </c>
      <c r="H44" s="27">
        <f>IFERROR(INDEX(tblWardConfig[BedComplement],MATCH("MW",tblWardConfig[WardCode],0)),0)</f>
        <v>32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>
        <f>IFERROR(IF(SUMIFS(tblDaily[Admissions],tblDaily[EntryDate],DATE(2026,2,1),tblDaily[WardCode],"MW")=0,"",SUMIFS(tblDaily[Admissions],tblDaily[EntryDate],DATE(2026,2,1),tblDaily[WardCode],"MW")),"")</f>
        <v>7</v>
      </c>
      <c r="C46" s="29" t="str">
        <f>IFERROR(IF(SUMIFS(tblDaily[Discharges],tblDaily[EntryDate],DATE(2026,2,1),tblDaily[WardCode],"MW")=0,"",SUMIFS(tblDaily[Discharges],tblDaily[EntryDate],DATE(2026,2,1),tblDaily[WardCode],"MW")),"")</f>
        <v/>
      </c>
      <c r="D46" s="29" t="str">
        <f>IFERROR(IF(SUMIFS(tblDaily[Deaths],tblDaily[EntryDate],DATE(2026,2,1),tblDaily[WardCode],"MW")=0,"",SUMIFS(tblDaily[Deaths],tblDaily[EntryDate],DATE(2026,2,1),tblDaily[WardCode],"MW")),"")</f>
        <v/>
      </c>
      <c r="E46" s="29" t="str">
        <f>IFERROR(IF(SUMIFS(tblDaily[DeathsUnder24Hrs],tblDaily[EntryDate],DATE(2026,2,1),tblDaily[WardCode],"MW")=0,"",SUMIFS(tblDaily[DeathsUnder24Hrs],tblDaily[EntryDate],DATE(2026,2,1),tblDaily[WardCode],"MW")),"")</f>
        <v/>
      </c>
      <c r="F46" s="29">
        <f>IFERROR(IF(SUMIFS(tblDaily[TransfersIn],tblDaily[EntryDate],DATE(2026,2,1),tblDaily[WardCode],"MW")=0,"",SUMIFS(tblDaily[TransfersIn],tblDaily[EntryDate],DATE(2026,2,1),tblDaily[WardCode],"MW")),"")</f>
        <v>2</v>
      </c>
      <c r="G46" s="29" t="str">
        <f>IFERROR(IF(SUMIFS(tblDaily[TransfersOut],tblDaily[EntryDate],DATE(2026,2,1),tblDaily[WardCode],"MW")=0,"",SUMIFS(tblDaily[TransfersOut],tblDaily[EntryDate],DATE(2026,2,1),tblDaily[WardCode],"MW")),"")</f>
        <v/>
      </c>
      <c r="H46" s="29">
        <f>IFERROR(IF(SUMIFS(tblDaily[Remaining],tblDaily[EntryDate],DATE(2026,2,1),tblDaily[WardCode],"MW")=0,"",SUMIFS(tblDaily[Remaining],tblDaily[EntryDate],DATE(2026,2,1),tblDaily[WardCode],"MW")),"")</f>
        <v>28</v>
      </c>
    </row>
    <row r="47" spans="1:8" x14ac:dyDescent="0.25">
      <c r="A47" s="29">
        <v>2</v>
      </c>
      <c r="B47" s="29">
        <f>IFERROR(IF(SUMIFS(tblDaily[Admissions],tblDaily[EntryDate],DATE(2026,2,2),tblDaily[WardCode],"MW")=0,"",SUMIFS(tblDaily[Admissions],tblDaily[EntryDate],DATE(2026,2,2),tblDaily[WardCode],"MW")),"")</f>
        <v>1</v>
      </c>
      <c r="C47" s="29">
        <f>IFERROR(IF(SUMIFS(tblDaily[Discharges],tblDaily[EntryDate],DATE(2026,2,2),tblDaily[WardCode],"MW")=0,"",SUMIFS(tblDaily[Discharges],tblDaily[EntryDate],DATE(2026,2,2),tblDaily[WardCode],"MW")),"")</f>
        <v>6</v>
      </c>
      <c r="D47" s="29">
        <f>IFERROR(IF(SUMIFS(tblDaily[Deaths],tblDaily[EntryDate],DATE(2026,2,2),tblDaily[WardCode],"MW")=0,"",SUMIFS(tblDaily[Deaths],tblDaily[EntryDate],DATE(2026,2,2),tblDaily[WardCode],"MW")),"")</f>
        <v>3</v>
      </c>
      <c r="E47" s="29" t="str">
        <f>IFERROR(IF(SUMIFS(tblDaily[DeathsUnder24Hrs],tblDaily[EntryDate],DATE(2026,2,2),tblDaily[WardCode],"MW")=0,"",SUMIFS(tblDaily[DeathsUnder24Hrs],tblDaily[EntryDate],DATE(2026,2,2),tblDaily[WardCode],"MW")),"")</f>
        <v/>
      </c>
      <c r="F47" s="29" t="str">
        <f>IFERROR(IF(SUMIFS(tblDaily[TransfersIn],tblDaily[EntryDate],DATE(2026,2,2),tblDaily[WardCode],"MW")=0,"",SUMIFS(tblDaily[TransfersIn],tblDaily[EntryDate],DATE(2026,2,2),tblDaily[WardCode],"MW")),"")</f>
        <v/>
      </c>
      <c r="G47" s="29" t="str">
        <f>IFERROR(IF(SUMIFS(tblDaily[TransfersOut],tblDaily[EntryDate],DATE(2026,2,2),tblDaily[WardCode],"MW")=0,"",SUMIFS(tblDaily[TransfersOut],tblDaily[EntryDate],DATE(2026,2,2),tblDaily[WardCode],"MW")),"")</f>
        <v/>
      </c>
      <c r="H47" s="29">
        <f>IFERROR(IF(SUMIFS(tblDaily[Remaining],tblDaily[EntryDate],DATE(2026,2,2),tblDaily[WardCode],"MW")=0,"",SUMIFS(tblDaily[Remaining],tblDaily[EntryDate],DATE(2026,2,2),tblDaily[WardCode],"MW")),"")</f>
        <v>20</v>
      </c>
    </row>
    <row r="48" spans="1:8" x14ac:dyDescent="0.25">
      <c r="A48" s="29">
        <v>3</v>
      </c>
      <c r="B48" s="29">
        <f>IFERROR(IF(SUMIFS(tblDaily[Admissions],tblDaily[EntryDate],DATE(2026,2,3),tblDaily[WardCode],"MW")=0,"",SUMIFS(tblDaily[Admissions],tblDaily[EntryDate],DATE(2026,2,3),tblDaily[WardCode],"MW")),"")</f>
        <v>3</v>
      </c>
      <c r="C48" s="29">
        <f>IFERROR(IF(SUMIFS(tblDaily[Discharges],tblDaily[EntryDate],DATE(2026,2,3),tblDaily[WardCode],"MW")=0,"",SUMIFS(tblDaily[Discharges],tblDaily[EntryDate],DATE(2026,2,3),tblDaily[WardCode],"MW")),"")</f>
        <v>3</v>
      </c>
      <c r="D48" s="29" t="str">
        <f>IFERROR(IF(SUMIFS(tblDaily[Deaths],tblDaily[EntryDate],DATE(2026,2,3),tblDaily[WardCode],"MW")=0,"",SUMIFS(tblDaily[Deaths],tblDaily[EntryDate],DATE(2026,2,3),tblDaily[WardCode],"MW")),"")</f>
        <v/>
      </c>
      <c r="E48" s="29" t="str">
        <f>IFERROR(IF(SUMIFS(tblDaily[DeathsUnder24Hrs],tblDaily[EntryDate],DATE(2026,2,3),tblDaily[WardCode],"MW")=0,"",SUMIFS(tblDaily[DeathsUnder24Hrs],tblDaily[EntryDate],DATE(2026,2,3),tblDaily[WardCode],"MW")),"")</f>
        <v/>
      </c>
      <c r="F48" s="29">
        <f>IFERROR(IF(SUMIFS(tblDaily[TransfersIn],tblDaily[EntryDate],DATE(2026,2,3),tblDaily[WardCode],"MW")=0,"",SUMIFS(tblDaily[TransfersIn],tblDaily[EntryDate],DATE(2026,2,3),tblDaily[WardCode],"MW")),"")</f>
        <v>2</v>
      </c>
      <c r="G48" s="29" t="str">
        <f>IFERROR(IF(SUMIFS(tblDaily[TransfersOut],tblDaily[EntryDate],DATE(2026,2,3),tblDaily[WardCode],"MW")=0,"",SUMIFS(tblDaily[TransfersOut],tblDaily[EntryDate],DATE(2026,2,3),tblDaily[WardCode],"MW")),"")</f>
        <v/>
      </c>
      <c r="H48" s="29">
        <f>IFERROR(IF(SUMIFS(tblDaily[Remaining],tblDaily[EntryDate],DATE(2026,2,3),tblDaily[WardCode],"MW")=0,"",SUMIFS(tblDaily[Remaining],tblDaily[EntryDate],DATE(2026,2,3),tblDaily[WardCode],"MW")),"")</f>
        <v>22</v>
      </c>
    </row>
    <row r="49" spans="1:8" x14ac:dyDescent="0.25">
      <c r="A49" s="29">
        <v>4</v>
      </c>
      <c r="B49" s="29">
        <f>IFERROR(IF(SUMIFS(tblDaily[Admissions],tblDaily[EntryDate],DATE(2026,2,4),tblDaily[WardCode],"MW")=0,"",SUMIFS(tblDaily[Admissions],tblDaily[EntryDate],DATE(2026,2,4),tblDaily[WardCode],"MW")),"")</f>
        <v>5</v>
      </c>
      <c r="C49" s="29">
        <f>IFERROR(IF(SUMIFS(tblDaily[Discharges],tblDaily[EntryDate],DATE(2026,2,4),tblDaily[WardCode],"MW")=0,"",SUMIFS(tblDaily[Discharges],tblDaily[EntryDate],DATE(2026,2,4),tblDaily[WardCode],"MW")),"")</f>
        <v>5</v>
      </c>
      <c r="D49" s="29" t="str">
        <f>IFERROR(IF(SUMIFS(tblDaily[Deaths],tblDaily[EntryDate],DATE(2026,2,4),tblDaily[WardCode],"MW")=0,"",SUMIFS(tblDaily[Deaths],tblDaily[EntryDate],DATE(2026,2,4),tblDaily[WardCode],"MW")),"")</f>
        <v/>
      </c>
      <c r="E49" s="29" t="str">
        <f>IFERROR(IF(SUMIFS(tblDaily[DeathsUnder24Hrs],tblDaily[EntryDate],DATE(2026,2,4),tblDaily[WardCode],"MW")=0,"",SUMIFS(tblDaily[DeathsUnder24Hrs],tblDaily[EntryDate],DATE(2026,2,4),tblDaily[WardCode],"MW")),"")</f>
        <v/>
      </c>
      <c r="F49" s="29">
        <f>IFERROR(IF(SUMIFS(tblDaily[TransfersIn],tblDaily[EntryDate],DATE(2026,2,4),tblDaily[WardCode],"MW")=0,"",SUMIFS(tblDaily[TransfersIn],tblDaily[EntryDate],DATE(2026,2,4),tblDaily[WardCode],"MW")),"")</f>
        <v>1</v>
      </c>
      <c r="G49" s="29" t="str">
        <f>IFERROR(IF(SUMIFS(tblDaily[TransfersOut],tblDaily[EntryDate],DATE(2026,2,4),tblDaily[WardCode],"MW")=0,"",SUMIFS(tblDaily[TransfersOut],tblDaily[EntryDate],DATE(2026,2,4),tblDaily[WardCode],"MW")),"")</f>
        <v/>
      </c>
      <c r="H49" s="29">
        <f>IFERROR(IF(SUMIFS(tblDaily[Remaining],tblDaily[EntryDate],DATE(2026,2,4),tblDaily[WardCode],"MW")=0,"",SUMIFS(tblDaily[Remaining],tblDaily[EntryDate],DATE(2026,2,4),tblDaily[WardCode],"MW")),"")</f>
        <v>23</v>
      </c>
    </row>
    <row r="50" spans="1:8" x14ac:dyDescent="0.25">
      <c r="A50" s="29">
        <v>5</v>
      </c>
      <c r="B50" s="29" t="str">
        <f>IFERROR(IF(SUMIFS(tblDaily[Admissions],tblDaily[EntryDate],DATE(2026,2,5),tblDaily[WardCode],"MW")=0,"",SUMIFS(tblDaily[Admissions],tblDaily[EntryDate],DATE(2026,2,5),tblDaily[WardCode],"MW")),"")</f>
        <v/>
      </c>
      <c r="C50" s="29">
        <f>IFERROR(IF(SUMIFS(tblDaily[Discharges],tblDaily[EntryDate],DATE(2026,2,5),tblDaily[WardCode],"MW")=0,"",SUMIFS(tblDaily[Discharges],tblDaily[EntryDate],DATE(2026,2,5),tblDaily[WardCode],"MW")),"")</f>
        <v>3</v>
      </c>
      <c r="D50" s="29" t="str">
        <f>IFERROR(IF(SUMIFS(tblDaily[Deaths],tblDaily[EntryDate],DATE(2026,2,5),tblDaily[WardCode],"MW")=0,"",SUMIFS(tblDaily[Deaths],tblDaily[EntryDate],DATE(2026,2,5),tblDaily[WardCode],"MW")),"")</f>
        <v/>
      </c>
      <c r="E50" s="29" t="str">
        <f>IFERROR(IF(SUMIFS(tblDaily[DeathsUnder24Hrs],tblDaily[EntryDate],DATE(2026,2,5),tblDaily[WardCode],"MW")=0,"",SUMIFS(tblDaily[DeathsUnder24Hrs],tblDaily[EntryDate],DATE(2026,2,5),tblDaily[WardCode],"MW")),"")</f>
        <v/>
      </c>
      <c r="F50" s="29">
        <f>IFERROR(IF(SUMIFS(tblDaily[TransfersIn],tblDaily[EntryDate],DATE(2026,2,5),tblDaily[WardCode],"MW")=0,"",SUMIFS(tblDaily[TransfersIn],tblDaily[EntryDate],DATE(2026,2,5),tblDaily[WardCode],"MW")),"")</f>
        <v>2</v>
      </c>
      <c r="G50" s="29" t="str">
        <f>IFERROR(IF(SUMIFS(tblDaily[TransfersOut],tblDaily[EntryDate],DATE(2026,2,5),tblDaily[WardCode],"MW")=0,"",SUMIFS(tblDaily[TransfersOut],tblDaily[EntryDate],DATE(2026,2,5),tblDaily[WardCode],"MW")),"")</f>
        <v/>
      </c>
      <c r="H50" s="29">
        <f>IFERROR(IF(SUMIFS(tblDaily[Remaining],tblDaily[EntryDate],DATE(2026,2,5),tblDaily[WardCode],"MW")=0,"",SUMIFS(tblDaily[Remaining],tblDaily[EntryDate],DATE(2026,2,5),tblDaily[WardCode],"MW")),"")</f>
        <v>22</v>
      </c>
    </row>
    <row r="51" spans="1:8" x14ac:dyDescent="0.25">
      <c r="A51" s="29">
        <v>6</v>
      </c>
      <c r="B51" s="29">
        <f>IFERROR(IF(SUMIFS(tblDaily[Admissions],tblDaily[EntryDate],DATE(2026,2,6),tblDaily[WardCode],"MW")=0,"",SUMIFS(tblDaily[Admissions],tblDaily[EntryDate],DATE(2026,2,6),tblDaily[WardCode],"MW")),"")</f>
        <v>2</v>
      </c>
      <c r="C51" s="29">
        <f>IFERROR(IF(SUMIFS(tblDaily[Discharges],tblDaily[EntryDate],DATE(2026,2,6),tblDaily[WardCode],"MW")=0,"",SUMIFS(tblDaily[Discharges],tblDaily[EntryDate],DATE(2026,2,6),tblDaily[WardCode],"MW")),"")</f>
        <v>6</v>
      </c>
      <c r="D51" s="29" t="str">
        <f>IFERROR(IF(SUMIFS(tblDaily[Deaths],tblDaily[EntryDate],DATE(2026,2,6),tblDaily[WardCode],"MW")=0,"",SUMIFS(tblDaily[Deaths],tblDaily[EntryDate],DATE(2026,2,6),tblDaily[WardCode],"MW")),"")</f>
        <v/>
      </c>
      <c r="E51" s="29" t="str">
        <f>IFERROR(IF(SUMIFS(tblDaily[DeathsUnder24Hrs],tblDaily[EntryDate],DATE(2026,2,6),tblDaily[WardCode],"MW")=0,"",SUMIFS(tblDaily[DeathsUnder24Hrs],tblDaily[EntryDate],DATE(2026,2,6),tblDaily[WardCode],"MW")),"")</f>
        <v/>
      </c>
      <c r="F51" s="29">
        <f>IFERROR(IF(SUMIFS(tblDaily[TransfersIn],tblDaily[EntryDate],DATE(2026,2,6),tblDaily[WardCode],"MW")=0,"",SUMIFS(tblDaily[TransfersIn],tblDaily[EntryDate],DATE(2026,2,6),tblDaily[WardCode],"MW")),"")</f>
        <v>2</v>
      </c>
      <c r="G51" s="29" t="str">
        <f>IFERROR(IF(SUMIFS(tblDaily[TransfersOut],tblDaily[EntryDate],DATE(2026,2,6),tblDaily[WardCode],"MW")=0,"",SUMIFS(tblDaily[TransfersOut],tblDaily[EntryDate],DATE(2026,2,6),tblDaily[WardCode],"MW")),"")</f>
        <v/>
      </c>
      <c r="H51" s="29">
        <f>IFERROR(IF(SUMIFS(tblDaily[Remaining],tblDaily[EntryDate],DATE(2026,2,6),tblDaily[WardCode],"MW")=0,"",SUMIFS(tblDaily[Remaining],tblDaily[EntryDate],DATE(2026,2,6),tblDaily[WardCode],"MW")),"")</f>
        <v>20</v>
      </c>
    </row>
    <row r="52" spans="1:8" x14ac:dyDescent="0.25">
      <c r="A52" s="29">
        <v>7</v>
      </c>
      <c r="B52" s="29">
        <f>IFERROR(IF(SUMIFS(tblDaily[Admissions],tblDaily[EntryDate],DATE(2026,2,7),tblDaily[WardCode],"MW")=0,"",SUMIFS(tblDaily[Admissions],tblDaily[EntryDate],DATE(2026,2,7),tblDaily[WardCode],"MW")),"")</f>
        <v>2</v>
      </c>
      <c r="C52" s="29">
        <f>IFERROR(IF(SUMIFS(tblDaily[Discharges],tblDaily[EntryDate],DATE(2026,2,7),tblDaily[WardCode],"MW")=0,"",SUMIFS(tblDaily[Discharges],tblDaily[EntryDate],DATE(2026,2,7),tblDaily[WardCode],"MW")),"")</f>
        <v>2</v>
      </c>
      <c r="D52" s="29" t="str">
        <f>IFERROR(IF(SUMIFS(tblDaily[Deaths],tblDaily[EntryDate],DATE(2026,2,7),tblDaily[WardCode],"MW")=0,"",SUMIFS(tblDaily[Deaths],tblDaily[EntryDate],DATE(2026,2,7),tblDaily[WardCode],"MW")),"")</f>
        <v/>
      </c>
      <c r="E52" s="29" t="str">
        <f>IFERROR(IF(SUMIFS(tblDaily[DeathsUnder24Hrs],tblDaily[EntryDate],DATE(2026,2,7),tblDaily[WardCode],"MW")=0,"",SUMIFS(tblDaily[DeathsUnder24Hrs],tblDaily[EntryDate],DATE(2026,2,7),tblDaily[WardCode],"MW")),"")</f>
        <v/>
      </c>
      <c r="F52" s="29">
        <f>IFERROR(IF(SUMIFS(tblDaily[TransfersIn],tblDaily[EntryDate],DATE(2026,2,7),tblDaily[WardCode],"MW")=0,"",SUMIFS(tblDaily[TransfersIn],tblDaily[EntryDate],DATE(2026,2,7),tblDaily[WardCode],"MW")),"")</f>
        <v>1</v>
      </c>
      <c r="G52" s="29" t="str">
        <f>IFERROR(IF(SUMIFS(tblDaily[TransfersOut],tblDaily[EntryDate],DATE(2026,2,7),tblDaily[WardCode],"MW")=0,"",SUMIFS(tblDaily[TransfersOut],tblDaily[EntryDate],DATE(2026,2,7),tblDaily[WardCode],"MW")),"")</f>
        <v/>
      </c>
      <c r="H52" s="29">
        <f>IFERROR(IF(SUMIFS(tblDaily[Remaining],tblDaily[EntryDate],DATE(2026,2,7),tblDaily[WardCode],"MW")=0,"",SUMIFS(tblDaily[Remaining],tblDaily[EntryDate],DATE(2026,2,7),tblDaily[WardCode],"MW")),"")</f>
        <v>21</v>
      </c>
    </row>
    <row r="53" spans="1:8" x14ac:dyDescent="0.25">
      <c r="A53" s="29">
        <v>8</v>
      </c>
      <c r="B53" s="29">
        <f>IFERROR(IF(SUMIFS(tblDaily[Admissions],tblDaily[EntryDate],DATE(2026,2,8),tblDaily[WardCode],"MW")=0,"",SUMIFS(tblDaily[Admissions],tblDaily[EntryDate],DATE(2026,2,8),tblDaily[WardCode],"MW")),"")</f>
        <v>1</v>
      </c>
      <c r="C53" s="29">
        <f>IFERROR(IF(SUMIFS(tblDaily[Discharges],tblDaily[EntryDate],DATE(2026,2,8),tblDaily[WardCode],"MW")=0,"",SUMIFS(tblDaily[Discharges],tblDaily[EntryDate],DATE(2026,2,8),tblDaily[WardCode],"MW")),"")</f>
        <v>1</v>
      </c>
      <c r="D53" s="29">
        <f>IFERROR(IF(SUMIFS(tblDaily[Deaths],tblDaily[EntryDate],DATE(2026,2,8),tblDaily[WardCode],"MW")=0,"",SUMIFS(tblDaily[Deaths],tblDaily[EntryDate],DATE(2026,2,8),tblDaily[WardCode],"MW")),"")</f>
        <v>1</v>
      </c>
      <c r="E53" s="29" t="str">
        <f>IFERROR(IF(SUMIFS(tblDaily[DeathsUnder24Hrs],tblDaily[EntryDate],DATE(2026,2,8),tblDaily[WardCode],"MW")=0,"",SUMIFS(tblDaily[DeathsUnder24Hrs],tblDaily[EntryDate],DATE(2026,2,8),tblDaily[WardCode],"MW")),"")</f>
        <v/>
      </c>
      <c r="F53" s="29">
        <f>IFERROR(IF(SUMIFS(tblDaily[TransfersIn],tblDaily[EntryDate],DATE(2026,2,8),tblDaily[WardCode],"MW")=0,"",SUMIFS(tblDaily[TransfersIn],tblDaily[EntryDate],DATE(2026,2,8),tblDaily[WardCode],"MW")),"")</f>
        <v>2</v>
      </c>
      <c r="G53" s="29" t="str">
        <f>IFERROR(IF(SUMIFS(tblDaily[TransfersOut],tblDaily[EntryDate],DATE(2026,2,8),tblDaily[WardCode],"MW")=0,"",SUMIFS(tblDaily[TransfersOut],tblDaily[EntryDate],DATE(2026,2,8),tblDaily[WardCode],"MW")),"")</f>
        <v/>
      </c>
      <c r="H53" s="29">
        <f>IFERROR(IF(SUMIFS(tblDaily[Remaining],tblDaily[EntryDate],DATE(2026,2,8),tblDaily[WardCode],"MW")=0,"",SUMIFS(tblDaily[Remaining],tblDaily[EntryDate],DATE(2026,2,8),tblDaily[WardCode],"MW")),"")</f>
        <v>22</v>
      </c>
    </row>
    <row r="54" spans="1:8" x14ac:dyDescent="0.25">
      <c r="A54" s="29">
        <v>9</v>
      </c>
      <c r="B54" s="29">
        <f>IFERROR(IF(SUMIFS(tblDaily[Admissions],tblDaily[EntryDate],DATE(2026,2,9),tblDaily[WardCode],"MW")=0,"",SUMIFS(tblDaily[Admissions],tblDaily[EntryDate],DATE(2026,2,9),tblDaily[WardCode],"MW")),"")</f>
        <v>1</v>
      </c>
      <c r="C54" s="29">
        <f>IFERROR(IF(SUMIFS(tblDaily[Discharges],tblDaily[EntryDate],DATE(2026,2,9),tblDaily[WardCode],"MW")=0,"",SUMIFS(tblDaily[Discharges],tblDaily[EntryDate],DATE(2026,2,9),tblDaily[WardCode],"MW")),"")</f>
        <v>1</v>
      </c>
      <c r="D54" s="29" t="str">
        <f>IFERROR(IF(SUMIFS(tblDaily[Deaths],tblDaily[EntryDate],DATE(2026,2,9),tblDaily[WardCode],"MW")=0,"",SUMIFS(tblDaily[Deaths],tblDaily[EntryDate],DATE(2026,2,9),tblDaily[WardCode],"MW")),"")</f>
        <v/>
      </c>
      <c r="E54" s="29" t="str">
        <f>IFERROR(IF(SUMIFS(tblDaily[DeathsUnder24Hrs],tblDaily[EntryDate],DATE(2026,2,9),tblDaily[WardCode],"MW")=0,"",SUMIFS(tblDaily[DeathsUnder24Hrs],tblDaily[EntryDate],DATE(2026,2,9),tblDaily[WardCode],"MW")),"")</f>
        <v/>
      </c>
      <c r="F54" s="29" t="str">
        <f>IFERROR(IF(SUMIFS(tblDaily[TransfersIn],tblDaily[EntryDate],DATE(2026,2,9),tblDaily[WardCode],"MW")=0,"",SUMIFS(tblDaily[TransfersIn],tblDaily[EntryDate],DATE(2026,2,9),tblDaily[WardCode],"MW")),"")</f>
        <v/>
      </c>
      <c r="G54" s="29" t="str">
        <f>IFERROR(IF(SUMIFS(tblDaily[TransfersOut],tblDaily[EntryDate],DATE(2026,2,9),tblDaily[WardCode],"MW")=0,"",SUMIFS(tblDaily[TransfersOut],tblDaily[EntryDate],DATE(2026,2,9),tblDaily[WardCode],"MW")),"")</f>
        <v/>
      </c>
      <c r="H54" s="29">
        <f>IFERROR(IF(SUMIFS(tblDaily[Remaining],tblDaily[EntryDate],DATE(2026,2,9),tblDaily[WardCode],"MW")=0,"",SUMIFS(tblDaily[Remaining],tblDaily[EntryDate],DATE(2026,2,9),tblDaily[WardCode],"MW")),"")</f>
        <v>22</v>
      </c>
    </row>
    <row r="55" spans="1:8" x14ac:dyDescent="0.25">
      <c r="A55" s="29">
        <v>10</v>
      </c>
      <c r="B55" s="29">
        <f>IFERROR(IF(SUMIFS(tblDaily[Admissions],tblDaily[EntryDate],DATE(2026,2,10),tblDaily[WardCode],"MW")=0,"",SUMIFS(tblDaily[Admissions],tblDaily[EntryDate],DATE(2026,2,10),tblDaily[WardCode],"MW")),"")</f>
        <v>4</v>
      </c>
      <c r="C55" s="29">
        <f>IFERROR(IF(SUMIFS(tblDaily[Discharges],tblDaily[EntryDate],DATE(2026,2,10),tblDaily[WardCode],"MW")=0,"",SUMIFS(tblDaily[Discharges],tblDaily[EntryDate],DATE(2026,2,10),tblDaily[WardCode],"MW")),"")</f>
        <v>6</v>
      </c>
      <c r="D55" s="29">
        <f>IFERROR(IF(SUMIFS(tblDaily[Deaths],tblDaily[EntryDate],DATE(2026,2,10),tblDaily[WardCode],"MW")=0,"",SUMIFS(tblDaily[Deaths],tblDaily[EntryDate],DATE(2026,2,10),tblDaily[WardCode],"MW")),"")</f>
        <v>1</v>
      </c>
      <c r="E55" s="29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29">
        <f>IFERROR(IF(SUMIFS(tblDaily[TransfersIn],tblDaily[EntryDate],DATE(2026,2,10),tblDaily[WardCode],"MW")=0,"",SUMIFS(tblDaily[TransfersIn],tblDaily[EntryDate],DATE(2026,2,10),tblDaily[WardCode],"MW")),"")</f>
        <v>2</v>
      </c>
      <c r="G55" s="29" t="str">
        <f>IFERROR(IF(SUMIFS(tblDaily[TransfersOut],tblDaily[EntryDate],DATE(2026,2,10),tblDaily[WardCode],"MW")=0,"",SUMIFS(tblDaily[TransfersOut],tblDaily[EntryDate],DATE(2026,2,10),tblDaily[WardCode],"MW")),"")</f>
        <v/>
      </c>
      <c r="H55" s="29">
        <f>IFERROR(IF(SUMIFS(tblDaily[Remaining],tblDaily[EntryDate],DATE(2026,2,10),tblDaily[WardCode],"MW")=0,"",SUMIFS(tblDaily[Remaining],tblDaily[EntryDate],DATE(2026,2,10),tblDaily[WardCode],"MW")),"")</f>
        <v>21</v>
      </c>
    </row>
    <row r="56" spans="1:8" x14ac:dyDescent="0.25">
      <c r="A56" s="29">
        <v>11</v>
      </c>
      <c r="B56" s="29">
        <f>IFERROR(IF(SUMIFS(tblDaily[Admissions],tblDaily[EntryDate],DATE(2026,2,11),tblDaily[WardCode],"MW")=0,"",SUMIFS(tblDaily[Admissions],tblDaily[EntryDate],DATE(2026,2,11),tblDaily[WardCode],"MW")),"")</f>
        <v>4</v>
      </c>
      <c r="C56" s="29">
        <f>IFERROR(IF(SUMIFS(tblDaily[Discharges],tblDaily[EntryDate],DATE(2026,2,11),tblDaily[WardCode],"MW")=0,"",SUMIFS(tblDaily[Discharges],tblDaily[EntryDate],DATE(2026,2,11),tblDaily[WardCode],"MW")),"")</f>
        <v>3</v>
      </c>
      <c r="D56" s="29" t="str">
        <f>IFERROR(IF(SUMIFS(tblDaily[Deaths],tblDaily[EntryDate],DATE(2026,2,11),tblDaily[WardCode],"MW")=0,"",SUMIFS(tblDaily[Deaths],tblDaily[EntryDate],DATE(2026,2,11),tblDaily[WardCode],"MW")),"")</f>
        <v/>
      </c>
      <c r="E56" s="29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29">
        <f>IFERROR(IF(SUMIFS(tblDaily[TransfersIn],tblDaily[EntryDate],DATE(2026,2,11),tblDaily[WardCode],"MW")=0,"",SUMIFS(tblDaily[TransfersIn],tblDaily[EntryDate],DATE(2026,2,11),tblDaily[WardCode],"MW")),"")</f>
        <v>1</v>
      </c>
      <c r="G56" s="29" t="str">
        <f>IFERROR(IF(SUMIFS(tblDaily[TransfersOut],tblDaily[EntryDate],DATE(2026,2,11),tblDaily[WardCode],"MW")=0,"",SUMIFS(tblDaily[TransfersOut],tblDaily[EntryDate],DATE(2026,2,11),tblDaily[WardCode],"MW")),"")</f>
        <v/>
      </c>
      <c r="H56" s="29">
        <f>IFERROR(IF(SUMIFS(tblDaily[Remaining],tblDaily[EntryDate],DATE(2026,2,11),tblDaily[WardCode],"MW")=0,"",SUMIFS(tblDaily[Remaining],tblDaily[EntryDate],DATE(2026,2,11),tblDaily[WardCode],"MW")),"")</f>
        <v>23</v>
      </c>
    </row>
    <row r="57" spans="1:8" x14ac:dyDescent="0.25">
      <c r="A57" s="29">
        <v>12</v>
      </c>
      <c r="B57" s="29">
        <f>IFERROR(IF(SUMIFS(tblDaily[Admissions],tblDaily[EntryDate],DATE(2026,2,12),tblDaily[WardCode],"MW")=0,"",SUMIFS(tblDaily[Admissions],tblDaily[EntryDate],DATE(2026,2,12),tblDaily[WardCode],"MW")),"")</f>
        <v>4</v>
      </c>
      <c r="C57" s="29">
        <f>IFERROR(IF(SUMIFS(tblDaily[Discharges],tblDaily[EntryDate],DATE(2026,2,12),tblDaily[WardCode],"MW")=0,"",SUMIFS(tblDaily[Discharges],tblDaily[EntryDate],DATE(2026,2,12),tblDaily[WardCode],"MW")),"")</f>
        <v>4</v>
      </c>
      <c r="D57" s="29" t="str">
        <f>IFERROR(IF(SUMIFS(tblDaily[Deaths],tblDaily[EntryDate],DATE(2026,2,12),tblDaily[WardCode],"MW")=0,"",SUMIFS(tblDaily[Deaths],tblDaily[EntryDate],DATE(2026,2,12),tblDaily[WardCode],"MW")),"")</f>
        <v/>
      </c>
      <c r="E57" s="29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29">
        <f>IFERROR(IF(SUMIFS(tblDaily[TransfersIn],tblDaily[EntryDate],DATE(2026,2,12),tblDaily[WardCode],"MW")=0,"",SUMIFS(tblDaily[TransfersIn],tblDaily[EntryDate],DATE(2026,2,12),tblDaily[WardCode],"MW")),"")</f>
        <v>1</v>
      </c>
      <c r="G57" s="29" t="str">
        <f>IFERROR(IF(SUMIFS(tblDaily[TransfersOut],tblDaily[EntryDate],DATE(2026,2,12),tblDaily[WardCode],"MW")=0,"",SUMIFS(tblDaily[TransfersOut],tblDaily[EntryDate],DATE(2026,2,12),tblDaily[WardCode],"MW")),"")</f>
        <v/>
      </c>
      <c r="H57" s="29">
        <f>IFERROR(IF(SUMIFS(tblDaily[Remaining],tblDaily[EntryDate],DATE(2026,2,12),tblDaily[WardCode],"MW")=0,"",SUMIFS(tblDaily[Remaining],tblDaily[EntryDate],DATE(2026,2,12),tblDaily[WardCode],"MW")),"")</f>
        <v>24</v>
      </c>
    </row>
    <row r="58" spans="1:8" x14ac:dyDescent="0.25">
      <c r="A58" s="29">
        <v>13</v>
      </c>
      <c r="B58" s="29">
        <f>IFERROR(IF(SUMIFS(tblDaily[Admissions],tblDaily[EntryDate],DATE(2026,2,13),tblDaily[WardCode],"MW")=0,"",SUMIFS(tblDaily[Admissions],tblDaily[EntryDate],DATE(2026,2,13),tblDaily[WardCode],"MW")),"")</f>
        <v>1</v>
      </c>
      <c r="C58" s="29">
        <f>IFERROR(IF(SUMIFS(tblDaily[Discharges],tblDaily[EntryDate],DATE(2026,2,13),tblDaily[WardCode],"MW")=0,"",SUMIFS(tblDaily[Discharges],tblDaily[EntryDate],DATE(2026,2,13),tblDaily[WardCode],"MW")),"")</f>
        <v>7</v>
      </c>
      <c r="D58" s="29">
        <f>IFERROR(IF(SUMIFS(tblDaily[Deaths],tblDaily[EntryDate],DATE(2026,2,13),tblDaily[WardCode],"MW")=0,"",SUMIFS(tblDaily[Deaths],tblDaily[EntryDate],DATE(2026,2,13),tblDaily[WardCode],"MW")),"")</f>
        <v>1</v>
      </c>
      <c r="E58" s="29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29">
        <f>IFERROR(IF(SUMIFS(tblDaily[TransfersIn],tblDaily[EntryDate],DATE(2026,2,13),tblDaily[WardCode],"MW")=0,"",SUMIFS(tblDaily[TransfersIn],tblDaily[EntryDate],DATE(2026,2,13),tblDaily[WardCode],"MW")),"")</f>
        <v>1</v>
      </c>
      <c r="G58" s="29" t="str">
        <f>IFERROR(IF(SUMIFS(tblDaily[TransfersOut],tblDaily[EntryDate],DATE(2026,2,13),tblDaily[WardCode],"MW")=0,"",SUMIFS(tblDaily[TransfersOut],tblDaily[EntryDate],DATE(2026,2,13),tblDaily[WardCode],"MW")),"")</f>
        <v/>
      </c>
      <c r="H58" s="29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29">
        <v>14</v>
      </c>
      <c r="B59" s="29">
        <f>IFERROR(IF(SUMIFS(tblDaily[Admissions],tblDaily[EntryDate],DATE(2026,2,14),tblDaily[WardCode],"MW")=0,"",SUMIFS(tblDaily[Admissions],tblDaily[EntryDate],DATE(2026,2,14),tblDaily[WardCode],"MW")),"")</f>
        <v>3</v>
      </c>
      <c r="C59" s="29">
        <f>IFERROR(IF(SUMIFS(tblDaily[Discharges],tblDaily[EntryDate],DATE(2026,2,14),tblDaily[WardCode],"MW")=0,"",SUMIFS(tblDaily[Discharges],tblDaily[EntryDate],DATE(2026,2,14),tblDaily[WardCode],"MW")),"")</f>
        <v>2</v>
      </c>
      <c r="D59" s="29" t="str">
        <f>IFERROR(IF(SUMIFS(tblDaily[Deaths],tblDaily[EntryDate],DATE(2026,2,14),tblDaily[WardCode],"MW")=0,"",SUMIFS(tblDaily[Deaths],tblDaily[EntryDate],DATE(2026,2,14),tblDaily[WardCode],"MW")),"")</f>
        <v/>
      </c>
      <c r="E59" s="29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29" t="str">
        <f>IFERROR(IF(SUMIFS(tblDaily[TransfersIn],tblDaily[EntryDate],DATE(2026,2,14),tblDaily[WardCode],"MW")=0,"",SUMIFS(tblDaily[TransfersIn],tblDaily[EntryDate],DATE(2026,2,14),tblDaily[WardCode],"MW")),"")</f>
        <v/>
      </c>
      <c r="G59" s="29" t="str">
        <f>IFERROR(IF(SUMIFS(tblDaily[TransfersOut],tblDaily[EntryDate],DATE(2026,2,14),tblDaily[WardCode],"MW")=0,"",SUMIFS(tblDaily[TransfersOut],tblDaily[EntryDate],DATE(2026,2,14),tblDaily[WardCode],"MW")),"")</f>
        <v/>
      </c>
      <c r="H59" s="29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29">
        <v>15</v>
      </c>
      <c r="B60" s="29">
        <f>IFERROR(IF(SUMIFS(tblDaily[Admissions],tblDaily[EntryDate],DATE(2026,2,15),tblDaily[WardCode],"MW")=0,"",SUMIFS(tblDaily[Admissions],tblDaily[EntryDate],DATE(2026,2,15),tblDaily[WardCode],"MW")),"")</f>
        <v>1</v>
      </c>
      <c r="C60" s="29" t="str">
        <f>IFERROR(IF(SUMIFS(tblDaily[Discharges],tblDaily[EntryDate],DATE(2026,2,15),tblDaily[WardCode],"MW")=0,"",SUMIFS(tblDaily[Discharges],tblDaily[EntryDate],DATE(2026,2,15),tblDaily[WardCode],"MW")),"")</f>
        <v/>
      </c>
      <c r="D60" s="29" t="str">
        <f>IFERROR(IF(SUMIFS(tblDaily[Deaths],tblDaily[EntryDate],DATE(2026,2,15),tblDaily[WardCode],"MW")=0,"",SUMIFS(tblDaily[Deaths],tblDaily[EntryDate],DATE(2026,2,15),tblDaily[WardCode],"MW")),"")</f>
        <v/>
      </c>
      <c r="E60" s="29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29">
        <f>IFERROR(IF(SUMIFS(tblDaily[TransfersIn],tblDaily[EntryDate],DATE(2026,2,15),tblDaily[WardCode],"MW")=0,"",SUMIFS(tblDaily[TransfersIn],tblDaily[EntryDate],DATE(2026,2,15),tblDaily[WardCode],"MW")),"")</f>
        <v>1</v>
      </c>
      <c r="G60" s="29" t="str">
        <f>IFERROR(IF(SUMIFS(tblDaily[TransfersOut],tblDaily[EntryDate],DATE(2026,2,15),tblDaily[WardCode],"MW")=0,"",SUMIFS(tblDaily[TransfersOut],tblDaily[EntryDate],DATE(2026,2,15),tblDaily[WardCode],"MW")),"")</f>
        <v/>
      </c>
      <c r="H60" s="29">
        <f>IFERROR(IF(SUMIFS(tblDaily[Remaining],tblDaily[EntryDate],DATE(2026,2,15),tblDaily[WardCode],"MW")=0,"",SUMIFS(tblDaily[Remaining],tblDaily[EntryDate],DATE(2026,2,15),tblDaily[WardCode],"MW")),"")</f>
        <v>21</v>
      </c>
    </row>
    <row r="61" spans="1:8" x14ac:dyDescent="0.25">
      <c r="A61" s="29">
        <v>16</v>
      </c>
      <c r="B61" s="29">
        <f>IFERROR(IF(SUMIFS(tblDaily[Admissions],tblDaily[EntryDate],DATE(2026,2,16),tblDaily[WardCode],"MW")=0,"",SUMIFS(tblDaily[Admissions],tblDaily[EntryDate],DATE(2026,2,16),tblDaily[WardCode],"MW")),"")</f>
        <v>5</v>
      </c>
      <c r="C61" s="29">
        <f>IFERROR(IF(SUMIFS(tblDaily[Discharges],tblDaily[EntryDate],DATE(2026,2,16),tblDaily[WardCode],"MW")=0,"",SUMIFS(tblDaily[Discharges],tblDaily[EntryDate],DATE(2026,2,16),tblDaily[WardCode],"MW")),"")</f>
        <v>9</v>
      </c>
      <c r="D61" s="29" t="str">
        <f>IFERROR(IF(SUMIFS(tblDaily[Deaths],tblDaily[EntryDate],DATE(2026,2,16),tblDaily[WardCode],"MW")=0,"",SUMIFS(tblDaily[Deaths],tblDaily[EntryDate],DATE(2026,2,16),tblDaily[WardCode],"MW")),"")</f>
        <v/>
      </c>
      <c r="E61" s="29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29">
        <f>IFERROR(IF(SUMIFS(tblDaily[TransfersIn],tblDaily[EntryDate],DATE(2026,2,16),tblDaily[WardCode],"MW")=0,"",SUMIFS(tblDaily[TransfersIn],tblDaily[EntryDate],DATE(2026,2,16),tblDaily[WardCode],"MW")),"")</f>
        <v>3</v>
      </c>
      <c r="G61" s="29" t="str">
        <f>IFERROR(IF(SUMIFS(tblDaily[TransfersOut],tblDaily[EntryDate],DATE(2026,2,16),tblDaily[WardCode],"MW")=0,"",SUMIFS(tblDaily[TransfersOut],tblDaily[EntryDate],DATE(2026,2,16),tblDaily[WardCode],"MW")),"")</f>
        <v/>
      </c>
      <c r="H61" s="29">
        <f>IFERROR(IF(SUMIFS(tblDaily[Remaining],tblDaily[EntryDate],DATE(2026,2,16),tblDaily[WardCode],"MW")=0,"",SUMIFS(tblDaily[Remaining],tblDaily[EntryDate],DATE(2026,2,16),tblDaily[WardCode],"MW")),"")</f>
        <v>20</v>
      </c>
    </row>
    <row r="62" spans="1:8" x14ac:dyDescent="0.25">
      <c r="A62" s="29">
        <v>17</v>
      </c>
      <c r="B62" s="29">
        <f>IFERROR(IF(SUMIFS(tblDaily[Admissions],tblDaily[EntryDate],DATE(2026,2,17),tblDaily[WardCode],"MW")=0,"",SUMIFS(tblDaily[Admissions],tblDaily[EntryDate],DATE(2026,2,17),tblDaily[WardCode],"MW")),"")</f>
        <v>3</v>
      </c>
      <c r="C62" s="29">
        <f>IFERROR(IF(SUMIFS(tblDaily[Discharges],tblDaily[EntryDate],DATE(2026,2,17),tblDaily[WardCode],"MW")=0,"",SUMIFS(tblDaily[Discharges],tblDaily[EntryDate],DATE(2026,2,17),tblDaily[WardCode],"MW")),"")</f>
        <v>4</v>
      </c>
      <c r="D62" s="29" t="str">
        <f>IFERROR(IF(SUMIFS(tblDaily[Deaths],tblDaily[EntryDate],DATE(2026,2,17),tblDaily[WardCode],"MW")=0,"",SUMIFS(tblDaily[Deaths],tblDaily[EntryDate],DATE(2026,2,17),tblDaily[WardCode],"MW")),"")</f>
        <v/>
      </c>
      <c r="E62" s="29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29" t="str">
        <f>IFERROR(IF(SUMIFS(tblDaily[TransfersIn],tblDaily[EntryDate],DATE(2026,2,17),tblDaily[WardCode],"MW")=0,"",SUMIFS(tblDaily[TransfersIn],tblDaily[EntryDate],DATE(2026,2,17),tblDaily[WardCode],"MW")),"")</f>
        <v/>
      </c>
      <c r="G62" s="29" t="str">
        <f>IFERROR(IF(SUMIFS(tblDaily[TransfersOut],tblDaily[EntryDate],DATE(2026,2,17),tblDaily[WardCode],"MW")=0,"",SUMIFS(tblDaily[TransfersOut],tblDaily[EntryDate],DATE(2026,2,17),tblDaily[WardCode],"MW")),"")</f>
        <v/>
      </c>
      <c r="H62" s="29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29">
        <v>18</v>
      </c>
      <c r="B63" s="29">
        <f>IFERROR(IF(SUMIFS(tblDaily[Admissions],tblDaily[EntryDate],DATE(2026,2,18),tblDaily[WardCode],"MW")=0,"",SUMIFS(tblDaily[Admissions],tblDaily[EntryDate],DATE(2026,2,18),tblDaily[WardCode],"MW")),"")</f>
        <v>1</v>
      </c>
      <c r="C63" s="29">
        <f>IFERROR(IF(SUMIFS(tblDaily[Discharges],tblDaily[EntryDate],DATE(2026,2,18),tblDaily[WardCode],"MW")=0,"",SUMIFS(tblDaily[Discharges],tblDaily[EntryDate],DATE(2026,2,18),tblDaily[WardCode],"MW")),"")</f>
        <v>2</v>
      </c>
      <c r="D63" s="29" t="str">
        <f>IFERROR(IF(SUMIFS(tblDaily[Deaths],tblDaily[EntryDate],DATE(2026,2,18),tblDaily[WardCode],"MW")=0,"",SUMIFS(tblDaily[Deaths],tblDaily[EntryDate],DATE(2026,2,18),tblDaily[WardCode],"MW")),"")</f>
        <v/>
      </c>
      <c r="E63" s="29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29" t="str">
        <f>IFERROR(IF(SUMIFS(tblDaily[TransfersIn],tblDaily[EntryDate],DATE(2026,2,18),tblDaily[WardCode],"MW")=0,"",SUMIFS(tblDaily[TransfersIn],tblDaily[EntryDate],DATE(2026,2,18),tblDaily[WardCode],"MW")),"")</f>
        <v/>
      </c>
      <c r="G63" s="29" t="str">
        <f>IFERROR(IF(SUMIFS(tblDaily[TransfersOut],tblDaily[EntryDate],DATE(2026,2,18),tblDaily[WardCode],"MW")=0,"",SUMIFS(tblDaily[TransfersOut],tblDaily[EntryDate],DATE(2026,2,18),tblDaily[WardCode],"MW")),"")</f>
        <v/>
      </c>
      <c r="H63" s="29">
        <f>IFERROR(IF(SUMIFS(tblDaily[Remaining],tblDaily[EntryDate],DATE(2026,2,18),tblDaily[WardCode],"MW")=0,"",SUMIFS(tblDaily[Remaining],tblDaily[EntryDate],DATE(2026,2,18),tblDaily[WardCode],"MW")),"")</f>
        <v>18</v>
      </c>
    </row>
    <row r="64" spans="1:8" x14ac:dyDescent="0.25">
      <c r="A64" s="29">
        <v>19</v>
      </c>
      <c r="B64" s="29">
        <f>IFERROR(IF(SUMIFS(tblDaily[Admissions],tblDaily[EntryDate],DATE(2026,2,19),tblDaily[WardCode],"MW")=0,"",SUMIFS(tblDaily[Admissions],tblDaily[EntryDate],DATE(2026,2,19),tblDaily[WardCode],"MW")),"")</f>
        <v>1</v>
      </c>
      <c r="C64" s="29">
        <f>IFERROR(IF(SUMIFS(tblDaily[Discharges],tblDaily[EntryDate],DATE(2026,2,19),tblDaily[WardCode],"MW")=0,"",SUMIFS(tblDaily[Discharges],tblDaily[EntryDate],DATE(2026,2,19),tblDaily[WardCode],"MW")),"")</f>
        <v>1</v>
      </c>
      <c r="D64" s="29">
        <f>IFERROR(IF(SUMIFS(tblDaily[Deaths],tblDaily[EntryDate],DATE(2026,2,19),tblDaily[WardCode],"MW")=0,"",SUMIFS(tblDaily[Deaths],tblDaily[EntryDate],DATE(2026,2,19),tblDaily[WardCode],"MW")),"")</f>
        <v>1</v>
      </c>
      <c r="E64" s="29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29">
        <f>IFERROR(IF(SUMIFS(tblDaily[TransfersIn],tblDaily[EntryDate],DATE(2026,2,19),tblDaily[WardCode],"MW")=0,"",SUMIFS(tblDaily[TransfersIn],tblDaily[EntryDate],DATE(2026,2,19),tblDaily[WardCode],"MW")),"")</f>
        <v>2</v>
      </c>
      <c r="G64" s="29" t="str">
        <f>IFERROR(IF(SUMIFS(tblDaily[TransfersOut],tblDaily[EntryDate],DATE(2026,2,19),tblDaily[WardCode],"MW")=0,"",SUMIFS(tblDaily[TransfersOut],tblDaily[EntryDate],DATE(2026,2,19),tblDaily[WardCode],"MW")),"")</f>
        <v/>
      </c>
      <c r="H64" s="29">
        <f>IFERROR(IF(SUMIFS(tblDaily[Remaining],tblDaily[EntryDate],DATE(2026,2,19),tblDaily[WardCode],"MW")=0,"",SUMIFS(tblDaily[Remaining],tblDaily[EntryDate],DATE(2026,2,19),tblDaily[WardCode],"MW")),"")</f>
        <v>19</v>
      </c>
    </row>
    <row r="65" spans="1:8" x14ac:dyDescent="0.25">
      <c r="A65" s="29">
        <v>20</v>
      </c>
      <c r="B65" s="29" t="str">
        <f>IFERROR(IF(SUMIFS(tblDaily[Admissions],tblDaily[EntryDate],DATE(2026,2,20),tblDaily[WardCode],"MW")=0,"",SUMIFS(tblDaily[Admissions],tblDaily[EntryDate],DATE(2026,2,20),tblDaily[WardCode],"MW")),"")</f>
        <v/>
      </c>
      <c r="C65" s="29">
        <f>IFERROR(IF(SUMIFS(tblDaily[Discharges],tblDaily[EntryDate],DATE(2026,2,20),tblDaily[WardCode],"MW")=0,"",SUMIFS(tblDaily[Discharges],tblDaily[EntryDate],DATE(2026,2,20),tblDaily[WardCode],"MW")),"")</f>
        <v>3</v>
      </c>
      <c r="D65" s="29" t="str">
        <f>IFERROR(IF(SUMIFS(tblDaily[Deaths],tblDaily[EntryDate],DATE(2026,2,20),tblDaily[WardCode],"MW")=0,"",SUMIFS(tblDaily[Deaths],tblDaily[EntryDate],DATE(2026,2,20),tblDaily[WardCode],"MW")),"")</f>
        <v/>
      </c>
      <c r="E65" s="29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29">
        <f>IFERROR(IF(SUMIFS(tblDaily[TransfersIn],tblDaily[EntryDate],DATE(2026,2,20),tblDaily[WardCode],"MW")=0,"",SUMIFS(tblDaily[TransfersIn],tblDaily[EntryDate],DATE(2026,2,20),tblDaily[WardCode],"MW")),"")</f>
        <v>2</v>
      </c>
      <c r="G65" s="29" t="str">
        <f>IFERROR(IF(SUMIFS(tblDaily[TransfersOut],tblDaily[EntryDate],DATE(2026,2,20),tblDaily[WardCode],"MW")=0,"",SUMIFS(tblDaily[TransfersOut],tblDaily[EntryDate],DATE(2026,2,20),tblDaily[WardCode],"MW")),"")</f>
        <v/>
      </c>
      <c r="H65" s="29">
        <f>IFERROR(IF(SUMIFS(tblDaily[Remaining],tblDaily[EntryDate],DATE(2026,2,20),tblDaily[WardCode],"MW")=0,"",SUMIFS(tblDaily[Remaining],tblDaily[EntryDate],DATE(2026,2,20),tblDaily[WardCode],"MW")),"")</f>
        <v>18</v>
      </c>
    </row>
    <row r="66" spans="1:8" x14ac:dyDescent="0.25">
      <c r="A66" s="29">
        <v>21</v>
      </c>
      <c r="B66" s="29">
        <f>IFERROR(IF(SUMIFS(tblDaily[Admissions],tblDaily[EntryDate],DATE(2026,2,21),tblDaily[WardCode],"MW")=0,"",SUMIFS(tblDaily[Admissions],tblDaily[EntryDate],DATE(2026,2,21),tblDaily[WardCode],"MW")),"")</f>
        <v>2</v>
      </c>
      <c r="C66" s="29">
        <f>IFERROR(IF(SUMIFS(tblDaily[Discharges],tblDaily[EntryDate],DATE(2026,2,21),tblDaily[WardCode],"MW")=0,"",SUMIFS(tblDaily[Discharges],tblDaily[EntryDate],DATE(2026,2,21),tblDaily[WardCode],"MW")),"")</f>
        <v>9</v>
      </c>
      <c r="D66" s="29">
        <f>IFERROR(IF(SUMIFS(tblDaily[Deaths],tblDaily[EntryDate],DATE(2026,2,21),tblDaily[WardCode],"MW")=0,"",SUMIFS(tblDaily[Deaths],tblDaily[EntryDate],DATE(2026,2,21),tblDaily[WardCode],"MW")),"")</f>
        <v>1</v>
      </c>
      <c r="E66" s="29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29">
        <f>IFERROR(IF(SUMIFS(tblDaily[TransfersIn],tblDaily[EntryDate],DATE(2026,2,21),tblDaily[WardCode],"MW")=0,"",SUMIFS(tblDaily[TransfersIn],tblDaily[EntryDate],DATE(2026,2,21),tblDaily[WardCode],"MW")),"")</f>
        <v>1</v>
      </c>
      <c r="G66" s="29" t="str">
        <f>IFERROR(IF(SUMIFS(tblDaily[TransfersOut],tblDaily[EntryDate],DATE(2026,2,21),tblDaily[WardCode],"MW")=0,"",SUMIFS(tblDaily[TransfersOut],tblDaily[EntryDate],DATE(2026,2,21),tblDaily[WardCode],"MW")),"")</f>
        <v/>
      </c>
      <c r="H66" s="29">
        <f>IFERROR(IF(SUMIFS(tblDaily[Remaining],tblDaily[EntryDate],DATE(2026,2,21),tblDaily[WardCode],"MW")=0,"",SUMIFS(tblDaily[Remaining],tblDaily[EntryDate],DATE(2026,2,21),tblDaily[WardCode],"MW")),"")</f>
        <v>11</v>
      </c>
    </row>
    <row r="67" spans="1:8" x14ac:dyDescent="0.25">
      <c r="A67" s="29">
        <v>22</v>
      </c>
      <c r="B67" s="29">
        <f>IFERROR(IF(SUMIFS(tblDaily[Admissions],tblDaily[EntryDate],DATE(2026,2,22),tblDaily[WardCode],"MW")=0,"",SUMIFS(tblDaily[Admissions],tblDaily[EntryDate],DATE(2026,2,22),tblDaily[WardCode],"MW")),"")</f>
        <v>1</v>
      </c>
      <c r="C67" s="29" t="str">
        <f>IFERROR(IF(SUMIFS(tblDaily[Discharges],tblDaily[EntryDate],DATE(2026,2,22),tblDaily[WardCode],"MW")=0,"",SUMIFS(tblDaily[Discharges],tblDaily[EntryDate],DATE(2026,2,22),tblDaily[WardCode],"MW")),"")</f>
        <v/>
      </c>
      <c r="D67" s="29" t="str">
        <f>IFERROR(IF(SUMIFS(tblDaily[Deaths],tblDaily[EntryDate],DATE(2026,2,22),tblDaily[WardCode],"MW")=0,"",SUMIFS(tblDaily[Deaths],tblDaily[EntryDate],DATE(2026,2,22),tblDaily[WardCode],"MW")),"")</f>
        <v/>
      </c>
      <c r="E67" s="29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29" t="str">
        <f>IFERROR(IF(SUMIFS(tblDaily[TransfersIn],tblDaily[EntryDate],DATE(2026,2,22),tblDaily[WardCode],"MW")=0,"",SUMIFS(tblDaily[TransfersIn],tblDaily[EntryDate],DATE(2026,2,22),tblDaily[WardCode],"MW")),"")</f>
        <v/>
      </c>
      <c r="G67" s="29" t="str">
        <f>IFERROR(IF(SUMIFS(tblDaily[TransfersOut],tblDaily[EntryDate],DATE(2026,2,22),tblDaily[WardCode],"MW")=0,"",SUMIFS(tblDaily[TransfersOut],tblDaily[EntryDate],DATE(2026,2,22),tblDaily[WardCode],"MW")),"")</f>
        <v/>
      </c>
      <c r="H67" s="29">
        <f>IFERROR(IF(SUMIFS(tblDaily[Remaining],tblDaily[EntryDate],DATE(2026,2,22),tblDaily[WardCode],"MW")=0,"",SUMIFS(tblDaily[Remaining],tblDaily[EntryDate],DATE(2026,2,22),tblDaily[WardCode],"MW")),"")</f>
        <v>12</v>
      </c>
    </row>
    <row r="68" spans="1:8" x14ac:dyDescent="0.25">
      <c r="A68" s="29">
        <v>23</v>
      </c>
      <c r="B68" s="29">
        <f>IFERROR(IF(SUMIFS(tblDaily[Admissions],tblDaily[EntryDate],DATE(2026,2,23),tblDaily[WardCode],"MW")=0,"",SUMIFS(tblDaily[Admissions],tblDaily[EntryDate],DATE(2026,2,23),tblDaily[WardCode],"MW")),"")</f>
        <v>3</v>
      </c>
      <c r="C68" s="29">
        <f>IFERROR(IF(SUMIFS(tblDaily[Discharges],tblDaily[EntryDate],DATE(2026,2,23),tblDaily[WardCode],"MW")=0,"",SUMIFS(tblDaily[Discharges],tblDaily[EntryDate],DATE(2026,2,23),tblDaily[WardCode],"MW")),"")</f>
        <v>5</v>
      </c>
      <c r="D68" s="29" t="str">
        <f>IFERROR(IF(SUMIFS(tblDaily[Deaths],tblDaily[EntryDate],DATE(2026,2,23),tblDaily[WardCode],"MW")=0,"",SUMIFS(tblDaily[Deaths],tblDaily[EntryDate],DATE(2026,2,23),tblDaily[WardCode],"MW")),"")</f>
        <v/>
      </c>
      <c r="E68" s="29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29" t="str">
        <f>IFERROR(IF(SUMIFS(tblDaily[TransfersIn],tblDaily[EntryDate],DATE(2026,2,23),tblDaily[WardCode],"MW")=0,"",SUMIFS(tblDaily[TransfersIn],tblDaily[EntryDate],DATE(2026,2,23),tblDaily[WardCode],"MW")),"")</f>
        <v/>
      </c>
      <c r="G68" s="29" t="str">
        <f>IFERROR(IF(SUMIFS(tblDaily[TransfersOut],tblDaily[EntryDate],DATE(2026,2,23),tblDaily[WardCode],"MW")=0,"",SUMIFS(tblDaily[TransfersOut],tblDaily[EntryDate],DATE(2026,2,23),tblDaily[WardCode],"MW")),"")</f>
        <v/>
      </c>
      <c r="H68" s="29">
        <f>IFERROR(IF(SUMIFS(tblDaily[Remaining],tblDaily[EntryDate],DATE(2026,2,23),tblDaily[WardCode],"MW")=0,"",SUMIFS(tblDaily[Remaining],tblDaily[EntryDate],DATE(2026,2,23),tblDaily[WardCode],"MW")),"")</f>
        <v>10</v>
      </c>
    </row>
    <row r="69" spans="1:8" x14ac:dyDescent="0.25">
      <c r="A69" s="29">
        <v>24</v>
      </c>
      <c r="B69" s="29">
        <f>IFERROR(IF(SUMIFS(tblDaily[Admissions],tblDaily[EntryDate],DATE(2026,2,24),tblDaily[WardCode],"MW")=0,"",SUMIFS(tblDaily[Admissions],tblDaily[EntryDate],DATE(2026,2,24),tblDaily[WardCode],"MW")),"")</f>
        <v>4</v>
      </c>
      <c r="C69" s="29">
        <f>IFERROR(IF(SUMIFS(tblDaily[Discharges],tblDaily[EntryDate],DATE(2026,2,24),tblDaily[WardCode],"MW")=0,"",SUMIFS(tblDaily[Discharges],tblDaily[EntryDate],DATE(2026,2,24),tblDaily[WardCode],"MW")),"")</f>
        <v>3</v>
      </c>
      <c r="D69" s="29" t="str">
        <f>IFERROR(IF(SUMIFS(tblDaily[Deaths],tblDaily[EntryDate],DATE(2026,2,24),tblDaily[WardCode],"MW")=0,"",SUMIFS(tblDaily[Deaths],tblDaily[EntryDate],DATE(2026,2,24),tblDaily[WardCode],"MW")),"")</f>
        <v/>
      </c>
      <c r="E69" s="29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29">
        <f>IFERROR(IF(SUMIFS(tblDaily[TransfersIn],tblDaily[EntryDate],DATE(2026,2,24),tblDaily[WardCode],"MW")=0,"",SUMIFS(tblDaily[TransfersIn],tblDaily[EntryDate],DATE(2026,2,24),tblDaily[WardCode],"MW")),"")</f>
        <v>2</v>
      </c>
      <c r="G69" s="29" t="str">
        <f>IFERROR(IF(SUMIFS(tblDaily[TransfersOut],tblDaily[EntryDate],DATE(2026,2,24),tblDaily[WardCode],"MW")=0,"",SUMIFS(tblDaily[TransfersOut],tblDaily[EntryDate],DATE(2026,2,24),tblDaily[WardCode],"MW")),"")</f>
        <v/>
      </c>
      <c r="H69" s="29">
        <f>IFERROR(IF(SUMIFS(tblDaily[Remaining],tblDaily[EntryDate],DATE(2026,2,24),tblDaily[WardCode],"MW")=0,"",SUMIFS(tblDaily[Remaining],tblDaily[EntryDate],DATE(2026,2,24),tblDaily[WardCode],"MW")),"")</f>
        <v>13</v>
      </c>
    </row>
    <row r="70" spans="1:8" x14ac:dyDescent="0.25">
      <c r="A70" s="29">
        <v>25</v>
      </c>
      <c r="B70" s="29">
        <f>IFERROR(IF(SUMIFS(tblDaily[Admissions],tblDaily[EntryDate],DATE(2026,2,25),tblDaily[WardCode],"MW")=0,"",SUMIFS(tblDaily[Admissions],tblDaily[EntryDate],DATE(2026,2,25),tblDaily[WardCode],"MW")),"")</f>
        <v>2</v>
      </c>
      <c r="C70" s="29">
        <f>IFERROR(IF(SUMIFS(tblDaily[Discharges],tblDaily[EntryDate],DATE(2026,2,25),tblDaily[WardCode],"MW")=0,"",SUMIFS(tblDaily[Discharges],tblDaily[EntryDate],DATE(2026,2,25),tblDaily[WardCode],"MW")),"")</f>
        <v>2</v>
      </c>
      <c r="D70" s="29" t="str">
        <f>IFERROR(IF(SUMIFS(tblDaily[Deaths],tblDaily[EntryDate],DATE(2026,2,25),tblDaily[WardCode],"MW")=0,"",SUMIFS(tblDaily[Deaths],tblDaily[EntryDate],DATE(2026,2,25),tblDaily[WardCode],"MW")),"")</f>
        <v/>
      </c>
      <c r="E70" s="29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29" t="str">
        <f>IFERROR(IF(SUMIFS(tblDaily[TransfersIn],tblDaily[EntryDate],DATE(2026,2,25),tblDaily[WardCode],"MW")=0,"",SUMIFS(tblDaily[TransfersIn],tblDaily[EntryDate],DATE(2026,2,25),tblDaily[WardCode],"MW")),"")</f>
        <v/>
      </c>
      <c r="G70" s="29" t="str">
        <f>IFERROR(IF(SUMIFS(tblDaily[TransfersOut],tblDaily[EntryDate],DATE(2026,2,25),tblDaily[WardCode],"MW")=0,"",SUMIFS(tblDaily[TransfersOut],tblDaily[EntryDate],DATE(2026,2,25),tblDaily[WardCode],"MW")),"")</f>
        <v/>
      </c>
      <c r="H70" s="29">
        <f>IFERROR(IF(SUMIFS(tblDaily[Remaining],tblDaily[EntryDate],DATE(2026,2,25),tblDaily[WardCode],"MW")=0,"",SUMIFS(tblDaily[Remaining],tblDaily[EntryDate],DATE(2026,2,25),tblDaily[WardCode],"MW")),"")</f>
        <v>13</v>
      </c>
    </row>
    <row r="71" spans="1:8" x14ac:dyDescent="0.25">
      <c r="A71" s="29">
        <v>26</v>
      </c>
      <c r="B71" s="29">
        <f>IFERROR(IF(SUMIFS(tblDaily[Admissions],tblDaily[EntryDate],DATE(2026,2,26),tblDaily[WardCode],"MW")=0,"",SUMIFS(tblDaily[Admissions],tblDaily[EntryDate],DATE(2026,2,26),tblDaily[WardCode],"MW")),"")</f>
        <v>3</v>
      </c>
      <c r="C71" s="29">
        <f>IFERROR(IF(SUMIFS(tblDaily[Discharges],tblDaily[EntryDate],DATE(2026,2,26),tblDaily[WardCode],"MW")=0,"",SUMIFS(tblDaily[Discharges],tblDaily[EntryDate],DATE(2026,2,26),tblDaily[WardCode],"MW")),"")</f>
        <v>5</v>
      </c>
      <c r="D71" s="29" t="str">
        <f>IFERROR(IF(SUMIFS(tblDaily[Deaths],tblDaily[EntryDate],DATE(2026,2,26),tblDaily[WardCode],"MW")=0,"",SUMIFS(tblDaily[Deaths],tblDaily[EntryDate],DATE(2026,2,26),tblDaily[WardCode],"MW")),"")</f>
        <v/>
      </c>
      <c r="E71" s="29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29">
        <f>IFERROR(IF(SUMIFS(tblDaily[TransfersIn],tblDaily[EntryDate],DATE(2026,2,26),tblDaily[WardCode],"MW")=0,"",SUMIFS(tblDaily[TransfersIn],tblDaily[EntryDate],DATE(2026,2,26),tblDaily[WardCode],"MW")),"")</f>
        <v>2</v>
      </c>
      <c r="G71" s="29" t="str">
        <f>IFERROR(IF(SUMIFS(tblDaily[TransfersOut],tblDaily[EntryDate],DATE(2026,2,26),tblDaily[WardCode],"MW")=0,"",SUMIFS(tblDaily[TransfersOut],tblDaily[EntryDate],DATE(2026,2,26),tblDaily[WardCode],"MW")),"")</f>
        <v/>
      </c>
      <c r="H71" s="29">
        <f>IFERROR(IF(SUMIFS(tblDaily[Remaining],tblDaily[EntryDate],DATE(2026,2,26),tblDaily[WardCode],"MW")=0,"",SUMIFS(tblDaily[Remaining],tblDaily[EntryDate],DATE(2026,2,26),tblDaily[WardCode],"MW")),"")</f>
        <v>13</v>
      </c>
    </row>
    <row r="72" spans="1:8" x14ac:dyDescent="0.25">
      <c r="A72" s="29">
        <v>27</v>
      </c>
      <c r="B72" s="29">
        <f>IFERROR(IF(SUMIFS(tblDaily[Admissions],tblDaily[EntryDate],DATE(2026,2,27),tblDaily[WardCode],"MW")=0,"",SUMIFS(tblDaily[Admissions],tblDaily[EntryDate],DATE(2026,2,27),tblDaily[WardCode],"MW")),"")</f>
        <v>5</v>
      </c>
      <c r="C72" s="29">
        <f>IFERROR(IF(SUMIFS(tblDaily[Discharges],tblDaily[EntryDate],DATE(2026,2,27),tblDaily[WardCode],"MW")=0,"",SUMIFS(tblDaily[Discharges],tblDaily[EntryDate],DATE(2026,2,27),tblDaily[WardCode],"MW")),"")</f>
        <v>4</v>
      </c>
      <c r="D72" s="29" t="str">
        <f>IFERROR(IF(SUMIFS(tblDaily[Deaths],tblDaily[EntryDate],DATE(2026,2,27),tblDaily[WardCode],"MW")=0,"",SUMIFS(tblDaily[Deaths],tblDaily[EntryDate],DATE(2026,2,27),tblDaily[WardCode],"MW")),"")</f>
        <v/>
      </c>
      <c r="E72" s="29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29">
        <f>IFERROR(IF(SUMIFS(tblDaily[TransfersIn],tblDaily[EntryDate],DATE(2026,2,27),tblDaily[WardCode],"MW")=0,"",SUMIFS(tblDaily[TransfersIn],tblDaily[EntryDate],DATE(2026,2,27),tblDaily[WardCode],"MW")),"")</f>
        <v>1</v>
      </c>
      <c r="G72" s="29" t="str">
        <f>IFERROR(IF(SUMIFS(tblDaily[TransfersOut],tblDaily[EntryDate],DATE(2026,2,27),tblDaily[WardCode],"MW")=0,"",SUMIFS(tblDaily[TransfersOut],tblDaily[EntryDate],DATE(2026,2,27),tblDaily[WardCode],"MW")),"")</f>
        <v/>
      </c>
      <c r="H72" s="29">
        <f>IFERROR(IF(SUMIFS(tblDaily[Remaining],tblDaily[EntryDate],DATE(2026,2,27),tblDaily[WardCode],"MW")=0,"",SUMIFS(tblDaily[Remaining],tblDaily[EntryDate],DATE(2026,2,27),tblDaily[WardCode],"MW")),"")</f>
        <v>15</v>
      </c>
    </row>
    <row r="73" spans="1:8" x14ac:dyDescent="0.25">
      <c r="A73" s="29">
        <v>28</v>
      </c>
      <c r="B73" s="29">
        <f>IFERROR(IF(SUMIFS(tblDaily[Admissions],tblDaily[EntryDate],DATE(2026,2,28),tblDaily[WardCode],"MW")=0,"",SUMIFS(tblDaily[Admissions],tblDaily[EntryDate],DATE(2026,2,28),tblDaily[WardCode],"MW")),"")</f>
        <v>2</v>
      </c>
      <c r="C73" s="29">
        <f>IFERROR(IF(SUMIFS(tblDaily[Discharges],tblDaily[EntryDate],DATE(2026,2,28),tblDaily[WardCode],"MW")=0,"",SUMIFS(tblDaily[Discharges],tblDaily[EntryDate],DATE(2026,2,28),tblDaily[WardCode],"MW")),"")</f>
        <v>3</v>
      </c>
      <c r="D73" s="29" t="str">
        <f>IFERROR(IF(SUMIFS(tblDaily[Deaths],tblDaily[EntryDate],DATE(2026,2,28),tblDaily[WardCode],"MW")=0,"",SUMIFS(tblDaily[Deaths],tblDaily[EntryDate],DATE(2026,2,28),tblDaily[WardCode],"MW")),"")</f>
        <v/>
      </c>
      <c r="E73" s="29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29" t="str">
        <f>IFERROR(IF(SUMIFS(tblDaily[TransfersIn],tblDaily[EntryDate],DATE(2026,2,28),tblDaily[WardCode],"MW")=0,"",SUMIFS(tblDaily[TransfersIn],tblDaily[EntryDate],DATE(2026,2,28),tblDaily[WardCode],"MW")),"")</f>
        <v/>
      </c>
      <c r="G73" s="29" t="str">
        <f>IFERROR(IF(SUMIFS(tblDaily[TransfersOut],tblDaily[EntryDate],DATE(2026,2,28),tblDaily[WardCode],"MW")=0,"",SUMIFS(tblDaily[TransfersOut],tblDaily[EntryDate],DATE(2026,2,28),tblDaily[WardCode],"MW")),"")</f>
        <v/>
      </c>
      <c r="H73" s="29">
        <f>IFERROR(IF(SUMIFS(tblDaily[Remaining],tblDaily[EntryDate],DATE(2026,2,28),tblDaily[WardCode],"MW")=0,"",SUMIFS(tblDaily[Remaining],tblDaily[EntryDate],DATE(2026,2,28),tblDaily[WardCode],"MW")),"")</f>
        <v>14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SUMIFS(tblDaily[Admissions],tblDaily[Month],2,tblDaily[WardCode],"MW") - SUMIFS(tblDaily[DeathsUnder24Hrs],tblDaily[Month],2,tblDaily[WardCode],"MW")</f>
        <v>71</v>
      </c>
      <c r="C77" s="30">
        <f>SUMIFS(tblDaily[Discharges],tblDaily[Month],2,tblDaily[WardCode],"MW")</f>
        <v>99</v>
      </c>
      <c r="D77" s="30">
        <f>SUMIFS(tblDaily[Deaths],tblDaily[Month],2,tblDaily[WardCode],"MW")</f>
        <v>8</v>
      </c>
      <c r="E77" s="30">
        <f>SUMIFS(tblDaily[DeathsUnder24Hrs],tblDaily[Month],2,tblDaily[WardCode],"MW")</f>
        <v>0</v>
      </c>
      <c r="F77" s="30">
        <f>SUMIFS(tblDaily[TransfersIn],tblDaily[Month],2,tblDaily[WardCode],"MW")</f>
        <v>31</v>
      </c>
      <c r="G77" s="30">
        <f>SUMIFS(tblDaily[TransfersOut],tblDaily[Month],2,tblDaily[WardCode],"MW")</f>
        <v>0</v>
      </c>
      <c r="H77" s="30">
        <f>SUMIFS(tblDaily[Remaining],tblDaily[Month],2,tblDaily[WardCode],"MW")</f>
        <v>521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106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IFERROR(SUMIFS(tblDaily[Remaining],tblDaily[EntryDate],DATE(2026,2,28),tblDaily[WardCode],"MW"),0)</f>
        <v>14</v>
      </c>
    </row>
    <row r="83" spans="1:8" x14ac:dyDescent="0.25">
      <c r="A83" s="24" t="s">
        <v>109</v>
      </c>
      <c r="H83" s="27">
        <f>IFERROR(INDEX(tblWardConfig[BedComplement],MATCH("MW",tblWardConfig[WardCode],0)),0)</f>
        <v>32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IFERROR(IF(SUMIFS(tblDaily[Admissions],tblDaily[EntryDate],DATE(2026,3,1),tblDaily[WardCode],"MW")=0,"",SUMIFS(tblDaily[Admissions],tblDaily[EntryDate],DATE(2026,3,1),tblDaily[WardCode],"MW")),"")</f>
        <v/>
      </c>
      <c r="C85" s="29">
        <f>IFERROR(IF(SUMIFS(tblDaily[Discharges],tblDaily[EntryDate],DATE(2026,3,1),tblDaily[WardCode],"MW")=0,"",SUMIFS(tblDaily[Discharges],tblDaily[EntryDate],DATE(2026,3,1),tblDaily[WardCode],"MW")),"")</f>
        <v>3</v>
      </c>
      <c r="D85" s="29" t="str">
        <f>IFERROR(IF(SUMIFS(tblDaily[Deaths],tblDaily[EntryDate],DATE(2026,3,1),tblDaily[WardCode],"MW")=0,"",SUMIFS(tblDaily[Deaths],tblDaily[EntryDate],DATE(2026,3,1),tblDaily[WardCode],"MW")),"")</f>
        <v/>
      </c>
      <c r="E85" s="29" t="str">
        <f>IFERROR(IF(SUMIFS(tblDaily[DeathsUnder24Hrs],tblDaily[EntryDate],DATE(2026,3,1),tblDaily[WardCode],"MW")=0,"",SUMIFS(tblDaily[DeathsUnder24Hrs],tblDaily[EntryDate],DATE(2026,3,1),tblDaily[WardCode],"MW")),"")</f>
        <v/>
      </c>
      <c r="F85" s="29">
        <f>IFERROR(IF(SUMIFS(tblDaily[TransfersIn],tblDaily[EntryDate],DATE(2026,3,1),tblDaily[WardCode],"MW")=0,"",SUMIFS(tblDaily[TransfersIn],tblDaily[EntryDate],DATE(2026,3,1),tblDaily[WardCode],"MW")),"")</f>
        <v>2</v>
      </c>
      <c r="G85" s="29" t="str">
        <f>IFERROR(IF(SUMIFS(tblDaily[TransfersOut],tblDaily[EntryDate],DATE(2026,3,1),tblDaily[WardCode],"MW")=0,"",SUMIFS(tblDaily[TransfersOut],tblDaily[EntryDate],DATE(2026,3,1),tblDaily[WardCode],"MW")),"")</f>
        <v/>
      </c>
      <c r="H85" s="29">
        <f>IFERROR(IF(SUMIFS(tblDaily[Remaining],tblDaily[EntryDate],DATE(2026,3,1),tblDaily[WardCode],"MW")=0,"",SUMIFS(tblDaily[Remaining],tblDaily[EntryDate],DATE(2026,3,1),tblDaily[WardCode],"MW")),"")</f>
        <v>13</v>
      </c>
    </row>
    <row r="86" spans="1:8" x14ac:dyDescent="0.25">
      <c r="A86" s="29">
        <v>2</v>
      </c>
      <c r="B86" s="29">
        <f>IFERROR(IF(SUMIFS(tblDaily[Admissions],tblDaily[EntryDate],DATE(2026,3,2),tblDaily[WardCode],"MW")=0,"",SUMIFS(tblDaily[Admissions],tblDaily[EntryDate],DATE(2026,3,2),tblDaily[WardCode],"MW")),"")</f>
        <v>1</v>
      </c>
      <c r="C86" s="29">
        <f>IFERROR(IF(SUMIFS(tblDaily[Discharges],tblDaily[EntryDate],DATE(2026,3,2),tblDaily[WardCode],"MW")=0,"",SUMIFS(tblDaily[Discharges],tblDaily[EntryDate],DATE(2026,3,2),tblDaily[WardCode],"MW")),"")</f>
        <v>1</v>
      </c>
      <c r="D86" s="29">
        <f>IFERROR(IF(SUMIFS(tblDaily[Deaths],tblDaily[EntryDate],DATE(2026,3,2),tblDaily[WardCode],"MW")=0,"",SUMIFS(tblDaily[Deaths],tblDaily[EntryDate],DATE(2026,3,2),tblDaily[WardCode],"MW")),"")</f>
        <v>3</v>
      </c>
      <c r="E86" s="29" t="str">
        <f>IFERROR(IF(SUMIFS(tblDaily[DeathsUnder24Hrs],tblDaily[EntryDate],DATE(2026,3,2),tblDaily[WardCode],"MW")=0,"",SUMIFS(tblDaily[DeathsUnder24Hrs],tblDaily[EntryDate],DATE(2026,3,2),tblDaily[WardCode],"MW")),"")</f>
        <v/>
      </c>
      <c r="F86" s="29">
        <f>IFERROR(IF(SUMIFS(tblDaily[TransfersIn],tblDaily[EntryDate],DATE(2026,3,2),tblDaily[WardCode],"MW")=0,"",SUMIFS(tblDaily[TransfersIn],tblDaily[EntryDate],DATE(2026,3,2),tblDaily[WardCode],"MW")),"")</f>
        <v>1</v>
      </c>
      <c r="G86" s="29" t="str">
        <f>IFERROR(IF(SUMIFS(tblDaily[TransfersOut],tblDaily[EntryDate],DATE(2026,3,2),tblDaily[WardCode],"MW")=0,"",SUMIFS(tblDaily[TransfersOut],tblDaily[EntryDate],DATE(2026,3,2),tblDaily[WardCode],"MW")),"")</f>
        <v/>
      </c>
      <c r="H86" s="29">
        <f>IFERROR(IF(SUMIFS(tblDaily[Remaining],tblDaily[EntryDate],DATE(2026,3,2),tblDaily[WardCode],"MW")=0,"",SUMIFS(tblDaily[Remaining],tblDaily[EntryDate],DATE(2026,3,2),tblDaily[WardCode],"MW")),"")</f>
        <v>11</v>
      </c>
    </row>
    <row r="87" spans="1:8" x14ac:dyDescent="0.25">
      <c r="A87" s="29">
        <v>3</v>
      </c>
      <c r="B87" s="29">
        <f>IFERROR(IF(SUMIFS(tblDaily[Admissions],tblDaily[EntryDate],DATE(2026,3,3),tblDaily[WardCode],"MW")=0,"",SUMIFS(tblDaily[Admissions],tblDaily[EntryDate],DATE(2026,3,3),tblDaily[WardCode],"MW")),"")</f>
        <v>3</v>
      </c>
      <c r="C87" s="29">
        <f>IFERROR(IF(SUMIFS(tblDaily[Discharges],tblDaily[EntryDate],DATE(2026,3,3),tblDaily[WardCode],"MW")=0,"",SUMIFS(tblDaily[Discharges],tblDaily[EntryDate],DATE(2026,3,3),tblDaily[WardCode],"MW")),"")</f>
        <v>2</v>
      </c>
      <c r="D87" s="29" t="str">
        <f>IFERROR(IF(SUMIFS(tblDaily[Deaths],tblDaily[EntryDate],DATE(2026,3,3),tblDaily[WardCode],"MW")=0,"",SUMIFS(tblDaily[Deaths],tblDaily[EntryDate],DATE(2026,3,3),tblDaily[WardCode],"MW")),"")</f>
        <v/>
      </c>
      <c r="E87" s="29" t="str">
        <f>IFERROR(IF(SUMIFS(tblDaily[DeathsUnder24Hrs],tblDaily[EntryDate],DATE(2026,3,3),tblDaily[WardCode],"MW")=0,"",SUMIFS(tblDaily[DeathsUnder24Hrs],tblDaily[EntryDate],DATE(2026,3,3),tblDaily[WardCode],"MW")),"")</f>
        <v/>
      </c>
      <c r="F87" s="29">
        <f>IFERROR(IF(SUMIFS(tblDaily[TransfersIn],tblDaily[EntryDate],DATE(2026,3,3),tblDaily[WardCode],"MW")=0,"",SUMIFS(tblDaily[TransfersIn],tblDaily[EntryDate],DATE(2026,3,3),tblDaily[WardCode],"MW")),"")</f>
        <v>2</v>
      </c>
      <c r="G87" s="29" t="str">
        <f>IFERROR(IF(SUMIFS(tblDaily[TransfersOut],tblDaily[EntryDate],DATE(2026,3,3),tblDaily[WardCode],"MW")=0,"",SUMIFS(tblDaily[TransfersOut],tblDaily[EntryDate],DATE(2026,3,3),tblDaily[WardCode],"MW")),"")</f>
        <v/>
      </c>
      <c r="H87" s="29">
        <f>IFERROR(IF(SUMIFS(tblDaily[Remaining],tblDaily[EntryDate],DATE(2026,3,3),tblDaily[WardCode],"MW")=0,"",SUMIFS(tblDaily[Remaining],tblDaily[EntryDate],DATE(2026,3,3),tblDaily[WardCode],"MW")),"")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IFERROR(IF(SUMIFS(tblDaily[Admissions],tblDaily[EntryDate],DATE(2026,3,4),tblDaily[WardCode],"MW")=0,"",SUMIFS(tblDaily[Admissions],tblDaily[EntryDate],DATE(2026,3,4),tblDaily[WardCode],"MW")),"")</f>
        <v>1</v>
      </c>
      <c r="C88" s="29">
        <f>IFERROR(IF(SUMIFS(tblDaily[Discharges],tblDaily[EntryDate],DATE(2026,3,4),tblDaily[WardCode],"MW")=0,"",SUMIFS(tblDaily[Discharges],tblDaily[EntryDate],DATE(2026,3,4),tblDaily[WardCode],"MW")),"")</f>
        <v>3</v>
      </c>
      <c r="D88" s="29" t="str">
        <f>IFERROR(IF(SUMIFS(tblDaily[Deaths],tblDaily[EntryDate],DATE(2026,3,4),tblDaily[WardCode],"MW")=0,"",SUMIFS(tblDaily[Deaths],tblDaily[EntryDate],DATE(2026,3,4),tblDaily[WardCode],"MW")),"")</f>
        <v/>
      </c>
      <c r="E88" s="29" t="str">
        <f>IFERROR(IF(SUMIFS(tblDaily[DeathsUnder24Hrs],tblDaily[EntryDate],DATE(2026,3,4),tblDaily[WardCode],"MW")=0,"",SUMIFS(tblDaily[DeathsUnder24Hrs],tblDaily[EntryDate],DATE(2026,3,4),tblDaily[WardCode],"MW")),"")</f>
        <v/>
      </c>
      <c r="F88" s="29" t="str">
        <f>IFERROR(IF(SUMIFS(tblDaily[TransfersIn],tblDaily[EntryDate],DATE(2026,3,4),tblDaily[WardCode],"MW")=0,"",SUMIFS(tblDaily[TransfersIn],tblDaily[EntryDate],DATE(2026,3,4),tblDaily[WardCode],"MW")),"")</f>
        <v/>
      </c>
      <c r="G88" s="29" t="str">
        <f>IFERROR(IF(SUMIFS(tblDaily[TransfersOut],tblDaily[EntryDate],DATE(2026,3,4),tblDaily[WardCode],"MW")=0,"",SUMIFS(tblDaily[TransfersOut],tblDaily[EntryDate],DATE(2026,3,4),tblDaily[WardCode],"MW")),"")</f>
        <v/>
      </c>
      <c r="H88" s="29">
        <f>IFERROR(IF(SUMIFS(tblDaily[Remaining],tblDaily[EntryDate],DATE(2026,3,4),tblDaily[WardCode],"MW")=0,"",SUMIFS(tblDaily[Remaining],tblDaily[EntryDate],DATE(2026,3,4),tblDaily[WardCode],"MW")),"")</f>
        <v>12</v>
      </c>
    </row>
    <row r="89" spans="1:8" x14ac:dyDescent="0.25">
      <c r="A89" s="29">
        <v>5</v>
      </c>
      <c r="B89" s="29">
        <f>IFERROR(IF(SUMIFS(tblDaily[Admissions],tblDaily[EntryDate],DATE(2026,3,5),tblDaily[WardCode],"MW")=0,"",SUMIFS(tblDaily[Admissions],tblDaily[EntryDate],DATE(2026,3,5),tblDaily[WardCode],"MW")),"")</f>
        <v>3</v>
      </c>
      <c r="C89" s="29">
        <f>IFERROR(IF(SUMIFS(tblDaily[Discharges],tblDaily[EntryDate],DATE(2026,3,5),tblDaily[WardCode],"MW")=0,"",SUMIFS(tblDaily[Discharges],tblDaily[EntryDate],DATE(2026,3,5),tblDaily[WardCode],"MW")),"")</f>
        <v>4</v>
      </c>
      <c r="D89" s="29" t="str">
        <f>IFERROR(IF(SUMIFS(tblDaily[Deaths],tblDaily[EntryDate],DATE(2026,3,5),tblDaily[WardCode],"MW")=0,"",SUMIFS(tblDaily[Deaths],tblDaily[EntryDate],DATE(2026,3,5),tblDaily[WardCode],"MW")),"")</f>
        <v/>
      </c>
      <c r="E89" s="29" t="str">
        <f>IFERROR(IF(SUMIFS(tblDaily[DeathsUnder24Hrs],tblDaily[EntryDate],DATE(2026,3,5),tblDaily[WardCode],"MW")=0,"",SUMIFS(tblDaily[DeathsUnder24Hrs],tblDaily[EntryDate],DATE(2026,3,5),tblDaily[WardCode],"MW")),"")</f>
        <v/>
      </c>
      <c r="F89" s="29">
        <f>IFERROR(IF(SUMIFS(tblDaily[TransfersIn],tblDaily[EntryDate],DATE(2026,3,5),tblDaily[WardCode],"MW")=0,"",SUMIFS(tblDaily[TransfersIn],tblDaily[EntryDate],DATE(2026,3,5),tblDaily[WardCode],"MW")),"")</f>
        <v>1</v>
      </c>
      <c r="G89" s="29" t="str">
        <f>IFERROR(IF(SUMIFS(tblDaily[TransfersOut],tblDaily[EntryDate],DATE(2026,3,5),tblDaily[WardCode],"MW")=0,"",SUMIFS(tblDaily[TransfersOut],tblDaily[EntryDate],DATE(2026,3,5),tblDaily[WardCode],"MW")),"")</f>
        <v/>
      </c>
      <c r="H89" s="29">
        <f>IFERROR(IF(SUMIFS(tblDaily[Remaining],tblDaily[EntryDate],DATE(2026,3,5),tblDaily[WardCode],"MW")=0,"",SUMIFS(tblDaily[Remaining],tblDaily[EntryDate],DATE(2026,3,5),tblDaily[WardCode],"MW")),"")</f>
        <v>12</v>
      </c>
    </row>
    <row r="90" spans="1:8" x14ac:dyDescent="0.25">
      <c r="A90" s="29">
        <v>6</v>
      </c>
      <c r="B90" s="29">
        <f>IFERROR(IF(SUMIFS(tblDaily[Admissions],tblDaily[EntryDate],DATE(2026,3,6),tblDaily[WardCode],"MW")=0,"",SUMIFS(tblDaily[Admissions],tblDaily[EntryDate],DATE(2026,3,6),tblDaily[WardCode],"MW")),"")</f>
        <v>2</v>
      </c>
      <c r="C90" s="29">
        <f>IFERROR(IF(SUMIFS(tblDaily[Discharges],tblDaily[EntryDate],DATE(2026,3,6),tblDaily[WardCode],"MW")=0,"",SUMIFS(tblDaily[Discharges],tblDaily[EntryDate],DATE(2026,3,6),tblDaily[WardCode],"MW")),"")</f>
        <v>4</v>
      </c>
      <c r="D90" s="29" t="str">
        <f>IFERROR(IF(SUMIFS(tblDaily[Deaths],tblDaily[EntryDate],DATE(2026,3,6),tblDaily[WardCode],"MW")=0,"",SUMIFS(tblDaily[Deaths],tblDaily[EntryDate],DATE(2026,3,6),tblDaily[WardCode],"MW")),"")</f>
        <v/>
      </c>
      <c r="E90" s="29" t="str">
        <f>IFERROR(IF(SUMIFS(tblDaily[DeathsUnder24Hrs],tblDaily[EntryDate],DATE(2026,3,6),tblDaily[WardCode],"MW")=0,"",SUMIFS(tblDaily[DeathsUnder24Hrs],tblDaily[EntryDate],DATE(2026,3,6),tblDaily[WardCode],"MW")),"")</f>
        <v/>
      </c>
      <c r="F90" s="29" t="str">
        <f>IFERROR(IF(SUMIFS(tblDaily[TransfersIn],tblDaily[EntryDate],DATE(2026,3,6),tblDaily[WardCode],"MW")=0,"",SUMIFS(tblDaily[TransfersIn],tblDaily[EntryDate],DATE(2026,3,6),tblDaily[WardCode],"MW")),"")</f>
        <v/>
      </c>
      <c r="G90" s="29" t="str">
        <f>IFERROR(IF(SUMIFS(tblDaily[TransfersOut],tblDaily[EntryDate],DATE(2026,3,6),tblDaily[WardCode],"MW")=0,"",SUMIFS(tblDaily[TransfersOut],tblDaily[EntryDate],DATE(2026,3,6),tblDaily[WardCode],"MW")),"")</f>
        <v/>
      </c>
      <c r="H90" s="29">
        <f>IFERROR(IF(SUMIFS(tblDaily[Remaining],tblDaily[EntryDate],DATE(2026,3,6),tblDaily[WardCode],"MW")=0,"",SUMIFS(tblDaily[Remaining],tblDaily[EntryDate],DATE(2026,3,6),tblDaily[WardCode],"MW")),"")</f>
        <v>10</v>
      </c>
    </row>
    <row r="91" spans="1:8" x14ac:dyDescent="0.25">
      <c r="A91" s="29">
        <v>7</v>
      </c>
      <c r="B91" s="29" t="str">
        <f>IFERROR(IF(SUMIFS(tblDaily[Admissions],tblDaily[EntryDate],DATE(2026,3,7),tblDaily[WardCode],"MW")=0,"",SUMIFS(tblDaily[Admissions],tblDaily[EntryDate],DATE(2026,3,7),tblDaily[WardCode],"MW")),"")</f>
        <v/>
      </c>
      <c r="C91" s="29" t="str">
        <f>IFERROR(IF(SUMIFS(tblDaily[Discharges],tblDaily[EntryDate],DATE(2026,3,7),tblDaily[WardCode],"MW")=0,"",SUMIFS(tblDaily[Discharges],tblDaily[EntryDate],DATE(2026,3,7),tblDaily[WardCode],"MW")),"")</f>
        <v/>
      </c>
      <c r="D91" s="29">
        <f>IFERROR(IF(SUMIFS(tblDaily[Deaths],tblDaily[EntryDate],DATE(2026,3,7),tblDaily[WardCode],"MW")=0,"",SUMIFS(tblDaily[Deaths],tblDaily[EntryDate],DATE(2026,3,7),tblDaily[WardCode],"MW")),"")</f>
        <v>1</v>
      </c>
      <c r="E91" s="29" t="str">
        <f>IFERROR(IF(SUMIFS(tblDaily[DeathsUnder24Hrs],tblDaily[EntryDate],DATE(2026,3,7),tblDaily[WardCode],"MW")=0,"",SUMIFS(tblDaily[DeathsUnder24Hrs],tblDaily[EntryDate],DATE(2026,3,7),tblDaily[WardCode],"MW")),"")</f>
        <v/>
      </c>
      <c r="F91" s="29">
        <f>IFERROR(IF(SUMIFS(tblDaily[TransfersIn],tblDaily[EntryDate],DATE(2026,3,7),tblDaily[WardCode],"MW")=0,"",SUMIFS(tblDaily[TransfersIn],tblDaily[EntryDate],DATE(2026,3,7),tblDaily[WardCode],"MW")),"")</f>
        <v>1</v>
      </c>
      <c r="G91" s="29" t="str">
        <f>IFERROR(IF(SUMIFS(tblDaily[TransfersOut],tblDaily[EntryDate],DATE(2026,3,7),tblDaily[WardCode],"MW")=0,"",SUMIFS(tblDaily[TransfersOut],tblDaily[EntryDate],DATE(2026,3,7),tblDaily[WardCode],"MW")),"")</f>
        <v/>
      </c>
      <c r="H91" s="29">
        <f>IFERROR(IF(SUMIFS(tblDaily[Remaining],tblDaily[EntryDate],DATE(2026,3,7),tblDaily[WardCode],"MW")=0,"",SUMIFS(tblDaily[Remaining],tblDaily[EntryDate],DATE(2026,3,7),tblDaily[WardCode],"MW")),"")</f>
        <v>10</v>
      </c>
    </row>
    <row r="92" spans="1:8" x14ac:dyDescent="0.25">
      <c r="A92" s="29">
        <v>8</v>
      </c>
      <c r="B92" s="29">
        <f>IFERROR(IF(SUMIFS(tblDaily[Admissions],tblDaily[EntryDate],DATE(2026,3,8),tblDaily[WardCode],"MW")=0,"",SUMIFS(tblDaily[Admissions],tblDaily[EntryDate],DATE(2026,3,8),tblDaily[WardCode],"MW")),"")</f>
        <v>1</v>
      </c>
      <c r="C92" s="29" t="str">
        <f>IFERROR(IF(SUMIFS(tblDaily[Discharges],tblDaily[EntryDate],DATE(2026,3,8),tblDaily[WardCode],"MW")=0,"",SUMIFS(tblDaily[Discharges],tblDaily[EntryDate],DATE(2026,3,8),tblDaily[WardCode],"MW")),"")</f>
        <v/>
      </c>
      <c r="D92" s="29" t="str">
        <f>IFERROR(IF(SUMIFS(tblDaily[Deaths],tblDaily[EntryDate],DATE(2026,3,8),tblDaily[WardCode],"MW")=0,"",SUMIFS(tblDaily[Deaths],tblDaily[EntryDate],DATE(2026,3,8),tblDaily[WardCode],"MW")),"")</f>
        <v/>
      </c>
      <c r="E92" s="29" t="str">
        <f>IFERROR(IF(SUMIFS(tblDaily[DeathsUnder24Hrs],tblDaily[EntryDate],DATE(2026,3,8),tblDaily[WardCode],"MW")=0,"",SUMIFS(tblDaily[DeathsUnder24Hrs],tblDaily[EntryDate],DATE(2026,3,8),tblDaily[WardCode],"MW")),"")</f>
        <v/>
      </c>
      <c r="F92" s="29">
        <f>IFERROR(IF(SUMIFS(tblDaily[TransfersIn],tblDaily[EntryDate],DATE(2026,3,8),tblDaily[WardCode],"MW")=0,"",SUMIFS(tblDaily[TransfersIn],tblDaily[EntryDate],DATE(2026,3,8),tblDaily[WardCode],"MW")),"")</f>
        <v>1</v>
      </c>
      <c r="G92" s="29" t="str">
        <f>IFERROR(IF(SUMIFS(tblDaily[TransfersOut],tblDaily[EntryDate],DATE(2026,3,8),tblDaily[WardCode],"MW")=0,"",SUMIFS(tblDaily[TransfersOut],tblDaily[EntryDate],DATE(2026,3,8),tblDaily[WardCode],"MW")),"")</f>
        <v/>
      </c>
      <c r="H92" s="29">
        <f>IFERROR(IF(SUMIFS(tblDaily[Remaining],tblDaily[EntryDate],DATE(2026,3,8),tblDaily[WardCode],"MW")=0,"",SUMIFS(tblDaily[Remaining],tblDaily[EntryDate],DATE(2026,3,8),tblDaily[WardCode],"MW")),"")</f>
        <v>12</v>
      </c>
    </row>
    <row r="93" spans="1:8" x14ac:dyDescent="0.25">
      <c r="A93" s="29">
        <v>9</v>
      </c>
      <c r="B93" s="29">
        <f>IFERROR(IF(SUMIFS(tblDaily[Admissions],tblDaily[EntryDate],DATE(2026,3,9),tblDaily[WardCode],"MW")=0,"",SUMIFS(tblDaily[Admissions],tblDaily[EntryDate],DATE(2026,3,9),tblDaily[WardCode],"MW")),"")</f>
        <v>3</v>
      </c>
      <c r="C93" s="29">
        <f>IFERROR(IF(SUMIFS(tblDaily[Discharges],tblDaily[EntryDate],DATE(2026,3,9),tblDaily[WardCode],"MW")=0,"",SUMIFS(tblDaily[Discharges],tblDaily[EntryDate],DATE(2026,3,9),tblDaily[WardCode],"MW")),"")</f>
        <v>1</v>
      </c>
      <c r="D93" s="29">
        <f>IFERROR(IF(SUMIFS(tblDaily[Deaths],tblDaily[EntryDate],DATE(2026,3,9),tblDaily[WardCode],"MW")=0,"",SUMIFS(tblDaily[Deaths],tblDaily[EntryDate],DATE(2026,3,9),tblDaily[WardCode],"MW")),"")</f>
        <v>1</v>
      </c>
      <c r="E93" s="29" t="str">
        <f>IFERROR(IF(SUMIFS(tblDaily[DeathsUnder24Hrs],tblDaily[EntryDate],DATE(2026,3,9),tblDaily[WardCode],"MW")=0,"",SUMIFS(tblDaily[DeathsUnder24Hrs],tblDaily[EntryDate],DATE(2026,3,9),tblDaily[WardCode],"MW")),"")</f>
        <v/>
      </c>
      <c r="F93" s="29">
        <f>IFERROR(IF(SUMIFS(tblDaily[TransfersIn],tblDaily[EntryDate],DATE(2026,3,9),tblDaily[WardCode],"MW")=0,"",SUMIFS(tblDaily[TransfersIn],tblDaily[EntryDate],DATE(2026,3,9),tblDaily[WardCode],"MW")),"")</f>
        <v>1</v>
      </c>
      <c r="G93" s="29" t="str">
        <f>IFERROR(IF(SUMIFS(tblDaily[TransfersOut],tblDaily[EntryDate],DATE(2026,3,9),tblDaily[WardCode],"MW")=0,"",SUMIFS(tblDaily[TransfersOut],tblDaily[EntryDate],DATE(2026,3,9),tblDaily[WardCode],"MW")),"")</f>
        <v/>
      </c>
      <c r="H93" s="29">
        <f>IFERROR(IF(SUMIFS(tblDaily[Remaining],tblDaily[EntryDate],DATE(2026,3,9),tblDaily[WardCode],"MW")=0,"",SUMIFS(tblDaily[Remaining],tblDaily[EntryDate],DATE(2026,3,9),tblDaily[WardCode],"MW")),"")</f>
        <v>14</v>
      </c>
    </row>
    <row r="94" spans="1:8" x14ac:dyDescent="0.25">
      <c r="A94" s="29">
        <v>10</v>
      </c>
      <c r="B94" s="29" t="str">
        <f>IFERROR(IF(SUMIFS(tblDaily[Admissions],tblDaily[EntryDate],DATE(2026,3,10),tblDaily[WardCode],"MW")=0,"",SUMIFS(tblDaily[Admissions],tblDaily[EntryDate],DATE(2026,3,10),tblDaily[WardCode],"MW")),"")</f>
        <v/>
      </c>
      <c r="C94" s="29">
        <f>IFERROR(IF(SUMIFS(tblDaily[Discharges],tblDaily[EntryDate],DATE(2026,3,10),tblDaily[WardCode],"MW")=0,"",SUMIFS(tblDaily[Discharges],tblDaily[EntryDate],DATE(2026,3,10),tblDaily[WardCode],"MW")),"")</f>
        <v>5</v>
      </c>
      <c r="D94" s="29" t="str">
        <f>IFERROR(IF(SUMIFS(tblDaily[Deaths],tblDaily[EntryDate],DATE(2026,3,10),tblDaily[WardCode],"MW")=0,"",SUMIFS(tblDaily[Deaths],tblDaily[EntryDate],DATE(2026,3,10),tblDaily[WardCode],"MW")),"")</f>
        <v/>
      </c>
      <c r="E94" s="29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29">
        <f>IFERROR(IF(SUMIFS(tblDaily[TransfersIn],tblDaily[EntryDate],DATE(2026,3,10),tblDaily[WardCode],"MW")=0,"",SUMIFS(tblDaily[TransfersIn],tblDaily[EntryDate],DATE(2026,3,10),tblDaily[WardCode],"MW")),"")</f>
        <v>1</v>
      </c>
      <c r="G94" s="29" t="str">
        <f>IFERROR(IF(SUMIFS(tblDaily[TransfersOut],tblDaily[EntryDate],DATE(2026,3,10),tblDaily[WardCode],"MW")=0,"",SUMIFS(tblDaily[TransfersOut],tblDaily[EntryDate],DATE(2026,3,10),tblDaily[WardCode],"MW")),"")</f>
        <v/>
      </c>
      <c r="H94" s="29">
        <f>IFERROR(IF(SUMIFS(tblDaily[Remaining],tblDaily[EntryDate],DATE(2026,3,10),tblDaily[WardCode],"MW")=0,"",SUMIFS(tblDaily[Remaining],tblDaily[EntryDate],DATE(2026,3,10),tblDaily[WardCode],"MW")),"")</f>
        <v>10</v>
      </c>
    </row>
    <row r="95" spans="1:8" x14ac:dyDescent="0.25">
      <c r="A95" s="29">
        <v>11</v>
      </c>
      <c r="B95" s="29">
        <f>IFERROR(IF(SUMIFS(tblDaily[Admissions],tblDaily[EntryDate],DATE(2026,3,11),tblDaily[WardCode],"MW")=0,"",SUMIFS(tblDaily[Admissions],tblDaily[EntryDate],DATE(2026,3,11),tblDaily[WardCode],"MW")),"")</f>
        <v>3</v>
      </c>
      <c r="C95" s="29">
        <f>IFERROR(IF(SUMIFS(tblDaily[Discharges],tblDaily[EntryDate],DATE(2026,3,11),tblDaily[WardCode],"MW")=0,"",SUMIFS(tblDaily[Discharges],tblDaily[EntryDate],DATE(2026,3,11),tblDaily[WardCode],"MW")),"")</f>
        <v>2</v>
      </c>
      <c r="D95" s="29" t="str">
        <f>IFERROR(IF(SUMIFS(tblDaily[Deaths],tblDaily[EntryDate],DATE(2026,3,11),tblDaily[WardCode],"MW")=0,"",SUMIFS(tblDaily[Deaths],tblDaily[EntryDate],DATE(2026,3,11),tblDaily[WardCode],"MW")),"")</f>
        <v/>
      </c>
      <c r="E95" s="29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29" t="str">
        <f>IFERROR(IF(SUMIFS(tblDaily[TransfersIn],tblDaily[EntryDate],DATE(2026,3,11),tblDaily[WardCode],"MW")=0,"",SUMIFS(tblDaily[TransfersIn],tblDaily[EntryDate],DATE(2026,3,11),tblDaily[WardCode],"MW")),"")</f>
        <v/>
      </c>
      <c r="G95" s="29" t="str">
        <f>IFERROR(IF(SUMIFS(tblDaily[TransfersOut],tblDaily[EntryDate],DATE(2026,3,11),tblDaily[WardCode],"MW")=0,"",SUMIFS(tblDaily[TransfersOut],tblDaily[EntryDate],DATE(2026,3,11),tblDaily[WardCode],"MW")),"")</f>
        <v/>
      </c>
      <c r="H95" s="29">
        <f>IFERROR(IF(SUMIFS(tblDaily[Remaining],tblDaily[EntryDate],DATE(2026,3,11),tblDaily[WardCode],"MW")=0,"",SUMIFS(tblDaily[Remaining],tblDaily[EntryDate],DATE(2026,3,11),tblDaily[WardCode],"MW")),"")</f>
        <v>11</v>
      </c>
    </row>
    <row r="96" spans="1:8" x14ac:dyDescent="0.25">
      <c r="A96" s="29">
        <v>12</v>
      </c>
      <c r="B96" s="29" t="str">
        <f>IFERROR(IF(SUMIFS(tblDaily[Admissions],tblDaily[EntryDate],DATE(2026,3,12),tblDaily[WardCode],"MW")=0,"",SUMIFS(tblDaily[Admissions],tblDaily[EntryDate],DATE(2026,3,12),tblDaily[WardCode],"MW")),"")</f>
        <v/>
      </c>
      <c r="C96" s="29">
        <f>IFERROR(IF(SUMIFS(tblDaily[Discharges],tblDaily[EntryDate],DATE(2026,3,12),tblDaily[WardCode],"MW")=0,"",SUMIFS(tblDaily[Discharges],tblDaily[EntryDate],DATE(2026,3,12),tblDaily[WardCode],"MW")),"")</f>
        <v>2</v>
      </c>
      <c r="D96" s="29" t="str">
        <f>IFERROR(IF(SUMIFS(tblDaily[Deaths],tblDaily[EntryDate],DATE(2026,3,12),tblDaily[WardCode],"MW")=0,"",SUMIFS(tblDaily[Deaths],tblDaily[EntryDate],DATE(2026,3,12),tblDaily[WardCode],"MW")),"")</f>
        <v/>
      </c>
      <c r="E96" s="29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29">
        <f>IFERROR(IF(SUMIFS(tblDaily[TransfersIn],tblDaily[EntryDate],DATE(2026,3,12),tblDaily[WardCode],"MW")=0,"",SUMIFS(tblDaily[TransfersIn],tblDaily[EntryDate],DATE(2026,3,12),tblDaily[WardCode],"MW")),"")</f>
        <v>3</v>
      </c>
      <c r="G96" s="29" t="str">
        <f>IFERROR(IF(SUMIFS(tblDaily[TransfersOut],tblDaily[EntryDate],DATE(2026,3,12),tblDaily[WardCode],"MW")=0,"",SUMIFS(tblDaily[TransfersOut],tblDaily[EntryDate],DATE(2026,3,12),tblDaily[WardCode],"MW")),"")</f>
        <v/>
      </c>
      <c r="H96" s="29">
        <f>IFERROR(IF(SUMIFS(tblDaily[Remaining],tblDaily[EntryDate],DATE(2026,3,12),tblDaily[WardCode],"MW")=0,"",SUMIFS(tblDaily[Remaining],tblDaily[EntryDate],DATE(2026,3,12),tblDaily[WardCode],"MW")),"")</f>
        <v>12</v>
      </c>
    </row>
    <row r="97" spans="1:8" x14ac:dyDescent="0.25">
      <c r="A97" s="29">
        <v>13</v>
      </c>
      <c r="B97" s="29">
        <f>IFERROR(IF(SUMIFS(tblDaily[Admissions],tblDaily[EntryDate],DATE(2026,3,13),tblDaily[WardCode],"MW")=0,"",SUMIFS(tblDaily[Admissions],tblDaily[EntryDate],DATE(2026,3,13),tblDaily[WardCode],"MW")),"")</f>
        <v>2</v>
      </c>
      <c r="C97" s="29">
        <f>IFERROR(IF(SUMIFS(tblDaily[Discharges],tblDaily[EntryDate],DATE(2026,3,13),tblDaily[WardCode],"MW")=0,"",SUMIFS(tblDaily[Discharges],tblDaily[EntryDate],DATE(2026,3,13),tblDaily[WardCode],"MW")),"")</f>
        <v>3</v>
      </c>
      <c r="D97" s="29">
        <f>IFERROR(IF(SUMIFS(tblDaily[Deaths],tblDaily[EntryDate],DATE(2026,3,13),tblDaily[WardCode],"MW")=0,"",SUMIFS(tblDaily[Deaths],tblDaily[EntryDate],DATE(2026,3,13),tblDaily[WardCode],"MW")),"")</f>
        <v>1</v>
      </c>
      <c r="E97" s="29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29">
        <f>IFERROR(IF(SUMIFS(tblDaily[TransfersIn],tblDaily[EntryDate],DATE(2026,3,13),tblDaily[WardCode],"MW")=0,"",SUMIFS(tblDaily[TransfersIn],tblDaily[EntryDate],DATE(2026,3,13),tblDaily[WardCode],"MW")),"")</f>
        <v>1</v>
      </c>
      <c r="G97" s="29" t="str">
        <f>IFERROR(IF(SUMIFS(tblDaily[TransfersOut],tblDaily[EntryDate],DATE(2026,3,13),tblDaily[WardCode],"MW")=0,"",SUMIFS(tblDaily[TransfersOut],tblDaily[EntryDate],DATE(2026,3,13),tblDaily[WardCode],"MW")),"")</f>
        <v/>
      </c>
      <c r="H97" s="29">
        <f>IFERROR(IF(SUMIFS(tblDaily[Remaining],tblDaily[EntryDate],DATE(2026,3,13),tblDaily[WardCode],"MW")=0,"",SUMIFS(tblDaily[Remaining],tblDaily[EntryDate],DATE(2026,3,13),tblDaily[WardCode],"MW")),"")</f>
        <v>11</v>
      </c>
    </row>
    <row r="98" spans="1:8" x14ac:dyDescent="0.25">
      <c r="A98" s="29">
        <v>14</v>
      </c>
      <c r="B98" s="29">
        <f>IFERROR(IF(SUMIFS(tblDaily[Admissions],tblDaily[EntryDate],DATE(2026,3,14),tblDaily[WardCode],"MW")=0,"",SUMIFS(tblDaily[Admissions],tblDaily[EntryDate],DATE(2026,3,14),tblDaily[WardCode],"MW")),"")</f>
        <v>3</v>
      </c>
      <c r="C98" s="29">
        <f>IFERROR(IF(SUMIFS(tblDaily[Discharges],tblDaily[EntryDate],DATE(2026,3,14),tblDaily[WardCode],"MW")=0,"",SUMIFS(tblDaily[Discharges],tblDaily[EntryDate],DATE(2026,3,14),tblDaily[WardCode],"MW")),"")</f>
        <v>1</v>
      </c>
      <c r="D98" s="29" t="str">
        <f>IFERROR(IF(SUMIFS(tblDaily[Deaths],tblDaily[EntryDate],DATE(2026,3,14),tblDaily[WardCode],"MW")=0,"",SUMIFS(tblDaily[Deaths],tblDaily[EntryDate],DATE(2026,3,14),tblDaily[WardCode],"MW")),"")</f>
        <v/>
      </c>
      <c r="E98" s="29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29" t="str">
        <f>IFERROR(IF(SUMIFS(tblDaily[TransfersIn],tblDaily[EntryDate],DATE(2026,3,14),tblDaily[WardCode],"MW")=0,"",SUMIFS(tblDaily[TransfersIn],tblDaily[EntryDate],DATE(2026,3,14),tblDaily[WardCode],"MW")),"")</f>
        <v/>
      </c>
      <c r="G98" s="29" t="str">
        <f>IFERROR(IF(SUMIFS(tblDaily[TransfersOut],tblDaily[EntryDate],DATE(2026,3,14),tblDaily[WardCode],"MW")=0,"",SUMIFS(tblDaily[TransfersOut],tblDaily[EntryDate],DATE(2026,3,14),tblDaily[WardCode],"MW")),"")</f>
        <v/>
      </c>
      <c r="H98" s="29">
        <f>IFERROR(IF(SUMIFS(tblDaily[Remaining],tblDaily[EntryDate],DATE(2026,3,14),tblDaily[WardCode],"MW")=0,"",SUMIFS(tblDaily[Remaining],tblDaily[EntryDate],DATE(2026,3,14),tblDaily[WardCode],"MW")),"")</f>
        <v>13</v>
      </c>
    </row>
    <row r="99" spans="1:8" x14ac:dyDescent="0.25">
      <c r="A99" s="29">
        <v>15</v>
      </c>
      <c r="B99" s="29">
        <f>IFERROR(IF(SUMIFS(tblDaily[Admissions],tblDaily[EntryDate],DATE(2026,3,15),tblDaily[WardCode],"MW")=0,"",SUMIFS(tblDaily[Admissions],tblDaily[EntryDate],DATE(2026,3,15),tblDaily[WardCode],"MW")),"")</f>
        <v>3</v>
      </c>
      <c r="C99" s="29" t="str">
        <f>IFERROR(IF(SUMIFS(tblDaily[Discharges],tblDaily[EntryDate],DATE(2026,3,15),tblDaily[WardCode],"MW")=0,"",SUMIFS(tblDaily[Discharges],tblDaily[EntryDate],DATE(2026,3,15),tblDaily[WardCode],"MW")),"")</f>
        <v/>
      </c>
      <c r="D99" s="29" t="str">
        <f>IFERROR(IF(SUMIFS(tblDaily[Deaths],tblDaily[EntryDate],DATE(2026,3,15),tblDaily[WardCode],"MW")=0,"",SUMIFS(tblDaily[Deaths],tblDaily[EntryDate],DATE(2026,3,15),tblDaily[WardCode],"MW")),"")</f>
        <v/>
      </c>
      <c r="E99" s="29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29">
        <f>IFERROR(IF(SUMIFS(tblDaily[TransfersIn],tblDaily[EntryDate],DATE(2026,3,15),tblDaily[WardCode],"MW")=0,"",SUMIFS(tblDaily[TransfersIn],tblDaily[EntryDate],DATE(2026,3,15),tblDaily[WardCode],"MW")),"")</f>
        <v>2</v>
      </c>
      <c r="G99" s="29" t="str">
        <f>IFERROR(IF(SUMIFS(tblDaily[TransfersOut],tblDaily[EntryDate],DATE(2026,3,15),tblDaily[WardCode],"MW")=0,"",SUMIFS(tblDaily[TransfersOut],tblDaily[EntryDate],DATE(2026,3,15),tblDaily[WardCode],"MW")),"")</f>
        <v/>
      </c>
      <c r="H99" s="29">
        <f>IFERROR(IF(SUMIFS(tblDaily[Remaining],tblDaily[EntryDate],DATE(2026,3,15),tblDaily[WardCode],"MW")=0,"",SUMIFS(tblDaily[Remaining],tblDaily[EntryDate],DATE(2026,3,15),tblDaily[WardCode],"MW")),"")</f>
        <v>18</v>
      </c>
    </row>
    <row r="100" spans="1:8" x14ac:dyDescent="0.25">
      <c r="A100" s="29">
        <v>16</v>
      </c>
      <c r="B100" s="29">
        <f>IFERROR(IF(SUMIFS(tblDaily[Admissions],tblDaily[EntryDate],DATE(2026,3,16),tblDaily[WardCode],"MW")=0,"",SUMIFS(tblDaily[Admissions],tblDaily[EntryDate],DATE(2026,3,16),tblDaily[WardCode],"MW")),"")</f>
        <v>1</v>
      </c>
      <c r="C100" s="29">
        <f>IFERROR(IF(SUMIFS(tblDaily[Discharges],tblDaily[EntryDate],DATE(2026,3,16),tblDaily[WardCode],"MW")=0,"",SUMIFS(tblDaily[Discharges],tblDaily[EntryDate],DATE(2026,3,16),tblDaily[WardCode],"MW")),"")</f>
        <v>3</v>
      </c>
      <c r="D100" s="29" t="str">
        <f>IFERROR(IF(SUMIFS(tblDaily[Deaths],tblDaily[EntryDate],DATE(2026,3,16),tblDaily[WardCode],"MW")=0,"",SUMIFS(tblDaily[Deaths],tblDaily[EntryDate],DATE(2026,3,16),tblDaily[WardCode],"MW")),"")</f>
        <v/>
      </c>
      <c r="E100" s="29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29" t="str">
        <f>IFERROR(IF(SUMIFS(tblDaily[TransfersIn],tblDaily[EntryDate],DATE(2026,3,16),tblDaily[WardCode],"MW")=0,"",SUMIFS(tblDaily[TransfersIn],tblDaily[EntryDate],DATE(2026,3,16),tblDaily[WardCode],"MW")),"")</f>
        <v/>
      </c>
      <c r="G100" s="29" t="str">
        <f>IFERROR(IF(SUMIFS(tblDaily[TransfersOut],tblDaily[EntryDate],DATE(2026,3,16),tblDaily[WardCode],"MW")=0,"",SUMIFS(tblDaily[TransfersOut],tblDaily[EntryDate],DATE(2026,3,16),tblDaily[WardCode],"MW")),"")</f>
        <v/>
      </c>
      <c r="H100" s="29">
        <f>IFERROR(IF(SUMIFS(tblDaily[Remaining],tblDaily[EntryDate],DATE(2026,3,16),tblDaily[WardCode],"MW")=0,"",SUMIFS(tblDaily[Remaining],tblDaily[EntryDate],DATE(2026,3,16),tblDaily[WardCode],"MW")),"")</f>
        <v>16</v>
      </c>
    </row>
    <row r="101" spans="1:8" x14ac:dyDescent="0.25">
      <c r="A101" s="29">
        <v>17</v>
      </c>
      <c r="B101" s="29">
        <f>IFERROR(IF(SUMIFS(tblDaily[Admissions],tblDaily[EntryDate],DATE(2026,3,17),tblDaily[WardCode],"MW")=0,"",SUMIFS(tblDaily[Admissions],tblDaily[EntryDate],DATE(2026,3,17),tblDaily[WardCode],"MW")),"")</f>
        <v>3</v>
      </c>
      <c r="C101" s="29">
        <f>IFERROR(IF(SUMIFS(tblDaily[Discharges],tblDaily[EntryDate],DATE(2026,3,17),tblDaily[WardCode],"MW")=0,"",SUMIFS(tblDaily[Discharges],tblDaily[EntryDate],DATE(2026,3,17),tblDaily[WardCode],"MW")),"")</f>
        <v>3</v>
      </c>
      <c r="D101" s="29" t="str">
        <f>IFERROR(IF(SUMIFS(tblDaily[Deaths],tblDaily[EntryDate],DATE(2026,3,17),tblDaily[WardCode],"MW")=0,"",SUMIFS(tblDaily[Deaths],tblDaily[EntryDate],DATE(2026,3,17),tblDaily[WardCode],"MW")),"")</f>
        <v/>
      </c>
      <c r="E101" s="29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29">
        <f>IFERROR(IF(SUMIFS(tblDaily[TransfersIn],tblDaily[EntryDate],DATE(2026,3,17),tblDaily[WardCode],"MW")=0,"",SUMIFS(tblDaily[TransfersIn],tblDaily[EntryDate],DATE(2026,3,17),tblDaily[WardCode],"MW")),"")</f>
        <v>2</v>
      </c>
      <c r="G101" s="29" t="str">
        <f>IFERROR(IF(SUMIFS(tblDaily[TransfersOut],tblDaily[EntryDate],DATE(2026,3,17),tblDaily[WardCode],"MW")=0,"",SUMIFS(tblDaily[TransfersOut],tblDaily[EntryDate],DATE(2026,3,17),tblDaily[WardCode],"MW")),"")</f>
        <v/>
      </c>
      <c r="H101" s="29">
        <f>IFERROR(IF(SUMIFS(tblDaily[Remaining],tblDaily[EntryDate],DATE(2026,3,17),tblDaily[WardCode],"MW")=0,"",SUMIFS(tblDaily[Remaining],tblDaily[EntryDate],DATE(2026,3,17),tblDaily[WardCode],"MW")),"")</f>
        <v>18</v>
      </c>
    </row>
    <row r="102" spans="1:8" x14ac:dyDescent="0.25">
      <c r="A102" s="29">
        <v>18</v>
      </c>
      <c r="B102" s="29">
        <f>IFERROR(IF(SUMIFS(tblDaily[Admissions],tblDaily[EntryDate],DATE(2026,3,18),tblDaily[WardCode],"MW")=0,"",SUMIFS(tblDaily[Admissions],tblDaily[EntryDate],DATE(2026,3,18),tblDaily[WardCode],"MW")),"")</f>
        <v>1</v>
      </c>
      <c r="C102" s="29" t="str">
        <f>IFERROR(IF(SUMIFS(tblDaily[Discharges],tblDaily[EntryDate],DATE(2026,3,18),tblDaily[WardCode],"MW")=0,"",SUMIFS(tblDaily[Discharges],tblDaily[EntryDate],DATE(2026,3,18),tblDaily[WardCode],"MW")),"")</f>
        <v/>
      </c>
      <c r="D102" s="29" t="str">
        <f>IFERROR(IF(SUMIFS(tblDaily[Deaths],tblDaily[EntryDate],DATE(2026,3,18),tblDaily[WardCode],"MW")=0,"",SUMIFS(tblDaily[Deaths],tblDaily[EntryDate],DATE(2026,3,18),tblDaily[WardCode],"MW")),"")</f>
        <v/>
      </c>
      <c r="E102" s="29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29">
        <f>IFERROR(IF(SUMIFS(tblDaily[TransfersIn],tblDaily[EntryDate],DATE(2026,3,18),tblDaily[WardCode],"MW")=0,"",SUMIFS(tblDaily[TransfersIn],tblDaily[EntryDate],DATE(2026,3,18),tblDaily[WardCode],"MW")),"")</f>
        <v>2</v>
      </c>
      <c r="G102" s="29" t="str">
        <f>IFERROR(IF(SUMIFS(tblDaily[TransfersOut],tblDaily[EntryDate],DATE(2026,3,18),tblDaily[WardCode],"MW")=0,"",SUMIFS(tblDaily[TransfersOut],tblDaily[EntryDate],DATE(2026,3,18),tblDaily[WardCode],"MW")),"")</f>
        <v/>
      </c>
      <c r="H102" s="29">
        <f>IFERROR(IF(SUMIFS(tblDaily[Remaining],tblDaily[EntryDate],DATE(2026,3,18),tblDaily[WardCode],"MW")=0,"",SUMIFS(tblDaily[Remaining],tblDaily[EntryDate],DATE(2026,3,18),tblDaily[WardCode],"MW")),"")</f>
        <v>21</v>
      </c>
    </row>
    <row r="103" spans="1:8" x14ac:dyDescent="0.25">
      <c r="A103" s="29">
        <v>19</v>
      </c>
      <c r="B103" s="29">
        <f>IFERROR(IF(SUMIFS(tblDaily[Admissions],tblDaily[EntryDate],DATE(2026,3,19),tblDaily[WardCode],"MW")=0,"",SUMIFS(tblDaily[Admissions],tblDaily[EntryDate],DATE(2026,3,19),tblDaily[WardCode],"MW")),"")</f>
        <v>2</v>
      </c>
      <c r="C103" s="29">
        <f>IFERROR(IF(SUMIFS(tblDaily[Discharges],tblDaily[EntryDate],DATE(2026,3,19),tblDaily[WardCode],"MW")=0,"",SUMIFS(tblDaily[Discharges],tblDaily[EntryDate],DATE(2026,3,19),tblDaily[WardCode],"MW")),"")</f>
        <v>6</v>
      </c>
      <c r="D103" s="29" t="str">
        <f>IFERROR(IF(SUMIFS(tblDaily[Deaths],tblDaily[EntryDate],DATE(2026,3,19),tblDaily[WardCode],"MW")=0,"",SUMIFS(tblDaily[Deaths],tblDaily[EntryDate],DATE(2026,3,19),tblDaily[WardCode],"MW")),"")</f>
        <v/>
      </c>
      <c r="E103" s="29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29">
        <f>IFERROR(IF(SUMIFS(tblDaily[TransfersIn],tblDaily[EntryDate],DATE(2026,3,19),tblDaily[WardCode],"MW")=0,"",SUMIFS(tblDaily[TransfersIn],tblDaily[EntryDate],DATE(2026,3,19),tblDaily[WardCode],"MW")),"")</f>
        <v>1</v>
      </c>
      <c r="G103" s="29" t="str">
        <f>IFERROR(IF(SUMIFS(tblDaily[TransfersOut],tblDaily[EntryDate],DATE(2026,3,19),tblDaily[WardCode],"MW")=0,"",SUMIFS(tblDaily[TransfersOut],tblDaily[EntryDate],DATE(2026,3,19),tblDaily[WardCode],"MW")),"")</f>
        <v/>
      </c>
      <c r="H103" s="29">
        <f>IFERROR(IF(SUMIFS(tblDaily[Remaining],tblDaily[EntryDate],DATE(2026,3,19),tblDaily[WardCode],"MW")=0,"",SUMIFS(tblDaily[Remaining],tblDaily[EntryDate],DATE(2026,3,19),tblDaily[WardCode],"MW")),"")</f>
        <v>18</v>
      </c>
    </row>
    <row r="104" spans="1:8" x14ac:dyDescent="0.25">
      <c r="A104" s="29">
        <v>20</v>
      </c>
      <c r="B104" s="29">
        <f>IFERROR(IF(SUMIFS(tblDaily[Admissions],tblDaily[EntryDate],DATE(2026,3,20),tblDaily[WardCode],"MW")=0,"",SUMIFS(tblDaily[Admissions],tblDaily[EntryDate],DATE(2026,3,20),tblDaily[WardCode],"MW")),"")</f>
        <v>3</v>
      </c>
      <c r="C104" s="29">
        <f>IFERROR(IF(SUMIFS(tblDaily[Discharges],tblDaily[EntryDate],DATE(2026,3,20),tblDaily[WardCode],"MW")=0,"",SUMIFS(tblDaily[Discharges],tblDaily[EntryDate],DATE(2026,3,20),tblDaily[WardCode],"MW")),"")</f>
        <v>4</v>
      </c>
      <c r="D104" s="29" t="str">
        <f>IFERROR(IF(SUMIFS(tblDaily[Deaths],tblDaily[EntryDate],DATE(2026,3,20),tblDaily[WardCode],"MW")=0,"",SUMIFS(tblDaily[Deaths],tblDaily[EntryDate],DATE(2026,3,20),tblDaily[WardCode],"MW")),"")</f>
        <v/>
      </c>
      <c r="E104" s="29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29" t="str">
        <f>IFERROR(IF(SUMIFS(tblDaily[TransfersIn],tblDaily[EntryDate],DATE(2026,3,20),tblDaily[WardCode],"MW")=0,"",SUMIFS(tblDaily[TransfersIn],tblDaily[EntryDate],DATE(2026,3,20),tblDaily[WardCode],"MW")),"")</f>
        <v/>
      </c>
      <c r="G104" s="29" t="str">
        <f>IFERROR(IF(SUMIFS(tblDaily[TransfersOut],tblDaily[EntryDate],DATE(2026,3,20),tblDaily[WardCode],"MW")=0,"",SUMIFS(tblDaily[TransfersOut],tblDaily[EntryDate],DATE(2026,3,20),tblDaily[WardCode],"MW")),"")</f>
        <v/>
      </c>
      <c r="H104" s="29">
        <f>IFERROR(IF(SUMIFS(tblDaily[Remaining],tblDaily[EntryDate],DATE(2026,3,20),tblDaily[WardCode],"MW")=0,"",SUMIFS(tblDaily[Remaining],tblDaily[EntryDate],DATE(2026,3,20),tblDaily[WardCode],"MW")),"")</f>
        <v>17</v>
      </c>
    </row>
    <row r="105" spans="1:8" x14ac:dyDescent="0.25">
      <c r="A105" s="29">
        <v>21</v>
      </c>
      <c r="B105" s="29">
        <f>IFERROR(IF(SUMIFS(tblDaily[Admissions],tblDaily[EntryDate],DATE(2026,3,21),tblDaily[WardCode],"MW")=0,"",SUMIFS(tblDaily[Admissions],tblDaily[EntryDate],DATE(2026,3,21),tblDaily[WardCode],"MW")),"")</f>
        <v>3</v>
      </c>
      <c r="C105" s="29" t="str">
        <f>IFERROR(IF(SUMIFS(tblDaily[Discharges],tblDaily[EntryDate],DATE(2026,3,21),tblDaily[WardCode],"MW")=0,"",SUMIFS(tblDaily[Discharges],tblDaily[EntryDate],DATE(2026,3,21),tblDaily[WardCode],"MW")),"")</f>
        <v/>
      </c>
      <c r="D105" s="29" t="str">
        <f>IFERROR(IF(SUMIFS(tblDaily[Deaths],tblDaily[EntryDate],DATE(2026,3,21),tblDaily[WardCode],"MW")=0,"",SUMIFS(tblDaily[Deaths],tblDaily[EntryDate],DATE(2026,3,21),tblDaily[WardCode],"MW")),"")</f>
        <v/>
      </c>
      <c r="E105" s="29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29">
        <f>IFERROR(IF(SUMIFS(tblDaily[TransfersIn],tblDaily[EntryDate],DATE(2026,3,21),tblDaily[WardCode],"MW")=0,"",SUMIFS(tblDaily[TransfersIn],tblDaily[EntryDate],DATE(2026,3,21),tblDaily[WardCode],"MW")),"")</f>
        <v>1</v>
      </c>
      <c r="G105" s="29" t="str">
        <f>IFERROR(IF(SUMIFS(tblDaily[TransfersOut],tblDaily[EntryDate],DATE(2026,3,21),tblDaily[WardCode],"MW")=0,"",SUMIFS(tblDaily[TransfersOut],tblDaily[EntryDate],DATE(2026,3,21),tblDaily[WardCode],"MW")),"")</f>
        <v/>
      </c>
      <c r="H105" s="29">
        <f>IFERROR(IF(SUMIFS(tblDaily[Remaining],tblDaily[EntryDate],DATE(2026,3,21),tblDaily[WardCode],"MW")=0,"",SUMIFS(tblDaily[Remaining],tblDaily[EntryDate],DATE(2026,3,21),tblDaily[WardCode],"MW")),"")</f>
        <v>21</v>
      </c>
    </row>
    <row r="106" spans="1:8" x14ac:dyDescent="0.25">
      <c r="A106" s="29">
        <v>22</v>
      </c>
      <c r="B106" s="29">
        <f>IFERROR(IF(SUMIFS(tblDaily[Admissions],tblDaily[EntryDate],DATE(2026,3,22),tblDaily[WardCode],"MW")=0,"",SUMIFS(tblDaily[Admissions],tblDaily[EntryDate],DATE(2026,3,22),tblDaily[WardCode],"MW")),"")</f>
        <v>2</v>
      </c>
      <c r="C106" s="29">
        <f>IFERROR(IF(SUMIFS(tblDaily[Discharges],tblDaily[EntryDate],DATE(2026,3,22),tblDaily[WardCode],"MW")=0,"",SUMIFS(tblDaily[Discharges],tblDaily[EntryDate],DATE(2026,3,22),tblDaily[WardCode],"MW")),"")</f>
        <v>1</v>
      </c>
      <c r="D106" s="29" t="str">
        <f>IFERROR(IF(SUMIFS(tblDaily[Deaths],tblDaily[EntryDate],DATE(2026,3,22),tblDaily[WardCode],"MW")=0,"",SUMIFS(tblDaily[Deaths],tblDaily[EntryDate],DATE(2026,3,22),tblDaily[WardCode],"MW")),"")</f>
        <v/>
      </c>
      <c r="E106" s="29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29" t="str">
        <f>IFERROR(IF(SUMIFS(tblDaily[TransfersIn],tblDaily[EntryDate],DATE(2026,3,22),tblDaily[WardCode],"MW")=0,"",SUMIFS(tblDaily[TransfersIn],tblDaily[EntryDate],DATE(2026,3,22),tblDaily[WardCode],"MW")),"")</f>
        <v/>
      </c>
      <c r="G106" s="29" t="str">
        <f>IFERROR(IF(SUMIFS(tblDaily[TransfersOut],tblDaily[EntryDate],DATE(2026,3,22),tblDaily[WardCode],"MW")=0,"",SUMIFS(tblDaily[TransfersOut],tblDaily[EntryDate],DATE(2026,3,22),tblDaily[WardCode],"MW")),"")</f>
        <v/>
      </c>
      <c r="H106" s="29">
        <f>IFERROR(IF(SUMIFS(tblDaily[Remaining],tblDaily[EntryDate],DATE(2026,3,22),tblDaily[WardCode],"MW")=0,"",SUMIFS(tblDaily[Remaining],tblDaily[EntryDate],DATE(2026,3,22),tblDaily[WardCode],"MW")),"")</f>
        <v>22</v>
      </c>
    </row>
    <row r="107" spans="1:8" x14ac:dyDescent="0.25">
      <c r="A107" s="29">
        <v>23</v>
      </c>
      <c r="B107" s="29">
        <f>IFERROR(IF(SUMIFS(tblDaily[Admissions],tblDaily[EntryDate],DATE(2026,3,23),tblDaily[WardCode],"MW")=0,"",SUMIFS(tblDaily[Admissions],tblDaily[EntryDate],DATE(2026,3,23),tblDaily[WardCode],"MW")),"")</f>
        <v>3</v>
      </c>
      <c r="C107" s="29">
        <f>IFERROR(IF(SUMIFS(tblDaily[Discharges],tblDaily[EntryDate],DATE(2026,3,23),tblDaily[WardCode],"MW")=0,"",SUMIFS(tblDaily[Discharges],tblDaily[EntryDate],DATE(2026,3,23),tblDaily[WardCode],"MW")),"")</f>
        <v>2</v>
      </c>
      <c r="D107" s="29" t="str">
        <f>IFERROR(IF(SUMIFS(tblDaily[Deaths],tblDaily[EntryDate],DATE(2026,3,23),tblDaily[WardCode],"MW")=0,"",SUMIFS(tblDaily[Deaths],tblDaily[EntryDate],DATE(2026,3,23),tblDaily[WardCode],"MW")),"")</f>
        <v/>
      </c>
      <c r="E107" s="29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29" t="str">
        <f>IFERROR(IF(SUMIFS(tblDaily[TransfersIn],tblDaily[EntryDate],DATE(2026,3,23),tblDaily[WardCode],"MW")=0,"",SUMIFS(tblDaily[TransfersIn],tblDaily[EntryDate],DATE(2026,3,23),tblDaily[WardCode],"MW")),"")</f>
        <v/>
      </c>
      <c r="G107" s="29" t="str">
        <f>IFERROR(IF(SUMIFS(tblDaily[TransfersOut],tblDaily[EntryDate],DATE(2026,3,23),tblDaily[WardCode],"MW")=0,"",SUMIFS(tblDaily[TransfersOut],tblDaily[EntryDate],DATE(2026,3,23),tblDaily[WardCode],"MW")),"")</f>
        <v/>
      </c>
      <c r="H107" s="29">
        <f>IFERROR(IF(SUMIFS(tblDaily[Remaining],tblDaily[EntryDate],DATE(2026,3,23),tblDaily[WardCode],"MW")=0,"",SUMIFS(tblDaily[Remaining],tblDaily[EntryDate],DATE(2026,3,23),tblDaily[WardCode],"MW")),"")</f>
        <v>23</v>
      </c>
    </row>
    <row r="108" spans="1:8" x14ac:dyDescent="0.25">
      <c r="A108" s="29">
        <v>24</v>
      </c>
      <c r="B108" s="29">
        <f>IFERROR(IF(SUMIFS(tblDaily[Admissions],tblDaily[EntryDate],DATE(2026,3,24),tblDaily[WardCode],"MW")=0,"",SUMIFS(tblDaily[Admissions],tblDaily[EntryDate],DATE(2026,3,24),tblDaily[WardCode],"MW")),"")</f>
        <v>1</v>
      </c>
      <c r="C108" s="29">
        <f>IFERROR(IF(SUMIFS(tblDaily[Discharges],tblDaily[EntryDate],DATE(2026,3,24),tblDaily[WardCode],"MW")=0,"",SUMIFS(tblDaily[Discharges],tblDaily[EntryDate],DATE(2026,3,24),tblDaily[WardCode],"MW")),"")</f>
        <v>3</v>
      </c>
      <c r="D108" s="29" t="str">
        <f>IFERROR(IF(SUMIFS(tblDaily[Deaths],tblDaily[EntryDate],DATE(2026,3,24),tblDaily[WardCode],"MW")=0,"",SUMIFS(tblDaily[Deaths],tblDaily[EntryDate],DATE(2026,3,24),tblDaily[WardCode],"MW")),"")</f>
        <v/>
      </c>
      <c r="E108" s="29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29" t="str">
        <f>IFERROR(IF(SUMIFS(tblDaily[TransfersIn],tblDaily[EntryDate],DATE(2026,3,24),tblDaily[WardCode],"MW")=0,"",SUMIFS(tblDaily[TransfersIn],tblDaily[EntryDate],DATE(2026,3,24),tblDaily[WardCode],"MW")),"")</f>
        <v/>
      </c>
      <c r="G108" s="29" t="str">
        <f>IFERROR(IF(SUMIFS(tblDaily[TransfersOut],tblDaily[EntryDate],DATE(2026,3,24),tblDaily[WardCode],"MW")=0,"",SUMIFS(tblDaily[TransfersOut],tblDaily[EntryDate],DATE(2026,3,24),tblDaily[WardCode],"MW")),"")</f>
        <v/>
      </c>
      <c r="H108" s="29">
        <f>IFERROR(IF(SUMIFS(tblDaily[Remaining],tblDaily[EntryDate],DATE(2026,3,24),tblDaily[WardCode],"MW")=0,"",SUMIFS(tblDaily[Remaining],tblDaily[EntryDate],DATE(2026,3,24),tblDaily[WardCode],"MW")),"")</f>
        <v>21</v>
      </c>
    </row>
    <row r="109" spans="1:8" x14ac:dyDescent="0.25">
      <c r="A109" s="29">
        <v>25</v>
      </c>
      <c r="B109" s="29" t="str">
        <f>IFERROR(IF(SUMIFS(tblDaily[Admissions],tblDaily[EntryDate],DATE(2026,3,25),tblDaily[WardCode],"MW")=0,"",SUMIFS(tblDaily[Admissions],tblDaily[EntryDate],DATE(2026,3,25),tblDaily[WardCode],"MW")),"")</f>
        <v/>
      </c>
      <c r="C109" s="29">
        <f>IFERROR(IF(SUMIFS(tblDaily[Discharges],tblDaily[EntryDate],DATE(2026,3,25),tblDaily[WardCode],"MW")=0,"",SUMIFS(tblDaily[Discharges],tblDaily[EntryDate],DATE(2026,3,25),tblDaily[WardCode],"MW")),"")</f>
        <v>8</v>
      </c>
      <c r="D109" s="29" t="str">
        <f>IFERROR(IF(SUMIFS(tblDaily[Deaths],tblDaily[EntryDate],DATE(2026,3,25),tblDaily[WardCode],"MW")=0,"",SUMIFS(tblDaily[Deaths],tblDaily[EntryDate],DATE(2026,3,25),tblDaily[WardCode],"MW")),"")</f>
        <v/>
      </c>
      <c r="E109" s="29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29">
        <f>IFERROR(IF(SUMIFS(tblDaily[TransfersIn],tblDaily[EntryDate],DATE(2026,3,25),tblDaily[WardCode],"MW")=0,"",SUMIFS(tblDaily[TransfersIn],tblDaily[EntryDate],DATE(2026,3,25),tblDaily[WardCode],"MW")),"")</f>
        <v>2</v>
      </c>
      <c r="G109" s="29" t="str">
        <f>IFERROR(IF(SUMIFS(tblDaily[TransfersOut],tblDaily[EntryDate],DATE(2026,3,25),tblDaily[WardCode],"MW")=0,"",SUMIFS(tblDaily[TransfersOut],tblDaily[EntryDate],DATE(2026,3,25),tblDaily[WardCode],"MW")),"")</f>
        <v/>
      </c>
      <c r="H109" s="29">
        <f>IFERROR(IF(SUMIFS(tblDaily[Remaining],tblDaily[EntryDate],DATE(2026,3,25),tblDaily[WardCode],"MW")=0,"",SUMIFS(tblDaily[Remaining],tblDaily[EntryDate],DATE(2026,3,25),tblDaily[WardCode],"MW")),"")</f>
        <v>15</v>
      </c>
    </row>
    <row r="110" spans="1:8" x14ac:dyDescent="0.25">
      <c r="A110" s="29">
        <v>26</v>
      </c>
      <c r="B110" s="29">
        <f>IFERROR(IF(SUMIFS(tblDaily[Admissions],tblDaily[EntryDate],DATE(2026,3,26),tblDaily[WardCode],"MW")=0,"",SUMIFS(tblDaily[Admissions],tblDaily[EntryDate],DATE(2026,3,26),tblDaily[WardCode],"MW")),"")</f>
        <v>2</v>
      </c>
      <c r="C110" s="29">
        <f>IFERROR(IF(SUMIFS(tblDaily[Discharges],tblDaily[EntryDate],DATE(2026,3,26),tblDaily[WardCode],"MW")=0,"",SUMIFS(tblDaily[Discharges],tblDaily[EntryDate],DATE(2026,3,26),tblDaily[WardCode],"MW")),"")</f>
        <v>4</v>
      </c>
      <c r="D110" s="29" t="str">
        <f>IFERROR(IF(SUMIFS(tblDaily[Deaths],tblDaily[EntryDate],DATE(2026,3,26),tblDaily[WardCode],"MW")=0,"",SUMIFS(tblDaily[Deaths],tblDaily[EntryDate],DATE(2026,3,26),tblDaily[WardCode],"MW")),"")</f>
        <v/>
      </c>
      <c r="E110" s="29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29">
        <f>IFERROR(IF(SUMIFS(tblDaily[TransfersIn],tblDaily[EntryDate],DATE(2026,3,26),tblDaily[WardCode],"MW")=0,"",SUMIFS(tblDaily[TransfersIn],tblDaily[EntryDate],DATE(2026,3,26),tblDaily[WardCode],"MW")),"")</f>
        <v>3</v>
      </c>
      <c r="G110" s="29" t="str">
        <f>IFERROR(IF(SUMIFS(tblDaily[TransfersOut],tblDaily[EntryDate],DATE(2026,3,26),tblDaily[WardCode],"MW")=0,"",SUMIFS(tblDaily[TransfersOut],tblDaily[EntryDate],DATE(2026,3,26),tblDaily[WardCode],"MW")),"")</f>
        <v/>
      </c>
      <c r="H110" s="29">
        <f>IFERROR(IF(SUMIFS(tblDaily[Remaining],tblDaily[EntryDate],DATE(2026,3,26),tblDaily[WardCode],"MW")=0,"",SUMIFS(tblDaily[Remaining],tblDaily[EntryDate],DATE(2026,3,26),tblDaily[WardCode],"MW")),"")</f>
        <v>16</v>
      </c>
    </row>
    <row r="111" spans="1:8" x14ac:dyDescent="0.25">
      <c r="A111" s="29">
        <v>27</v>
      </c>
      <c r="B111" s="29">
        <f>IFERROR(IF(SUMIFS(tblDaily[Admissions],tblDaily[EntryDate],DATE(2026,3,27),tblDaily[WardCode],"MW")=0,"",SUMIFS(tblDaily[Admissions],tblDaily[EntryDate],DATE(2026,3,27),tblDaily[WardCode],"MW")),"")</f>
        <v>6</v>
      </c>
      <c r="C111" s="29">
        <f>IFERROR(IF(SUMIFS(tblDaily[Discharges],tblDaily[EntryDate],DATE(2026,3,27),tblDaily[WardCode],"MW")=0,"",SUMIFS(tblDaily[Discharges],tblDaily[EntryDate],DATE(2026,3,27),tblDaily[WardCode],"MW")),"")</f>
        <v>2</v>
      </c>
      <c r="D111" s="29" t="str">
        <f>IFERROR(IF(SUMIFS(tblDaily[Deaths],tblDaily[EntryDate],DATE(2026,3,27),tblDaily[WardCode],"MW")=0,"",SUMIFS(tblDaily[Deaths],tblDaily[EntryDate],DATE(2026,3,27),tblDaily[WardCode],"MW")),"")</f>
        <v/>
      </c>
      <c r="E111" s="29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29" t="str">
        <f>IFERROR(IF(SUMIFS(tblDaily[TransfersIn],tblDaily[EntryDate],DATE(2026,3,27),tblDaily[WardCode],"MW")=0,"",SUMIFS(tblDaily[TransfersIn],tblDaily[EntryDate],DATE(2026,3,27),tblDaily[WardCode],"MW")),"")</f>
        <v/>
      </c>
      <c r="G111" s="29" t="str">
        <f>IFERROR(IF(SUMIFS(tblDaily[TransfersOut],tblDaily[EntryDate],DATE(2026,3,27),tblDaily[WardCode],"MW")=0,"",SUMIFS(tblDaily[TransfersOut],tblDaily[EntryDate],DATE(2026,3,27),tblDaily[WardCode],"MW")),"")</f>
        <v/>
      </c>
      <c r="H111" s="29">
        <f>IFERROR(IF(SUMIFS(tblDaily[Remaining],tblDaily[EntryDate],DATE(2026,3,27),tblDaily[WardCode],"MW")=0,"",SUMIFS(tblDaily[Remaining],tblDaily[EntryDate],DATE(2026,3,27),tblDaily[WardCode],"MW")),"")</f>
        <v>20</v>
      </c>
    </row>
    <row r="112" spans="1:8" x14ac:dyDescent="0.25">
      <c r="A112" s="29">
        <v>28</v>
      </c>
      <c r="B112" s="29">
        <f>IFERROR(IF(SUMIFS(tblDaily[Admissions],tblDaily[EntryDate],DATE(2026,3,28),tblDaily[WardCode],"MW")=0,"",SUMIFS(tblDaily[Admissions],tblDaily[EntryDate],DATE(2026,3,28),tblDaily[WardCode],"MW")),"")</f>
        <v>1</v>
      </c>
      <c r="C112" s="29">
        <f>IFERROR(IF(SUMIFS(tblDaily[Discharges],tblDaily[EntryDate],DATE(2026,3,28),tblDaily[WardCode],"MW")=0,"",SUMIFS(tblDaily[Discharges],tblDaily[EntryDate],DATE(2026,3,28),tblDaily[WardCode],"MW")),"")</f>
        <v>1</v>
      </c>
      <c r="D112" s="29" t="str">
        <f>IFERROR(IF(SUMIFS(tblDaily[Deaths],tblDaily[EntryDate],DATE(2026,3,28),tblDaily[WardCode],"MW")=0,"",SUMIFS(tblDaily[Deaths],tblDaily[EntryDate],DATE(2026,3,28),tblDaily[WardCode],"MW")),"")</f>
        <v/>
      </c>
      <c r="E112" s="29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29">
        <f>IFERROR(IF(SUMIFS(tblDaily[TransfersIn],tblDaily[EntryDate],DATE(2026,3,28),tblDaily[WardCode],"MW")=0,"",SUMIFS(tblDaily[TransfersIn],tblDaily[EntryDate],DATE(2026,3,28),tblDaily[WardCode],"MW")),"")</f>
        <v>2</v>
      </c>
      <c r="G112" s="29" t="str">
        <f>IFERROR(IF(SUMIFS(tblDaily[TransfersOut],tblDaily[EntryDate],DATE(2026,3,28),tblDaily[WardCode],"MW")=0,"",SUMIFS(tblDaily[TransfersOut],tblDaily[EntryDate],DATE(2026,3,28),tblDaily[WardCode],"MW")),"")</f>
        <v/>
      </c>
      <c r="H112" s="29">
        <f>IFERROR(IF(SUMIFS(tblDaily[Remaining],tblDaily[EntryDate],DATE(2026,3,28),tblDaily[WardCode],"MW")=0,"",SUMIFS(tblDaily[Remaining],tblDaily[EntryDate],DATE(2026,3,28),tblDaily[WardCode],"MW")),"")</f>
        <v>22</v>
      </c>
    </row>
    <row r="113" spans="1:8" x14ac:dyDescent="0.25">
      <c r="A113" s="29">
        <v>29</v>
      </c>
      <c r="B113" s="29">
        <f>IFERROR(IF(SUMIFS(tblDaily[Admissions],tblDaily[EntryDate],DATE(2026,3,29),tblDaily[WardCode],"MW")=0,"",SUMIFS(tblDaily[Admissions],tblDaily[EntryDate],DATE(2026,3,29),tblDaily[WardCode],"MW")),"")</f>
        <v>2</v>
      </c>
      <c r="C113" s="29">
        <f>IFERROR(IF(SUMIFS(tblDaily[Discharges],tblDaily[EntryDate],DATE(2026,3,29),tblDaily[WardCode],"MW")=0,"",SUMIFS(tblDaily[Discharges],tblDaily[EntryDate],DATE(2026,3,29),tblDaily[WardCode],"MW")),"")</f>
        <v>1</v>
      </c>
      <c r="D113" s="29" t="str">
        <f>IFERROR(IF(SUMIFS(tblDaily[Deaths],tblDaily[EntryDate],DATE(2026,3,29),tblDaily[WardCode],"MW")=0,"",SUMIFS(tblDaily[Deaths],tblDaily[EntryDate],DATE(2026,3,29),tblDaily[WardCode],"MW")),"")</f>
        <v/>
      </c>
      <c r="E113" s="29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29">
        <f>IFERROR(IF(SUMIFS(tblDaily[TransfersIn],tblDaily[EntryDate],DATE(2026,3,29),tblDaily[WardCode],"MW")=0,"",SUMIFS(tblDaily[TransfersIn],tblDaily[EntryDate],DATE(2026,3,29),tblDaily[WardCode],"MW")),"")</f>
        <v>1</v>
      </c>
      <c r="G113" s="29" t="str">
        <f>IFERROR(IF(SUMIFS(tblDaily[TransfersOut],tblDaily[EntryDate],DATE(2026,3,29),tblDaily[WardCode],"MW")=0,"",SUMIFS(tblDaily[TransfersOut],tblDaily[EntryDate],DATE(2026,3,29),tblDaily[WardCode],"MW")),"")</f>
        <v/>
      </c>
      <c r="H113" s="29">
        <f>IFERROR(IF(SUMIFS(tblDaily[Remaining],tblDaily[EntryDate],DATE(2026,3,29),tblDaily[WardCode],"MW")=0,"",SUMIFS(tblDaily[Remaining],tblDaily[EntryDate],DATE(2026,3,29),tblDaily[WardCode],"MW")),"")</f>
        <v>24</v>
      </c>
    </row>
    <row r="114" spans="1:8" x14ac:dyDescent="0.25">
      <c r="A114" s="29">
        <v>30</v>
      </c>
      <c r="B114" s="29">
        <f>IFERROR(IF(SUMIFS(tblDaily[Admissions],tblDaily[EntryDate],DATE(2026,3,30),tblDaily[WardCode],"MW")=0,"",SUMIFS(tblDaily[Admissions],tblDaily[EntryDate],DATE(2026,3,30),tblDaily[WardCode],"MW")),"")</f>
        <v>3</v>
      </c>
      <c r="C114" s="29">
        <f>IFERROR(IF(SUMIFS(tblDaily[Discharges],tblDaily[EntryDate],DATE(2026,3,30),tblDaily[WardCode],"MW")=0,"",SUMIFS(tblDaily[Discharges],tblDaily[EntryDate],DATE(2026,3,30),tblDaily[WardCode],"MW")),"")</f>
        <v>8</v>
      </c>
      <c r="D114" s="29">
        <f>IFERROR(IF(SUMIFS(tblDaily[Deaths],tblDaily[EntryDate],DATE(2026,3,30),tblDaily[WardCode],"MW")=0,"",SUMIFS(tblDaily[Deaths],tblDaily[EntryDate],DATE(2026,3,30),tblDaily[WardCode],"MW")),"")</f>
        <v>1</v>
      </c>
      <c r="E114" s="29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29" t="str">
        <f>IFERROR(IF(SUMIFS(tblDaily[TransfersIn],tblDaily[EntryDate],DATE(2026,3,30),tblDaily[WardCode],"MW")=0,"",SUMIFS(tblDaily[TransfersIn],tblDaily[EntryDate],DATE(2026,3,30),tblDaily[WardCode],"MW")),"")</f>
        <v/>
      </c>
      <c r="G114" s="29" t="str">
        <f>IFERROR(IF(SUMIFS(tblDaily[TransfersOut],tblDaily[EntryDate],DATE(2026,3,30),tblDaily[WardCode],"MW")=0,"",SUMIFS(tblDaily[TransfersOut],tblDaily[EntryDate],DATE(2026,3,30),tblDaily[WardCode],"MW")),"")</f>
        <v/>
      </c>
      <c r="H114" s="29">
        <f>IFERROR(IF(SUMIFS(tblDaily[Remaining],tblDaily[EntryDate],DATE(2026,3,30),tblDaily[WardCode],"MW")=0,"",SUMIFS(tblDaily[Remaining],tblDaily[EntryDate],DATE(2026,3,30),tblDaily[WardCode],"MW")),"")</f>
        <v>18</v>
      </c>
    </row>
    <row r="115" spans="1:8" x14ac:dyDescent="0.25">
      <c r="A115" s="29">
        <v>31</v>
      </c>
      <c r="B115" s="29">
        <f>IFERROR(IF(SUMIFS(tblDaily[Admissions],tblDaily[EntryDate],DATE(2026,3,31),tblDaily[WardCode],"MW")=0,"",SUMIFS(tblDaily[Admissions],tblDaily[EntryDate],DATE(2026,3,31),tblDaily[WardCode],"MW")),"")</f>
        <v>5</v>
      </c>
      <c r="C115" s="29">
        <f>IFERROR(IF(SUMIFS(tblDaily[Discharges],tblDaily[EntryDate],DATE(2026,3,31),tblDaily[WardCode],"MW")=0,"",SUMIFS(tblDaily[Discharges],tblDaily[EntryDate],DATE(2026,3,31),tblDaily[WardCode],"MW")),"")</f>
        <v>3</v>
      </c>
      <c r="D115" s="29">
        <f>IFERROR(IF(SUMIFS(tblDaily[Deaths],tblDaily[EntryDate],DATE(2026,3,31),tblDaily[WardCode],"MW")=0,"",SUMIFS(tblDaily[Deaths],tblDaily[EntryDate],DATE(2026,3,31),tblDaily[WardCode],"MW")),"")</f>
        <v>1</v>
      </c>
      <c r="E115" s="29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29" t="str">
        <f>IFERROR(IF(SUMIFS(tblDaily[TransfersIn],tblDaily[EntryDate],DATE(2026,3,31),tblDaily[WardCode],"MW")=0,"",SUMIFS(tblDaily[TransfersIn],tblDaily[EntryDate],DATE(2026,3,31),tblDaily[WardCode],"MW")),"")</f>
        <v/>
      </c>
      <c r="G115" s="29" t="str">
        <f>IFERROR(IF(SUMIFS(tblDaily[TransfersOut],tblDaily[EntryDate],DATE(2026,3,31),tblDaily[WardCode],"MW")=0,"",SUMIFS(tblDaily[TransfersOut],tblDaily[EntryDate],DATE(2026,3,31),tblDaily[WardCode],"MW")),"")</f>
        <v/>
      </c>
      <c r="H115" s="29">
        <f>IFERROR(IF(SUMIFS(tblDaily[Remaining],tblDaily[EntryDate],DATE(2026,3,31),tblDaily[WardCode],"MW")=0,"",SUMIFS(tblDaily[Remaining],tblDaily[EntryDate],DATE(2026,3,31),tblDaily[WardCode],"MW")),"")</f>
        <v>19</v>
      </c>
    </row>
    <row r="116" spans="1:8" x14ac:dyDescent="0.25">
      <c r="A116" s="30" t="s">
        <v>115</v>
      </c>
      <c r="B116" s="30">
        <f>SUMIFS(tblDaily[Admissions],tblDaily[Month],3,tblDaily[WardCode],"MW") - SUMIFS(tblDaily[DeathsUnder24Hrs],tblDaily[Month],3,tblDaily[WardCode],"MW")</f>
        <v>63</v>
      </c>
      <c r="C116" s="30">
        <f>SUMIFS(tblDaily[Discharges],tblDaily[Month],3,tblDaily[WardCode],"MW")</f>
        <v>80</v>
      </c>
      <c r="D116" s="30">
        <f>SUMIFS(tblDaily[Deaths],tblDaily[Month],3,tblDaily[WardCode],"MW")</f>
        <v>8</v>
      </c>
      <c r="E116" s="30">
        <f>SUMIFS(tblDaily[DeathsUnder24Hrs],tblDaily[Month],3,tblDaily[WardCode],"MW")</f>
        <v>0</v>
      </c>
      <c r="F116" s="30">
        <f>SUMIFS(tblDaily[TransfersIn],tblDaily[Month],3,tblDaily[WardCode],"MW")</f>
        <v>30</v>
      </c>
      <c r="G116" s="30">
        <f>SUMIFS(tblDaily[TransfersOut],tblDaily[Month],3,tblDaily[WardCode],"MW")</f>
        <v>0</v>
      </c>
      <c r="H116" s="30">
        <f>SUMIFS(tblDaily[Remaining],tblDaily[Month],3,tblDaily[WardCode],"MW")</f>
        <v>494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106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IFERROR(SUMIFS(tblDaily[Remaining],tblDaily[EntryDate],DATE(2026,3,31),tblDaily[WardCode],"MW"),0)</f>
        <v>19</v>
      </c>
    </row>
    <row r="122" spans="1:8" x14ac:dyDescent="0.25">
      <c r="A122" s="24" t="s">
        <v>109</v>
      </c>
      <c r="H122" s="27">
        <f>IFERROR(INDEX(tblWardConfig[BedComplement],MATCH("MW",tblWardConfig[WardCode],0)),0)</f>
        <v>32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IFERROR(IF(SUMIFS(tblDaily[Admissions],tblDaily[EntryDate],DATE(2026,4,1),tblDaily[WardCode],"MW")=0,"",SUMIFS(tblDaily[Admissions],tblDaily[EntryDate],DATE(2026,4,1),tblDaily[WardCode],"MW")),"")</f>
        <v>4</v>
      </c>
      <c r="C124" s="29">
        <f>IFERROR(IF(SUMIFS(tblDaily[Discharges],tblDaily[EntryDate],DATE(2026,4,1),tblDaily[WardCode],"MW")=0,"",SUMIFS(tblDaily[Discharges],tblDaily[EntryDate],DATE(2026,4,1),tblDaily[WardCode],"MW")),"")</f>
        <v>3</v>
      </c>
      <c r="D124" s="29" t="str">
        <f>IFERROR(IF(SUMIFS(tblDaily[Deaths],tblDaily[EntryDate],DATE(2026,4,1),tblDaily[WardCode],"MW")=0,"",SUMIFS(tblDaily[Deaths],tblDaily[EntryDate],DATE(2026,4,1),tblDaily[WardCode],"MW")),"")</f>
        <v/>
      </c>
      <c r="E124" s="29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29">
        <f>IFERROR(IF(SUMIFS(tblDaily[TransfersIn],tblDaily[EntryDate],DATE(2026,4,1),tblDaily[WardCode],"MW")=0,"",SUMIFS(tblDaily[TransfersIn],tblDaily[EntryDate],DATE(2026,4,1),tblDaily[WardCode],"MW")),"")</f>
        <v>1</v>
      </c>
      <c r="G124" s="29" t="str">
        <f>IFERROR(IF(SUMIFS(tblDaily[TransfersOut],tblDaily[EntryDate],DATE(2026,4,1),tblDaily[WardCode],"MW")=0,"",SUMIFS(tblDaily[TransfersOut],tblDaily[EntryDate],DATE(2026,4,1),tblDaily[WardCode],"MW")),"")</f>
        <v/>
      </c>
      <c r="H124" s="29">
        <f>IFERROR(IF(SUMIFS(tblDaily[Remaining],tblDaily[EntryDate],DATE(2026,4,1),tblDaily[WardCode],"MW")=0,"",SUMIFS(tblDaily[Remaining],tblDaily[EntryDate],DATE(2026,4,1),tblDaily[WardCode],"MW")),"")</f>
        <v>21</v>
      </c>
    </row>
    <row r="125" spans="1:8" x14ac:dyDescent="0.25">
      <c r="A125" s="29">
        <v>2</v>
      </c>
      <c r="B125" s="29">
        <f>IFERROR(IF(SUMIFS(tblDaily[Admissions],tblDaily[EntryDate],DATE(2026,4,2),tblDaily[WardCode],"MW")=0,"",SUMIFS(tblDaily[Admissions],tblDaily[EntryDate],DATE(2026,4,2),tblDaily[WardCode],"MW")),"")</f>
        <v>2</v>
      </c>
      <c r="C125" s="29">
        <f>IFERROR(IF(SUMIFS(tblDaily[Discharges],tblDaily[EntryDate],DATE(2026,4,2),tblDaily[WardCode],"MW")=0,"",SUMIFS(tblDaily[Discharges],tblDaily[EntryDate],DATE(2026,4,2),tblDaily[WardCode],"MW")),"")</f>
        <v>7</v>
      </c>
      <c r="D125" s="29" t="str">
        <f>IFERROR(IF(SUMIFS(tblDaily[Deaths],tblDaily[EntryDate],DATE(2026,4,2),tblDaily[WardCode],"MW")=0,"",SUMIFS(tblDaily[Deaths],tblDaily[EntryDate],DATE(2026,4,2),tblDaily[WardCode],"MW")),"")</f>
        <v/>
      </c>
      <c r="E125" s="29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29" t="str">
        <f>IFERROR(IF(SUMIFS(tblDaily[TransfersIn],tblDaily[EntryDate],DATE(2026,4,2),tblDaily[WardCode],"MW")=0,"",SUMIFS(tblDaily[TransfersIn],tblDaily[EntryDate],DATE(2026,4,2),tblDaily[WardCode],"MW")),"")</f>
        <v/>
      </c>
      <c r="G125" s="29" t="str">
        <f>IFERROR(IF(SUMIFS(tblDaily[TransfersOut],tblDaily[EntryDate],DATE(2026,4,2),tblDaily[WardCode],"MW")=0,"",SUMIFS(tblDaily[TransfersOut],tblDaily[EntryDate],DATE(2026,4,2),tblDaily[WardCode],"MW")),"")</f>
        <v/>
      </c>
      <c r="H125" s="29">
        <f>IFERROR(IF(SUMIFS(tblDaily[Remaining],tblDaily[EntryDate],DATE(2026,4,2),tblDaily[WardCode],"MW")=0,"",SUMIFS(tblDaily[Remaining],tblDaily[EntryDate],DATE(2026,4,2),tblDaily[WardCode],"MW")),"")</f>
        <v>16</v>
      </c>
    </row>
    <row r="126" spans="1:8" x14ac:dyDescent="0.25">
      <c r="A126" s="29">
        <v>3</v>
      </c>
      <c r="B126" s="29">
        <f>IFERROR(IF(SUMIFS(tblDaily[Admissions],tblDaily[EntryDate],DATE(2026,4,3),tblDaily[WardCode],"MW")=0,"",SUMIFS(tblDaily[Admissions],tblDaily[EntryDate],DATE(2026,4,3),tblDaily[WardCode],"MW")),"")</f>
        <v>1</v>
      </c>
      <c r="C126" s="29">
        <f>IFERROR(IF(SUMIFS(tblDaily[Discharges],tblDaily[EntryDate],DATE(2026,4,3),tblDaily[WardCode],"MW")=0,"",SUMIFS(tblDaily[Discharges],tblDaily[EntryDate],DATE(2026,4,3),tblDaily[WardCode],"MW")),"")</f>
        <v>5</v>
      </c>
      <c r="D126" s="29" t="str">
        <f>IFERROR(IF(SUMIFS(tblDaily[Deaths],tblDaily[EntryDate],DATE(2026,4,3),tblDaily[WardCode],"MW")=0,"",SUMIFS(tblDaily[Deaths],tblDaily[EntryDate],DATE(2026,4,3),tblDaily[WardCode],"MW")),"")</f>
        <v/>
      </c>
      <c r="E126" s="29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29">
        <f>IFERROR(IF(SUMIFS(tblDaily[TransfersIn],tblDaily[EntryDate],DATE(2026,4,3),tblDaily[WardCode],"MW")=0,"",SUMIFS(tblDaily[TransfersIn],tblDaily[EntryDate],DATE(2026,4,3),tblDaily[WardCode],"MW")),"")</f>
        <v>2</v>
      </c>
      <c r="G126" s="29" t="str">
        <f>IFERROR(IF(SUMIFS(tblDaily[TransfersOut],tblDaily[EntryDate],DATE(2026,4,3),tblDaily[WardCode],"MW")=0,"",SUMIFS(tblDaily[TransfersOut],tblDaily[EntryDate],DATE(2026,4,3),tblDaily[WardCode],"MW")),"")</f>
        <v/>
      </c>
      <c r="H126" s="29">
        <f>IFERROR(IF(SUMIFS(tblDaily[Remaining],tblDaily[EntryDate],DATE(2026,4,3),tblDaily[WardCode],"MW")=0,"",SUMIFS(tblDaily[Remaining],tblDaily[EntryDate],DATE(2026,4,3),tblDaily[WardCode],"MW")),"")</f>
        <v>14</v>
      </c>
    </row>
    <row r="127" spans="1:8" x14ac:dyDescent="0.25">
      <c r="A127" s="29">
        <v>4</v>
      </c>
      <c r="B127" s="29">
        <f>IFERROR(IF(SUMIFS(tblDaily[Admissions],tblDaily[EntryDate],DATE(2026,4,4),tblDaily[WardCode],"MW")=0,"",SUMIFS(tblDaily[Admissions],tblDaily[EntryDate],DATE(2026,4,4),tblDaily[WardCode],"MW")),"")</f>
        <v>3</v>
      </c>
      <c r="C127" s="29" t="str">
        <f>IFERROR(IF(SUMIFS(tblDaily[Discharges],tblDaily[EntryDate],DATE(2026,4,4),tblDaily[WardCode],"MW")=0,"",SUMIFS(tblDaily[Discharges],tblDaily[EntryDate],DATE(2026,4,4),tblDaily[WardCode],"MW")),"")</f>
        <v/>
      </c>
      <c r="D127" s="29" t="str">
        <f>IFERROR(IF(SUMIFS(tblDaily[Deaths],tblDaily[EntryDate],DATE(2026,4,4),tblDaily[WardCode],"MW")=0,"",SUMIFS(tblDaily[Deaths],tblDaily[EntryDate],DATE(2026,4,4),tblDaily[WardCode],"MW")),"")</f>
        <v/>
      </c>
      <c r="E127" s="29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29">
        <f>IFERROR(IF(SUMIFS(tblDaily[TransfersIn],tblDaily[EntryDate],DATE(2026,4,4),tblDaily[WardCode],"MW")=0,"",SUMIFS(tblDaily[TransfersIn],tblDaily[EntryDate],DATE(2026,4,4),tblDaily[WardCode],"MW")),"")</f>
        <v>1</v>
      </c>
      <c r="G127" s="29" t="str">
        <f>IFERROR(IF(SUMIFS(tblDaily[TransfersOut],tblDaily[EntryDate],DATE(2026,4,4),tblDaily[WardCode],"MW")=0,"",SUMIFS(tblDaily[TransfersOut],tblDaily[EntryDate],DATE(2026,4,4),tblDaily[WardCode],"MW")),"")</f>
        <v/>
      </c>
      <c r="H127" s="29">
        <f>IFERROR(IF(SUMIFS(tblDaily[Remaining],tblDaily[EntryDate],DATE(2026,4,4),tblDaily[WardCode],"MW")=0,"",SUMIFS(tblDaily[Remaining],tblDaily[EntryDate],DATE(2026,4,4),tblDaily[WardCode],"MW")),"")</f>
        <v>18</v>
      </c>
    </row>
    <row r="128" spans="1:8" x14ac:dyDescent="0.25">
      <c r="A128" s="29">
        <v>5</v>
      </c>
      <c r="B128" s="29">
        <f>IFERROR(IF(SUMIFS(tblDaily[Admissions],tblDaily[EntryDate],DATE(2026,4,5),tblDaily[WardCode],"MW")=0,"",SUMIFS(tblDaily[Admissions],tblDaily[EntryDate],DATE(2026,4,5),tblDaily[WardCode],"MW")),"")</f>
        <v>1</v>
      </c>
      <c r="C128" s="29">
        <f>IFERROR(IF(SUMIFS(tblDaily[Discharges],tblDaily[EntryDate],DATE(2026,4,5),tblDaily[WardCode],"MW")=0,"",SUMIFS(tblDaily[Discharges],tblDaily[EntryDate],DATE(2026,4,5),tblDaily[WardCode],"MW")),"")</f>
        <v>3</v>
      </c>
      <c r="D128" s="29" t="str">
        <f>IFERROR(IF(SUMIFS(tblDaily[Deaths],tblDaily[EntryDate],DATE(2026,4,5),tblDaily[WardCode],"MW")=0,"",SUMIFS(tblDaily[Deaths],tblDaily[EntryDate],DATE(2026,4,5),tblDaily[WardCode],"MW")),"")</f>
        <v/>
      </c>
      <c r="E128" s="29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29">
        <f>IFERROR(IF(SUMIFS(tblDaily[TransfersIn],tblDaily[EntryDate],DATE(2026,4,5),tblDaily[WardCode],"MW")=0,"",SUMIFS(tblDaily[TransfersIn],tblDaily[EntryDate],DATE(2026,4,5),tblDaily[WardCode],"MW")),"")</f>
        <v>1</v>
      </c>
      <c r="G128" s="29" t="str">
        <f>IFERROR(IF(SUMIFS(tblDaily[TransfersOut],tblDaily[EntryDate],DATE(2026,4,5),tblDaily[WardCode],"MW")=0,"",SUMIFS(tblDaily[TransfersOut],tblDaily[EntryDate],DATE(2026,4,5),tblDaily[WardCode],"MW")),"")</f>
        <v/>
      </c>
      <c r="H128" s="29">
        <f>IFERROR(IF(SUMIFS(tblDaily[Remaining],tblDaily[EntryDate],DATE(2026,4,5),tblDaily[WardCode],"MW")=0,"",SUMIFS(tblDaily[Remaining],tblDaily[EntryDate],DATE(2026,4,5),tblDaily[WardCode],"MW")),"")</f>
        <v>17</v>
      </c>
    </row>
    <row r="129" spans="1:8" x14ac:dyDescent="0.25">
      <c r="A129" s="29">
        <v>6</v>
      </c>
      <c r="B129" s="29">
        <f>IFERROR(IF(SUMIFS(tblDaily[Admissions],tblDaily[EntryDate],DATE(2026,4,6),tblDaily[WardCode],"MW")=0,"",SUMIFS(tblDaily[Admissions],tblDaily[EntryDate],DATE(2026,4,6),tblDaily[WardCode],"MW")),"")</f>
        <v>1</v>
      </c>
      <c r="C129" s="29">
        <f>IFERROR(IF(SUMIFS(tblDaily[Discharges],tblDaily[EntryDate],DATE(2026,4,6),tblDaily[WardCode],"MW")=0,"",SUMIFS(tblDaily[Discharges],tblDaily[EntryDate],DATE(2026,4,6),tblDaily[WardCode],"MW")),"")</f>
        <v>3</v>
      </c>
      <c r="D129" s="29">
        <f>IFERROR(IF(SUMIFS(tblDaily[Deaths],tblDaily[EntryDate],DATE(2026,4,6),tblDaily[WardCode],"MW")=0,"",SUMIFS(tblDaily[Deaths],tblDaily[EntryDate],DATE(2026,4,6),tblDaily[WardCode],"MW")),"")</f>
        <v>1</v>
      </c>
      <c r="E129" s="29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29" t="str">
        <f>IFERROR(IF(SUMIFS(tblDaily[TransfersIn],tblDaily[EntryDate],DATE(2026,4,6),tblDaily[WardCode],"MW")=0,"",SUMIFS(tblDaily[TransfersIn],tblDaily[EntryDate],DATE(2026,4,6),tblDaily[WardCode],"MW")),"")</f>
        <v/>
      </c>
      <c r="G129" s="29" t="str">
        <f>IFERROR(IF(SUMIFS(tblDaily[TransfersOut],tblDaily[EntryDate],DATE(2026,4,6),tblDaily[WardCode],"MW")=0,"",SUMIFS(tblDaily[TransfersOut],tblDaily[EntryDate],DATE(2026,4,6),tblDaily[WardCode],"MW")),"")</f>
        <v/>
      </c>
      <c r="H129" s="29">
        <f>IFERROR(IF(SUMIFS(tblDaily[Remaining],tblDaily[EntryDate],DATE(2026,4,6),tblDaily[WardCode],"MW")=0,"",SUMIFS(tblDaily[Remaining],tblDaily[EntryDate],DATE(2026,4,6),tblDaily[WardCode],"MW")),"")</f>
        <v>14</v>
      </c>
    </row>
    <row r="130" spans="1:8" x14ac:dyDescent="0.25">
      <c r="A130" s="29">
        <v>7</v>
      </c>
      <c r="B130" s="29" t="str">
        <f>IFERROR(IF(SUMIFS(tblDaily[Admissions],tblDaily[EntryDate],DATE(2026,4,7),tblDaily[WardCode],"MW")=0,"",SUMIFS(tblDaily[Admissions],tblDaily[EntryDate],DATE(2026,4,7),tblDaily[WardCode],"MW")),"")</f>
        <v/>
      </c>
      <c r="C130" s="29" t="str">
        <f>IFERROR(IF(SUMIFS(tblDaily[Discharges],tblDaily[EntryDate],DATE(2026,4,7),tblDaily[WardCode],"MW")=0,"",SUMIFS(tblDaily[Discharges],tblDaily[EntryDate],DATE(2026,4,7),tblDaily[WardCode],"MW")),"")</f>
        <v/>
      </c>
      <c r="D130" s="29" t="str">
        <f>IFERROR(IF(SUMIFS(tblDaily[Deaths],tblDaily[EntryDate],DATE(2026,4,7),tblDaily[WardCode],"MW")=0,"",SUMIFS(tblDaily[Deaths],tblDaily[EntryDate],DATE(2026,4,7),tblDaily[WardCode],"MW")),"")</f>
        <v/>
      </c>
      <c r="E130" s="29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29" t="str">
        <f>IFERROR(IF(SUMIFS(tblDaily[TransfersIn],tblDaily[EntryDate],DATE(2026,4,7),tblDaily[WardCode],"MW")=0,"",SUMIFS(tblDaily[TransfersIn],tblDaily[EntryDate],DATE(2026,4,7),tblDaily[WardCode],"MW")),"")</f>
        <v/>
      </c>
      <c r="G130" s="29" t="str">
        <f>IFERROR(IF(SUMIFS(tblDaily[TransfersOut],tblDaily[EntryDate],DATE(2026,4,7),tblDaily[WardCode],"MW")=0,"",SUMIFS(tblDaily[TransfersOut],tblDaily[EntryDate],DATE(2026,4,7),tblDaily[WardCode],"MW")),"")</f>
        <v/>
      </c>
      <c r="H130" s="29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IFERROR(IF(SUMIFS(tblDaily[Admissions],tblDaily[EntryDate],DATE(2026,4,8),tblDaily[WardCode],"MW")=0,"",SUMIFS(tblDaily[Admissions],tblDaily[EntryDate],DATE(2026,4,8),tblDaily[WardCode],"MW")),"")</f>
        <v/>
      </c>
      <c r="C131" s="29" t="str">
        <f>IFERROR(IF(SUMIFS(tblDaily[Discharges],tblDaily[EntryDate],DATE(2026,4,8),tblDaily[WardCode],"MW")=0,"",SUMIFS(tblDaily[Discharges],tblDaily[EntryDate],DATE(2026,4,8),tblDaily[WardCode],"MW")),"")</f>
        <v/>
      </c>
      <c r="D131" s="29" t="str">
        <f>IFERROR(IF(SUMIFS(tblDaily[Deaths],tblDaily[EntryDate],DATE(2026,4,8),tblDaily[WardCode],"MW")=0,"",SUMIFS(tblDaily[Deaths],tblDaily[EntryDate],DATE(2026,4,8),tblDaily[WardCode],"MW")),"")</f>
        <v/>
      </c>
      <c r="E131" s="29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29" t="str">
        <f>IFERROR(IF(SUMIFS(tblDaily[TransfersIn],tblDaily[EntryDate],DATE(2026,4,8),tblDaily[WardCode],"MW")=0,"",SUMIFS(tblDaily[TransfersIn],tblDaily[EntryDate],DATE(2026,4,8),tblDaily[WardCode],"MW")),"")</f>
        <v/>
      </c>
      <c r="G131" s="29" t="str">
        <f>IFERROR(IF(SUMIFS(tblDaily[TransfersOut],tblDaily[EntryDate],DATE(2026,4,8),tblDaily[WardCode],"MW")=0,"",SUMIFS(tblDaily[TransfersOut],tblDaily[EntryDate],DATE(2026,4,8),tblDaily[WardCode],"MW")),"")</f>
        <v/>
      </c>
      <c r="H131" s="29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IFERROR(IF(SUMIFS(tblDaily[Admissions],tblDaily[EntryDate],DATE(2026,4,9),tblDaily[WardCode],"MW")=0,"",SUMIFS(tblDaily[Admissions],tblDaily[EntryDate],DATE(2026,4,9),tblDaily[WardCode],"MW")),"")</f>
        <v/>
      </c>
      <c r="C132" s="29" t="str">
        <f>IFERROR(IF(SUMIFS(tblDaily[Discharges],tblDaily[EntryDate],DATE(2026,4,9),tblDaily[WardCode],"MW")=0,"",SUMIFS(tblDaily[Discharges],tblDaily[EntryDate],DATE(2026,4,9),tblDaily[WardCode],"MW")),"")</f>
        <v/>
      </c>
      <c r="D132" s="29" t="str">
        <f>IFERROR(IF(SUMIFS(tblDaily[Deaths],tblDaily[EntryDate],DATE(2026,4,9),tblDaily[WardCode],"MW")=0,"",SUMIFS(tblDaily[Deaths],tblDaily[EntryDate],DATE(2026,4,9),tblDaily[WardCode],"MW")),"")</f>
        <v/>
      </c>
      <c r="E132" s="29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29" t="str">
        <f>IFERROR(IF(SUMIFS(tblDaily[TransfersIn],tblDaily[EntryDate],DATE(2026,4,9),tblDaily[WardCode],"MW")=0,"",SUMIFS(tblDaily[TransfersIn],tblDaily[EntryDate],DATE(2026,4,9),tblDaily[WardCode],"MW")),"")</f>
        <v/>
      </c>
      <c r="G132" s="29" t="str">
        <f>IFERROR(IF(SUMIFS(tblDaily[TransfersOut],tblDaily[EntryDate],DATE(2026,4,9),tblDaily[WardCode],"MW")=0,"",SUMIFS(tblDaily[TransfersOut],tblDaily[EntryDate],DATE(2026,4,9),tblDaily[WardCode],"MW")),"")</f>
        <v/>
      </c>
      <c r="H132" s="29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IFERROR(IF(SUMIFS(tblDaily[Admissions],tblDaily[EntryDate],DATE(2026,4,10),tblDaily[WardCode],"MW")=0,"",SUMIFS(tblDaily[Admissions],tblDaily[EntryDate],DATE(2026,4,10),tblDaily[WardCode],"MW")),"")</f>
        <v/>
      </c>
      <c r="C133" s="29" t="str">
        <f>IFERROR(IF(SUMIFS(tblDaily[Discharges],tblDaily[EntryDate],DATE(2026,4,10),tblDaily[WardCode],"MW")=0,"",SUMIFS(tblDaily[Discharges],tblDaily[EntryDate],DATE(2026,4,10),tblDaily[WardCode],"MW")),"")</f>
        <v/>
      </c>
      <c r="D133" s="29" t="str">
        <f>IFERROR(IF(SUMIFS(tblDaily[Deaths],tblDaily[EntryDate],DATE(2026,4,10),tblDaily[WardCode],"MW")=0,"",SUMIFS(tblDaily[Deaths],tblDaily[EntryDate],DATE(2026,4,10),tblDaily[WardCode],"MW")),"")</f>
        <v/>
      </c>
      <c r="E133" s="29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29" t="str">
        <f>IFERROR(IF(SUMIFS(tblDaily[TransfersIn],tblDaily[EntryDate],DATE(2026,4,10),tblDaily[WardCode],"MW")=0,"",SUMIFS(tblDaily[TransfersIn],tblDaily[EntryDate],DATE(2026,4,10),tblDaily[WardCode],"MW")),"")</f>
        <v/>
      </c>
      <c r="G133" s="29" t="str">
        <f>IFERROR(IF(SUMIFS(tblDaily[TransfersOut],tblDaily[EntryDate],DATE(2026,4,10),tblDaily[WardCode],"MW")=0,"",SUMIFS(tblDaily[TransfersOut],tblDaily[EntryDate],DATE(2026,4,10),tblDaily[WardCode],"MW")),"")</f>
        <v/>
      </c>
      <c r="H133" s="29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IFERROR(IF(SUMIFS(tblDaily[Admissions],tblDaily[EntryDate],DATE(2026,4,11),tblDaily[WardCode],"MW")=0,"",SUMIFS(tblDaily[Admissions],tblDaily[EntryDate],DATE(2026,4,11),tblDaily[WardCode],"MW")),"")</f>
        <v/>
      </c>
      <c r="C134" s="29" t="str">
        <f>IFERROR(IF(SUMIFS(tblDaily[Discharges],tblDaily[EntryDate],DATE(2026,4,11),tblDaily[WardCode],"MW")=0,"",SUMIFS(tblDaily[Discharges],tblDaily[EntryDate],DATE(2026,4,11),tblDaily[WardCode],"MW")),"")</f>
        <v/>
      </c>
      <c r="D134" s="29" t="str">
        <f>IFERROR(IF(SUMIFS(tblDaily[Deaths],tblDaily[EntryDate],DATE(2026,4,11),tblDaily[WardCode],"MW")=0,"",SUMIFS(tblDaily[Deaths],tblDaily[EntryDate],DATE(2026,4,11),tblDaily[WardCode],"MW")),"")</f>
        <v/>
      </c>
      <c r="E134" s="29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29" t="str">
        <f>IFERROR(IF(SUMIFS(tblDaily[TransfersIn],tblDaily[EntryDate],DATE(2026,4,11),tblDaily[WardCode],"MW")=0,"",SUMIFS(tblDaily[TransfersIn],tblDaily[EntryDate],DATE(2026,4,11),tblDaily[WardCode],"MW")),"")</f>
        <v/>
      </c>
      <c r="G134" s="29" t="str">
        <f>IFERROR(IF(SUMIFS(tblDaily[TransfersOut],tblDaily[EntryDate],DATE(2026,4,11),tblDaily[WardCode],"MW")=0,"",SUMIFS(tblDaily[TransfersOut],tblDaily[EntryDate],DATE(2026,4,11),tblDaily[WardCode],"MW")),"")</f>
        <v/>
      </c>
      <c r="H134" s="29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IFERROR(IF(SUMIFS(tblDaily[Admissions],tblDaily[EntryDate],DATE(2026,4,12),tblDaily[WardCode],"MW")=0,"",SUMIFS(tblDaily[Admissions],tblDaily[EntryDate],DATE(2026,4,12),tblDaily[WardCode],"MW")),"")</f>
        <v/>
      </c>
      <c r="C135" s="29" t="str">
        <f>IFERROR(IF(SUMIFS(tblDaily[Discharges],tblDaily[EntryDate],DATE(2026,4,12),tblDaily[WardCode],"MW")=0,"",SUMIFS(tblDaily[Discharges],tblDaily[EntryDate],DATE(2026,4,12),tblDaily[WardCode],"MW")),"")</f>
        <v/>
      </c>
      <c r="D135" s="29" t="str">
        <f>IFERROR(IF(SUMIFS(tblDaily[Deaths],tblDaily[EntryDate],DATE(2026,4,12),tblDaily[WardCode],"MW")=0,"",SUMIFS(tblDaily[Deaths],tblDaily[EntryDate],DATE(2026,4,12),tblDaily[WardCode],"MW")),"")</f>
        <v/>
      </c>
      <c r="E135" s="29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29" t="str">
        <f>IFERROR(IF(SUMIFS(tblDaily[TransfersIn],tblDaily[EntryDate],DATE(2026,4,12),tblDaily[WardCode],"MW")=0,"",SUMIFS(tblDaily[TransfersIn],tblDaily[EntryDate],DATE(2026,4,12),tblDaily[WardCode],"MW")),"")</f>
        <v/>
      </c>
      <c r="G135" s="29" t="str">
        <f>IFERROR(IF(SUMIFS(tblDaily[TransfersOut],tblDaily[EntryDate],DATE(2026,4,12),tblDaily[WardCode],"MW")=0,"",SUMIFS(tblDaily[TransfersOut],tblDaily[EntryDate],DATE(2026,4,12),tblDaily[WardCode],"MW")),"")</f>
        <v/>
      </c>
      <c r="H135" s="29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IFERROR(IF(SUMIFS(tblDaily[Admissions],tblDaily[EntryDate],DATE(2026,4,13),tblDaily[WardCode],"MW")=0,"",SUMIFS(tblDaily[Admissions],tblDaily[EntryDate],DATE(2026,4,13),tblDaily[WardCode],"MW")),"")</f>
        <v/>
      </c>
      <c r="C136" s="29" t="str">
        <f>IFERROR(IF(SUMIFS(tblDaily[Discharges],tblDaily[EntryDate],DATE(2026,4,13),tblDaily[WardCode],"MW")=0,"",SUMIFS(tblDaily[Discharges],tblDaily[EntryDate],DATE(2026,4,13),tblDaily[WardCode],"MW")),"")</f>
        <v/>
      </c>
      <c r="D136" s="29" t="str">
        <f>IFERROR(IF(SUMIFS(tblDaily[Deaths],tblDaily[EntryDate],DATE(2026,4,13),tblDaily[WardCode],"MW")=0,"",SUMIFS(tblDaily[Deaths],tblDaily[EntryDate],DATE(2026,4,13),tblDaily[WardCode],"MW")),"")</f>
        <v/>
      </c>
      <c r="E136" s="29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29" t="str">
        <f>IFERROR(IF(SUMIFS(tblDaily[TransfersIn],tblDaily[EntryDate],DATE(2026,4,13),tblDaily[WardCode],"MW")=0,"",SUMIFS(tblDaily[TransfersIn],tblDaily[EntryDate],DATE(2026,4,13),tblDaily[WardCode],"MW")),"")</f>
        <v/>
      </c>
      <c r="G136" s="29" t="str">
        <f>IFERROR(IF(SUMIFS(tblDaily[TransfersOut],tblDaily[EntryDate],DATE(2026,4,13),tblDaily[WardCode],"MW")=0,"",SUMIFS(tblDaily[TransfersOut],tblDaily[EntryDate],DATE(2026,4,13),tblDaily[WardCode],"MW")),"")</f>
        <v/>
      </c>
      <c r="H136" s="29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IFERROR(IF(SUMIFS(tblDaily[Admissions],tblDaily[EntryDate],DATE(2026,4,14),tblDaily[WardCode],"MW")=0,"",SUMIFS(tblDaily[Admissions],tblDaily[EntryDate],DATE(2026,4,14),tblDaily[WardCode],"MW")),"")</f>
        <v/>
      </c>
      <c r="C137" s="29" t="str">
        <f>IFERROR(IF(SUMIFS(tblDaily[Discharges],tblDaily[EntryDate],DATE(2026,4,14),tblDaily[WardCode],"MW")=0,"",SUMIFS(tblDaily[Discharges],tblDaily[EntryDate],DATE(2026,4,14),tblDaily[WardCode],"MW")),"")</f>
        <v/>
      </c>
      <c r="D137" s="29" t="str">
        <f>IFERROR(IF(SUMIFS(tblDaily[Deaths],tblDaily[EntryDate],DATE(2026,4,14),tblDaily[WardCode],"MW")=0,"",SUMIFS(tblDaily[Deaths],tblDaily[EntryDate],DATE(2026,4,14),tblDaily[WardCode],"MW")),"")</f>
        <v/>
      </c>
      <c r="E137" s="29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29" t="str">
        <f>IFERROR(IF(SUMIFS(tblDaily[TransfersIn],tblDaily[EntryDate],DATE(2026,4,14),tblDaily[WardCode],"MW")=0,"",SUMIFS(tblDaily[TransfersIn],tblDaily[EntryDate],DATE(2026,4,14),tblDaily[WardCode],"MW")),"")</f>
        <v/>
      </c>
      <c r="G137" s="29" t="str">
        <f>IFERROR(IF(SUMIFS(tblDaily[TransfersOut],tblDaily[EntryDate],DATE(2026,4,14),tblDaily[WardCode],"MW")=0,"",SUMIFS(tblDaily[TransfersOut],tblDaily[EntryDate],DATE(2026,4,14),tblDaily[WardCode],"MW")),"")</f>
        <v/>
      </c>
      <c r="H137" s="29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IFERROR(IF(SUMIFS(tblDaily[Admissions],tblDaily[EntryDate],DATE(2026,4,15),tblDaily[WardCode],"MW")=0,"",SUMIFS(tblDaily[Admissions],tblDaily[EntryDate],DATE(2026,4,15),tblDaily[WardCode],"MW")),"")</f>
        <v/>
      </c>
      <c r="C138" s="29" t="str">
        <f>IFERROR(IF(SUMIFS(tblDaily[Discharges],tblDaily[EntryDate],DATE(2026,4,15),tblDaily[WardCode],"MW")=0,"",SUMIFS(tblDaily[Discharges],tblDaily[EntryDate],DATE(2026,4,15),tblDaily[WardCode],"MW")),"")</f>
        <v/>
      </c>
      <c r="D138" s="29" t="str">
        <f>IFERROR(IF(SUMIFS(tblDaily[Deaths],tblDaily[EntryDate],DATE(2026,4,15),tblDaily[WardCode],"MW")=0,"",SUMIFS(tblDaily[Deaths],tblDaily[EntryDate],DATE(2026,4,15),tblDaily[WardCode],"MW")),"")</f>
        <v/>
      </c>
      <c r="E138" s="29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29" t="str">
        <f>IFERROR(IF(SUMIFS(tblDaily[TransfersIn],tblDaily[EntryDate],DATE(2026,4,15),tblDaily[WardCode],"MW")=0,"",SUMIFS(tblDaily[TransfersIn],tblDaily[EntryDate],DATE(2026,4,15),tblDaily[WardCode],"MW")),"")</f>
        <v/>
      </c>
      <c r="G138" s="29" t="str">
        <f>IFERROR(IF(SUMIFS(tblDaily[TransfersOut],tblDaily[EntryDate],DATE(2026,4,15),tblDaily[WardCode],"MW")=0,"",SUMIFS(tblDaily[TransfersOut],tblDaily[EntryDate],DATE(2026,4,15),tblDaily[WardCode],"MW")),"")</f>
        <v/>
      </c>
      <c r="H138" s="29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IFERROR(IF(SUMIFS(tblDaily[Admissions],tblDaily[EntryDate],DATE(2026,4,16),tblDaily[WardCode],"MW")=0,"",SUMIFS(tblDaily[Admissions],tblDaily[EntryDate],DATE(2026,4,16),tblDaily[WardCode],"MW")),"")</f>
        <v/>
      </c>
      <c r="C139" s="29" t="str">
        <f>IFERROR(IF(SUMIFS(tblDaily[Discharges],tblDaily[EntryDate],DATE(2026,4,16),tblDaily[WardCode],"MW")=0,"",SUMIFS(tblDaily[Discharges],tblDaily[EntryDate],DATE(2026,4,16),tblDaily[WardCode],"MW")),"")</f>
        <v/>
      </c>
      <c r="D139" s="29" t="str">
        <f>IFERROR(IF(SUMIFS(tblDaily[Deaths],tblDaily[EntryDate],DATE(2026,4,16),tblDaily[WardCode],"MW")=0,"",SUMIFS(tblDaily[Deaths],tblDaily[EntryDate],DATE(2026,4,16),tblDaily[WardCode],"MW")),"")</f>
        <v/>
      </c>
      <c r="E139" s="29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29" t="str">
        <f>IFERROR(IF(SUMIFS(tblDaily[TransfersIn],tblDaily[EntryDate],DATE(2026,4,16),tblDaily[WardCode],"MW")=0,"",SUMIFS(tblDaily[TransfersIn],tblDaily[EntryDate],DATE(2026,4,16),tblDaily[WardCode],"MW")),"")</f>
        <v/>
      </c>
      <c r="G139" s="29" t="str">
        <f>IFERROR(IF(SUMIFS(tblDaily[TransfersOut],tblDaily[EntryDate],DATE(2026,4,16),tblDaily[WardCode],"MW")=0,"",SUMIFS(tblDaily[TransfersOut],tblDaily[EntryDate],DATE(2026,4,16),tblDaily[WardCode],"MW")),"")</f>
        <v/>
      </c>
      <c r="H139" s="29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IFERROR(IF(SUMIFS(tblDaily[Admissions],tblDaily[EntryDate],DATE(2026,4,17),tblDaily[WardCode],"MW")=0,"",SUMIFS(tblDaily[Admissions],tblDaily[EntryDate],DATE(2026,4,17),tblDaily[WardCode],"MW")),"")</f>
        <v/>
      </c>
      <c r="C140" s="29" t="str">
        <f>IFERROR(IF(SUMIFS(tblDaily[Discharges],tblDaily[EntryDate],DATE(2026,4,17),tblDaily[WardCode],"MW")=0,"",SUMIFS(tblDaily[Discharges],tblDaily[EntryDate],DATE(2026,4,17),tblDaily[WardCode],"MW")),"")</f>
        <v/>
      </c>
      <c r="D140" s="29" t="str">
        <f>IFERROR(IF(SUMIFS(tblDaily[Deaths],tblDaily[EntryDate],DATE(2026,4,17),tblDaily[WardCode],"MW")=0,"",SUMIFS(tblDaily[Deaths],tblDaily[EntryDate],DATE(2026,4,17),tblDaily[WardCode],"MW")),"")</f>
        <v/>
      </c>
      <c r="E140" s="29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29" t="str">
        <f>IFERROR(IF(SUMIFS(tblDaily[TransfersIn],tblDaily[EntryDate],DATE(2026,4,17),tblDaily[WardCode],"MW")=0,"",SUMIFS(tblDaily[TransfersIn],tblDaily[EntryDate],DATE(2026,4,17),tblDaily[WardCode],"MW")),"")</f>
        <v/>
      </c>
      <c r="G140" s="29" t="str">
        <f>IFERROR(IF(SUMIFS(tblDaily[TransfersOut],tblDaily[EntryDate],DATE(2026,4,17),tblDaily[WardCode],"MW")=0,"",SUMIFS(tblDaily[TransfersOut],tblDaily[EntryDate],DATE(2026,4,17),tblDaily[WardCode],"MW")),"")</f>
        <v/>
      </c>
      <c r="H140" s="29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IFERROR(IF(SUMIFS(tblDaily[Admissions],tblDaily[EntryDate],DATE(2026,4,18),tblDaily[WardCode],"MW")=0,"",SUMIFS(tblDaily[Admissions],tblDaily[EntryDate],DATE(2026,4,18),tblDaily[WardCode],"MW")),"")</f>
        <v/>
      </c>
      <c r="C141" s="29" t="str">
        <f>IFERROR(IF(SUMIFS(tblDaily[Discharges],tblDaily[EntryDate],DATE(2026,4,18),tblDaily[WardCode],"MW")=0,"",SUMIFS(tblDaily[Discharges],tblDaily[EntryDate],DATE(2026,4,18),tblDaily[WardCode],"MW")),"")</f>
        <v/>
      </c>
      <c r="D141" s="29" t="str">
        <f>IFERROR(IF(SUMIFS(tblDaily[Deaths],tblDaily[EntryDate],DATE(2026,4,18),tblDaily[WardCode],"MW")=0,"",SUMIFS(tblDaily[Deaths],tblDaily[EntryDate],DATE(2026,4,18),tblDaily[WardCode],"MW")),"")</f>
        <v/>
      </c>
      <c r="E141" s="29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29" t="str">
        <f>IFERROR(IF(SUMIFS(tblDaily[TransfersIn],tblDaily[EntryDate],DATE(2026,4,18),tblDaily[WardCode],"MW")=0,"",SUMIFS(tblDaily[TransfersIn],tblDaily[EntryDate],DATE(2026,4,18),tblDaily[WardCode],"MW")),"")</f>
        <v/>
      </c>
      <c r="G141" s="29" t="str">
        <f>IFERROR(IF(SUMIFS(tblDaily[TransfersOut],tblDaily[EntryDate],DATE(2026,4,18),tblDaily[WardCode],"MW")=0,"",SUMIFS(tblDaily[TransfersOut],tblDaily[EntryDate],DATE(2026,4,18),tblDaily[WardCode],"MW")),"")</f>
        <v/>
      </c>
      <c r="H141" s="29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IFERROR(IF(SUMIFS(tblDaily[Admissions],tblDaily[EntryDate],DATE(2026,4,19),tblDaily[WardCode],"MW")=0,"",SUMIFS(tblDaily[Admissions],tblDaily[EntryDate],DATE(2026,4,19),tblDaily[WardCode],"MW")),"")</f>
        <v/>
      </c>
      <c r="C142" s="29" t="str">
        <f>IFERROR(IF(SUMIFS(tblDaily[Discharges],tblDaily[EntryDate],DATE(2026,4,19),tblDaily[WardCode],"MW")=0,"",SUMIFS(tblDaily[Discharges],tblDaily[EntryDate],DATE(2026,4,19),tblDaily[WardCode],"MW")),"")</f>
        <v/>
      </c>
      <c r="D142" s="29" t="str">
        <f>IFERROR(IF(SUMIFS(tblDaily[Deaths],tblDaily[EntryDate],DATE(2026,4,19),tblDaily[WardCode],"MW")=0,"",SUMIFS(tblDaily[Deaths],tblDaily[EntryDate],DATE(2026,4,19),tblDaily[WardCode],"MW")),"")</f>
        <v/>
      </c>
      <c r="E142" s="29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29" t="str">
        <f>IFERROR(IF(SUMIFS(tblDaily[TransfersIn],tblDaily[EntryDate],DATE(2026,4,19),tblDaily[WardCode],"MW")=0,"",SUMIFS(tblDaily[TransfersIn],tblDaily[EntryDate],DATE(2026,4,19),tblDaily[WardCode],"MW")),"")</f>
        <v/>
      </c>
      <c r="G142" s="29" t="str">
        <f>IFERROR(IF(SUMIFS(tblDaily[TransfersOut],tblDaily[EntryDate],DATE(2026,4,19),tblDaily[WardCode],"MW")=0,"",SUMIFS(tblDaily[TransfersOut],tblDaily[EntryDate],DATE(2026,4,19),tblDaily[WardCode],"MW")),"")</f>
        <v/>
      </c>
      <c r="H142" s="29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IFERROR(IF(SUMIFS(tblDaily[Admissions],tblDaily[EntryDate],DATE(2026,4,20),tblDaily[WardCode],"MW")=0,"",SUMIFS(tblDaily[Admissions],tblDaily[EntryDate],DATE(2026,4,20),tblDaily[WardCode],"MW")),"")</f>
        <v/>
      </c>
      <c r="C143" s="29" t="str">
        <f>IFERROR(IF(SUMIFS(tblDaily[Discharges],tblDaily[EntryDate],DATE(2026,4,20),tblDaily[WardCode],"MW")=0,"",SUMIFS(tblDaily[Discharges],tblDaily[EntryDate],DATE(2026,4,20),tblDaily[WardCode],"MW")),"")</f>
        <v/>
      </c>
      <c r="D143" s="29" t="str">
        <f>IFERROR(IF(SUMIFS(tblDaily[Deaths],tblDaily[EntryDate],DATE(2026,4,20),tblDaily[WardCode],"MW")=0,"",SUMIFS(tblDaily[Deaths],tblDaily[EntryDate],DATE(2026,4,20),tblDaily[WardCode],"MW")),"")</f>
        <v/>
      </c>
      <c r="E143" s="29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29" t="str">
        <f>IFERROR(IF(SUMIFS(tblDaily[TransfersIn],tblDaily[EntryDate],DATE(2026,4,20),tblDaily[WardCode],"MW")=0,"",SUMIFS(tblDaily[TransfersIn],tblDaily[EntryDate],DATE(2026,4,20),tblDaily[WardCode],"MW")),"")</f>
        <v/>
      </c>
      <c r="G143" s="29" t="str">
        <f>IFERROR(IF(SUMIFS(tblDaily[TransfersOut],tblDaily[EntryDate],DATE(2026,4,20),tblDaily[WardCode],"MW")=0,"",SUMIFS(tblDaily[TransfersOut],tblDaily[EntryDate],DATE(2026,4,20),tblDaily[WardCode],"MW")),"")</f>
        <v/>
      </c>
      <c r="H143" s="29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IFERROR(IF(SUMIFS(tblDaily[Admissions],tblDaily[EntryDate],DATE(2026,4,21),tblDaily[WardCode],"MW")=0,"",SUMIFS(tblDaily[Admissions],tblDaily[EntryDate],DATE(2026,4,21),tblDaily[WardCode],"MW")),"")</f>
        <v/>
      </c>
      <c r="C144" s="29" t="str">
        <f>IFERROR(IF(SUMIFS(tblDaily[Discharges],tblDaily[EntryDate],DATE(2026,4,21),tblDaily[WardCode],"MW")=0,"",SUMIFS(tblDaily[Discharges],tblDaily[EntryDate],DATE(2026,4,21),tblDaily[WardCode],"MW")),"")</f>
        <v/>
      </c>
      <c r="D144" s="29" t="str">
        <f>IFERROR(IF(SUMIFS(tblDaily[Deaths],tblDaily[EntryDate],DATE(2026,4,21),tblDaily[WardCode],"MW")=0,"",SUMIFS(tblDaily[Deaths],tblDaily[EntryDate],DATE(2026,4,21),tblDaily[WardCode],"MW")),"")</f>
        <v/>
      </c>
      <c r="E144" s="29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29" t="str">
        <f>IFERROR(IF(SUMIFS(tblDaily[TransfersIn],tblDaily[EntryDate],DATE(2026,4,21),tblDaily[WardCode],"MW")=0,"",SUMIFS(tblDaily[TransfersIn],tblDaily[EntryDate],DATE(2026,4,21),tblDaily[WardCode],"MW")),"")</f>
        <v/>
      </c>
      <c r="G144" s="29" t="str">
        <f>IFERROR(IF(SUMIFS(tblDaily[TransfersOut],tblDaily[EntryDate],DATE(2026,4,21),tblDaily[WardCode],"MW")=0,"",SUMIFS(tblDaily[TransfersOut],tblDaily[EntryDate],DATE(2026,4,21),tblDaily[WardCode],"MW")),"")</f>
        <v/>
      </c>
      <c r="H144" s="29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IFERROR(IF(SUMIFS(tblDaily[Admissions],tblDaily[EntryDate],DATE(2026,4,22),tblDaily[WardCode],"MW")=0,"",SUMIFS(tblDaily[Admissions],tblDaily[EntryDate],DATE(2026,4,22),tblDaily[WardCode],"MW")),"")</f>
        <v/>
      </c>
      <c r="C145" s="29" t="str">
        <f>IFERROR(IF(SUMIFS(tblDaily[Discharges],tblDaily[EntryDate],DATE(2026,4,22),tblDaily[WardCode],"MW")=0,"",SUMIFS(tblDaily[Discharges],tblDaily[EntryDate],DATE(2026,4,22),tblDaily[WardCode],"MW")),"")</f>
        <v/>
      </c>
      <c r="D145" s="29" t="str">
        <f>IFERROR(IF(SUMIFS(tblDaily[Deaths],tblDaily[EntryDate],DATE(2026,4,22),tblDaily[WardCode],"MW")=0,"",SUMIFS(tblDaily[Deaths],tblDaily[EntryDate],DATE(2026,4,22),tblDaily[WardCode],"MW")),"")</f>
        <v/>
      </c>
      <c r="E145" s="29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29" t="str">
        <f>IFERROR(IF(SUMIFS(tblDaily[TransfersIn],tblDaily[EntryDate],DATE(2026,4,22),tblDaily[WardCode],"MW")=0,"",SUMIFS(tblDaily[TransfersIn],tblDaily[EntryDate],DATE(2026,4,22),tblDaily[WardCode],"MW")),"")</f>
        <v/>
      </c>
      <c r="G145" s="29" t="str">
        <f>IFERROR(IF(SUMIFS(tblDaily[TransfersOut],tblDaily[EntryDate],DATE(2026,4,22),tblDaily[WardCode],"MW")=0,"",SUMIFS(tblDaily[TransfersOut],tblDaily[EntryDate],DATE(2026,4,22),tblDaily[WardCode],"MW")),"")</f>
        <v/>
      </c>
      <c r="H145" s="29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IFERROR(IF(SUMIFS(tblDaily[Admissions],tblDaily[EntryDate],DATE(2026,4,23),tblDaily[WardCode],"MW")=0,"",SUMIFS(tblDaily[Admissions],tblDaily[EntryDate],DATE(2026,4,23),tblDaily[WardCode],"MW")),"")</f>
        <v/>
      </c>
      <c r="C146" s="29" t="str">
        <f>IFERROR(IF(SUMIFS(tblDaily[Discharges],tblDaily[EntryDate],DATE(2026,4,23),tblDaily[WardCode],"MW")=0,"",SUMIFS(tblDaily[Discharges],tblDaily[EntryDate],DATE(2026,4,23),tblDaily[WardCode],"MW")),"")</f>
        <v/>
      </c>
      <c r="D146" s="29" t="str">
        <f>IFERROR(IF(SUMIFS(tblDaily[Deaths],tblDaily[EntryDate],DATE(2026,4,23),tblDaily[WardCode],"MW")=0,"",SUMIFS(tblDaily[Deaths],tblDaily[EntryDate],DATE(2026,4,23),tblDaily[WardCode],"MW")),"")</f>
        <v/>
      </c>
      <c r="E146" s="29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29" t="str">
        <f>IFERROR(IF(SUMIFS(tblDaily[TransfersIn],tblDaily[EntryDate],DATE(2026,4,23),tblDaily[WardCode],"MW")=0,"",SUMIFS(tblDaily[TransfersIn],tblDaily[EntryDate],DATE(2026,4,23),tblDaily[WardCode],"MW")),"")</f>
        <v/>
      </c>
      <c r="G146" s="29" t="str">
        <f>IFERROR(IF(SUMIFS(tblDaily[TransfersOut],tblDaily[EntryDate],DATE(2026,4,23),tblDaily[WardCode],"MW")=0,"",SUMIFS(tblDaily[TransfersOut],tblDaily[EntryDate],DATE(2026,4,23),tblDaily[WardCode],"MW")),"")</f>
        <v/>
      </c>
      <c r="H146" s="29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IFERROR(IF(SUMIFS(tblDaily[Admissions],tblDaily[EntryDate],DATE(2026,4,24),tblDaily[WardCode],"MW")=0,"",SUMIFS(tblDaily[Admissions],tblDaily[EntryDate],DATE(2026,4,24),tblDaily[WardCode],"MW")),"")</f>
        <v/>
      </c>
      <c r="C147" s="29" t="str">
        <f>IFERROR(IF(SUMIFS(tblDaily[Discharges],tblDaily[EntryDate],DATE(2026,4,24),tblDaily[WardCode],"MW")=0,"",SUMIFS(tblDaily[Discharges],tblDaily[EntryDate],DATE(2026,4,24),tblDaily[WardCode],"MW")),"")</f>
        <v/>
      </c>
      <c r="D147" s="29" t="str">
        <f>IFERROR(IF(SUMIFS(tblDaily[Deaths],tblDaily[EntryDate],DATE(2026,4,24),tblDaily[WardCode],"MW")=0,"",SUMIFS(tblDaily[Deaths],tblDaily[EntryDate],DATE(2026,4,24),tblDaily[WardCode],"MW")),"")</f>
        <v/>
      </c>
      <c r="E147" s="29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29" t="str">
        <f>IFERROR(IF(SUMIFS(tblDaily[TransfersIn],tblDaily[EntryDate],DATE(2026,4,24),tblDaily[WardCode],"MW")=0,"",SUMIFS(tblDaily[TransfersIn],tblDaily[EntryDate],DATE(2026,4,24),tblDaily[WardCode],"MW")),"")</f>
        <v/>
      </c>
      <c r="G147" s="29" t="str">
        <f>IFERROR(IF(SUMIFS(tblDaily[TransfersOut],tblDaily[EntryDate],DATE(2026,4,24),tblDaily[WardCode],"MW")=0,"",SUMIFS(tblDaily[TransfersOut],tblDaily[EntryDate],DATE(2026,4,24),tblDaily[WardCode],"MW")),"")</f>
        <v/>
      </c>
      <c r="H147" s="29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IFERROR(IF(SUMIFS(tblDaily[Admissions],tblDaily[EntryDate],DATE(2026,4,25),tblDaily[WardCode],"MW")=0,"",SUMIFS(tblDaily[Admissions],tblDaily[EntryDate],DATE(2026,4,25),tblDaily[WardCode],"MW")),"")</f>
        <v/>
      </c>
      <c r="C148" s="29" t="str">
        <f>IFERROR(IF(SUMIFS(tblDaily[Discharges],tblDaily[EntryDate],DATE(2026,4,25),tblDaily[WardCode],"MW")=0,"",SUMIFS(tblDaily[Discharges],tblDaily[EntryDate],DATE(2026,4,25),tblDaily[WardCode],"MW")),"")</f>
        <v/>
      </c>
      <c r="D148" s="29" t="str">
        <f>IFERROR(IF(SUMIFS(tblDaily[Deaths],tblDaily[EntryDate],DATE(2026,4,25),tblDaily[WardCode],"MW")=0,"",SUMIFS(tblDaily[Deaths],tblDaily[EntryDate],DATE(2026,4,25),tblDaily[WardCode],"MW")),"")</f>
        <v/>
      </c>
      <c r="E148" s="29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29" t="str">
        <f>IFERROR(IF(SUMIFS(tblDaily[TransfersIn],tblDaily[EntryDate],DATE(2026,4,25),tblDaily[WardCode],"MW")=0,"",SUMIFS(tblDaily[TransfersIn],tblDaily[EntryDate],DATE(2026,4,25),tblDaily[WardCode],"MW")),"")</f>
        <v/>
      </c>
      <c r="G148" s="29" t="str">
        <f>IFERROR(IF(SUMIFS(tblDaily[TransfersOut],tblDaily[EntryDate],DATE(2026,4,25),tblDaily[WardCode],"MW")=0,"",SUMIFS(tblDaily[TransfersOut],tblDaily[EntryDate],DATE(2026,4,25),tblDaily[WardCode],"MW")),"")</f>
        <v/>
      </c>
      <c r="H148" s="29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IFERROR(IF(SUMIFS(tblDaily[Admissions],tblDaily[EntryDate],DATE(2026,4,26),tblDaily[WardCode],"MW")=0,"",SUMIFS(tblDaily[Admissions],tblDaily[EntryDate],DATE(2026,4,26),tblDaily[WardCode],"MW")),"")</f>
        <v/>
      </c>
      <c r="C149" s="29" t="str">
        <f>IFERROR(IF(SUMIFS(tblDaily[Discharges],tblDaily[EntryDate],DATE(2026,4,26),tblDaily[WardCode],"MW")=0,"",SUMIFS(tblDaily[Discharges],tblDaily[EntryDate],DATE(2026,4,26),tblDaily[WardCode],"MW")),"")</f>
        <v/>
      </c>
      <c r="D149" s="29" t="str">
        <f>IFERROR(IF(SUMIFS(tblDaily[Deaths],tblDaily[EntryDate],DATE(2026,4,26),tblDaily[WardCode],"MW")=0,"",SUMIFS(tblDaily[Deaths],tblDaily[EntryDate],DATE(2026,4,26),tblDaily[WardCode],"MW")),"")</f>
        <v/>
      </c>
      <c r="E149" s="29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29" t="str">
        <f>IFERROR(IF(SUMIFS(tblDaily[TransfersIn],tblDaily[EntryDate],DATE(2026,4,26),tblDaily[WardCode],"MW")=0,"",SUMIFS(tblDaily[TransfersIn],tblDaily[EntryDate],DATE(2026,4,26),tblDaily[WardCode],"MW")),"")</f>
        <v/>
      </c>
      <c r="G149" s="29" t="str">
        <f>IFERROR(IF(SUMIFS(tblDaily[TransfersOut],tblDaily[EntryDate],DATE(2026,4,26),tblDaily[WardCode],"MW")=0,"",SUMIFS(tblDaily[TransfersOut],tblDaily[EntryDate],DATE(2026,4,26),tblDaily[WardCode],"MW")),"")</f>
        <v/>
      </c>
      <c r="H149" s="29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IFERROR(IF(SUMIFS(tblDaily[Admissions],tblDaily[EntryDate],DATE(2026,4,27),tblDaily[WardCode],"MW")=0,"",SUMIFS(tblDaily[Admissions],tblDaily[EntryDate],DATE(2026,4,27),tblDaily[WardCode],"MW")),"")</f>
        <v/>
      </c>
      <c r="C150" s="29" t="str">
        <f>IFERROR(IF(SUMIFS(tblDaily[Discharges],tblDaily[EntryDate],DATE(2026,4,27),tblDaily[WardCode],"MW")=0,"",SUMIFS(tblDaily[Discharges],tblDaily[EntryDate],DATE(2026,4,27),tblDaily[WardCode],"MW")),"")</f>
        <v/>
      </c>
      <c r="D150" s="29" t="str">
        <f>IFERROR(IF(SUMIFS(tblDaily[Deaths],tblDaily[EntryDate],DATE(2026,4,27),tblDaily[WardCode],"MW")=0,"",SUMIFS(tblDaily[Deaths],tblDaily[EntryDate],DATE(2026,4,27),tblDaily[WardCode],"MW")),"")</f>
        <v/>
      </c>
      <c r="E150" s="29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29" t="str">
        <f>IFERROR(IF(SUMIFS(tblDaily[TransfersIn],tblDaily[EntryDate],DATE(2026,4,27),tblDaily[WardCode],"MW")=0,"",SUMIFS(tblDaily[TransfersIn],tblDaily[EntryDate],DATE(2026,4,27),tblDaily[WardCode],"MW")),"")</f>
        <v/>
      </c>
      <c r="G150" s="29" t="str">
        <f>IFERROR(IF(SUMIFS(tblDaily[TransfersOut],tblDaily[EntryDate],DATE(2026,4,27),tblDaily[WardCode],"MW")=0,"",SUMIFS(tblDaily[TransfersOut],tblDaily[EntryDate],DATE(2026,4,27),tblDaily[WardCode],"MW")),"")</f>
        <v/>
      </c>
      <c r="H150" s="29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IFERROR(IF(SUMIFS(tblDaily[Admissions],tblDaily[EntryDate],DATE(2026,4,28),tblDaily[WardCode],"MW")=0,"",SUMIFS(tblDaily[Admissions],tblDaily[EntryDate],DATE(2026,4,28),tblDaily[WardCode],"MW")),"")</f>
        <v/>
      </c>
      <c r="C151" s="29" t="str">
        <f>IFERROR(IF(SUMIFS(tblDaily[Discharges],tblDaily[EntryDate],DATE(2026,4,28),tblDaily[WardCode],"MW")=0,"",SUMIFS(tblDaily[Discharges],tblDaily[EntryDate],DATE(2026,4,28),tblDaily[WardCode],"MW")),"")</f>
        <v/>
      </c>
      <c r="D151" s="29" t="str">
        <f>IFERROR(IF(SUMIFS(tblDaily[Deaths],tblDaily[EntryDate],DATE(2026,4,28),tblDaily[WardCode],"MW")=0,"",SUMIFS(tblDaily[Deaths],tblDaily[EntryDate],DATE(2026,4,28),tblDaily[WardCode],"MW")),"")</f>
        <v/>
      </c>
      <c r="E151" s="29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29" t="str">
        <f>IFERROR(IF(SUMIFS(tblDaily[TransfersIn],tblDaily[EntryDate],DATE(2026,4,28),tblDaily[WardCode],"MW")=0,"",SUMIFS(tblDaily[TransfersIn],tblDaily[EntryDate],DATE(2026,4,28),tblDaily[WardCode],"MW")),"")</f>
        <v/>
      </c>
      <c r="G151" s="29" t="str">
        <f>IFERROR(IF(SUMIFS(tblDaily[TransfersOut],tblDaily[EntryDate],DATE(2026,4,28),tblDaily[WardCode],"MW")=0,"",SUMIFS(tblDaily[TransfersOut],tblDaily[EntryDate],DATE(2026,4,28),tblDaily[WardCode],"MW")),"")</f>
        <v/>
      </c>
      <c r="H151" s="29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IFERROR(IF(SUMIFS(tblDaily[Admissions],tblDaily[EntryDate],DATE(2026,4,29),tblDaily[WardCode],"MW")=0,"",SUMIFS(tblDaily[Admissions],tblDaily[EntryDate],DATE(2026,4,29),tblDaily[WardCode],"MW")),"")</f>
        <v/>
      </c>
      <c r="C152" s="29" t="str">
        <f>IFERROR(IF(SUMIFS(tblDaily[Discharges],tblDaily[EntryDate],DATE(2026,4,29),tblDaily[WardCode],"MW")=0,"",SUMIFS(tblDaily[Discharges],tblDaily[EntryDate],DATE(2026,4,29),tblDaily[WardCode],"MW")),"")</f>
        <v/>
      </c>
      <c r="D152" s="29" t="str">
        <f>IFERROR(IF(SUMIFS(tblDaily[Deaths],tblDaily[EntryDate],DATE(2026,4,29),tblDaily[WardCode],"MW")=0,"",SUMIFS(tblDaily[Deaths],tblDaily[EntryDate],DATE(2026,4,29),tblDaily[WardCode],"MW")),"")</f>
        <v/>
      </c>
      <c r="E152" s="29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29" t="str">
        <f>IFERROR(IF(SUMIFS(tblDaily[TransfersIn],tblDaily[EntryDate],DATE(2026,4,29),tblDaily[WardCode],"MW")=0,"",SUMIFS(tblDaily[TransfersIn],tblDaily[EntryDate],DATE(2026,4,29),tblDaily[WardCode],"MW")),"")</f>
        <v/>
      </c>
      <c r="G152" s="29" t="str">
        <f>IFERROR(IF(SUMIFS(tblDaily[TransfersOut],tblDaily[EntryDate],DATE(2026,4,29),tblDaily[WardCode],"MW")=0,"",SUMIFS(tblDaily[TransfersOut],tblDaily[EntryDate],DATE(2026,4,29),tblDaily[WardCode],"MW")),"")</f>
        <v/>
      </c>
      <c r="H152" s="29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IFERROR(IF(SUMIFS(tblDaily[Admissions],tblDaily[EntryDate],DATE(2026,4,30),tblDaily[WardCode],"MW")=0,"",SUMIFS(tblDaily[Admissions],tblDaily[EntryDate],DATE(2026,4,30),tblDaily[WardCode],"MW")),"")</f>
        <v/>
      </c>
      <c r="C153" s="29" t="str">
        <f>IFERROR(IF(SUMIFS(tblDaily[Discharges],tblDaily[EntryDate],DATE(2026,4,30),tblDaily[WardCode],"MW")=0,"",SUMIFS(tblDaily[Discharges],tblDaily[EntryDate],DATE(2026,4,30),tblDaily[WardCode],"MW")),"")</f>
        <v/>
      </c>
      <c r="D153" s="29" t="str">
        <f>IFERROR(IF(SUMIFS(tblDaily[Deaths],tblDaily[EntryDate],DATE(2026,4,30),tblDaily[WardCode],"MW")=0,"",SUMIFS(tblDaily[Deaths],tblDaily[EntryDate],DATE(2026,4,30),tblDaily[WardCode],"MW")),"")</f>
        <v/>
      </c>
      <c r="E153" s="29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29" t="str">
        <f>IFERROR(IF(SUMIFS(tblDaily[TransfersIn],tblDaily[EntryDate],DATE(2026,4,30),tblDaily[WardCode],"MW")=0,"",SUMIFS(tblDaily[TransfersIn],tblDaily[EntryDate],DATE(2026,4,30),tblDaily[WardCode],"MW")),"")</f>
        <v/>
      </c>
      <c r="G153" s="29" t="str">
        <f>IFERROR(IF(SUMIFS(tblDaily[TransfersOut],tblDaily[EntryDate],DATE(2026,4,30),tblDaily[WardCode],"MW")=0,"",SUMIFS(tblDaily[TransfersOut],tblDaily[EntryDate],DATE(2026,4,30),tblDaily[WardCode],"MW")),"")</f>
        <v/>
      </c>
      <c r="H153" s="29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SUMIFS(tblDaily[Admissions],tblDaily[Month],4,tblDaily[WardCode],"MW") - SUMIFS(tblDaily[DeathsUnder24Hrs],tblDaily[Month],4,tblDaily[WardCode],"MW")</f>
        <v>12</v>
      </c>
      <c r="C155" s="30">
        <f>SUMIFS(tblDaily[Discharges],tblDaily[Month],4,tblDaily[WardCode],"MW")</f>
        <v>21</v>
      </c>
      <c r="D155" s="30">
        <f>SUMIFS(tblDaily[Deaths],tblDaily[Month],4,tblDaily[WardCode],"MW")</f>
        <v>1</v>
      </c>
      <c r="E155" s="30">
        <f>SUMIFS(tblDaily[DeathsUnder24Hrs],tblDaily[Month],4,tblDaily[WardCode],"MW")</f>
        <v>0</v>
      </c>
      <c r="F155" s="30">
        <f>SUMIFS(tblDaily[TransfersIn],tblDaily[Month],4,tblDaily[WardCode],"MW")</f>
        <v>5</v>
      </c>
      <c r="G155" s="30">
        <f>SUMIFS(tblDaily[TransfersOut],tblDaily[Month],4,tblDaily[WardCode],"MW")</f>
        <v>0</v>
      </c>
      <c r="H155" s="30">
        <f>SUMIFS(tblDaily[Remaining],tblDaily[Month],4,tblDaily[WardCode],"MW")</f>
        <v>100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106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IFERROR(SUMIFS(tblDaily[Remaining],tblDaily[EntryDate],DATE(2026,4,30),tblDaily[WardCode],"MW"),0)</f>
        <v>0</v>
      </c>
    </row>
    <row r="161" spans="1:8" x14ac:dyDescent="0.25">
      <c r="A161" s="24" t="s">
        <v>109</v>
      </c>
      <c r="H161" s="27">
        <f>IFERROR(INDEX(tblWardConfig[BedComplement],MATCH("MW",tblWardConfig[WardCode],0)),0)</f>
        <v>32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IFERROR(IF(SUMIFS(tblDaily[Admissions],tblDaily[EntryDate],DATE(2026,5,1),tblDaily[WardCode],"MW")=0,"",SUMIFS(tblDaily[Admissions],tblDaily[EntryDate],DATE(2026,5,1),tblDaily[WardCode],"MW")),"")</f>
        <v/>
      </c>
      <c r="C163" s="29" t="str">
        <f>IFERROR(IF(SUMIFS(tblDaily[Discharges],tblDaily[EntryDate],DATE(2026,5,1),tblDaily[WardCode],"MW")=0,"",SUMIFS(tblDaily[Discharges],tblDaily[EntryDate],DATE(2026,5,1),tblDaily[WardCode],"MW")),"")</f>
        <v/>
      </c>
      <c r="D163" s="29" t="str">
        <f>IFERROR(IF(SUMIFS(tblDaily[Deaths],tblDaily[EntryDate],DATE(2026,5,1),tblDaily[WardCode],"MW")=0,"",SUMIFS(tblDaily[Deaths],tblDaily[EntryDate],DATE(2026,5,1),tblDaily[WardCode],"MW")),"")</f>
        <v/>
      </c>
      <c r="E163" s="29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29" t="str">
        <f>IFERROR(IF(SUMIFS(tblDaily[TransfersIn],tblDaily[EntryDate],DATE(2026,5,1),tblDaily[WardCode],"MW")=0,"",SUMIFS(tblDaily[TransfersIn],tblDaily[EntryDate],DATE(2026,5,1),tblDaily[WardCode],"MW")),"")</f>
        <v/>
      </c>
      <c r="G163" s="29" t="str">
        <f>IFERROR(IF(SUMIFS(tblDaily[TransfersOut],tblDaily[EntryDate],DATE(2026,5,1),tblDaily[WardCode],"MW")=0,"",SUMIFS(tblDaily[TransfersOut],tblDaily[EntryDate],DATE(2026,5,1),tblDaily[WardCode],"MW")),"")</f>
        <v/>
      </c>
      <c r="H163" s="29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IFERROR(IF(SUMIFS(tblDaily[Admissions],tblDaily[EntryDate],DATE(2026,5,2),tblDaily[WardCode],"MW")=0,"",SUMIFS(tblDaily[Admissions],tblDaily[EntryDate],DATE(2026,5,2),tblDaily[WardCode],"MW")),"")</f>
        <v/>
      </c>
      <c r="C164" s="29" t="str">
        <f>IFERROR(IF(SUMIFS(tblDaily[Discharges],tblDaily[EntryDate],DATE(2026,5,2),tblDaily[WardCode],"MW")=0,"",SUMIFS(tblDaily[Discharges],tblDaily[EntryDate],DATE(2026,5,2),tblDaily[WardCode],"MW")),"")</f>
        <v/>
      </c>
      <c r="D164" s="29" t="str">
        <f>IFERROR(IF(SUMIFS(tblDaily[Deaths],tblDaily[EntryDate],DATE(2026,5,2),tblDaily[WardCode],"MW")=0,"",SUMIFS(tblDaily[Deaths],tblDaily[EntryDate],DATE(2026,5,2),tblDaily[WardCode],"MW")),"")</f>
        <v/>
      </c>
      <c r="E164" s="29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29" t="str">
        <f>IFERROR(IF(SUMIFS(tblDaily[TransfersIn],tblDaily[EntryDate],DATE(2026,5,2),tblDaily[WardCode],"MW")=0,"",SUMIFS(tblDaily[TransfersIn],tblDaily[EntryDate],DATE(2026,5,2),tblDaily[WardCode],"MW")),"")</f>
        <v/>
      </c>
      <c r="G164" s="29" t="str">
        <f>IFERROR(IF(SUMIFS(tblDaily[TransfersOut],tblDaily[EntryDate],DATE(2026,5,2),tblDaily[WardCode],"MW")=0,"",SUMIFS(tblDaily[TransfersOut],tblDaily[EntryDate],DATE(2026,5,2),tblDaily[WardCode],"MW")),"")</f>
        <v/>
      </c>
      <c r="H164" s="29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IFERROR(IF(SUMIFS(tblDaily[Admissions],tblDaily[EntryDate],DATE(2026,5,3),tblDaily[WardCode],"MW")=0,"",SUMIFS(tblDaily[Admissions],tblDaily[EntryDate],DATE(2026,5,3),tblDaily[WardCode],"MW")),"")</f>
        <v/>
      </c>
      <c r="C165" s="29" t="str">
        <f>IFERROR(IF(SUMIFS(tblDaily[Discharges],tblDaily[EntryDate],DATE(2026,5,3),tblDaily[WardCode],"MW")=0,"",SUMIFS(tblDaily[Discharges],tblDaily[EntryDate],DATE(2026,5,3),tblDaily[WardCode],"MW")),"")</f>
        <v/>
      </c>
      <c r="D165" s="29" t="str">
        <f>IFERROR(IF(SUMIFS(tblDaily[Deaths],tblDaily[EntryDate],DATE(2026,5,3),tblDaily[WardCode],"MW")=0,"",SUMIFS(tblDaily[Deaths],tblDaily[EntryDate],DATE(2026,5,3),tblDaily[WardCode],"MW")),"")</f>
        <v/>
      </c>
      <c r="E165" s="29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29" t="str">
        <f>IFERROR(IF(SUMIFS(tblDaily[TransfersIn],tblDaily[EntryDate],DATE(2026,5,3),tblDaily[WardCode],"MW")=0,"",SUMIFS(tblDaily[TransfersIn],tblDaily[EntryDate],DATE(2026,5,3),tblDaily[WardCode],"MW")),"")</f>
        <v/>
      </c>
      <c r="G165" s="29" t="str">
        <f>IFERROR(IF(SUMIFS(tblDaily[TransfersOut],tblDaily[EntryDate],DATE(2026,5,3),tblDaily[WardCode],"MW")=0,"",SUMIFS(tblDaily[TransfersOut],tblDaily[EntryDate],DATE(2026,5,3),tblDaily[WardCode],"MW")),"")</f>
        <v/>
      </c>
      <c r="H165" s="29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IFERROR(IF(SUMIFS(tblDaily[Admissions],tblDaily[EntryDate],DATE(2026,5,4),tblDaily[WardCode],"MW")=0,"",SUMIFS(tblDaily[Admissions],tblDaily[EntryDate],DATE(2026,5,4),tblDaily[WardCode],"MW")),"")</f>
        <v/>
      </c>
      <c r="C166" s="29" t="str">
        <f>IFERROR(IF(SUMIFS(tblDaily[Discharges],tblDaily[EntryDate],DATE(2026,5,4),tblDaily[WardCode],"MW")=0,"",SUMIFS(tblDaily[Discharges],tblDaily[EntryDate],DATE(2026,5,4),tblDaily[WardCode],"MW")),"")</f>
        <v/>
      </c>
      <c r="D166" s="29" t="str">
        <f>IFERROR(IF(SUMIFS(tblDaily[Deaths],tblDaily[EntryDate],DATE(2026,5,4),tblDaily[WardCode],"MW")=0,"",SUMIFS(tblDaily[Deaths],tblDaily[EntryDate],DATE(2026,5,4),tblDaily[WardCode],"MW")),"")</f>
        <v/>
      </c>
      <c r="E166" s="29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29" t="str">
        <f>IFERROR(IF(SUMIFS(tblDaily[TransfersIn],tblDaily[EntryDate],DATE(2026,5,4),tblDaily[WardCode],"MW")=0,"",SUMIFS(tblDaily[TransfersIn],tblDaily[EntryDate],DATE(2026,5,4),tblDaily[WardCode],"MW")),"")</f>
        <v/>
      </c>
      <c r="G166" s="29" t="str">
        <f>IFERROR(IF(SUMIFS(tblDaily[TransfersOut],tblDaily[EntryDate],DATE(2026,5,4),tblDaily[WardCode],"MW")=0,"",SUMIFS(tblDaily[TransfersOut],tblDaily[EntryDate],DATE(2026,5,4),tblDaily[WardCode],"MW")),"")</f>
        <v/>
      </c>
      <c r="H166" s="29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IFERROR(IF(SUMIFS(tblDaily[Admissions],tblDaily[EntryDate],DATE(2026,5,5),tblDaily[WardCode],"MW")=0,"",SUMIFS(tblDaily[Admissions],tblDaily[EntryDate],DATE(2026,5,5),tblDaily[WardCode],"MW")),"")</f>
        <v/>
      </c>
      <c r="C167" s="29" t="str">
        <f>IFERROR(IF(SUMIFS(tblDaily[Discharges],tblDaily[EntryDate],DATE(2026,5,5),tblDaily[WardCode],"MW")=0,"",SUMIFS(tblDaily[Discharges],tblDaily[EntryDate],DATE(2026,5,5),tblDaily[WardCode],"MW")),"")</f>
        <v/>
      </c>
      <c r="D167" s="29" t="str">
        <f>IFERROR(IF(SUMIFS(tblDaily[Deaths],tblDaily[EntryDate],DATE(2026,5,5),tblDaily[WardCode],"MW")=0,"",SUMIFS(tblDaily[Deaths],tblDaily[EntryDate],DATE(2026,5,5),tblDaily[WardCode],"MW")),"")</f>
        <v/>
      </c>
      <c r="E167" s="29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29" t="str">
        <f>IFERROR(IF(SUMIFS(tblDaily[TransfersIn],tblDaily[EntryDate],DATE(2026,5,5),tblDaily[WardCode],"MW")=0,"",SUMIFS(tblDaily[TransfersIn],tblDaily[EntryDate],DATE(2026,5,5),tblDaily[WardCode],"MW")),"")</f>
        <v/>
      </c>
      <c r="G167" s="29" t="str">
        <f>IFERROR(IF(SUMIFS(tblDaily[TransfersOut],tblDaily[EntryDate],DATE(2026,5,5),tblDaily[WardCode],"MW")=0,"",SUMIFS(tblDaily[TransfersOut],tblDaily[EntryDate],DATE(2026,5,5),tblDaily[WardCode],"MW")),"")</f>
        <v/>
      </c>
      <c r="H167" s="29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IFERROR(IF(SUMIFS(tblDaily[Admissions],tblDaily[EntryDate],DATE(2026,5,6),tblDaily[WardCode],"MW")=0,"",SUMIFS(tblDaily[Admissions],tblDaily[EntryDate],DATE(2026,5,6),tblDaily[WardCode],"MW")),"")</f>
        <v/>
      </c>
      <c r="C168" s="29" t="str">
        <f>IFERROR(IF(SUMIFS(tblDaily[Discharges],tblDaily[EntryDate],DATE(2026,5,6),tblDaily[WardCode],"MW")=0,"",SUMIFS(tblDaily[Discharges],tblDaily[EntryDate],DATE(2026,5,6),tblDaily[WardCode],"MW")),"")</f>
        <v/>
      </c>
      <c r="D168" s="29" t="str">
        <f>IFERROR(IF(SUMIFS(tblDaily[Deaths],tblDaily[EntryDate],DATE(2026,5,6),tblDaily[WardCode],"MW")=0,"",SUMIFS(tblDaily[Deaths],tblDaily[EntryDate],DATE(2026,5,6),tblDaily[WardCode],"MW")),"")</f>
        <v/>
      </c>
      <c r="E168" s="29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29" t="str">
        <f>IFERROR(IF(SUMIFS(tblDaily[TransfersIn],tblDaily[EntryDate],DATE(2026,5,6),tblDaily[WardCode],"MW")=0,"",SUMIFS(tblDaily[TransfersIn],tblDaily[EntryDate],DATE(2026,5,6),tblDaily[WardCode],"MW")),"")</f>
        <v/>
      </c>
      <c r="G168" s="29" t="str">
        <f>IFERROR(IF(SUMIFS(tblDaily[TransfersOut],tblDaily[EntryDate],DATE(2026,5,6),tblDaily[WardCode],"MW")=0,"",SUMIFS(tblDaily[TransfersOut],tblDaily[EntryDate],DATE(2026,5,6),tblDaily[WardCode],"MW")),"")</f>
        <v/>
      </c>
      <c r="H168" s="29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IFERROR(IF(SUMIFS(tblDaily[Admissions],tblDaily[EntryDate],DATE(2026,5,7),tblDaily[WardCode],"MW")=0,"",SUMIFS(tblDaily[Admissions],tblDaily[EntryDate],DATE(2026,5,7),tblDaily[WardCode],"MW")),"")</f>
        <v/>
      </c>
      <c r="C169" s="29" t="str">
        <f>IFERROR(IF(SUMIFS(tblDaily[Discharges],tblDaily[EntryDate],DATE(2026,5,7),tblDaily[WardCode],"MW")=0,"",SUMIFS(tblDaily[Discharges],tblDaily[EntryDate],DATE(2026,5,7),tblDaily[WardCode],"MW")),"")</f>
        <v/>
      </c>
      <c r="D169" s="29" t="str">
        <f>IFERROR(IF(SUMIFS(tblDaily[Deaths],tblDaily[EntryDate],DATE(2026,5,7),tblDaily[WardCode],"MW")=0,"",SUMIFS(tblDaily[Deaths],tblDaily[EntryDate],DATE(2026,5,7),tblDaily[WardCode],"MW")),"")</f>
        <v/>
      </c>
      <c r="E169" s="29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29" t="str">
        <f>IFERROR(IF(SUMIFS(tblDaily[TransfersIn],tblDaily[EntryDate],DATE(2026,5,7),tblDaily[WardCode],"MW")=0,"",SUMIFS(tblDaily[TransfersIn],tblDaily[EntryDate],DATE(2026,5,7),tblDaily[WardCode],"MW")),"")</f>
        <v/>
      </c>
      <c r="G169" s="29" t="str">
        <f>IFERROR(IF(SUMIFS(tblDaily[TransfersOut],tblDaily[EntryDate],DATE(2026,5,7),tblDaily[WardCode],"MW")=0,"",SUMIFS(tblDaily[TransfersOut],tblDaily[EntryDate],DATE(2026,5,7),tblDaily[WardCode],"MW")),"")</f>
        <v/>
      </c>
      <c r="H169" s="29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IFERROR(IF(SUMIFS(tblDaily[Admissions],tblDaily[EntryDate],DATE(2026,5,8),tblDaily[WardCode],"MW")=0,"",SUMIFS(tblDaily[Admissions],tblDaily[EntryDate],DATE(2026,5,8),tblDaily[WardCode],"MW")),"")</f>
        <v/>
      </c>
      <c r="C170" s="29" t="str">
        <f>IFERROR(IF(SUMIFS(tblDaily[Discharges],tblDaily[EntryDate],DATE(2026,5,8),tblDaily[WardCode],"MW")=0,"",SUMIFS(tblDaily[Discharges],tblDaily[EntryDate],DATE(2026,5,8),tblDaily[WardCode],"MW")),"")</f>
        <v/>
      </c>
      <c r="D170" s="29" t="str">
        <f>IFERROR(IF(SUMIFS(tblDaily[Deaths],tblDaily[EntryDate],DATE(2026,5,8),tblDaily[WardCode],"MW")=0,"",SUMIFS(tblDaily[Deaths],tblDaily[EntryDate],DATE(2026,5,8),tblDaily[WardCode],"MW")),"")</f>
        <v/>
      </c>
      <c r="E170" s="29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29" t="str">
        <f>IFERROR(IF(SUMIFS(tblDaily[TransfersIn],tblDaily[EntryDate],DATE(2026,5,8),tblDaily[WardCode],"MW")=0,"",SUMIFS(tblDaily[TransfersIn],tblDaily[EntryDate],DATE(2026,5,8),tblDaily[WardCode],"MW")),"")</f>
        <v/>
      </c>
      <c r="G170" s="29" t="str">
        <f>IFERROR(IF(SUMIFS(tblDaily[TransfersOut],tblDaily[EntryDate],DATE(2026,5,8),tblDaily[WardCode],"MW")=0,"",SUMIFS(tblDaily[TransfersOut],tblDaily[EntryDate],DATE(2026,5,8),tblDaily[WardCode],"MW")),"")</f>
        <v/>
      </c>
      <c r="H170" s="29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IFERROR(IF(SUMIFS(tblDaily[Admissions],tblDaily[EntryDate],DATE(2026,5,9),tblDaily[WardCode],"MW")=0,"",SUMIFS(tblDaily[Admissions],tblDaily[EntryDate],DATE(2026,5,9),tblDaily[WardCode],"MW")),"")</f>
        <v/>
      </c>
      <c r="C171" s="29" t="str">
        <f>IFERROR(IF(SUMIFS(tblDaily[Discharges],tblDaily[EntryDate],DATE(2026,5,9),tblDaily[WardCode],"MW")=0,"",SUMIFS(tblDaily[Discharges],tblDaily[EntryDate],DATE(2026,5,9),tblDaily[WardCode],"MW")),"")</f>
        <v/>
      </c>
      <c r="D171" s="29" t="str">
        <f>IFERROR(IF(SUMIFS(tblDaily[Deaths],tblDaily[EntryDate],DATE(2026,5,9),tblDaily[WardCode],"MW")=0,"",SUMIFS(tblDaily[Deaths],tblDaily[EntryDate],DATE(2026,5,9),tblDaily[WardCode],"MW")),"")</f>
        <v/>
      </c>
      <c r="E171" s="29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29" t="str">
        <f>IFERROR(IF(SUMIFS(tblDaily[TransfersIn],tblDaily[EntryDate],DATE(2026,5,9),tblDaily[WardCode],"MW")=0,"",SUMIFS(tblDaily[TransfersIn],tblDaily[EntryDate],DATE(2026,5,9),tblDaily[WardCode],"MW")),"")</f>
        <v/>
      </c>
      <c r="G171" s="29" t="str">
        <f>IFERROR(IF(SUMIFS(tblDaily[TransfersOut],tblDaily[EntryDate],DATE(2026,5,9),tblDaily[WardCode],"MW")=0,"",SUMIFS(tblDaily[TransfersOut],tblDaily[EntryDate],DATE(2026,5,9),tblDaily[WardCode],"MW")),"")</f>
        <v/>
      </c>
      <c r="H171" s="29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IFERROR(IF(SUMIFS(tblDaily[Admissions],tblDaily[EntryDate],DATE(2026,5,10),tblDaily[WardCode],"MW")=0,"",SUMIFS(tblDaily[Admissions],tblDaily[EntryDate],DATE(2026,5,10),tblDaily[WardCode],"MW")),"")</f>
        <v/>
      </c>
      <c r="C172" s="29" t="str">
        <f>IFERROR(IF(SUMIFS(tblDaily[Discharges],tblDaily[EntryDate],DATE(2026,5,10),tblDaily[WardCode],"MW")=0,"",SUMIFS(tblDaily[Discharges],tblDaily[EntryDate],DATE(2026,5,10),tblDaily[WardCode],"MW")),"")</f>
        <v/>
      </c>
      <c r="D172" s="29" t="str">
        <f>IFERROR(IF(SUMIFS(tblDaily[Deaths],tblDaily[EntryDate],DATE(2026,5,10),tblDaily[WardCode],"MW")=0,"",SUMIFS(tblDaily[Deaths],tblDaily[EntryDate],DATE(2026,5,10),tblDaily[WardCode],"MW")),"")</f>
        <v/>
      </c>
      <c r="E172" s="29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29" t="str">
        <f>IFERROR(IF(SUMIFS(tblDaily[TransfersIn],tblDaily[EntryDate],DATE(2026,5,10),tblDaily[WardCode],"MW")=0,"",SUMIFS(tblDaily[TransfersIn],tblDaily[EntryDate],DATE(2026,5,10),tblDaily[WardCode],"MW")),"")</f>
        <v/>
      </c>
      <c r="G172" s="29" t="str">
        <f>IFERROR(IF(SUMIFS(tblDaily[TransfersOut],tblDaily[EntryDate],DATE(2026,5,10),tblDaily[WardCode],"MW")=0,"",SUMIFS(tblDaily[TransfersOut],tblDaily[EntryDate],DATE(2026,5,10),tblDaily[WardCode],"MW")),"")</f>
        <v/>
      </c>
      <c r="H172" s="29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IFERROR(IF(SUMIFS(tblDaily[Admissions],tblDaily[EntryDate],DATE(2026,5,11),tblDaily[WardCode],"MW")=0,"",SUMIFS(tblDaily[Admissions],tblDaily[EntryDate],DATE(2026,5,11),tblDaily[WardCode],"MW")),"")</f>
        <v/>
      </c>
      <c r="C173" s="29" t="str">
        <f>IFERROR(IF(SUMIFS(tblDaily[Discharges],tblDaily[EntryDate],DATE(2026,5,11),tblDaily[WardCode],"MW")=0,"",SUMIFS(tblDaily[Discharges],tblDaily[EntryDate],DATE(2026,5,11),tblDaily[WardCode],"MW")),"")</f>
        <v/>
      </c>
      <c r="D173" s="29" t="str">
        <f>IFERROR(IF(SUMIFS(tblDaily[Deaths],tblDaily[EntryDate],DATE(2026,5,11),tblDaily[WardCode],"MW")=0,"",SUMIFS(tblDaily[Deaths],tblDaily[EntryDate],DATE(2026,5,11),tblDaily[WardCode],"MW")),"")</f>
        <v/>
      </c>
      <c r="E173" s="29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29" t="str">
        <f>IFERROR(IF(SUMIFS(tblDaily[TransfersIn],tblDaily[EntryDate],DATE(2026,5,11),tblDaily[WardCode],"MW")=0,"",SUMIFS(tblDaily[TransfersIn],tblDaily[EntryDate],DATE(2026,5,11),tblDaily[WardCode],"MW")),"")</f>
        <v/>
      </c>
      <c r="G173" s="29" t="str">
        <f>IFERROR(IF(SUMIFS(tblDaily[TransfersOut],tblDaily[EntryDate],DATE(2026,5,11),tblDaily[WardCode],"MW")=0,"",SUMIFS(tblDaily[TransfersOut],tblDaily[EntryDate],DATE(2026,5,11),tblDaily[WardCode],"MW")),"")</f>
        <v/>
      </c>
      <c r="H173" s="29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IFERROR(IF(SUMIFS(tblDaily[Admissions],tblDaily[EntryDate],DATE(2026,5,12),tblDaily[WardCode],"MW")=0,"",SUMIFS(tblDaily[Admissions],tblDaily[EntryDate],DATE(2026,5,12),tblDaily[WardCode],"MW")),"")</f>
        <v/>
      </c>
      <c r="C174" s="29" t="str">
        <f>IFERROR(IF(SUMIFS(tblDaily[Discharges],tblDaily[EntryDate],DATE(2026,5,12),tblDaily[WardCode],"MW")=0,"",SUMIFS(tblDaily[Discharges],tblDaily[EntryDate],DATE(2026,5,12),tblDaily[WardCode],"MW")),"")</f>
        <v/>
      </c>
      <c r="D174" s="29" t="str">
        <f>IFERROR(IF(SUMIFS(tblDaily[Deaths],tblDaily[EntryDate],DATE(2026,5,12),tblDaily[WardCode],"MW")=0,"",SUMIFS(tblDaily[Deaths],tblDaily[EntryDate],DATE(2026,5,12),tblDaily[WardCode],"MW")),"")</f>
        <v/>
      </c>
      <c r="E174" s="29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29" t="str">
        <f>IFERROR(IF(SUMIFS(tblDaily[TransfersIn],tblDaily[EntryDate],DATE(2026,5,12),tblDaily[WardCode],"MW")=0,"",SUMIFS(tblDaily[TransfersIn],tblDaily[EntryDate],DATE(2026,5,12),tblDaily[WardCode],"MW")),"")</f>
        <v/>
      </c>
      <c r="G174" s="29" t="str">
        <f>IFERROR(IF(SUMIFS(tblDaily[TransfersOut],tblDaily[EntryDate],DATE(2026,5,12),tblDaily[WardCode],"MW")=0,"",SUMIFS(tblDaily[TransfersOut],tblDaily[EntryDate],DATE(2026,5,12),tblDaily[WardCode],"MW")),"")</f>
        <v/>
      </c>
      <c r="H174" s="29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IFERROR(IF(SUMIFS(tblDaily[Admissions],tblDaily[EntryDate],DATE(2026,5,13),tblDaily[WardCode],"MW")=0,"",SUMIFS(tblDaily[Admissions],tblDaily[EntryDate],DATE(2026,5,13),tblDaily[WardCode],"MW")),"")</f>
        <v/>
      </c>
      <c r="C175" s="29" t="str">
        <f>IFERROR(IF(SUMIFS(tblDaily[Discharges],tblDaily[EntryDate],DATE(2026,5,13),tblDaily[WardCode],"MW")=0,"",SUMIFS(tblDaily[Discharges],tblDaily[EntryDate],DATE(2026,5,13),tblDaily[WardCode],"MW")),"")</f>
        <v/>
      </c>
      <c r="D175" s="29" t="str">
        <f>IFERROR(IF(SUMIFS(tblDaily[Deaths],tblDaily[EntryDate],DATE(2026,5,13),tblDaily[WardCode],"MW")=0,"",SUMIFS(tblDaily[Deaths],tblDaily[EntryDate],DATE(2026,5,13),tblDaily[WardCode],"MW")),"")</f>
        <v/>
      </c>
      <c r="E175" s="29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29" t="str">
        <f>IFERROR(IF(SUMIFS(tblDaily[TransfersIn],tblDaily[EntryDate],DATE(2026,5,13),tblDaily[WardCode],"MW")=0,"",SUMIFS(tblDaily[TransfersIn],tblDaily[EntryDate],DATE(2026,5,13),tblDaily[WardCode],"MW")),"")</f>
        <v/>
      </c>
      <c r="G175" s="29" t="str">
        <f>IFERROR(IF(SUMIFS(tblDaily[TransfersOut],tblDaily[EntryDate],DATE(2026,5,13),tblDaily[WardCode],"MW")=0,"",SUMIFS(tblDaily[TransfersOut],tblDaily[EntryDate],DATE(2026,5,13),tblDaily[WardCode],"MW")),"")</f>
        <v/>
      </c>
      <c r="H175" s="29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IFERROR(IF(SUMIFS(tblDaily[Admissions],tblDaily[EntryDate],DATE(2026,5,14),tblDaily[WardCode],"MW")=0,"",SUMIFS(tblDaily[Admissions],tblDaily[EntryDate],DATE(2026,5,14),tblDaily[WardCode],"MW")),"")</f>
        <v/>
      </c>
      <c r="C176" s="29" t="str">
        <f>IFERROR(IF(SUMIFS(tblDaily[Discharges],tblDaily[EntryDate],DATE(2026,5,14),tblDaily[WardCode],"MW")=0,"",SUMIFS(tblDaily[Discharges],tblDaily[EntryDate],DATE(2026,5,14),tblDaily[WardCode],"MW")),"")</f>
        <v/>
      </c>
      <c r="D176" s="29" t="str">
        <f>IFERROR(IF(SUMIFS(tblDaily[Deaths],tblDaily[EntryDate],DATE(2026,5,14),tblDaily[WardCode],"MW")=0,"",SUMIFS(tblDaily[Deaths],tblDaily[EntryDate],DATE(2026,5,14),tblDaily[WardCode],"MW")),"")</f>
        <v/>
      </c>
      <c r="E176" s="29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29" t="str">
        <f>IFERROR(IF(SUMIFS(tblDaily[TransfersIn],tblDaily[EntryDate],DATE(2026,5,14),tblDaily[WardCode],"MW")=0,"",SUMIFS(tblDaily[TransfersIn],tblDaily[EntryDate],DATE(2026,5,14),tblDaily[WardCode],"MW")),"")</f>
        <v/>
      </c>
      <c r="G176" s="29" t="str">
        <f>IFERROR(IF(SUMIFS(tblDaily[TransfersOut],tblDaily[EntryDate],DATE(2026,5,14),tblDaily[WardCode],"MW")=0,"",SUMIFS(tblDaily[TransfersOut],tblDaily[EntryDate],DATE(2026,5,14),tblDaily[WardCode],"MW")),"")</f>
        <v/>
      </c>
      <c r="H176" s="29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IFERROR(IF(SUMIFS(tblDaily[Admissions],tblDaily[EntryDate],DATE(2026,5,15),tblDaily[WardCode],"MW")=0,"",SUMIFS(tblDaily[Admissions],tblDaily[EntryDate],DATE(2026,5,15),tblDaily[WardCode],"MW")),"")</f>
        <v/>
      </c>
      <c r="C177" s="29" t="str">
        <f>IFERROR(IF(SUMIFS(tblDaily[Discharges],tblDaily[EntryDate],DATE(2026,5,15),tblDaily[WardCode],"MW")=0,"",SUMIFS(tblDaily[Discharges],tblDaily[EntryDate],DATE(2026,5,15),tblDaily[WardCode],"MW")),"")</f>
        <v/>
      </c>
      <c r="D177" s="29" t="str">
        <f>IFERROR(IF(SUMIFS(tblDaily[Deaths],tblDaily[EntryDate],DATE(2026,5,15),tblDaily[WardCode],"MW")=0,"",SUMIFS(tblDaily[Deaths],tblDaily[EntryDate],DATE(2026,5,15),tblDaily[WardCode],"MW")),"")</f>
        <v/>
      </c>
      <c r="E177" s="29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29" t="str">
        <f>IFERROR(IF(SUMIFS(tblDaily[TransfersIn],tblDaily[EntryDate],DATE(2026,5,15),tblDaily[WardCode],"MW")=0,"",SUMIFS(tblDaily[TransfersIn],tblDaily[EntryDate],DATE(2026,5,15),tblDaily[WardCode],"MW")),"")</f>
        <v/>
      </c>
      <c r="G177" s="29" t="str">
        <f>IFERROR(IF(SUMIFS(tblDaily[TransfersOut],tblDaily[EntryDate],DATE(2026,5,15),tblDaily[WardCode],"MW")=0,"",SUMIFS(tblDaily[TransfersOut],tblDaily[EntryDate],DATE(2026,5,15),tblDaily[WardCode],"MW")),"")</f>
        <v/>
      </c>
      <c r="H177" s="29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IFERROR(IF(SUMIFS(tblDaily[Admissions],tblDaily[EntryDate],DATE(2026,5,16),tblDaily[WardCode],"MW")=0,"",SUMIFS(tblDaily[Admissions],tblDaily[EntryDate],DATE(2026,5,16),tblDaily[WardCode],"MW")),"")</f>
        <v/>
      </c>
      <c r="C178" s="29" t="str">
        <f>IFERROR(IF(SUMIFS(tblDaily[Discharges],tblDaily[EntryDate],DATE(2026,5,16),tblDaily[WardCode],"MW")=0,"",SUMIFS(tblDaily[Discharges],tblDaily[EntryDate],DATE(2026,5,16),tblDaily[WardCode],"MW")),"")</f>
        <v/>
      </c>
      <c r="D178" s="29" t="str">
        <f>IFERROR(IF(SUMIFS(tblDaily[Deaths],tblDaily[EntryDate],DATE(2026,5,16),tblDaily[WardCode],"MW")=0,"",SUMIFS(tblDaily[Deaths],tblDaily[EntryDate],DATE(2026,5,16),tblDaily[WardCode],"MW")),"")</f>
        <v/>
      </c>
      <c r="E178" s="29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29" t="str">
        <f>IFERROR(IF(SUMIFS(tblDaily[TransfersIn],tblDaily[EntryDate],DATE(2026,5,16),tblDaily[WardCode],"MW")=0,"",SUMIFS(tblDaily[TransfersIn],tblDaily[EntryDate],DATE(2026,5,16),tblDaily[WardCode],"MW")),"")</f>
        <v/>
      </c>
      <c r="G178" s="29" t="str">
        <f>IFERROR(IF(SUMIFS(tblDaily[TransfersOut],tblDaily[EntryDate],DATE(2026,5,16),tblDaily[WardCode],"MW")=0,"",SUMIFS(tblDaily[TransfersOut],tblDaily[EntryDate],DATE(2026,5,16),tblDaily[WardCode],"MW")),"")</f>
        <v/>
      </c>
      <c r="H178" s="29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IFERROR(IF(SUMIFS(tblDaily[Admissions],tblDaily[EntryDate],DATE(2026,5,17),tblDaily[WardCode],"MW")=0,"",SUMIFS(tblDaily[Admissions],tblDaily[EntryDate],DATE(2026,5,17),tblDaily[WardCode],"MW")),"")</f>
        <v/>
      </c>
      <c r="C179" s="29" t="str">
        <f>IFERROR(IF(SUMIFS(tblDaily[Discharges],tblDaily[EntryDate],DATE(2026,5,17),tblDaily[WardCode],"MW")=0,"",SUMIFS(tblDaily[Discharges],tblDaily[EntryDate],DATE(2026,5,17),tblDaily[WardCode],"MW")),"")</f>
        <v/>
      </c>
      <c r="D179" s="29" t="str">
        <f>IFERROR(IF(SUMIFS(tblDaily[Deaths],tblDaily[EntryDate],DATE(2026,5,17),tblDaily[WardCode],"MW")=0,"",SUMIFS(tblDaily[Deaths],tblDaily[EntryDate],DATE(2026,5,17),tblDaily[WardCode],"MW")),"")</f>
        <v/>
      </c>
      <c r="E179" s="29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29" t="str">
        <f>IFERROR(IF(SUMIFS(tblDaily[TransfersIn],tblDaily[EntryDate],DATE(2026,5,17),tblDaily[WardCode],"MW")=0,"",SUMIFS(tblDaily[TransfersIn],tblDaily[EntryDate],DATE(2026,5,17),tblDaily[WardCode],"MW")),"")</f>
        <v/>
      </c>
      <c r="G179" s="29" t="str">
        <f>IFERROR(IF(SUMIFS(tblDaily[TransfersOut],tblDaily[EntryDate],DATE(2026,5,17),tblDaily[WardCode],"MW")=0,"",SUMIFS(tblDaily[TransfersOut],tblDaily[EntryDate],DATE(2026,5,17),tblDaily[WardCode],"MW")),"")</f>
        <v/>
      </c>
      <c r="H179" s="29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IFERROR(IF(SUMIFS(tblDaily[Admissions],tblDaily[EntryDate],DATE(2026,5,18),tblDaily[WardCode],"MW")=0,"",SUMIFS(tblDaily[Admissions],tblDaily[EntryDate],DATE(2026,5,18),tblDaily[WardCode],"MW")),"")</f>
        <v/>
      </c>
      <c r="C180" s="29" t="str">
        <f>IFERROR(IF(SUMIFS(tblDaily[Discharges],tblDaily[EntryDate],DATE(2026,5,18),tblDaily[WardCode],"MW")=0,"",SUMIFS(tblDaily[Discharges],tblDaily[EntryDate],DATE(2026,5,18),tblDaily[WardCode],"MW")),"")</f>
        <v/>
      </c>
      <c r="D180" s="29" t="str">
        <f>IFERROR(IF(SUMIFS(tblDaily[Deaths],tblDaily[EntryDate],DATE(2026,5,18),tblDaily[WardCode],"MW")=0,"",SUMIFS(tblDaily[Deaths],tblDaily[EntryDate],DATE(2026,5,18),tblDaily[WardCode],"MW")),"")</f>
        <v/>
      </c>
      <c r="E180" s="29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29" t="str">
        <f>IFERROR(IF(SUMIFS(tblDaily[TransfersIn],tblDaily[EntryDate],DATE(2026,5,18),tblDaily[WardCode],"MW")=0,"",SUMIFS(tblDaily[TransfersIn],tblDaily[EntryDate],DATE(2026,5,18),tblDaily[WardCode],"MW")),"")</f>
        <v/>
      </c>
      <c r="G180" s="29" t="str">
        <f>IFERROR(IF(SUMIFS(tblDaily[TransfersOut],tblDaily[EntryDate],DATE(2026,5,18),tblDaily[WardCode],"MW")=0,"",SUMIFS(tblDaily[TransfersOut],tblDaily[EntryDate],DATE(2026,5,18),tblDaily[WardCode],"MW")),"")</f>
        <v/>
      </c>
      <c r="H180" s="29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IFERROR(IF(SUMIFS(tblDaily[Admissions],tblDaily[EntryDate],DATE(2026,5,19),tblDaily[WardCode],"MW")=0,"",SUMIFS(tblDaily[Admissions],tblDaily[EntryDate],DATE(2026,5,19),tblDaily[WardCode],"MW")),"")</f>
        <v/>
      </c>
      <c r="C181" s="29" t="str">
        <f>IFERROR(IF(SUMIFS(tblDaily[Discharges],tblDaily[EntryDate],DATE(2026,5,19),tblDaily[WardCode],"MW")=0,"",SUMIFS(tblDaily[Discharges],tblDaily[EntryDate],DATE(2026,5,19),tblDaily[WardCode],"MW")),"")</f>
        <v/>
      </c>
      <c r="D181" s="29" t="str">
        <f>IFERROR(IF(SUMIFS(tblDaily[Deaths],tblDaily[EntryDate],DATE(2026,5,19),tblDaily[WardCode],"MW")=0,"",SUMIFS(tblDaily[Deaths],tblDaily[EntryDate],DATE(2026,5,19),tblDaily[WardCode],"MW")),"")</f>
        <v/>
      </c>
      <c r="E181" s="29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29" t="str">
        <f>IFERROR(IF(SUMIFS(tblDaily[TransfersIn],tblDaily[EntryDate],DATE(2026,5,19),tblDaily[WardCode],"MW")=0,"",SUMIFS(tblDaily[TransfersIn],tblDaily[EntryDate],DATE(2026,5,19),tblDaily[WardCode],"MW")),"")</f>
        <v/>
      </c>
      <c r="G181" s="29" t="str">
        <f>IFERROR(IF(SUMIFS(tblDaily[TransfersOut],tblDaily[EntryDate],DATE(2026,5,19),tblDaily[WardCode],"MW")=0,"",SUMIFS(tblDaily[TransfersOut],tblDaily[EntryDate],DATE(2026,5,19),tblDaily[WardCode],"MW")),"")</f>
        <v/>
      </c>
      <c r="H181" s="29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IFERROR(IF(SUMIFS(tblDaily[Admissions],tblDaily[EntryDate],DATE(2026,5,20),tblDaily[WardCode],"MW")=0,"",SUMIFS(tblDaily[Admissions],tblDaily[EntryDate],DATE(2026,5,20),tblDaily[WardCode],"MW")),"")</f>
        <v/>
      </c>
      <c r="C182" s="29" t="str">
        <f>IFERROR(IF(SUMIFS(tblDaily[Discharges],tblDaily[EntryDate],DATE(2026,5,20),tblDaily[WardCode],"MW")=0,"",SUMIFS(tblDaily[Discharges],tblDaily[EntryDate],DATE(2026,5,20),tblDaily[WardCode],"MW")),"")</f>
        <v/>
      </c>
      <c r="D182" s="29" t="str">
        <f>IFERROR(IF(SUMIFS(tblDaily[Deaths],tblDaily[EntryDate],DATE(2026,5,20),tblDaily[WardCode],"MW")=0,"",SUMIFS(tblDaily[Deaths],tblDaily[EntryDate],DATE(2026,5,20),tblDaily[WardCode],"MW")),"")</f>
        <v/>
      </c>
      <c r="E182" s="29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29" t="str">
        <f>IFERROR(IF(SUMIFS(tblDaily[TransfersIn],tblDaily[EntryDate],DATE(2026,5,20),tblDaily[WardCode],"MW")=0,"",SUMIFS(tblDaily[TransfersIn],tblDaily[EntryDate],DATE(2026,5,20),tblDaily[WardCode],"MW")),"")</f>
        <v/>
      </c>
      <c r="G182" s="29" t="str">
        <f>IFERROR(IF(SUMIFS(tblDaily[TransfersOut],tblDaily[EntryDate],DATE(2026,5,20),tblDaily[WardCode],"MW")=0,"",SUMIFS(tblDaily[TransfersOut],tblDaily[EntryDate],DATE(2026,5,20),tblDaily[WardCode],"MW")),"")</f>
        <v/>
      </c>
      <c r="H182" s="29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IFERROR(IF(SUMIFS(tblDaily[Admissions],tblDaily[EntryDate],DATE(2026,5,21),tblDaily[WardCode],"MW")=0,"",SUMIFS(tblDaily[Admissions],tblDaily[EntryDate],DATE(2026,5,21),tblDaily[WardCode],"MW")),"")</f>
        <v/>
      </c>
      <c r="C183" s="29" t="str">
        <f>IFERROR(IF(SUMIFS(tblDaily[Discharges],tblDaily[EntryDate],DATE(2026,5,21),tblDaily[WardCode],"MW")=0,"",SUMIFS(tblDaily[Discharges],tblDaily[EntryDate],DATE(2026,5,21),tblDaily[WardCode],"MW")),"")</f>
        <v/>
      </c>
      <c r="D183" s="29" t="str">
        <f>IFERROR(IF(SUMIFS(tblDaily[Deaths],tblDaily[EntryDate],DATE(2026,5,21),tblDaily[WardCode],"MW")=0,"",SUMIFS(tblDaily[Deaths],tblDaily[EntryDate],DATE(2026,5,21),tblDaily[WardCode],"MW")),"")</f>
        <v/>
      </c>
      <c r="E183" s="29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29" t="str">
        <f>IFERROR(IF(SUMIFS(tblDaily[TransfersIn],tblDaily[EntryDate],DATE(2026,5,21),tblDaily[WardCode],"MW")=0,"",SUMIFS(tblDaily[TransfersIn],tblDaily[EntryDate],DATE(2026,5,21),tblDaily[WardCode],"MW")),"")</f>
        <v/>
      </c>
      <c r="G183" s="29" t="str">
        <f>IFERROR(IF(SUMIFS(tblDaily[TransfersOut],tblDaily[EntryDate],DATE(2026,5,21),tblDaily[WardCode],"MW")=0,"",SUMIFS(tblDaily[TransfersOut],tblDaily[EntryDate],DATE(2026,5,21),tblDaily[WardCode],"MW")),"")</f>
        <v/>
      </c>
      <c r="H183" s="29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IFERROR(IF(SUMIFS(tblDaily[Admissions],tblDaily[EntryDate],DATE(2026,5,22),tblDaily[WardCode],"MW")=0,"",SUMIFS(tblDaily[Admissions],tblDaily[EntryDate],DATE(2026,5,22),tblDaily[WardCode],"MW")),"")</f>
        <v/>
      </c>
      <c r="C184" s="29" t="str">
        <f>IFERROR(IF(SUMIFS(tblDaily[Discharges],tblDaily[EntryDate],DATE(2026,5,22),tblDaily[WardCode],"MW")=0,"",SUMIFS(tblDaily[Discharges],tblDaily[EntryDate],DATE(2026,5,22),tblDaily[WardCode],"MW")),"")</f>
        <v/>
      </c>
      <c r="D184" s="29" t="str">
        <f>IFERROR(IF(SUMIFS(tblDaily[Deaths],tblDaily[EntryDate],DATE(2026,5,22),tblDaily[WardCode],"MW")=0,"",SUMIFS(tblDaily[Deaths],tblDaily[EntryDate],DATE(2026,5,22),tblDaily[WardCode],"MW")),"")</f>
        <v/>
      </c>
      <c r="E184" s="29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29" t="str">
        <f>IFERROR(IF(SUMIFS(tblDaily[TransfersIn],tblDaily[EntryDate],DATE(2026,5,22),tblDaily[WardCode],"MW")=0,"",SUMIFS(tblDaily[TransfersIn],tblDaily[EntryDate],DATE(2026,5,22),tblDaily[WardCode],"MW")),"")</f>
        <v/>
      </c>
      <c r="G184" s="29" t="str">
        <f>IFERROR(IF(SUMIFS(tblDaily[TransfersOut],tblDaily[EntryDate],DATE(2026,5,22),tblDaily[WardCode],"MW")=0,"",SUMIFS(tblDaily[TransfersOut],tblDaily[EntryDate],DATE(2026,5,22),tblDaily[WardCode],"MW")),"")</f>
        <v/>
      </c>
      <c r="H184" s="29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IFERROR(IF(SUMIFS(tblDaily[Admissions],tblDaily[EntryDate],DATE(2026,5,23),tblDaily[WardCode],"MW")=0,"",SUMIFS(tblDaily[Admissions],tblDaily[EntryDate],DATE(2026,5,23),tblDaily[WardCode],"MW")),"")</f>
        <v/>
      </c>
      <c r="C185" s="29" t="str">
        <f>IFERROR(IF(SUMIFS(tblDaily[Discharges],tblDaily[EntryDate],DATE(2026,5,23),tblDaily[WardCode],"MW")=0,"",SUMIFS(tblDaily[Discharges],tblDaily[EntryDate],DATE(2026,5,23),tblDaily[WardCode],"MW")),"")</f>
        <v/>
      </c>
      <c r="D185" s="29" t="str">
        <f>IFERROR(IF(SUMIFS(tblDaily[Deaths],tblDaily[EntryDate],DATE(2026,5,23),tblDaily[WardCode],"MW")=0,"",SUMIFS(tblDaily[Deaths],tblDaily[EntryDate],DATE(2026,5,23),tblDaily[WardCode],"MW")),"")</f>
        <v/>
      </c>
      <c r="E185" s="29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29" t="str">
        <f>IFERROR(IF(SUMIFS(tblDaily[TransfersIn],tblDaily[EntryDate],DATE(2026,5,23),tblDaily[WardCode],"MW")=0,"",SUMIFS(tblDaily[TransfersIn],tblDaily[EntryDate],DATE(2026,5,23),tblDaily[WardCode],"MW")),"")</f>
        <v/>
      </c>
      <c r="G185" s="29" t="str">
        <f>IFERROR(IF(SUMIFS(tblDaily[TransfersOut],tblDaily[EntryDate],DATE(2026,5,23),tblDaily[WardCode],"MW")=0,"",SUMIFS(tblDaily[TransfersOut],tblDaily[EntryDate],DATE(2026,5,23),tblDaily[WardCode],"MW")),"")</f>
        <v/>
      </c>
      <c r="H185" s="29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IFERROR(IF(SUMIFS(tblDaily[Admissions],tblDaily[EntryDate],DATE(2026,5,24),tblDaily[WardCode],"MW")=0,"",SUMIFS(tblDaily[Admissions],tblDaily[EntryDate],DATE(2026,5,24),tblDaily[WardCode],"MW")),"")</f>
        <v/>
      </c>
      <c r="C186" s="29" t="str">
        <f>IFERROR(IF(SUMIFS(tblDaily[Discharges],tblDaily[EntryDate],DATE(2026,5,24),tblDaily[WardCode],"MW")=0,"",SUMIFS(tblDaily[Discharges],tblDaily[EntryDate],DATE(2026,5,24),tblDaily[WardCode],"MW")),"")</f>
        <v/>
      </c>
      <c r="D186" s="29" t="str">
        <f>IFERROR(IF(SUMIFS(tblDaily[Deaths],tblDaily[EntryDate],DATE(2026,5,24),tblDaily[WardCode],"MW")=0,"",SUMIFS(tblDaily[Deaths],tblDaily[EntryDate],DATE(2026,5,24),tblDaily[WardCode],"MW")),"")</f>
        <v/>
      </c>
      <c r="E186" s="29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29" t="str">
        <f>IFERROR(IF(SUMIFS(tblDaily[TransfersIn],tblDaily[EntryDate],DATE(2026,5,24),tblDaily[WardCode],"MW")=0,"",SUMIFS(tblDaily[TransfersIn],tblDaily[EntryDate],DATE(2026,5,24),tblDaily[WardCode],"MW")),"")</f>
        <v/>
      </c>
      <c r="G186" s="29" t="str">
        <f>IFERROR(IF(SUMIFS(tblDaily[TransfersOut],tblDaily[EntryDate],DATE(2026,5,24),tblDaily[WardCode],"MW")=0,"",SUMIFS(tblDaily[TransfersOut],tblDaily[EntryDate],DATE(2026,5,24),tblDaily[WardCode],"MW")),"")</f>
        <v/>
      </c>
      <c r="H186" s="29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IFERROR(IF(SUMIFS(tblDaily[Admissions],tblDaily[EntryDate],DATE(2026,5,25),tblDaily[WardCode],"MW")=0,"",SUMIFS(tblDaily[Admissions],tblDaily[EntryDate],DATE(2026,5,25),tblDaily[WardCode],"MW")),"")</f>
        <v/>
      </c>
      <c r="C187" s="29" t="str">
        <f>IFERROR(IF(SUMIFS(tblDaily[Discharges],tblDaily[EntryDate],DATE(2026,5,25),tblDaily[WardCode],"MW")=0,"",SUMIFS(tblDaily[Discharges],tblDaily[EntryDate],DATE(2026,5,25),tblDaily[WardCode],"MW")),"")</f>
        <v/>
      </c>
      <c r="D187" s="29" t="str">
        <f>IFERROR(IF(SUMIFS(tblDaily[Deaths],tblDaily[EntryDate],DATE(2026,5,25),tblDaily[WardCode],"MW")=0,"",SUMIFS(tblDaily[Deaths],tblDaily[EntryDate],DATE(2026,5,25),tblDaily[WardCode],"MW")),"")</f>
        <v/>
      </c>
      <c r="E187" s="29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29" t="str">
        <f>IFERROR(IF(SUMIFS(tblDaily[TransfersIn],tblDaily[EntryDate],DATE(2026,5,25),tblDaily[WardCode],"MW")=0,"",SUMIFS(tblDaily[TransfersIn],tblDaily[EntryDate],DATE(2026,5,25),tblDaily[WardCode],"MW")),"")</f>
        <v/>
      </c>
      <c r="G187" s="29" t="str">
        <f>IFERROR(IF(SUMIFS(tblDaily[TransfersOut],tblDaily[EntryDate],DATE(2026,5,25),tblDaily[WardCode],"MW")=0,"",SUMIFS(tblDaily[TransfersOut],tblDaily[EntryDate],DATE(2026,5,25),tblDaily[WardCode],"MW")),"")</f>
        <v/>
      </c>
      <c r="H187" s="29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IFERROR(IF(SUMIFS(tblDaily[Admissions],tblDaily[EntryDate],DATE(2026,5,26),tblDaily[WardCode],"MW")=0,"",SUMIFS(tblDaily[Admissions],tblDaily[EntryDate],DATE(2026,5,26),tblDaily[WardCode],"MW")),"")</f>
        <v/>
      </c>
      <c r="C188" s="29" t="str">
        <f>IFERROR(IF(SUMIFS(tblDaily[Discharges],tblDaily[EntryDate],DATE(2026,5,26),tblDaily[WardCode],"MW")=0,"",SUMIFS(tblDaily[Discharges],tblDaily[EntryDate],DATE(2026,5,26),tblDaily[WardCode],"MW")),"")</f>
        <v/>
      </c>
      <c r="D188" s="29" t="str">
        <f>IFERROR(IF(SUMIFS(tblDaily[Deaths],tblDaily[EntryDate],DATE(2026,5,26),tblDaily[WardCode],"MW")=0,"",SUMIFS(tblDaily[Deaths],tblDaily[EntryDate],DATE(2026,5,26),tblDaily[WardCode],"MW")),"")</f>
        <v/>
      </c>
      <c r="E188" s="29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29" t="str">
        <f>IFERROR(IF(SUMIFS(tblDaily[TransfersIn],tblDaily[EntryDate],DATE(2026,5,26),tblDaily[WardCode],"MW")=0,"",SUMIFS(tblDaily[TransfersIn],tblDaily[EntryDate],DATE(2026,5,26),tblDaily[WardCode],"MW")),"")</f>
        <v/>
      </c>
      <c r="G188" s="29" t="str">
        <f>IFERROR(IF(SUMIFS(tblDaily[TransfersOut],tblDaily[EntryDate],DATE(2026,5,26),tblDaily[WardCode],"MW")=0,"",SUMIFS(tblDaily[TransfersOut],tblDaily[EntryDate],DATE(2026,5,26),tblDaily[WardCode],"MW")),"")</f>
        <v/>
      </c>
      <c r="H188" s="29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IFERROR(IF(SUMIFS(tblDaily[Admissions],tblDaily[EntryDate],DATE(2026,5,27),tblDaily[WardCode],"MW")=0,"",SUMIFS(tblDaily[Admissions],tblDaily[EntryDate],DATE(2026,5,27),tblDaily[WardCode],"MW")),"")</f>
        <v/>
      </c>
      <c r="C189" s="29" t="str">
        <f>IFERROR(IF(SUMIFS(tblDaily[Discharges],tblDaily[EntryDate],DATE(2026,5,27),tblDaily[WardCode],"MW")=0,"",SUMIFS(tblDaily[Discharges],tblDaily[EntryDate],DATE(2026,5,27),tblDaily[WardCode],"MW")),"")</f>
        <v/>
      </c>
      <c r="D189" s="29" t="str">
        <f>IFERROR(IF(SUMIFS(tblDaily[Deaths],tblDaily[EntryDate],DATE(2026,5,27),tblDaily[WardCode],"MW")=0,"",SUMIFS(tblDaily[Deaths],tblDaily[EntryDate],DATE(2026,5,27),tblDaily[WardCode],"MW")),"")</f>
        <v/>
      </c>
      <c r="E189" s="29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29" t="str">
        <f>IFERROR(IF(SUMIFS(tblDaily[TransfersIn],tblDaily[EntryDate],DATE(2026,5,27),tblDaily[WardCode],"MW")=0,"",SUMIFS(tblDaily[TransfersIn],tblDaily[EntryDate],DATE(2026,5,27),tblDaily[WardCode],"MW")),"")</f>
        <v/>
      </c>
      <c r="G189" s="29" t="str">
        <f>IFERROR(IF(SUMIFS(tblDaily[TransfersOut],tblDaily[EntryDate],DATE(2026,5,27),tblDaily[WardCode],"MW")=0,"",SUMIFS(tblDaily[TransfersOut],tblDaily[EntryDate],DATE(2026,5,27),tblDaily[WardCode],"MW")),"")</f>
        <v/>
      </c>
      <c r="H189" s="29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IFERROR(IF(SUMIFS(tblDaily[Admissions],tblDaily[EntryDate],DATE(2026,5,28),tblDaily[WardCode],"MW")=0,"",SUMIFS(tblDaily[Admissions],tblDaily[EntryDate],DATE(2026,5,28),tblDaily[WardCode],"MW")),"")</f>
        <v/>
      </c>
      <c r="C190" s="29" t="str">
        <f>IFERROR(IF(SUMIFS(tblDaily[Discharges],tblDaily[EntryDate],DATE(2026,5,28),tblDaily[WardCode],"MW")=0,"",SUMIFS(tblDaily[Discharges],tblDaily[EntryDate],DATE(2026,5,28),tblDaily[WardCode],"MW")),"")</f>
        <v/>
      </c>
      <c r="D190" s="29" t="str">
        <f>IFERROR(IF(SUMIFS(tblDaily[Deaths],tblDaily[EntryDate],DATE(2026,5,28),tblDaily[WardCode],"MW")=0,"",SUMIFS(tblDaily[Deaths],tblDaily[EntryDate],DATE(2026,5,28),tblDaily[WardCode],"MW")),"")</f>
        <v/>
      </c>
      <c r="E190" s="29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29" t="str">
        <f>IFERROR(IF(SUMIFS(tblDaily[TransfersIn],tblDaily[EntryDate],DATE(2026,5,28),tblDaily[WardCode],"MW")=0,"",SUMIFS(tblDaily[TransfersIn],tblDaily[EntryDate],DATE(2026,5,28),tblDaily[WardCode],"MW")),"")</f>
        <v/>
      </c>
      <c r="G190" s="29" t="str">
        <f>IFERROR(IF(SUMIFS(tblDaily[TransfersOut],tblDaily[EntryDate],DATE(2026,5,28),tblDaily[WardCode],"MW")=0,"",SUMIFS(tblDaily[TransfersOut],tblDaily[EntryDate],DATE(2026,5,28),tblDaily[WardCode],"MW")),"")</f>
        <v/>
      </c>
      <c r="H190" s="29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IFERROR(IF(SUMIFS(tblDaily[Admissions],tblDaily[EntryDate],DATE(2026,5,29),tblDaily[WardCode],"MW")=0,"",SUMIFS(tblDaily[Admissions],tblDaily[EntryDate],DATE(2026,5,29),tblDaily[WardCode],"MW")),"")</f>
        <v/>
      </c>
      <c r="C191" s="29" t="str">
        <f>IFERROR(IF(SUMIFS(tblDaily[Discharges],tblDaily[EntryDate],DATE(2026,5,29),tblDaily[WardCode],"MW")=0,"",SUMIFS(tblDaily[Discharges],tblDaily[EntryDate],DATE(2026,5,29),tblDaily[WardCode],"MW")),"")</f>
        <v/>
      </c>
      <c r="D191" s="29" t="str">
        <f>IFERROR(IF(SUMIFS(tblDaily[Deaths],tblDaily[EntryDate],DATE(2026,5,29),tblDaily[WardCode],"MW")=0,"",SUMIFS(tblDaily[Deaths],tblDaily[EntryDate],DATE(2026,5,29),tblDaily[WardCode],"MW")),"")</f>
        <v/>
      </c>
      <c r="E191" s="29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29" t="str">
        <f>IFERROR(IF(SUMIFS(tblDaily[TransfersIn],tblDaily[EntryDate],DATE(2026,5,29),tblDaily[WardCode],"MW")=0,"",SUMIFS(tblDaily[TransfersIn],tblDaily[EntryDate],DATE(2026,5,29),tblDaily[WardCode],"MW")),"")</f>
        <v/>
      </c>
      <c r="G191" s="29" t="str">
        <f>IFERROR(IF(SUMIFS(tblDaily[TransfersOut],tblDaily[EntryDate],DATE(2026,5,29),tblDaily[WardCode],"MW")=0,"",SUMIFS(tblDaily[TransfersOut],tblDaily[EntryDate],DATE(2026,5,29),tblDaily[WardCode],"MW")),"")</f>
        <v/>
      </c>
      <c r="H191" s="29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IFERROR(IF(SUMIFS(tblDaily[Admissions],tblDaily[EntryDate],DATE(2026,5,30),tblDaily[WardCode],"MW")=0,"",SUMIFS(tblDaily[Admissions],tblDaily[EntryDate],DATE(2026,5,30),tblDaily[WardCode],"MW")),"")</f>
        <v/>
      </c>
      <c r="C192" s="29" t="str">
        <f>IFERROR(IF(SUMIFS(tblDaily[Discharges],tblDaily[EntryDate],DATE(2026,5,30),tblDaily[WardCode],"MW")=0,"",SUMIFS(tblDaily[Discharges],tblDaily[EntryDate],DATE(2026,5,30),tblDaily[WardCode],"MW")),"")</f>
        <v/>
      </c>
      <c r="D192" s="29" t="str">
        <f>IFERROR(IF(SUMIFS(tblDaily[Deaths],tblDaily[EntryDate],DATE(2026,5,30),tblDaily[WardCode],"MW")=0,"",SUMIFS(tblDaily[Deaths],tblDaily[EntryDate],DATE(2026,5,30),tblDaily[WardCode],"MW")),"")</f>
        <v/>
      </c>
      <c r="E192" s="29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29" t="str">
        <f>IFERROR(IF(SUMIFS(tblDaily[TransfersIn],tblDaily[EntryDate],DATE(2026,5,30),tblDaily[WardCode],"MW")=0,"",SUMIFS(tblDaily[TransfersIn],tblDaily[EntryDate],DATE(2026,5,30),tblDaily[WardCode],"MW")),"")</f>
        <v/>
      </c>
      <c r="G192" s="29" t="str">
        <f>IFERROR(IF(SUMIFS(tblDaily[TransfersOut],tblDaily[EntryDate],DATE(2026,5,30),tblDaily[WardCode],"MW")=0,"",SUMIFS(tblDaily[TransfersOut],tblDaily[EntryDate],DATE(2026,5,30),tblDaily[WardCode],"MW")),"")</f>
        <v/>
      </c>
      <c r="H192" s="29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IFERROR(IF(SUMIFS(tblDaily[Admissions],tblDaily[EntryDate],DATE(2026,5,31),tblDaily[WardCode],"MW")=0,"",SUMIFS(tblDaily[Admissions],tblDaily[EntryDate],DATE(2026,5,31),tblDaily[WardCode],"MW")),"")</f>
        <v/>
      </c>
      <c r="C193" s="29" t="str">
        <f>IFERROR(IF(SUMIFS(tblDaily[Discharges],tblDaily[EntryDate],DATE(2026,5,31),tblDaily[WardCode],"MW")=0,"",SUMIFS(tblDaily[Discharges],tblDaily[EntryDate],DATE(2026,5,31),tblDaily[WardCode],"MW")),"")</f>
        <v/>
      </c>
      <c r="D193" s="29" t="str">
        <f>IFERROR(IF(SUMIFS(tblDaily[Deaths],tblDaily[EntryDate],DATE(2026,5,31),tblDaily[WardCode],"MW")=0,"",SUMIFS(tblDaily[Deaths],tblDaily[EntryDate],DATE(2026,5,31),tblDaily[WardCode],"MW")),"")</f>
        <v/>
      </c>
      <c r="E193" s="29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29" t="str">
        <f>IFERROR(IF(SUMIFS(tblDaily[TransfersIn],tblDaily[EntryDate],DATE(2026,5,31),tblDaily[WardCode],"MW")=0,"",SUMIFS(tblDaily[TransfersIn],tblDaily[EntryDate],DATE(2026,5,31),tblDaily[WardCode],"MW")),"")</f>
        <v/>
      </c>
      <c r="G193" s="29" t="str">
        <f>IFERROR(IF(SUMIFS(tblDaily[TransfersOut],tblDaily[EntryDate],DATE(2026,5,31),tblDaily[WardCode],"MW")=0,"",SUMIFS(tblDaily[TransfersOut],tblDaily[EntryDate],DATE(2026,5,31),tblDaily[WardCode],"MW")),"")</f>
        <v/>
      </c>
      <c r="H193" s="29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30" t="s">
        <v>115</v>
      </c>
      <c r="B194" s="30">
        <f>SUMIFS(tblDaily[Admissions],tblDaily[Month],5,tblDaily[WardCode],"MW") - SUMIFS(tblDaily[DeathsUnder24Hrs],tblDaily[Month],5,tblDaily[WardCode],"MW")</f>
        <v>0</v>
      </c>
      <c r="C194" s="30">
        <f>SUMIFS(tblDaily[Discharges],tblDaily[Month],5,tblDaily[WardCode],"MW")</f>
        <v>0</v>
      </c>
      <c r="D194" s="30">
        <f>SUMIFS(tblDaily[Deaths],tblDaily[Month],5,tblDaily[WardCode],"MW")</f>
        <v>0</v>
      </c>
      <c r="E194" s="30">
        <f>SUMIFS(tblDaily[DeathsUnder24Hrs],tblDaily[Month],5,tblDaily[WardCode],"MW")</f>
        <v>0</v>
      </c>
      <c r="F194" s="30">
        <f>SUMIFS(tblDaily[TransfersIn],tblDaily[Month],5,tblDaily[WardCode],"MW")</f>
        <v>0</v>
      </c>
      <c r="G194" s="30">
        <f>SUMIFS(tblDaily[TransfersOut],tblDaily[Month],5,tblDaily[WardCode],"MW")</f>
        <v>0</v>
      </c>
      <c r="H194" s="30">
        <f>SUMIFS(tblDaily[Remaining],tblDaily[Month],5,tblDaily[WardCode],"MW")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106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IFERROR(SUMIFS(tblDaily[Remaining],tblDaily[EntryDate],DATE(2026,5,31),tblDaily[WardCode],"MW"),0)</f>
        <v>0</v>
      </c>
    </row>
    <row r="200" spans="1:8" x14ac:dyDescent="0.25">
      <c r="A200" s="24" t="s">
        <v>109</v>
      </c>
      <c r="H200" s="27">
        <f>IFERROR(INDEX(tblWardConfig[BedComplement],MATCH("MW",tblWardConfig[WardCode],0)),0)</f>
        <v>32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IFERROR(IF(SUMIFS(tblDaily[Admissions],tblDaily[EntryDate],DATE(2026,6,1),tblDaily[WardCode],"MW")=0,"",SUMIFS(tblDaily[Admissions],tblDaily[EntryDate],DATE(2026,6,1),tblDaily[WardCode],"MW")),"")</f>
        <v/>
      </c>
      <c r="C202" s="29" t="str">
        <f>IFERROR(IF(SUMIFS(tblDaily[Discharges],tblDaily[EntryDate],DATE(2026,6,1),tblDaily[WardCode],"MW")=0,"",SUMIFS(tblDaily[Discharges],tblDaily[EntryDate],DATE(2026,6,1),tblDaily[WardCode],"MW")),"")</f>
        <v/>
      </c>
      <c r="D202" s="29" t="str">
        <f>IFERROR(IF(SUMIFS(tblDaily[Deaths],tblDaily[EntryDate],DATE(2026,6,1),tblDaily[WardCode],"MW")=0,"",SUMIFS(tblDaily[Deaths],tblDaily[EntryDate],DATE(2026,6,1),tblDaily[WardCode],"MW")),"")</f>
        <v/>
      </c>
      <c r="E202" s="29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29" t="str">
        <f>IFERROR(IF(SUMIFS(tblDaily[TransfersIn],tblDaily[EntryDate],DATE(2026,6,1),tblDaily[WardCode],"MW")=0,"",SUMIFS(tblDaily[TransfersIn],tblDaily[EntryDate],DATE(2026,6,1),tblDaily[WardCode],"MW")),"")</f>
        <v/>
      </c>
      <c r="G202" s="29" t="str">
        <f>IFERROR(IF(SUMIFS(tblDaily[TransfersOut],tblDaily[EntryDate],DATE(2026,6,1),tblDaily[WardCode],"MW")=0,"",SUMIFS(tblDaily[TransfersOut],tblDaily[EntryDate],DATE(2026,6,1),tblDaily[WardCode],"MW")),"")</f>
        <v/>
      </c>
      <c r="H202" s="29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IFERROR(IF(SUMIFS(tblDaily[Admissions],tblDaily[EntryDate],DATE(2026,6,2),tblDaily[WardCode],"MW")=0,"",SUMIFS(tblDaily[Admissions],tblDaily[EntryDate],DATE(2026,6,2),tblDaily[WardCode],"MW")),"")</f>
        <v/>
      </c>
      <c r="C203" s="29" t="str">
        <f>IFERROR(IF(SUMIFS(tblDaily[Discharges],tblDaily[EntryDate],DATE(2026,6,2),tblDaily[WardCode],"MW")=0,"",SUMIFS(tblDaily[Discharges],tblDaily[EntryDate],DATE(2026,6,2),tblDaily[WardCode],"MW")),"")</f>
        <v/>
      </c>
      <c r="D203" s="29" t="str">
        <f>IFERROR(IF(SUMIFS(tblDaily[Deaths],tblDaily[EntryDate],DATE(2026,6,2),tblDaily[WardCode],"MW")=0,"",SUMIFS(tblDaily[Deaths],tblDaily[EntryDate],DATE(2026,6,2),tblDaily[WardCode],"MW")),"")</f>
        <v/>
      </c>
      <c r="E203" s="29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29" t="str">
        <f>IFERROR(IF(SUMIFS(tblDaily[TransfersIn],tblDaily[EntryDate],DATE(2026,6,2),tblDaily[WardCode],"MW")=0,"",SUMIFS(tblDaily[TransfersIn],tblDaily[EntryDate],DATE(2026,6,2),tblDaily[WardCode],"MW")),"")</f>
        <v/>
      </c>
      <c r="G203" s="29" t="str">
        <f>IFERROR(IF(SUMIFS(tblDaily[TransfersOut],tblDaily[EntryDate],DATE(2026,6,2),tblDaily[WardCode],"MW")=0,"",SUMIFS(tblDaily[TransfersOut],tblDaily[EntryDate],DATE(2026,6,2),tblDaily[WardCode],"MW")),"")</f>
        <v/>
      </c>
      <c r="H203" s="29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IFERROR(IF(SUMIFS(tblDaily[Admissions],tblDaily[EntryDate],DATE(2026,6,3),tblDaily[WardCode],"MW")=0,"",SUMIFS(tblDaily[Admissions],tblDaily[EntryDate],DATE(2026,6,3),tblDaily[WardCode],"MW")),"")</f>
        <v/>
      </c>
      <c r="C204" s="29" t="str">
        <f>IFERROR(IF(SUMIFS(tblDaily[Discharges],tblDaily[EntryDate],DATE(2026,6,3),tblDaily[WardCode],"MW")=0,"",SUMIFS(tblDaily[Discharges],tblDaily[EntryDate],DATE(2026,6,3),tblDaily[WardCode],"MW")),"")</f>
        <v/>
      </c>
      <c r="D204" s="29" t="str">
        <f>IFERROR(IF(SUMIFS(tblDaily[Deaths],tblDaily[EntryDate],DATE(2026,6,3),tblDaily[WardCode],"MW")=0,"",SUMIFS(tblDaily[Deaths],tblDaily[EntryDate],DATE(2026,6,3),tblDaily[WardCode],"MW")),"")</f>
        <v/>
      </c>
      <c r="E204" s="29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29" t="str">
        <f>IFERROR(IF(SUMIFS(tblDaily[TransfersIn],tblDaily[EntryDate],DATE(2026,6,3),tblDaily[WardCode],"MW")=0,"",SUMIFS(tblDaily[TransfersIn],tblDaily[EntryDate],DATE(2026,6,3),tblDaily[WardCode],"MW")),"")</f>
        <v/>
      </c>
      <c r="G204" s="29" t="str">
        <f>IFERROR(IF(SUMIFS(tblDaily[TransfersOut],tblDaily[EntryDate],DATE(2026,6,3),tblDaily[WardCode],"MW")=0,"",SUMIFS(tblDaily[TransfersOut],tblDaily[EntryDate],DATE(2026,6,3),tblDaily[WardCode],"MW")),"")</f>
        <v/>
      </c>
      <c r="H204" s="29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IFERROR(IF(SUMIFS(tblDaily[Admissions],tblDaily[EntryDate],DATE(2026,6,4),tblDaily[WardCode],"MW")=0,"",SUMIFS(tblDaily[Admissions],tblDaily[EntryDate],DATE(2026,6,4),tblDaily[WardCode],"MW")),"")</f>
        <v/>
      </c>
      <c r="C205" s="29" t="str">
        <f>IFERROR(IF(SUMIFS(tblDaily[Discharges],tblDaily[EntryDate],DATE(2026,6,4),tblDaily[WardCode],"MW")=0,"",SUMIFS(tblDaily[Discharges],tblDaily[EntryDate],DATE(2026,6,4),tblDaily[WardCode],"MW")),"")</f>
        <v/>
      </c>
      <c r="D205" s="29" t="str">
        <f>IFERROR(IF(SUMIFS(tblDaily[Deaths],tblDaily[EntryDate],DATE(2026,6,4),tblDaily[WardCode],"MW")=0,"",SUMIFS(tblDaily[Deaths],tblDaily[EntryDate],DATE(2026,6,4),tblDaily[WardCode],"MW")),"")</f>
        <v/>
      </c>
      <c r="E205" s="29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29" t="str">
        <f>IFERROR(IF(SUMIFS(tblDaily[TransfersIn],tblDaily[EntryDate],DATE(2026,6,4),tblDaily[WardCode],"MW")=0,"",SUMIFS(tblDaily[TransfersIn],tblDaily[EntryDate],DATE(2026,6,4),tblDaily[WardCode],"MW")),"")</f>
        <v/>
      </c>
      <c r="G205" s="29" t="str">
        <f>IFERROR(IF(SUMIFS(tblDaily[TransfersOut],tblDaily[EntryDate],DATE(2026,6,4),tblDaily[WardCode],"MW")=0,"",SUMIFS(tblDaily[TransfersOut],tblDaily[EntryDate],DATE(2026,6,4),tblDaily[WardCode],"MW")),"")</f>
        <v/>
      </c>
      <c r="H205" s="29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IFERROR(IF(SUMIFS(tblDaily[Admissions],tblDaily[EntryDate],DATE(2026,6,5),tblDaily[WardCode],"MW")=0,"",SUMIFS(tblDaily[Admissions],tblDaily[EntryDate],DATE(2026,6,5),tblDaily[WardCode],"MW")),"")</f>
        <v/>
      </c>
      <c r="C206" s="29" t="str">
        <f>IFERROR(IF(SUMIFS(tblDaily[Discharges],tblDaily[EntryDate],DATE(2026,6,5),tblDaily[WardCode],"MW")=0,"",SUMIFS(tblDaily[Discharges],tblDaily[EntryDate],DATE(2026,6,5),tblDaily[WardCode],"MW")),"")</f>
        <v/>
      </c>
      <c r="D206" s="29" t="str">
        <f>IFERROR(IF(SUMIFS(tblDaily[Deaths],tblDaily[EntryDate],DATE(2026,6,5),tblDaily[WardCode],"MW")=0,"",SUMIFS(tblDaily[Deaths],tblDaily[EntryDate],DATE(2026,6,5),tblDaily[WardCode],"MW")),"")</f>
        <v/>
      </c>
      <c r="E206" s="29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29" t="str">
        <f>IFERROR(IF(SUMIFS(tblDaily[TransfersIn],tblDaily[EntryDate],DATE(2026,6,5),tblDaily[WardCode],"MW")=0,"",SUMIFS(tblDaily[TransfersIn],tblDaily[EntryDate],DATE(2026,6,5),tblDaily[WardCode],"MW")),"")</f>
        <v/>
      </c>
      <c r="G206" s="29" t="str">
        <f>IFERROR(IF(SUMIFS(tblDaily[TransfersOut],tblDaily[EntryDate],DATE(2026,6,5),tblDaily[WardCode],"MW")=0,"",SUMIFS(tblDaily[TransfersOut],tblDaily[EntryDate],DATE(2026,6,5),tblDaily[WardCode],"MW")),"")</f>
        <v/>
      </c>
      <c r="H206" s="29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IFERROR(IF(SUMIFS(tblDaily[Admissions],tblDaily[EntryDate],DATE(2026,6,6),tblDaily[WardCode],"MW")=0,"",SUMIFS(tblDaily[Admissions],tblDaily[EntryDate],DATE(2026,6,6),tblDaily[WardCode],"MW")),"")</f>
        <v/>
      </c>
      <c r="C207" s="29" t="str">
        <f>IFERROR(IF(SUMIFS(tblDaily[Discharges],tblDaily[EntryDate],DATE(2026,6,6),tblDaily[WardCode],"MW")=0,"",SUMIFS(tblDaily[Discharges],tblDaily[EntryDate],DATE(2026,6,6),tblDaily[WardCode],"MW")),"")</f>
        <v/>
      </c>
      <c r="D207" s="29" t="str">
        <f>IFERROR(IF(SUMIFS(tblDaily[Deaths],tblDaily[EntryDate],DATE(2026,6,6),tblDaily[WardCode],"MW")=0,"",SUMIFS(tblDaily[Deaths],tblDaily[EntryDate],DATE(2026,6,6),tblDaily[WardCode],"MW")),"")</f>
        <v/>
      </c>
      <c r="E207" s="29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29" t="str">
        <f>IFERROR(IF(SUMIFS(tblDaily[TransfersIn],tblDaily[EntryDate],DATE(2026,6,6),tblDaily[WardCode],"MW")=0,"",SUMIFS(tblDaily[TransfersIn],tblDaily[EntryDate],DATE(2026,6,6),tblDaily[WardCode],"MW")),"")</f>
        <v/>
      </c>
      <c r="G207" s="29" t="str">
        <f>IFERROR(IF(SUMIFS(tblDaily[TransfersOut],tblDaily[EntryDate],DATE(2026,6,6),tblDaily[WardCode],"MW")=0,"",SUMIFS(tblDaily[TransfersOut],tblDaily[EntryDate],DATE(2026,6,6),tblDaily[WardCode],"MW")),"")</f>
        <v/>
      </c>
      <c r="H207" s="29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IFERROR(IF(SUMIFS(tblDaily[Admissions],tblDaily[EntryDate],DATE(2026,6,7),tblDaily[WardCode],"MW")=0,"",SUMIFS(tblDaily[Admissions],tblDaily[EntryDate],DATE(2026,6,7),tblDaily[WardCode],"MW")),"")</f>
        <v/>
      </c>
      <c r="C208" s="29" t="str">
        <f>IFERROR(IF(SUMIFS(tblDaily[Discharges],tblDaily[EntryDate],DATE(2026,6,7),tblDaily[WardCode],"MW")=0,"",SUMIFS(tblDaily[Discharges],tblDaily[EntryDate],DATE(2026,6,7),tblDaily[WardCode],"MW")),"")</f>
        <v/>
      </c>
      <c r="D208" s="29" t="str">
        <f>IFERROR(IF(SUMIFS(tblDaily[Deaths],tblDaily[EntryDate],DATE(2026,6,7),tblDaily[WardCode],"MW")=0,"",SUMIFS(tblDaily[Deaths],tblDaily[EntryDate],DATE(2026,6,7),tblDaily[WardCode],"MW")),"")</f>
        <v/>
      </c>
      <c r="E208" s="29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29" t="str">
        <f>IFERROR(IF(SUMIFS(tblDaily[TransfersIn],tblDaily[EntryDate],DATE(2026,6,7),tblDaily[WardCode],"MW")=0,"",SUMIFS(tblDaily[TransfersIn],tblDaily[EntryDate],DATE(2026,6,7),tblDaily[WardCode],"MW")),"")</f>
        <v/>
      </c>
      <c r="G208" s="29" t="str">
        <f>IFERROR(IF(SUMIFS(tblDaily[TransfersOut],tblDaily[EntryDate],DATE(2026,6,7),tblDaily[WardCode],"MW")=0,"",SUMIFS(tblDaily[TransfersOut],tblDaily[EntryDate],DATE(2026,6,7),tblDaily[WardCode],"MW")),"")</f>
        <v/>
      </c>
      <c r="H208" s="29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IFERROR(IF(SUMIFS(tblDaily[Admissions],tblDaily[EntryDate],DATE(2026,6,8),tblDaily[WardCode],"MW")=0,"",SUMIFS(tblDaily[Admissions],tblDaily[EntryDate],DATE(2026,6,8),tblDaily[WardCode],"MW")),"")</f>
        <v/>
      </c>
      <c r="C209" s="29" t="str">
        <f>IFERROR(IF(SUMIFS(tblDaily[Discharges],tblDaily[EntryDate],DATE(2026,6,8),tblDaily[WardCode],"MW")=0,"",SUMIFS(tblDaily[Discharges],tblDaily[EntryDate],DATE(2026,6,8),tblDaily[WardCode],"MW")),"")</f>
        <v/>
      </c>
      <c r="D209" s="29" t="str">
        <f>IFERROR(IF(SUMIFS(tblDaily[Deaths],tblDaily[EntryDate],DATE(2026,6,8),tblDaily[WardCode],"MW")=0,"",SUMIFS(tblDaily[Deaths],tblDaily[EntryDate],DATE(2026,6,8),tblDaily[WardCode],"MW")),"")</f>
        <v/>
      </c>
      <c r="E209" s="29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29" t="str">
        <f>IFERROR(IF(SUMIFS(tblDaily[TransfersIn],tblDaily[EntryDate],DATE(2026,6,8),tblDaily[WardCode],"MW")=0,"",SUMIFS(tblDaily[TransfersIn],tblDaily[EntryDate],DATE(2026,6,8),tblDaily[WardCode],"MW")),"")</f>
        <v/>
      </c>
      <c r="G209" s="29" t="str">
        <f>IFERROR(IF(SUMIFS(tblDaily[TransfersOut],tblDaily[EntryDate],DATE(2026,6,8),tblDaily[WardCode],"MW")=0,"",SUMIFS(tblDaily[TransfersOut],tblDaily[EntryDate],DATE(2026,6,8),tblDaily[WardCode],"MW")),"")</f>
        <v/>
      </c>
      <c r="H209" s="29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IFERROR(IF(SUMIFS(tblDaily[Admissions],tblDaily[EntryDate],DATE(2026,6,9),tblDaily[WardCode],"MW")=0,"",SUMIFS(tblDaily[Admissions],tblDaily[EntryDate],DATE(2026,6,9),tblDaily[WardCode],"MW")),"")</f>
        <v/>
      </c>
      <c r="C210" s="29" t="str">
        <f>IFERROR(IF(SUMIFS(tblDaily[Discharges],tblDaily[EntryDate],DATE(2026,6,9),tblDaily[WardCode],"MW")=0,"",SUMIFS(tblDaily[Discharges],tblDaily[EntryDate],DATE(2026,6,9),tblDaily[WardCode],"MW")),"")</f>
        <v/>
      </c>
      <c r="D210" s="29" t="str">
        <f>IFERROR(IF(SUMIFS(tblDaily[Deaths],tblDaily[EntryDate],DATE(2026,6,9),tblDaily[WardCode],"MW")=0,"",SUMIFS(tblDaily[Deaths],tblDaily[EntryDate],DATE(2026,6,9),tblDaily[WardCode],"MW")),"")</f>
        <v/>
      </c>
      <c r="E210" s="29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29" t="str">
        <f>IFERROR(IF(SUMIFS(tblDaily[TransfersIn],tblDaily[EntryDate],DATE(2026,6,9),tblDaily[WardCode],"MW")=0,"",SUMIFS(tblDaily[TransfersIn],tblDaily[EntryDate],DATE(2026,6,9),tblDaily[WardCode],"MW")),"")</f>
        <v/>
      </c>
      <c r="G210" s="29" t="str">
        <f>IFERROR(IF(SUMIFS(tblDaily[TransfersOut],tblDaily[EntryDate],DATE(2026,6,9),tblDaily[WardCode],"MW")=0,"",SUMIFS(tblDaily[TransfersOut],tblDaily[EntryDate],DATE(2026,6,9),tblDaily[WardCode],"MW")),"")</f>
        <v/>
      </c>
      <c r="H210" s="29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IFERROR(IF(SUMIFS(tblDaily[Admissions],tblDaily[EntryDate],DATE(2026,6,10),tblDaily[WardCode],"MW")=0,"",SUMIFS(tblDaily[Admissions],tblDaily[EntryDate],DATE(2026,6,10),tblDaily[WardCode],"MW")),"")</f>
        <v/>
      </c>
      <c r="C211" s="29" t="str">
        <f>IFERROR(IF(SUMIFS(tblDaily[Discharges],tblDaily[EntryDate],DATE(2026,6,10),tblDaily[WardCode],"MW")=0,"",SUMIFS(tblDaily[Discharges],tblDaily[EntryDate],DATE(2026,6,10),tblDaily[WardCode],"MW")),"")</f>
        <v/>
      </c>
      <c r="D211" s="29" t="str">
        <f>IFERROR(IF(SUMIFS(tblDaily[Deaths],tblDaily[EntryDate],DATE(2026,6,10),tblDaily[WardCode],"MW")=0,"",SUMIFS(tblDaily[Deaths],tblDaily[EntryDate],DATE(2026,6,10),tblDaily[WardCode],"MW")),"")</f>
        <v/>
      </c>
      <c r="E211" s="29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29" t="str">
        <f>IFERROR(IF(SUMIFS(tblDaily[TransfersIn],tblDaily[EntryDate],DATE(2026,6,10),tblDaily[WardCode],"MW")=0,"",SUMIFS(tblDaily[TransfersIn],tblDaily[EntryDate],DATE(2026,6,10),tblDaily[WardCode],"MW")),"")</f>
        <v/>
      </c>
      <c r="G211" s="29" t="str">
        <f>IFERROR(IF(SUMIFS(tblDaily[TransfersOut],tblDaily[EntryDate],DATE(2026,6,10),tblDaily[WardCode],"MW")=0,"",SUMIFS(tblDaily[TransfersOut],tblDaily[EntryDate],DATE(2026,6,10),tblDaily[WardCode],"MW")),"")</f>
        <v/>
      </c>
      <c r="H211" s="29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IFERROR(IF(SUMIFS(tblDaily[Admissions],tblDaily[EntryDate],DATE(2026,6,11),tblDaily[WardCode],"MW")=0,"",SUMIFS(tblDaily[Admissions],tblDaily[EntryDate],DATE(2026,6,11),tblDaily[WardCode],"MW")),"")</f>
        <v/>
      </c>
      <c r="C212" s="29" t="str">
        <f>IFERROR(IF(SUMIFS(tblDaily[Discharges],tblDaily[EntryDate],DATE(2026,6,11),tblDaily[WardCode],"MW")=0,"",SUMIFS(tblDaily[Discharges],tblDaily[EntryDate],DATE(2026,6,11),tblDaily[WardCode],"MW")),"")</f>
        <v/>
      </c>
      <c r="D212" s="29" t="str">
        <f>IFERROR(IF(SUMIFS(tblDaily[Deaths],tblDaily[EntryDate],DATE(2026,6,11),tblDaily[WardCode],"MW")=0,"",SUMIFS(tblDaily[Deaths],tblDaily[EntryDate],DATE(2026,6,11),tblDaily[WardCode],"MW")),"")</f>
        <v/>
      </c>
      <c r="E212" s="29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29" t="str">
        <f>IFERROR(IF(SUMIFS(tblDaily[TransfersIn],tblDaily[EntryDate],DATE(2026,6,11),tblDaily[WardCode],"MW")=0,"",SUMIFS(tblDaily[TransfersIn],tblDaily[EntryDate],DATE(2026,6,11),tblDaily[WardCode],"MW")),"")</f>
        <v/>
      </c>
      <c r="G212" s="29" t="str">
        <f>IFERROR(IF(SUMIFS(tblDaily[TransfersOut],tblDaily[EntryDate],DATE(2026,6,11),tblDaily[WardCode],"MW")=0,"",SUMIFS(tblDaily[TransfersOut],tblDaily[EntryDate],DATE(2026,6,11),tblDaily[WardCode],"MW")),"")</f>
        <v/>
      </c>
      <c r="H212" s="29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IFERROR(IF(SUMIFS(tblDaily[Admissions],tblDaily[EntryDate],DATE(2026,6,12),tblDaily[WardCode],"MW")=0,"",SUMIFS(tblDaily[Admissions],tblDaily[EntryDate],DATE(2026,6,12),tblDaily[WardCode],"MW")),"")</f>
        <v/>
      </c>
      <c r="C213" s="29" t="str">
        <f>IFERROR(IF(SUMIFS(tblDaily[Discharges],tblDaily[EntryDate],DATE(2026,6,12),tblDaily[WardCode],"MW")=0,"",SUMIFS(tblDaily[Discharges],tblDaily[EntryDate],DATE(2026,6,12),tblDaily[WardCode],"MW")),"")</f>
        <v/>
      </c>
      <c r="D213" s="29" t="str">
        <f>IFERROR(IF(SUMIFS(tblDaily[Deaths],tblDaily[EntryDate],DATE(2026,6,12),tblDaily[WardCode],"MW")=0,"",SUMIFS(tblDaily[Deaths],tblDaily[EntryDate],DATE(2026,6,12),tblDaily[WardCode],"MW")),"")</f>
        <v/>
      </c>
      <c r="E213" s="29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29" t="str">
        <f>IFERROR(IF(SUMIFS(tblDaily[TransfersIn],tblDaily[EntryDate],DATE(2026,6,12),tblDaily[WardCode],"MW")=0,"",SUMIFS(tblDaily[TransfersIn],tblDaily[EntryDate],DATE(2026,6,12),tblDaily[WardCode],"MW")),"")</f>
        <v/>
      </c>
      <c r="G213" s="29" t="str">
        <f>IFERROR(IF(SUMIFS(tblDaily[TransfersOut],tblDaily[EntryDate],DATE(2026,6,12),tblDaily[WardCode],"MW")=0,"",SUMIFS(tblDaily[TransfersOut],tblDaily[EntryDate],DATE(2026,6,12),tblDaily[WardCode],"MW")),"")</f>
        <v/>
      </c>
      <c r="H213" s="29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IFERROR(IF(SUMIFS(tblDaily[Admissions],tblDaily[EntryDate],DATE(2026,6,13),tblDaily[WardCode],"MW")=0,"",SUMIFS(tblDaily[Admissions],tblDaily[EntryDate],DATE(2026,6,13),tblDaily[WardCode],"MW")),"")</f>
        <v/>
      </c>
      <c r="C214" s="29" t="str">
        <f>IFERROR(IF(SUMIFS(tblDaily[Discharges],tblDaily[EntryDate],DATE(2026,6,13),tblDaily[WardCode],"MW")=0,"",SUMIFS(tblDaily[Discharges],tblDaily[EntryDate],DATE(2026,6,13),tblDaily[WardCode],"MW")),"")</f>
        <v/>
      </c>
      <c r="D214" s="29" t="str">
        <f>IFERROR(IF(SUMIFS(tblDaily[Deaths],tblDaily[EntryDate],DATE(2026,6,13),tblDaily[WardCode],"MW")=0,"",SUMIFS(tblDaily[Deaths],tblDaily[EntryDate],DATE(2026,6,13),tblDaily[WardCode],"MW")),"")</f>
        <v/>
      </c>
      <c r="E214" s="29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29" t="str">
        <f>IFERROR(IF(SUMIFS(tblDaily[TransfersIn],tblDaily[EntryDate],DATE(2026,6,13),tblDaily[WardCode],"MW")=0,"",SUMIFS(tblDaily[TransfersIn],tblDaily[EntryDate],DATE(2026,6,13),tblDaily[WardCode],"MW")),"")</f>
        <v/>
      </c>
      <c r="G214" s="29" t="str">
        <f>IFERROR(IF(SUMIFS(tblDaily[TransfersOut],tblDaily[EntryDate],DATE(2026,6,13),tblDaily[WardCode],"MW")=0,"",SUMIFS(tblDaily[TransfersOut],tblDaily[EntryDate],DATE(2026,6,13),tblDaily[WardCode],"MW")),"")</f>
        <v/>
      </c>
      <c r="H214" s="29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IFERROR(IF(SUMIFS(tblDaily[Admissions],tblDaily[EntryDate],DATE(2026,6,14),tblDaily[WardCode],"MW")=0,"",SUMIFS(tblDaily[Admissions],tblDaily[EntryDate],DATE(2026,6,14),tblDaily[WardCode],"MW")),"")</f>
        <v/>
      </c>
      <c r="C215" s="29" t="str">
        <f>IFERROR(IF(SUMIFS(tblDaily[Discharges],tblDaily[EntryDate],DATE(2026,6,14),tblDaily[WardCode],"MW")=0,"",SUMIFS(tblDaily[Discharges],tblDaily[EntryDate],DATE(2026,6,14),tblDaily[WardCode],"MW")),"")</f>
        <v/>
      </c>
      <c r="D215" s="29" t="str">
        <f>IFERROR(IF(SUMIFS(tblDaily[Deaths],tblDaily[EntryDate],DATE(2026,6,14),tblDaily[WardCode],"MW")=0,"",SUMIFS(tblDaily[Deaths],tblDaily[EntryDate],DATE(2026,6,14),tblDaily[WardCode],"MW")),"")</f>
        <v/>
      </c>
      <c r="E215" s="29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29" t="str">
        <f>IFERROR(IF(SUMIFS(tblDaily[TransfersIn],tblDaily[EntryDate],DATE(2026,6,14),tblDaily[WardCode],"MW")=0,"",SUMIFS(tblDaily[TransfersIn],tblDaily[EntryDate],DATE(2026,6,14),tblDaily[WardCode],"MW")),"")</f>
        <v/>
      </c>
      <c r="G215" s="29" t="str">
        <f>IFERROR(IF(SUMIFS(tblDaily[TransfersOut],tblDaily[EntryDate],DATE(2026,6,14),tblDaily[WardCode],"MW")=0,"",SUMIFS(tblDaily[TransfersOut],tblDaily[EntryDate],DATE(2026,6,14),tblDaily[WardCode],"MW")),"")</f>
        <v/>
      </c>
      <c r="H215" s="29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IFERROR(IF(SUMIFS(tblDaily[Admissions],tblDaily[EntryDate],DATE(2026,6,15),tblDaily[WardCode],"MW")=0,"",SUMIFS(tblDaily[Admissions],tblDaily[EntryDate],DATE(2026,6,15),tblDaily[WardCode],"MW")),"")</f>
        <v/>
      </c>
      <c r="C216" s="29" t="str">
        <f>IFERROR(IF(SUMIFS(tblDaily[Discharges],tblDaily[EntryDate],DATE(2026,6,15),tblDaily[WardCode],"MW")=0,"",SUMIFS(tblDaily[Discharges],tblDaily[EntryDate],DATE(2026,6,15),tblDaily[WardCode],"MW")),"")</f>
        <v/>
      </c>
      <c r="D216" s="29" t="str">
        <f>IFERROR(IF(SUMIFS(tblDaily[Deaths],tblDaily[EntryDate],DATE(2026,6,15),tblDaily[WardCode],"MW")=0,"",SUMIFS(tblDaily[Deaths],tblDaily[EntryDate],DATE(2026,6,15),tblDaily[WardCode],"MW")),"")</f>
        <v/>
      </c>
      <c r="E216" s="29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29" t="str">
        <f>IFERROR(IF(SUMIFS(tblDaily[TransfersIn],tblDaily[EntryDate],DATE(2026,6,15),tblDaily[WardCode],"MW")=0,"",SUMIFS(tblDaily[TransfersIn],tblDaily[EntryDate],DATE(2026,6,15),tblDaily[WardCode],"MW")),"")</f>
        <v/>
      </c>
      <c r="G216" s="29" t="str">
        <f>IFERROR(IF(SUMIFS(tblDaily[TransfersOut],tblDaily[EntryDate],DATE(2026,6,15),tblDaily[WardCode],"MW")=0,"",SUMIFS(tblDaily[TransfersOut],tblDaily[EntryDate],DATE(2026,6,15),tblDaily[WardCode],"MW")),"")</f>
        <v/>
      </c>
      <c r="H216" s="29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IFERROR(IF(SUMIFS(tblDaily[Admissions],tblDaily[EntryDate],DATE(2026,6,16),tblDaily[WardCode],"MW")=0,"",SUMIFS(tblDaily[Admissions],tblDaily[EntryDate],DATE(2026,6,16),tblDaily[WardCode],"MW")),"")</f>
        <v/>
      </c>
      <c r="C217" s="29" t="str">
        <f>IFERROR(IF(SUMIFS(tblDaily[Discharges],tblDaily[EntryDate],DATE(2026,6,16),tblDaily[WardCode],"MW")=0,"",SUMIFS(tblDaily[Discharges],tblDaily[EntryDate],DATE(2026,6,16),tblDaily[WardCode],"MW")),"")</f>
        <v/>
      </c>
      <c r="D217" s="29" t="str">
        <f>IFERROR(IF(SUMIFS(tblDaily[Deaths],tblDaily[EntryDate],DATE(2026,6,16),tblDaily[WardCode],"MW")=0,"",SUMIFS(tblDaily[Deaths],tblDaily[EntryDate],DATE(2026,6,16),tblDaily[WardCode],"MW")),"")</f>
        <v/>
      </c>
      <c r="E217" s="29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29" t="str">
        <f>IFERROR(IF(SUMIFS(tblDaily[TransfersIn],tblDaily[EntryDate],DATE(2026,6,16),tblDaily[WardCode],"MW")=0,"",SUMIFS(tblDaily[TransfersIn],tblDaily[EntryDate],DATE(2026,6,16),tblDaily[WardCode],"MW")),"")</f>
        <v/>
      </c>
      <c r="G217" s="29" t="str">
        <f>IFERROR(IF(SUMIFS(tblDaily[TransfersOut],tblDaily[EntryDate],DATE(2026,6,16),tblDaily[WardCode],"MW")=0,"",SUMIFS(tblDaily[TransfersOut],tblDaily[EntryDate],DATE(2026,6,16),tblDaily[WardCode],"MW")),"")</f>
        <v/>
      </c>
      <c r="H217" s="29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IFERROR(IF(SUMIFS(tblDaily[Admissions],tblDaily[EntryDate],DATE(2026,6,17),tblDaily[WardCode],"MW")=0,"",SUMIFS(tblDaily[Admissions],tblDaily[EntryDate],DATE(2026,6,17),tblDaily[WardCode],"MW")),"")</f>
        <v/>
      </c>
      <c r="C218" s="29" t="str">
        <f>IFERROR(IF(SUMIFS(tblDaily[Discharges],tblDaily[EntryDate],DATE(2026,6,17),tblDaily[WardCode],"MW")=0,"",SUMIFS(tblDaily[Discharges],tblDaily[EntryDate],DATE(2026,6,17),tblDaily[WardCode],"MW")),"")</f>
        <v/>
      </c>
      <c r="D218" s="29" t="str">
        <f>IFERROR(IF(SUMIFS(tblDaily[Deaths],tblDaily[EntryDate],DATE(2026,6,17),tblDaily[WardCode],"MW")=0,"",SUMIFS(tblDaily[Deaths],tblDaily[EntryDate],DATE(2026,6,17),tblDaily[WardCode],"MW")),"")</f>
        <v/>
      </c>
      <c r="E218" s="29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29" t="str">
        <f>IFERROR(IF(SUMIFS(tblDaily[TransfersIn],tblDaily[EntryDate],DATE(2026,6,17),tblDaily[WardCode],"MW")=0,"",SUMIFS(tblDaily[TransfersIn],tblDaily[EntryDate],DATE(2026,6,17),tblDaily[WardCode],"MW")),"")</f>
        <v/>
      </c>
      <c r="G218" s="29" t="str">
        <f>IFERROR(IF(SUMIFS(tblDaily[TransfersOut],tblDaily[EntryDate],DATE(2026,6,17),tblDaily[WardCode],"MW")=0,"",SUMIFS(tblDaily[TransfersOut],tblDaily[EntryDate],DATE(2026,6,17),tblDaily[WardCode],"MW")),"")</f>
        <v/>
      </c>
      <c r="H218" s="29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IFERROR(IF(SUMIFS(tblDaily[Admissions],tblDaily[EntryDate],DATE(2026,6,18),tblDaily[WardCode],"MW")=0,"",SUMIFS(tblDaily[Admissions],tblDaily[EntryDate],DATE(2026,6,18),tblDaily[WardCode],"MW")),"")</f>
        <v/>
      </c>
      <c r="C219" s="29" t="str">
        <f>IFERROR(IF(SUMIFS(tblDaily[Discharges],tblDaily[EntryDate],DATE(2026,6,18),tblDaily[WardCode],"MW")=0,"",SUMIFS(tblDaily[Discharges],tblDaily[EntryDate],DATE(2026,6,18),tblDaily[WardCode],"MW")),"")</f>
        <v/>
      </c>
      <c r="D219" s="29" t="str">
        <f>IFERROR(IF(SUMIFS(tblDaily[Deaths],tblDaily[EntryDate],DATE(2026,6,18),tblDaily[WardCode],"MW")=0,"",SUMIFS(tblDaily[Deaths],tblDaily[EntryDate],DATE(2026,6,18),tblDaily[WardCode],"MW")),"")</f>
        <v/>
      </c>
      <c r="E219" s="29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29" t="str">
        <f>IFERROR(IF(SUMIFS(tblDaily[TransfersIn],tblDaily[EntryDate],DATE(2026,6,18),tblDaily[WardCode],"MW")=0,"",SUMIFS(tblDaily[TransfersIn],tblDaily[EntryDate],DATE(2026,6,18),tblDaily[WardCode],"MW")),"")</f>
        <v/>
      </c>
      <c r="G219" s="29" t="str">
        <f>IFERROR(IF(SUMIFS(tblDaily[TransfersOut],tblDaily[EntryDate],DATE(2026,6,18),tblDaily[WardCode],"MW")=0,"",SUMIFS(tblDaily[TransfersOut],tblDaily[EntryDate],DATE(2026,6,18),tblDaily[WardCode],"MW")),"")</f>
        <v/>
      </c>
      <c r="H219" s="29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IFERROR(IF(SUMIFS(tblDaily[Admissions],tblDaily[EntryDate],DATE(2026,6,19),tblDaily[WardCode],"MW")=0,"",SUMIFS(tblDaily[Admissions],tblDaily[EntryDate],DATE(2026,6,19),tblDaily[WardCode],"MW")),"")</f>
        <v/>
      </c>
      <c r="C220" s="29" t="str">
        <f>IFERROR(IF(SUMIFS(tblDaily[Discharges],tblDaily[EntryDate],DATE(2026,6,19),tblDaily[WardCode],"MW")=0,"",SUMIFS(tblDaily[Discharges],tblDaily[EntryDate],DATE(2026,6,19),tblDaily[WardCode],"MW")),"")</f>
        <v/>
      </c>
      <c r="D220" s="29" t="str">
        <f>IFERROR(IF(SUMIFS(tblDaily[Deaths],tblDaily[EntryDate],DATE(2026,6,19),tblDaily[WardCode],"MW")=0,"",SUMIFS(tblDaily[Deaths],tblDaily[EntryDate],DATE(2026,6,19),tblDaily[WardCode],"MW")),"")</f>
        <v/>
      </c>
      <c r="E220" s="29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29" t="str">
        <f>IFERROR(IF(SUMIFS(tblDaily[TransfersIn],tblDaily[EntryDate],DATE(2026,6,19),tblDaily[WardCode],"MW")=0,"",SUMIFS(tblDaily[TransfersIn],tblDaily[EntryDate],DATE(2026,6,19),tblDaily[WardCode],"MW")),"")</f>
        <v/>
      </c>
      <c r="G220" s="29" t="str">
        <f>IFERROR(IF(SUMIFS(tblDaily[TransfersOut],tblDaily[EntryDate],DATE(2026,6,19),tblDaily[WardCode],"MW")=0,"",SUMIFS(tblDaily[TransfersOut],tblDaily[EntryDate],DATE(2026,6,19),tblDaily[WardCode],"MW")),"")</f>
        <v/>
      </c>
      <c r="H220" s="29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IFERROR(IF(SUMIFS(tblDaily[Admissions],tblDaily[EntryDate],DATE(2026,6,20),tblDaily[WardCode],"MW")=0,"",SUMIFS(tblDaily[Admissions],tblDaily[EntryDate],DATE(2026,6,20),tblDaily[WardCode],"MW")),"")</f>
        <v/>
      </c>
      <c r="C221" s="29" t="str">
        <f>IFERROR(IF(SUMIFS(tblDaily[Discharges],tblDaily[EntryDate],DATE(2026,6,20),tblDaily[WardCode],"MW")=0,"",SUMIFS(tblDaily[Discharges],tblDaily[EntryDate],DATE(2026,6,20),tblDaily[WardCode],"MW")),"")</f>
        <v/>
      </c>
      <c r="D221" s="29" t="str">
        <f>IFERROR(IF(SUMIFS(tblDaily[Deaths],tblDaily[EntryDate],DATE(2026,6,20),tblDaily[WardCode],"MW")=0,"",SUMIFS(tblDaily[Deaths],tblDaily[EntryDate],DATE(2026,6,20),tblDaily[WardCode],"MW")),"")</f>
        <v/>
      </c>
      <c r="E221" s="29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29" t="str">
        <f>IFERROR(IF(SUMIFS(tblDaily[TransfersIn],tblDaily[EntryDate],DATE(2026,6,20),tblDaily[WardCode],"MW")=0,"",SUMIFS(tblDaily[TransfersIn],tblDaily[EntryDate],DATE(2026,6,20),tblDaily[WardCode],"MW")),"")</f>
        <v/>
      </c>
      <c r="G221" s="29" t="str">
        <f>IFERROR(IF(SUMIFS(tblDaily[TransfersOut],tblDaily[EntryDate],DATE(2026,6,20),tblDaily[WardCode],"MW")=0,"",SUMIFS(tblDaily[TransfersOut],tblDaily[EntryDate],DATE(2026,6,20),tblDaily[WardCode],"MW")),"")</f>
        <v/>
      </c>
      <c r="H221" s="29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IFERROR(IF(SUMIFS(tblDaily[Admissions],tblDaily[EntryDate],DATE(2026,6,21),tblDaily[WardCode],"MW")=0,"",SUMIFS(tblDaily[Admissions],tblDaily[EntryDate],DATE(2026,6,21),tblDaily[WardCode],"MW")),"")</f>
        <v/>
      </c>
      <c r="C222" s="29" t="str">
        <f>IFERROR(IF(SUMIFS(tblDaily[Discharges],tblDaily[EntryDate],DATE(2026,6,21),tblDaily[WardCode],"MW")=0,"",SUMIFS(tblDaily[Discharges],tblDaily[EntryDate],DATE(2026,6,21),tblDaily[WardCode],"MW")),"")</f>
        <v/>
      </c>
      <c r="D222" s="29" t="str">
        <f>IFERROR(IF(SUMIFS(tblDaily[Deaths],tblDaily[EntryDate],DATE(2026,6,21),tblDaily[WardCode],"MW")=0,"",SUMIFS(tblDaily[Deaths],tblDaily[EntryDate],DATE(2026,6,21),tblDaily[WardCode],"MW")),"")</f>
        <v/>
      </c>
      <c r="E222" s="29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29" t="str">
        <f>IFERROR(IF(SUMIFS(tblDaily[TransfersIn],tblDaily[EntryDate],DATE(2026,6,21),tblDaily[WardCode],"MW")=0,"",SUMIFS(tblDaily[TransfersIn],tblDaily[EntryDate],DATE(2026,6,21),tblDaily[WardCode],"MW")),"")</f>
        <v/>
      </c>
      <c r="G222" s="29" t="str">
        <f>IFERROR(IF(SUMIFS(tblDaily[TransfersOut],tblDaily[EntryDate],DATE(2026,6,21),tblDaily[WardCode],"MW")=0,"",SUMIFS(tblDaily[TransfersOut],tblDaily[EntryDate],DATE(2026,6,21),tblDaily[WardCode],"MW")),"")</f>
        <v/>
      </c>
      <c r="H222" s="29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IFERROR(IF(SUMIFS(tblDaily[Admissions],tblDaily[EntryDate],DATE(2026,6,22),tblDaily[WardCode],"MW")=0,"",SUMIFS(tblDaily[Admissions],tblDaily[EntryDate],DATE(2026,6,22),tblDaily[WardCode],"MW")),"")</f>
        <v/>
      </c>
      <c r="C223" s="29" t="str">
        <f>IFERROR(IF(SUMIFS(tblDaily[Discharges],tblDaily[EntryDate],DATE(2026,6,22),tblDaily[WardCode],"MW")=0,"",SUMIFS(tblDaily[Discharges],tblDaily[EntryDate],DATE(2026,6,22),tblDaily[WardCode],"MW")),"")</f>
        <v/>
      </c>
      <c r="D223" s="29" t="str">
        <f>IFERROR(IF(SUMIFS(tblDaily[Deaths],tblDaily[EntryDate],DATE(2026,6,22),tblDaily[WardCode],"MW")=0,"",SUMIFS(tblDaily[Deaths],tblDaily[EntryDate],DATE(2026,6,22),tblDaily[WardCode],"MW")),"")</f>
        <v/>
      </c>
      <c r="E223" s="29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29" t="str">
        <f>IFERROR(IF(SUMIFS(tblDaily[TransfersIn],tblDaily[EntryDate],DATE(2026,6,22),tblDaily[WardCode],"MW")=0,"",SUMIFS(tblDaily[TransfersIn],tblDaily[EntryDate],DATE(2026,6,22),tblDaily[WardCode],"MW")),"")</f>
        <v/>
      </c>
      <c r="G223" s="29" t="str">
        <f>IFERROR(IF(SUMIFS(tblDaily[TransfersOut],tblDaily[EntryDate],DATE(2026,6,22),tblDaily[WardCode],"MW")=0,"",SUMIFS(tblDaily[TransfersOut],tblDaily[EntryDate],DATE(2026,6,22),tblDaily[WardCode],"MW")),"")</f>
        <v/>
      </c>
      <c r="H223" s="29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IFERROR(IF(SUMIFS(tblDaily[Admissions],tblDaily[EntryDate],DATE(2026,6,23),tblDaily[WardCode],"MW")=0,"",SUMIFS(tblDaily[Admissions],tblDaily[EntryDate],DATE(2026,6,23),tblDaily[WardCode],"MW")),"")</f>
        <v/>
      </c>
      <c r="C224" s="29" t="str">
        <f>IFERROR(IF(SUMIFS(tblDaily[Discharges],tblDaily[EntryDate],DATE(2026,6,23),tblDaily[WardCode],"MW")=0,"",SUMIFS(tblDaily[Discharges],tblDaily[EntryDate],DATE(2026,6,23),tblDaily[WardCode],"MW")),"")</f>
        <v/>
      </c>
      <c r="D224" s="29" t="str">
        <f>IFERROR(IF(SUMIFS(tblDaily[Deaths],tblDaily[EntryDate],DATE(2026,6,23),tblDaily[WardCode],"MW")=0,"",SUMIFS(tblDaily[Deaths],tblDaily[EntryDate],DATE(2026,6,23),tblDaily[WardCode],"MW")),"")</f>
        <v/>
      </c>
      <c r="E224" s="29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29" t="str">
        <f>IFERROR(IF(SUMIFS(tblDaily[TransfersIn],tblDaily[EntryDate],DATE(2026,6,23),tblDaily[WardCode],"MW")=0,"",SUMIFS(tblDaily[TransfersIn],tblDaily[EntryDate],DATE(2026,6,23),tblDaily[WardCode],"MW")),"")</f>
        <v/>
      </c>
      <c r="G224" s="29" t="str">
        <f>IFERROR(IF(SUMIFS(tblDaily[TransfersOut],tblDaily[EntryDate],DATE(2026,6,23),tblDaily[WardCode],"MW")=0,"",SUMIFS(tblDaily[TransfersOut],tblDaily[EntryDate],DATE(2026,6,23),tblDaily[WardCode],"MW")),"")</f>
        <v/>
      </c>
      <c r="H224" s="29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IFERROR(IF(SUMIFS(tblDaily[Admissions],tblDaily[EntryDate],DATE(2026,6,24),tblDaily[WardCode],"MW")=0,"",SUMIFS(tblDaily[Admissions],tblDaily[EntryDate],DATE(2026,6,24),tblDaily[WardCode],"MW")),"")</f>
        <v/>
      </c>
      <c r="C225" s="29" t="str">
        <f>IFERROR(IF(SUMIFS(tblDaily[Discharges],tblDaily[EntryDate],DATE(2026,6,24),tblDaily[WardCode],"MW")=0,"",SUMIFS(tblDaily[Discharges],tblDaily[EntryDate],DATE(2026,6,24),tblDaily[WardCode],"MW")),"")</f>
        <v/>
      </c>
      <c r="D225" s="29" t="str">
        <f>IFERROR(IF(SUMIFS(tblDaily[Deaths],tblDaily[EntryDate],DATE(2026,6,24),tblDaily[WardCode],"MW")=0,"",SUMIFS(tblDaily[Deaths],tblDaily[EntryDate],DATE(2026,6,24),tblDaily[WardCode],"MW")),"")</f>
        <v/>
      </c>
      <c r="E225" s="29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29" t="str">
        <f>IFERROR(IF(SUMIFS(tblDaily[TransfersIn],tblDaily[EntryDate],DATE(2026,6,24),tblDaily[WardCode],"MW")=0,"",SUMIFS(tblDaily[TransfersIn],tblDaily[EntryDate],DATE(2026,6,24),tblDaily[WardCode],"MW")),"")</f>
        <v/>
      </c>
      <c r="G225" s="29" t="str">
        <f>IFERROR(IF(SUMIFS(tblDaily[TransfersOut],tblDaily[EntryDate],DATE(2026,6,24),tblDaily[WardCode],"MW")=0,"",SUMIFS(tblDaily[TransfersOut],tblDaily[EntryDate],DATE(2026,6,24),tblDaily[WardCode],"MW")),"")</f>
        <v/>
      </c>
      <c r="H225" s="29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IFERROR(IF(SUMIFS(tblDaily[Admissions],tblDaily[EntryDate],DATE(2026,6,25),tblDaily[WardCode],"MW")=0,"",SUMIFS(tblDaily[Admissions],tblDaily[EntryDate],DATE(2026,6,25),tblDaily[WardCode],"MW")),"")</f>
        <v/>
      </c>
      <c r="C226" s="29" t="str">
        <f>IFERROR(IF(SUMIFS(tblDaily[Discharges],tblDaily[EntryDate],DATE(2026,6,25),tblDaily[WardCode],"MW")=0,"",SUMIFS(tblDaily[Discharges],tblDaily[EntryDate],DATE(2026,6,25),tblDaily[WardCode],"MW")),"")</f>
        <v/>
      </c>
      <c r="D226" s="29" t="str">
        <f>IFERROR(IF(SUMIFS(tblDaily[Deaths],tblDaily[EntryDate],DATE(2026,6,25),tblDaily[WardCode],"MW")=0,"",SUMIFS(tblDaily[Deaths],tblDaily[EntryDate],DATE(2026,6,25),tblDaily[WardCode],"MW")),"")</f>
        <v/>
      </c>
      <c r="E226" s="29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29" t="str">
        <f>IFERROR(IF(SUMIFS(tblDaily[TransfersIn],tblDaily[EntryDate],DATE(2026,6,25),tblDaily[WardCode],"MW")=0,"",SUMIFS(tblDaily[TransfersIn],tblDaily[EntryDate],DATE(2026,6,25),tblDaily[WardCode],"MW")),"")</f>
        <v/>
      </c>
      <c r="G226" s="29" t="str">
        <f>IFERROR(IF(SUMIFS(tblDaily[TransfersOut],tblDaily[EntryDate],DATE(2026,6,25),tblDaily[WardCode],"MW")=0,"",SUMIFS(tblDaily[TransfersOut],tblDaily[EntryDate],DATE(2026,6,25),tblDaily[WardCode],"MW")),"")</f>
        <v/>
      </c>
      <c r="H226" s="29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IFERROR(IF(SUMIFS(tblDaily[Admissions],tblDaily[EntryDate],DATE(2026,6,26),tblDaily[WardCode],"MW")=0,"",SUMIFS(tblDaily[Admissions],tblDaily[EntryDate],DATE(2026,6,26),tblDaily[WardCode],"MW")),"")</f>
        <v/>
      </c>
      <c r="C227" s="29" t="str">
        <f>IFERROR(IF(SUMIFS(tblDaily[Discharges],tblDaily[EntryDate],DATE(2026,6,26),tblDaily[WardCode],"MW")=0,"",SUMIFS(tblDaily[Discharges],tblDaily[EntryDate],DATE(2026,6,26),tblDaily[WardCode],"MW")),"")</f>
        <v/>
      </c>
      <c r="D227" s="29" t="str">
        <f>IFERROR(IF(SUMIFS(tblDaily[Deaths],tblDaily[EntryDate],DATE(2026,6,26),tblDaily[WardCode],"MW")=0,"",SUMIFS(tblDaily[Deaths],tblDaily[EntryDate],DATE(2026,6,26),tblDaily[WardCode],"MW")),"")</f>
        <v/>
      </c>
      <c r="E227" s="29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29" t="str">
        <f>IFERROR(IF(SUMIFS(tblDaily[TransfersIn],tblDaily[EntryDate],DATE(2026,6,26),tblDaily[WardCode],"MW")=0,"",SUMIFS(tblDaily[TransfersIn],tblDaily[EntryDate],DATE(2026,6,26),tblDaily[WardCode],"MW")),"")</f>
        <v/>
      </c>
      <c r="G227" s="29" t="str">
        <f>IFERROR(IF(SUMIFS(tblDaily[TransfersOut],tblDaily[EntryDate],DATE(2026,6,26),tblDaily[WardCode],"MW")=0,"",SUMIFS(tblDaily[TransfersOut],tblDaily[EntryDate],DATE(2026,6,26),tblDaily[WardCode],"MW")),"")</f>
        <v/>
      </c>
      <c r="H227" s="29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IFERROR(IF(SUMIFS(tblDaily[Admissions],tblDaily[EntryDate],DATE(2026,6,27),tblDaily[WardCode],"MW")=0,"",SUMIFS(tblDaily[Admissions],tblDaily[EntryDate],DATE(2026,6,27),tblDaily[WardCode],"MW")),"")</f>
        <v/>
      </c>
      <c r="C228" s="29" t="str">
        <f>IFERROR(IF(SUMIFS(tblDaily[Discharges],tblDaily[EntryDate],DATE(2026,6,27),tblDaily[WardCode],"MW")=0,"",SUMIFS(tblDaily[Discharges],tblDaily[EntryDate],DATE(2026,6,27),tblDaily[WardCode],"MW")),"")</f>
        <v/>
      </c>
      <c r="D228" s="29" t="str">
        <f>IFERROR(IF(SUMIFS(tblDaily[Deaths],tblDaily[EntryDate],DATE(2026,6,27),tblDaily[WardCode],"MW")=0,"",SUMIFS(tblDaily[Deaths],tblDaily[EntryDate],DATE(2026,6,27),tblDaily[WardCode],"MW")),"")</f>
        <v/>
      </c>
      <c r="E228" s="29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29" t="str">
        <f>IFERROR(IF(SUMIFS(tblDaily[TransfersIn],tblDaily[EntryDate],DATE(2026,6,27),tblDaily[WardCode],"MW")=0,"",SUMIFS(tblDaily[TransfersIn],tblDaily[EntryDate],DATE(2026,6,27),tblDaily[WardCode],"MW")),"")</f>
        <v/>
      </c>
      <c r="G228" s="29" t="str">
        <f>IFERROR(IF(SUMIFS(tblDaily[TransfersOut],tblDaily[EntryDate],DATE(2026,6,27),tblDaily[WardCode],"MW")=0,"",SUMIFS(tblDaily[TransfersOut],tblDaily[EntryDate],DATE(2026,6,27),tblDaily[WardCode],"MW")),"")</f>
        <v/>
      </c>
      <c r="H228" s="29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IFERROR(IF(SUMIFS(tblDaily[Admissions],tblDaily[EntryDate],DATE(2026,6,28),tblDaily[WardCode],"MW")=0,"",SUMIFS(tblDaily[Admissions],tblDaily[EntryDate],DATE(2026,6,28),tblDaily[WardCode],"MW")),"")</f>
        <v/>
      </c>
      <c r="C229" s="29" t="str">
        <f>IFERROR(IF(SUMIFS(tblDaily[Discharges],tblDaily[EntryDate],DATE(2026,6,28),tblDaily[WardCode],"MW")=0,"",SUMIFS(tblDaily[Discharges],tblDaily[EntryDate],DATE(2026,6,28),tblDaily[WardCode],"MW")),"")</f>
        <v/>
      </c>
      <c r="D229" s="29" t="str">
        <f>IFERROR(IF(SUMIFS(tblDaily[Deaths],tblDaily[EntryDate],DATE(2026,6,28),tblDaily[WardCode],"MW")=0,"",SUMIFS(tblDaily[Deaths],tblDaily[EntryDate],DATE(2026,6,28),tblDaily[WardCode],"MW")),"")</f>
        <v/>
      </c>
      <c r="E229" s="29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29" t="str">
        <f>IFERROR(IF(SUMIFS(tblDaily[TransfersIn],tblDaily[EntryDate],DATE(2026,6,28),tblDaily[WardCode],"MW")=0,"",SUMIFS(tblDaily[TransfersIn],tblDaily[EntryDate],DATE(2026,6,28),tblDaily[WardCode],"MW")),"")</f>
        <v/>
      </c>
      <c r="G229" s="29" t="str">
        <f>IFERROR(IF(SUMIFS(tblDaily[TransfersOut],tblDaily[EntryDate],DATE(2026,6,28),tblDaily[WardCode],"MW")=0,"",SUMIFS(tblDaily[TransfersOut],tblDaily[EntryDate],DATE(2026,6,28),tblDaily[WardCode],"MW")),"")</f>
        <v/>
      </c>
      <c r="H229" s="29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IFERROR(IF(SUMIFS(tblDaily[Admissions],tblDaily[EntryDate],DATE(2026,6,29),tblDaily[WardCode],"MW")=0,"",SUMIFS(tblDaily[Admissions],tblDaily[EntryDate],DATE(2026,6,29),tblDaily[WardCode],"MW")),"")</f>
        <v/>
      </c>
      <c r="C230" s="29" t="str">
        <f>IFERROR(IF(SUMIFS(tblDaily[Discharges],tblDaily[EntryDate],DATE(2026,6,29),tblDaily[WardCode],"MW")=0,"",SUMIFS(tblDaily[Discharges],tblDaily[EntryDate],DATE(2026,6,29),tblDaily[WardCode],"MW")),"")</f>
        <v/>
      </c>
      <c r="D230" s="29" t="str">
        <f>IFERROR(IF(SUMIFS(tblDaily[Deaths],tblDaily[EntryDate],DATE(2026,6,29),tblDaily[WardCode],"MW")=0,"",SUMIFS(tblDaily[Deaths],tblDaily[EntryDate],DATE(2026,6,29),tblDaily[WardCode],"MW")),"")</f>
        <v/>
      </c>
      <c r="E230" s="29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29" t="str">
        <f>IFERROR(IF(SUMIFS(tblDaily[TransfersIn],tblDaily[EntryDate],DATE(2026,6,29),tblDaily[WardCode],"MW")=0,"",SUMIFS(tblDaily[TransfersIn],tblDaily[EntryDate],DATE(2026,6,29),tblDaily[WardCode],"MW")),"")</f>
        <v/>
      </c>
      <c r="G230" s="29" t="str">
        <f>IFERROR(IF(SUMIFS(tblDaily[TransfersOut],tblDaily[EntryDate],DATE(2026,6,29),tblDaily[WardCode],"MW")=0,"",SUMIFS(tblDaily[TransfersOut],tblDaily[EntryDate],DATE(2026,6,29),tblDaily[WardCode],"MW")),"")</f>
        <v/>
      </c>
      <c r="H230" s="29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IFERROR(IF(SUMIFS(tblDaily[Admissions],tblDaily[EntryDate],DATE(2026,6,30),tblDaily[WardCode],"MW")=0,"",SUMIFS(tblDaily[Admissions],tblDaily[EntryDate],DATE(2026,6,30),tblDaily[WardCode],"MW")),"")</f>
        <v/>
      </c>
      <c r="C231" s="29" t="str">
        <f>IFERROR(IF(SUMIFS(tblDaily[Discharges],tblDaily[EntryDate],DATE(2026,6,30),tblDaily[WardCode],"MW")=0,"",SUMIFS(tblDaily[Discharges],tblDaily[EntryDate],DATE(2026,6,30),tblDaily[WardCode],"MW")),"")</f>
        <v/>
      </c>
      <c r="D231" s="29" t="str">
        <f>IFERROR(IF(SUMIFS(tblDaily[Deaths],tblDaily[EntryDate],DATE(2026,6,30),tblDaily[WardCode],"MW")=0,"",SUMIFS(tblDaily[Deaths],tblDaily[EntryDate],DATE(2026,6,30),tblDaily[WardCode],"MW")),"")</f>
        <v/>
      </c>
      <c r="E231" s="29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29" t="str">
        <f>IFERROR(IF(SUMIFS(tblDaily[TransfersIn],tblDaily[EntryDate],DATE(2026,6,30),tblDaily[WardCode],"MW")=0,"",SUMIFS(tblDaily[TransfersIn],tblDaily[EntryDate],DATE(2026,6,30),tblDaily[WardCode],"MW")),"")</f>
        <v/>
      </c>
      <c r="G231" s="29" t="str">
        <f>IFERROR(IF(SUMIFS(tblDaily[TransfersOut],tblDaily[EntryDate],DATE(2026,6,30),tblDaily[WardCode],"MW")=0,"",SUMIFS(tblDaily[TransfersOut],tblDaily[EntryDate],DATE(2026,6,30),tblDaily[WardCode],"MW")),"")</f>
        <v/>
      </c>
      <c r="H231" s="29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SUMIFS(tblDaily[Admissions],tblDaily[Month],6,tblDaily[WardCode],"MW") - SUMIFS(tblDaily[DeathsUnder24Hrs],tblDaily[Month],6,tblDaily[WardCode],"MW")</f>
        <v>0</v>
      </c>
      <c r="C233" s="30">
        <f>SUMIFS(tblDaily[Discharges],tblDaily[Month],6,tblDaily[WardCode],"MW")</f>
        <v>0</v>
      </c>
      <c r="D233" s="30">
        <f>SUMIFS(tblDaily[Deaths],tblDaily[Month],6,tblDaily[WardCode],"MW")</f>
        <v>0</v>
      </c>
      <c r="E233" s="30">
        <f>SUMIFS(tblDaily[DeathsUnder24Hrs],tblDaily[Month],6,tblDaily[WardCode],"MW")</f>
        <v>0</v>
      </c>
      <c r="F233" s="30">
        <f>SUMIFS(tblDaily[TransfersIn],tblDaily[Month],6,tblDaily[WardCode],"MW")</f>
        <v>0</v>
      </c>
      <c r="G233" s="30">
        <f>SUMIFS(tblDaily[TransfersOut],tblDaily[Month],6,tblDaily[WardCode],"MW")</f>
        <v>0</v>
      </c>
      <c r="H233" s="30">
        <f>SUMIFS(tblDaily[Remaining],tblDaily[Month],6,tblDaily[WardCode],"MW")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106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IFERROR(SUMIFS(tblDaily[Remaining],tblDaily[EntryDate],DATE(2026,6,30),tblDaily[WardCode],"MW"),0)</f>
        <v>0</v>
      </c>
    </row>
    <row r="239" spans="1:8" x14ac:dyDescent="0.25">
      <c r="A239" s="24" t="s">
        <v>109</v>
      </c>
      <c r="H239" s="27">
        <f>IFERROR(INDEX(tblWardConfig[BedComplement],MATCH("MW",tblWardConfig[WardCode],0)),0)</f>
        <v>32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IFERROR(IF(SUMIFS(tblDaily[Admissions],tblDaily[EntryDate],DATE(2026,7,1),tblDaily[WardCode],"MW")=0,"",SUMIFS(tblDaily[Admissions],tblDaily[EntryDate],DATE(2026,7,1),tblDaily[WardCode],"MW")),"")</f>
        <v/>
      </c>
      <c r="C241" s="29" t="str">
        <f>IFERROR(IF(SUMIFS(tblDaily[Discharges],tblDaily[EntryDate],DATE(2026,7,1),tblDaily[WardCode],"MW")=0,"",SUMIFS(tblDaily[Discharges],tblDaily[EntryDate],DATE(2026,7,1),tblDaily[WardCode],"MW")),"")</f>
        <v/>
      </c>
      <c r="D241" s="29" t="str">
        <f>IFERROR(IF(SUMIFS(tblDaily[Deaths],tblDaily[EntryDate],DATE(2026,7,1),tblDaily[WardCode],"MW")=0,"",SUMIFS(tblDaily[Deaths],tblDaily[EntryDate],DATE(2026,7,1),tblDaily[WardCode],"MW")),"")</f>
        <v/>
      </c>
      <c r="E241" s="29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29" t="str">
        <f>IFERROR(IF(SUMIFS(tblDaily[TransfersIn],tblDaily[EntryDate],DATE(2026,7,1),tblDaily[WardCode],"MW")=0,"",SUMIFS(tblDaily[TransfersIn],tblDaily[EntryDate],DATE(2026,7,1),tblDaily[WardCode],"MW")),"")</f>
        <v/>
      </c>
      <c r="G241" s="29" t="str">
        <f>IFERROR(IF(SUMIFS(tblDaily[TransfersOut],tblDaily[EntryDate],DATE(2026,7,1),tblDaily[WardCode],"MW")=0,"",SUMIFS(tblDaily[TransfersOut],tblDaily[EntryDate],DATE(2026,7,1),tblDaily[WardCode],"MW")),"")</f>
        <v/>
      </c>
      <c r="H241" s="29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IFERROR(IF(SUMIFS(tblDaily[Admissions],tblDaily[EntryDate],DATE(2026,7,2),tblDaily[WardCode],"MW")=0,"",SUMIFS(tblDaily[Admissions],tblDaily[EntryDate],DATE(2026,7,2),tblDaily[WardCode],"MW")),"")</f>
        <v/>
      </c>
      <c r="C242" s="29" t="str">
        <f>IFERROR(IF(SUMIFS(tblDaily[Discharges],tblDaily[EntryDate],DATE(2026,7,2),tblDaily[WardCode],"MW")=0,"",SUMIFS(tblDaily[Discharges],tblDaily[EntryDate],DATE(2026,7,2),tblDaily[WardCode],"MW")),"")</f>
        <v/>
      </c>
      <c r="D242" s="29" t="str">
        <f>IFERROR(IF(SUMIFS(tblDaily[Deaths],tblDaily[EntryDate],DATE(2026,7,2),tblDaily[WardCode],"MW")=0,"",SUMIFS(tblDaily[Deaths],tblDaily[EntryDate],DATE(2026,7,2),tblDaily[WardCode],"MW")),"")</f>
        <v/>
      </c>
      <c r="E242" s="29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29" t="str">
        <f>IFERROR(IF(SUMIFS(tblDaily[TransfersIn],tblDaily[EntryDate],DATE(2026,7,2),tblDaily[WardCode],"MW")=0,"",SUMIFS(tblDaily[TransfersIn],tblDaily[EntryDate],DATE(2026,7,2),tblDaily[WardCode],"MW")),"")</f>
        <v/>
      </c>
      <c r="G242" s="29" t="str">
        <f>IFERROR(IF(SUMIFS(tblDaily[TransfersOut],tblDaily[EntryDate],DATE(2026,7,2),tblDaily[WardCode],"MW")=0,"",SUMIFS(tblDaily[TransfersOut],tblDaily[EntryDate],DATE(2026,7,2),tblDaily[WardCode],"MW")),"")</f>
        <v/>
      </c>
      <c r="H242" s="29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IFERROR(IF(SUMIFS(tblDaily[Admissions],tblDaily[EntryDate],DATE(2026,7,3),tblDaily[WardCode],"MW")=0,"",SUMIFS(tblDaily[Admissions],tblDaily[EntryDate],DATE(2026,7,3),tblDaily[WardCode],"MW")),"")</f>
        <v/>
      </c>
      <c r="C243" s="29" t="str">
        <f>IFERROR(IF(SUMIFS(tblDaily[Discharges],tblDaily[EntryDate],DATE(2026,7,3),tblDaily[WardCode],"MW")=0,"",SUMIFS(tblDaily[Discharges],tblDaily[EntryDate],DATE(2026,7,3),tblDaily[WardCode],"MW")),"")</f>
        <v/>
      </c>
      <c r="D243" s="29" t="str">
        <f>IFERROR(IF(SUMIFS(tblDaily[Deaths],tblDaily[EntryDate],DATE(2026,7,3),tblDaily[WardCode],"MW")=0,"",SUMIFS(tblDaily[Deaths],tblDaily[EntryDate],DATE(2026,7,3),tblDaily[WardCode],"MW")),"")</f>
        <v/>
      </c>
      <c r="E243" s="29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29" t="str">
        <f>IFERROR(IF(SUMIFS(tblDaily[TransfersIn],tblDaily[EntryDate],DATE(2026,7,3),tblDaily[WardCode],"MW")=0,"",SUMIFS(tblDaily[TransfersIn],tblDaily[EntryDate],DATE(2026,7,3),tblDaily[WardCode],"MW")),"")</f>
        <v/>
      </c>
      <c r="G243" s="29" t="str">
        <f>IFERROR(IF(SUMIFS(tblDaily[TransfersOut],tblDaily[EntryDate],DATE(2026,7,3),tblDaily[WardCode],"MW")=0,"",SUMIFS(tblDaily[TransfersOut],tblDaily[EntryDate],DATE(2026,7,3),tblDaily[WardCode],"MW")),"")</f>
        <v/>
      </c>
      <c r="H243" s="29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IFERROR(IF(SUMIFS(tblDaily[Admissions],tblDaily[EntryDate],DATE(2026,7,4),tblDaily[WardCode],"MW")=0,"",SUMIFS(tblDaily[Admissions],tblDaily[EntryDate],DATE(2026,7,4),tblDaily[WardCode],"MW")),"")</f>
        <v/>
      </c>
      <c r="C244" s="29" t="str">
        <f>IFERROR(IF(SUMIFS(tblDaily[Discharges],tblDaily[EntryDate],DATE(2026,7,4),tblDaily[WardCode],"MW")=0,"",SUMIFS(tblDaily[Discharges],tblDaily[EntryDate],DATE(2026,7,4),tblDaily[WardCode],"MW")),"")</f>
        <v/>
      </c>
      <c r="D244" s="29" t="str">
        <f>IFERROR(IF(SUMIFS(tblDaily[Deaths],tblDaily[EntryDate],DATE(2026,7,4),tblDaily[WardCode],"MW")=0,"",SUMIFS(tblDaily[Deaths],tblDaily[EntryDate],DATE(2026,7,4),tblDaily[WardCode],"MW")),"")</f>
        <v/>
      </c>
      <c r="E244" s="29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29" t="str">
        <f>IFERROR(IF(SUMIFS(tblDaily[TransfersIn],tblDaily[EntryDate],DATE(2026,7,4),tblDaily[WardCode],"MW")=0,"",SUMIFS(tblDaily[TransfersIn],tblDaily[EntryDate],DATE(2026,7,4),tblDaily[WardCode],"MW")),"")</f>
        <v/>
      </c>
      <c r="G244" s="29" t="str">
        <f>IFERROR(IF(SUMIFS(tblDaily[TransfersOut],tblDaily[EntryDate],DATE(2026,7,4),tblDaily[WardCode],"MW")=0,"",SUMIFS(tblDaily[TransfersOut],tblDaily[EntryDate],DATE(2026,7,4),tblDaily[WardCode],"MW")),"")</f>
        <v/>
      </c>
      <c r="H244" s="29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IFERROR(IF(SUMIFS(tblDaily[Admissions],tblDaily[EntryDate],DATE(2026,7,5),tblDaily[WardCode],"MW")=0,"",SUMIFS(tblDaily[Admissions],tblDaily[EntryDate],DATE(2026,7,5),tblDaily[WardCode],"MW")),"")</f>
        <v/>
      </c>
      <c r="C245" s="29" t="str">
        <f>IFERROR(IF(SUMIFS(tblDaily[Discharges],tblDaily[EntryDate],DATE(2026,7,5),tblDaily[WardCode],"MW")=0,"",SUMIFS(tblDaily[Discharges],tblDaily[EntryDate],DATE(2026,7,5),tblDaily[WardCode],"MW")),"")</f>
        <v/>
      </c>
      <c r="D245" s="29" t="str">
        <f>IFERROR(IF(SUMIFS(tblDaily[Deaths],tblDaily[EntryDate],DATE(2026,7,5),tblDaily[WardCode],"MW")=0,"",SUMIFS(tblDaily[Deaths],tblDaily[EntryDate],DATE(2026,7,5),tblDaily[WardCode],"MW")),"")</f>
        <v/>
      </c>
      <c r="E245" s="29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29" t="str">
        <f>IFERROR(IF(SUMIFS(tblDaily[TransfersIn],tblDaily[EntryDate],DATE(2026,7,5),tblDaily[WardCode],"MW")=0,"",SUMIFS(tblDaily[TransfersIn],tblDaily[EntryDate],DATE(2026,7,5),tblDaily[WardCode],"MW")),"")</f>
        <v/>
      </c>
      <c r="G245" s="29" t="str">
        <f>IFERROR(IF(SUMIFS(tblDaily[TransfersOut],tblDaily[EntryDate],DATE(2026,7,5),tblDaily[WardCode],"MW")=0,"",SUMIFS(tblDaily[TransfersOut],tblDaily[EntryDate],DATE(2026,7,5),tblDaily[WardCode],"MW")),"")</f>
        <v/>
      </c>
      <c r="H245" s="29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IFERROR(IF(SUMIFS(tblDaily[Admissions],tblDaily[EntryDate],DATE(2026,7,6),tblDaily[WardCode],"MW")=0,"",SUMIFS(tblDaily[Admissions],tblDaily[EntryDate],DATE(2026,7,6),tblDaily[WardCode],"MW")),"")</f>
        <v/>
      </c>
      <c r="C246" s="29" t="str">
        <f>IFERROR(IF(SUMIFS(tblDaily[Discharges],tblDaily[EntryDate],DATE(2026,7,6),tblDaily[WardCode],"MW")=0,"",SUMIFS(tblDaily[Discharges],tblDaily[EntryDate],DATE(2026,7,6),tblDaily[WardCode],"MW")),"")</f>
        <v/>
      </c>
      <c r="D246" s="29" t="str">
        <f>IFERROR(IF(SUMIFS(tblDaily[Deaths],tblDaily[EntryDate],DATE(2026,7,6),tblDaily[WardCode],"MW")=0,"",SUMIFS(tblDaily[Deaths],tblDaily[EntryDate],DATE(2026,7,6),tblDaily[WardCode],"MW")),"")</f>
        <v/>
      </c>
      <c r="E246" s="29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29" t="str">
        <f>IFERROR(IF(SUMIFS(tblDaily[TransfersIn],tblDaily[EntryDate],DATE(2026,7,6),tblDaily[WardCode],"MW")=0,"",SUMIFS(tblDaily[TransfersIn],tblDaily[EntryDate],DATE(2026,7,6),tblDaily[WardCode],"MW")),"")</f>
        <v/>
      </c>
      <c r="G246" s="29" t="str">
        <f>IFERROR(IF(SUMIFS(tblDaily[TransfersOut],tblDaily[EntryDate],DATE(2026,7,6),tblDaily[WardCode],"MW")=0,"",SUMIFS(tblDaily[TransfersOut],tblDaily[EntryDate],DATE(2026,7,6),tblDaily[WardCode],"MW")),"")</f>
        <v/>
      </c>
      <c r="H246" s="29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IFERROR(IF(SUMIFS(tblDaily[Admissions],tblDaily[EntryDate],DATE(2026,7,7),tblDaily[WardCode],"MW")=0,"",SUMIFS(tblDaily[Admissions],tblDaily[EntryDate],DATE(2026,7,7),tblDaily[WardCode],"MW")),"")</f>
        <v/>
      </c>
      <c r="C247" s="29" t="str">
        <f>IFERROR(IF(SUMIFS(tblDaily[Discharges],tblDaily[EntryDate],DATE(2026,7,7),tblDaily[WardCode],"MW")=0,"",SUMIFS(tblDaily[Discharges],tblDaily[EntryDate],DATE(2026,7,7),tblDaily[WardCode],"MW")),"")</f>
        <v/>
      </c>
      <c r="D247" s="29" t="str">
        <f>IFERROR(IF(SUMIFS(tblDaily[Deaths],tblDaily[EntryDate],DATE(2026,7,7),tblDaily[WardCode],"MW")=0,"",SUMIFS(tblDaily[Deaths],tblDaily[EntryDate],DATE(2026,7,7),tblDaily[WardCode],"MW")),"")</f>
        <v/>
      </c>
      <c r="E247" s="29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29" t="str">
        <f>IFERROR(IF(SUMIFS(tblDaily[TransfersIn],tblDaily[EntryDate],DATE(2026,7,7),tblDaily[WardCode],"MW")=0,"",SUMIFS(tblDaily[TransfersIn],tblDaily[EntryDate],DATE(2026,7,7),tblDaily[WardCode],"MW")),"")</f>
        <v/>
      </c>
      <c r="G247" s="29" t="str">
        <f>IFERROR(IF(SUMIFS(tblDaily[TransfersOut],tblDaily[EntryDate],DATE(2026,7,7),tblDaily[WardCode],"MW")=0,"",SUMIFS(tblDaily[TransfersOut],tblDaily[EntryDate],DATE(2026,7,7),tblDaily[WardCode],"MW")),"")</f>
        <v/>
      </c>
      <c r="H247" s="29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IFERROR(IF(SUMIFS(tblDaily[Admissions],tblDaily[EntryDate],DATE(2026,7,8),tblDaily[WardCode],"MW")=0,"",SUMIFS(tblDaily[Admissions],tblDaily[EntryDate],DATE(2026,7,8),tblDaily[WardCode],"MW")),"")</f>
        <v/>
      </c>
      <c r="C248" s="29" t="str">
        <f>IFERROR(IF(SUMIFS(tblDaily[Discharges],tblDaily[EntryDate],DATE(2026,7,8),tblDaily[WardCode],"MW")=0,"",SUMIFS(tblDaily[Discharges],tblDaily[EntryDate],DATE(2026,7,8),tblDaily[WardCode],"MW")),"")</f>
        <v/>
      </c>
      <c r="D248" s="29" t="str">
        <f>IFERROR(IF(SUMIFS(tblDaily[Deaths],tblDaily[EntryDate],DATE(2026,7,8),tblDaily[WardCode],"MW")=0,"",SUMIFS(tblDaily[Deaths],tblDaily[EntryDate],DATE(2026,7,8),tblDaily[WardCode],"MW")),"")</f>
        <v/>
      </c>
      <c r="E248" s="29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29" t="str">
        <f>IFERROR(IF(SUMIFS(tblDaily[TransfersIn],tblDaily[EntryDate],DATE(2026,7,8),tblDaily[WardCode],"MW")=0,"",SUMIFS(tblDaily[TransfersIn],tblDaily[EntryDate],DATE(2026,7,8),tblDaily[WardCode],"MW")),"")</f>
        <v/>
      </c>
      <c r="G248" s="29" t="str">
        <f>IFERROR(IF(SUMIFS(tblDaily[TransfersOut],tblDaily[EntryDate],DATE(2026,7,8),tblDaily[WardCode],"MW")=0,"",SUMIFS(tblDaily[TransfersOut],tblDaily[EntryDate],DATE(2026,7,8),tblDaily[WardCode],"MW")),"")</f>
        <v/>
      </c>
      <c r="H248" s="29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IFERROR(IF(SUMIFS(tblDaily[Admissions],tblDaily[EntryDate],DATE(2026,7,9),tblDaily[WardCode],"MW")=0,"",SUMIFS(tblDaily[Admissions],tblDaily[EntryDate],DATE(2026,7,9),tblDaily[WardCode],"MW")),"")</f>
        <v/>
      </c>
      <c r="C249" s="29" t="str">
        <f>IFERROR(IF(SUMIFS(tblDaily[Discharges],tblDaily[EntryDate],DATE(2026,7,9),tblDaily[WardCode],"MW")=0,"",SUMIFS(tblDaily[Discharges],tblDaily[EntryDate],DATE(2026,7,9),tblDaily[WardCode],"MW")),"")</f>
        <v/>
      </c>
      <c r="D249" s="29" t="str">
        <f>IFERROR(IF(SUMIFS(tblDaily[Deaths],tblDaily[EntryDate],DATE(2026,7,9),tblDaily[WardCode],"MW")=0,"",SUMIFS(tblDaily[Deaths],tblDaily[EntryDate],DATE(2026,7,9),tblDaily[WardCode],"MW")),"")</f>
        <v/>
      </c>
      <c r="E249" s="29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29" t="str">
        <f>IFERROR(IF(SUMIFS(tblDaily[TransfersIn],tblDaily[EntryDate],DATE(2026,7,9),tblDaily[WardCode],"MW")=0,"",SUMIFS(tblDaily[TransfersIn],tblDaily[EntryDate],DATE(2026,7,9),tblDaily[WardCode],"MW")),"")</f>
        <v/>
      </c>
      <c r="G249" s="29" t="str">
        <f>IFERROR(IF(SUMIFS(tblDaily[TransfersOut],tblDaily[EntryDate],DATE(2026,7,9),tblDaily[WardCode],"MW")=0,"",SUMIFS(tblDaily[TransfersOut],tblDaily[EntryDate],DATE(2026,7,9),tblDaily[WardCode],"MW")),"")</f>
        <v/>
      </c>
      <c r="H249" s="29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IFERROR(IF(SUMIFS(tblDaily[Admissions],tblDaily[EntryDate],DATE(2026,7,10),tblDaily[WardCode],"MW")=0,"",SUMIFS(tblDaily[Admissions],tblDaily[EntryDate],DATE(2026,7,10),tblDaily[WardCode],"MW")),"")</f>
        <v/>
      </c>
      <c r="C250" s="29" t="str">
        <f>IFERROR(IF(SUMIFS(tblDaily[Discharges],tblDaily[EntryDate],DATE(2026,7,10),tblDaily[WardCode],"MW")=0,"",SUMIFS(tblDaily[Discharges],tblDaily[EntryDate],DATE(2026,7,10),tblDaily[WardCode],"MW")),"")</f>
        <v/>
      </c>
      <c r="D250" s="29" t="str">
        <f>IFERROR(IF(SUMIFS(tblDaily[Deaths],tblDaily[EntryDate],DATE(2026,7,10),tblDaily[WardCode],"MW")=0,"",SUMIFS(tblDaily[Deaths],tblDaily[EntryDate],DATE(2026,7,10),tblDaily[WardCode],"MW")),"")</f>
        <v/>
      </c>
      <c r="E250" s="29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29" t="str">
        <f>IFERROR(IF(SUMIFS(tblDaily[TransfersIn],tblDaily[EntryDate],DATE(2026,7,10),tblDaily[WardCode],"MW")=0,"",SUMIFS(tblDaily[TransfersIn],tblDaily[EntryDate],DATE(2026,7,10),tblDaily[WardCode],"MW")),"")</f>
        <v/>
      </c>
      <c r="G250" s="29" t="str">
        <f>IFERROR(IF(SUMIFS(tblDaily[TransfersOut],tblDaily[EntryDate],DATE(2026,7,10),tblDaily[WardCode],"MW")=0,"",SUMIFS(tblDaily[TransfersOut],tblDaily[EntryDate],DATE(2026,7,10),tblDaily[WardCode],"MW")),"")</f>
        <v/>
      </c>
      <c r="H250" s="29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IFERROR(IF(SUMIFS(tblDaily[Admissions],tblDaily[EntryDate],DATE(2026,7,11),tblDaily[WardCode],"MW")=0,"",SUMIFS(tblDaily[Admissions],tblDaily[EntryDate],DATE(2026,7,11),tblDaily[WardCode],"MW")),"")</f>
        <v/>
      </c>
      <c r="C251" s="29" t="str">
        <f>IFERROR(IF(SUMIFS(tblDaily[Discharges],tblDaily[EntryDate],DATE(2026,7,11),tblDaily[WardCode],"MW")=0,"",SUMIFS(tblDaily[Discharges],tblDaily[EntryDate],DATE(2026,7,11),tblDaily[WardCode],"MW")),"")</f>
        <v/>
      </c>
      <c r="D251" s="29" t="str">
        <f>IFERROR(IF(SUMIFS(tblDaily[Deaths],tblDaily[EntryDate],DATE(2026,7,11),tblDaily[WardCode],"MW")=0,"",SUMIFS(tblDaily[Deaths],tblDaily[EntryDate],DATE(2026,7,11),tblDaily[WardCode],"MW")),"")</f>
        <v/>
      </c>
      <c r="E251" s="29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29" t="str">
        <f>IFERROR(IF(SUMIFS(tblDaily[TransfersIn],tblDaily[EntryDate],DATE(2026,7,11),tblDaily[WardCode],"MW")=0,"",SUMIFS(tblDaily[TransfersIn],tblDaily[EntryDate],DATE(2026,7,11),tblDaily[WardCode],"MW")),"")</f>
        <v/>
      </c>
      <c r="G251" s="29" t="str">
        <f>IFERROR(IF(SUMIFS(tblDaily[TransfersOut],tblDaily[EntryDate],DATE(2026,7,11),tblDaily[WardCode],"MW")=0,"",SUMIFS(tblDaily[TransfersOut],tblDaily[EntryDate],DATE(2026,7,11),tblDaily[WardCode],"MW")),"")</f>
        <v/>
      </c>
      <c r="H251" s="29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IFERROR(IF(SUMIFS(tblDaily[Admissions],tblDaily[EntryDate],DATE(2026,7,12),tblDaily[WardCode],"MW")=0,"",SUMIFS(tblDaily[Admissions],tblDaily[EntryDate],DATE(2026,7,12),tblDaily[WardCode],"MW")),"")</f>
        <v/>
      </c>
      <c r="C252" s="29" t="str">
        <f>IFERROR(IF(SUMIFS(tblDaily[Discharges],tblDaily[EntryDate],DATE(2026,7,12),tblDaily[WardCode],"MW")=0,"",SUMIFS(tblDaily[Discharges],tblDaily[EntryDate],DATE(2026,7,12),tblDaily[WardCode],"MW")),"")</f>
        <v/>
      </c>
      <c r="D252" s="29" t="str">
        <f>IFERROR(IF(SUMIFS(tblDaily[Deaths],tblDaily[EntryDate],DATE(2026,7,12),tblDaily[WardCode],"MW")=0,"",SUMIFS(tblDaily[Deaths],tblDaily[EntryDate],DATE(2026,7,12),tblDaily[WardCode],"MW")),"")</f>
        <v/>
      </c>
      <c r="E252" s="29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29" t="str">
        <f>IFERROR(IF(SUMIFS(tblDaily[TransfersIn],tblDaily[EntryDate],DATE(2026,7,12),tblDaily[WardCode],"MW")=0,"",SUMIFS(tblDaily[TransfersIn],tblDaily[EntryDate],DATE(2026,7,12),tblDaily[WardCode],"MW")),"")</f>
        <v/>
      </c>
      <c r="G252" s="29" t="str">
        <f>IFERROR(IF(SUMIFS(tblDaily[TransfersOut],tblDaily[EntryDate],DATE(2026,7,12),tblDaily[WardCode],"MW")=0,"",SUMIFS(tblDaily[TransfersOut],tblDaily[EntryDate],DATE(2026,7,12),tblDaily[WardCode],"MW")),"")</f>
        <v/>
      </c>
      <c r="H252" s="29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IFERROR(IF(SUMIFS(tblDaily[Admissions],tblDaily[EntryDate],DATE(2026,7,13),tblDaily[WardCode],"MW")=0,"",SUMIFS(tblDaily[Admissions],tblDaily[EntryDate],DATE(2026,7,13),tblDaily[WardCode],"MW")),"")</f>
        <v/>
      </c>
      <c r="C253" s="29" t="str">
        <f>IFERROR(IF(SUMIFS(tblDaily[Discharges],tblDaily[EntryDate],DATE(2026,7,13),tblDaily[WardCode],"MW")=0,"",SUMIFS(tblDaily[Discharges],tblDaily[EntryDate],DATE(2026,7,13),tblDaily[WardCode],"MW")),"")</f>
        <v/>
      </c>
      <c r="D253" s="29" t="str">
        <f>IFERROR(IF(SUMIFS(tblDaily[Deaths],tblDaily[EntryDate],DATE(2026,7,13),tblDaily[WardCode],"MW")=0,"",SUMIFS(tblDaily[Deaths],tblDaily[EntryDate],DATE(2026,7,13),tblDaily[WardCode],"MW")),"")</f>
        <v/>
      </c>
      <c r="E253" s="29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29" t="str">
        <f>IFERROR(IF(SUMIFS(tblDaily[TransfersIn],tblDaily[EntryDate],DATE(2026,7,13),tblDaily[WardCode],"MW")=0,"",SUMIFS(tblDaily[TransfersIn],tblDaily[EntryDate],DATE(2026,7,13),tblDaily[WardCode],"MW")),"")</f>
        <v/>
      </c>
      <c r="G253" s="29" t="str">
        <f>IFERROR(IF(SUMIFS(tblDaily[TransfersOut],tblDaily[EntryDate],DATE(2026,7,13),tblDaily[WardCode],"MW")=0,"",SUMIFS(tblDaily[TransfersOut],tblDaily[EntryDate],DATE(2026,7,13),tblDaily[WardCode],"MW")),"")</f>
        <v/>
      </c>
      <c r="H253" s="29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IFERROR(IF(SUMIFS(tblDaily[Admissions],tblDaily[EntryDate],DATE(2026,7,14),tblDaily[WardCode],"MW")=0,"",SUMIFS(tblDaily[Admissions],tblDaily[EntryDate],DATE(2026,7,14),tblDaily[WardCode],"MW")),"")</f>
        <v/>
      </c>
      <c r="C254" s="29" t="str">
        <f>IFERROR(IF(SUMIFS(tblDaily[Discharges],tblDaily[EntryDate],DATE(2026,7,14),tblDaily[WardCode],"MW")=0,"",SUMIFS(tblDaily[Discharges],tblDaily[EntryDate],DATE(2026,7,14),tblDaily[WardCode],"MW")),"")</f>
        <v/>
      </c>
      <c r="D254" s="29" t="str">
        <f>IFERROR(IF(SUMIFS(tblDaily[Deaths],tblDaily[EntryDate],DATE(2026,7,14),tblDaily[WardCode],"MW")=0,"",SUMIFS(tblDaily[Deaths],tblDaily[EntryDate],DATE(2026,7,14),tblDaily[WardCode],"MW")),"")</f>
        <v/>
      </c>
      <c r="E254" s="29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29" t="str">
        <f>IFERROR(IF(SUMIFS(tblDaily[TransfersIn],tblDaily[EntryDate],DATE(2026,7,14),tblDaily[WardCode],"MW")=0,"",SUMIFS(tblDaily[TransfersIn],tblDaily[EntryDate],DATE(2026,7,14),tblDaily[WardCode],"MW")),"")</f>
        <v/>
      </c>
      <c r="G254" s="29" t="str">
        <f>IFERROR(IF(SUMIFS(tblDaily[TransfersOut],tblDaily[EntryDate],DATE(2026,7,14),tblDaily[WardCode],"MW")=0,"",SUMIFS(tblDaily[TransfersOut],tblDaily[EntryDate],DATE(2026,7,14),tblDaily[WardCode],"MW")),"")</f>
        <v/>
      </c>
      <c r="H254" s="29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IFERROR(IF(SUMIFS(tblDaily[Admissions],tblDaily[EntryDate],DATE(2026,7,15),tblDaily[WardCode],"MW")=0,"",SUMIFS(tblDaily[Admissions],tblDaily[EntryDate],DATE(2026,7,15),tblDaily[WardCode],"MW")),"")</f>
        <v/>
      </c>
      <c r="C255" s="29" t="str">
        <f>IFERROR(IF(SUMIFS(tblDaily[Discharges],tblDaily[EntryDate],DATE(2026,7,15),tblDaily[WardCode],"MW")=0,"",SUMIFS(tblDaily[Discharges],tblDaily[EntryDate],DATE(2026,7,15),tblDaily[WardCode],"MW")),"")</f>
        <v/>
      </c>
      <c r="D255" s="29" t="str">
        <f>IFERROR(IF(SUMIFS(tblDaily[Deaths],tblDaily[EntryDate],DATE(2026,7,15),tblDaily[WardCode],"MW")=0,"",SUMIFS(tblDaily[Deaths],tblDaily[EntryDate],DATE(2026,7,15),tblDaily[WardCode],"MW")),"")</f>
        <v/>
      </c>
      <c r="E255" s="29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29" t="str">
        <f>IFERROR(IF(SUMIFS(tblDaily[TransfersIn],tblDaily[EntryDate],DATE(2026,7,15),tblDaily[WardCode],"MW")=0,"",SUMIFS(tblDaily[TransfersIn],tblDaily[EntryDate],DATE(2026,7,15),tblDaily[WardCode],"MW")),"")</f>
        <v/>
      </c>
      <c r="G255" s="29" t="str">
        <f>IFERROR(IF(SUMIFS(tblDaily[TransfersOut],tblDaily[EntryDate],DATE(2026,7,15),tblDaily[WardCode],"MW")=0,"",SUMIFS(tblDaily[TransfersOut],tblDaily[EntryDate],DATE(2026,7,15),tblDaily[WardCode],"MW")),"")</f>
        <v/>
      </c>
      <c r="H255" s="29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IFERROR(IF(SUMIFS(tblDaily[Admissions],tblDaily[EntryDate],DATE(2026,7,16),tblDaily[WardCode],"MW")=0,"",SUMIFS(tblDaily[Admissions],tblDaily[EntryDate],DATE(2026,7,16),tblDaily[WardCode],"MW")),"")</f>
        <v/>
      </c>
      <c r="C256" s="29" t="str">
        <f>IFERROR(IF(SUMIFS(tblDaily[Discharges],tblDaily[EntryDate],DATE(2026,7,16),tblDaily[WardCode],"MW")=0,"",SUMIFS(tblDaily[Discharges],tblDaily[EntryDate],DATE(2026,7,16),tblDaily[WardCode],"MW")),"")</f>
        <v/>
      </c>
      <c r="D256" s="29" t="str">
        <f>IFERROR(IF(SUMIFS(tblDaily[Deaths],tblDaily[EntryDate],DATE(2026,7,16),tblDaily[WardCode],"MW")=0,"",SUMIFS(tblDaily[Deaths],tblDaily[EntryDate],DATE(2026,7,16),tblDaily[WardCode],"MW")),"")</f>
        <v/>
      </c>
      <c r="E256" s="29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29" t="str">
        <f>IFERROR(IF(SUMIFS(tblDaily[TransfersIn],tblDaily[EntryDate],DATE(2026,7,16),tblDaily[WardCode],"MW")=0,"",SUMIFS(tblDaily[TransfersIn],tblDaily[EntryDate],DATE(2026,7,16),tblDaily[WardCode],"MW")),"")</f>
        <v/>
      </c>
      <c r="G256" s="29" t="str">
        <f>IFERROR(IF(SUMIFS(tblDaily[TransfersOut],tblDaily[EntryDate],DATE(2026,7,16),tblDaily[WardCode],"MW")=0,"",SUMIFS(tblDaily[TransfersOut],tblDaily[EntryDate],DATE(2026,7,16),tblDaily[WardCode],"MW")),"")</f>
        <v/>
      </c>
      <c r="H256" s="29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IFERROR(IF(SUMIFS(tblDaily[Admissions],tblDaily[EntryDate],DATE(2026,7,17),tblDaily[WardCode],"MW")=0,"",SUMIFS(tblDaily[Admissions],tblDaily[EntryDate],DATE(2026,7,17),tblDaily[WardCode],"MW")),"")</f>
        <v/>
      </c>
      <c r="C257" s="29" t="str">
        <f>IFERROR(IF(SUMIFS(tblDaily[Discharges],tblDaily[EntryDate],DATE(2026,7,17),tblDaily[WardCode],"MW")=0,"",SUMIFS(tblDaily[Discharges],tblDaily[EntryDate],DATE(2026,7,17),tblDaily[WardCode],"MW")),"")</f>
        <v/>
      </c>
      <c r="D257" s="29" t="str">
        <f>IFERROR(IF(SUMIFS(tblDaily[Deaths],tblDaily[EntryDate],DATE(2026,7,17),tblDaily[WardCode],"MW")=0,"",SUMIFS(tblDaily[Deaths],tblDaily[EntryDate],DATE(2026,7,17),tblDaily[WardCode],"MW")),"")</f>
        <v/>
      </c>
      <c r="E257" s="29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29" t="str">
        <f>IFERROR(IF(SUMIFS(tblDaily[TransfersIn],tblDaily[EntryDate],DATE(2026,7,17),tblDaily[WardCode],"MW")=0,"",SUMIFS(tblDaily[TransfersIn],tblDaily[EntryDate],DATE(2026,7,17),tblDaily[WardCode],"MW")),"")</f>
        <v/>
      </c>
      <c r="G257" s="29" t="str">
        <f>IFERROR(IF(SUMIFS(tblDaily[TransfersOut],tblDaily[EntryDate],DATE(2026,7,17),tblDaily[WardCode],"MW")=0,"",SUMIFS(tblDaily[TransfersOut],tblDaily[EntryDate],DATE(2026,7,17),tblDaily[WardCode],"MW")),"")</f>
        <v/>
      </c>
      <c r="H257" s="29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IFERROR(IF(SUMIFS(tblDaily[Admissions],tblDaily[EntryDate],DATE(2026,7,18),tblDaily[WardCode],"MW")=0,"",SUMIFS(tblDaily[Admissions],tblDaily[EntryDate],DATE(2026,7,18),tblDaily[WardCode],"MW")),"")</f>
        <v/>
      </c>
      <c r="C258" s="29" t="str">
        <f>IFERROR(IF(SUMIFS(tblDaily[Discharges],tblDaily[EntryDate],DATE(2026,7,18),tblDaily[WardCode],"MW")=0,"",SUMIFS(tblDaily[Discharges],tblDaily[EntryDate],DATE(2026,7,18),tblDaily[WardCode],"MW")),"")</f>
        <v/>
      </c>
      <c r="D258" s="29" t="str">
        <f>IFERROR(IF(SUMIFS(tblDaily[Deaths],tblDaily[EntryDate],DATE(2026,7,18),tblDaily[WardCode],"MW")=0,"",SUMIFS(tblDaily[Deaths],tblDaily[EntryDate],DATE(2026,7,18),tblDaily[WardCode],"MW")),"")</f>
        <v/>
      </c>
      <c r="E258" s="29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29" t="str">
        <f>IFERROR(IF(SUMIFS(tblDaily[TransfersIn],tblDaily[EntryDate],DATE(2026,7,18),tblDaily[WardCode],"MW")=0,"",SUMIFS(tblDaily[TransfersIn],tblDaily[EntryDate],DATE(2026,7,18),tblDaily[WardCode],"MW")),"")</f>
        <v/>
      </c>
      <c r="G258" s="29" t="str">
        <f>IFERROR(IF(SUMIFS(tblDaily[TransfersOut],tblDaily[EntryDate],DATE(2026,7,18),tblDaily[WardCode],"MW")=0,"",SUMIFS(tblDaily[TransfersOut],tblDaily[EntryDate],DATE(2026,7,18),tblDaily[WardCode],"MW")),"")</f>
        <v/>
      </c>
      <c r="H258" s="29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IFERROR(IF(SUMIFS(tblDaily[Admissions],tblDaily[EntryDate],DATE(2026,7,19),tblDaily[WardCode],"MW")=0,"",SUMIFS(tblDaily[Admissions],tblDaily[EntryDate],DATE(2026,7,19),tblDaily[WardCode],"MW")),"")</f>
        <v/>
      </c>
      <c r="C259" s="29" t="str">
        <f>IFERROR(IF(SUMIFS(tblDaily[Discharges],tblDaily[EntryDate],DATE(2026,7,19),tblDaily[WardCode],"MW")=0,"",SUMIFS(tblDaily[Discharges],tblDaily[EntryDate],DATE(2026,7,19),tblDaily[WardCode],"MW")),"")</f>
        <v/>
      </c>
      <c r="D259" s="29" t="str">
        <f>IFERROR(IF(SUMIFS(tblDaily[Deaths],tblDaily[EntryDate],DATE(2026,7,19),tblDaily[WardCode],"MW")=0,"",SUMIFS(tblDaily[Deaths],tblDaily[EntryDate],DATE(2026,7,19),tblDaily[WardCode],"MW")),"")</f>
        <v/>
      </c>
      <c r="E259" s="29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29" t="str">
        <f>IFERROR(IF(SUMIFS(tblDaily[TransfersIn],tblDaily[EntryDate],DATE(2026,7,19),tblDaily[WardCode],"MW")=0,"",SUMIFS(tblDaily[TransfersIn],tblDaily[EntryDate],DATE(2026,7,19),tblDaily[WardCode],"MW")),"")</f>
        <v/>
      </c>
      <c r="G259" s="29" t="str">
        <f>IFERROR(IF(SUMIFS(tblDaily[TransfersOut],tblDaily[EntryDate],DATE(2026,7,19),tblDaily[WardCode],"MW")=0,"",SUMIFS(tblDaily[TransfersOut],tblDaily[EntryDate],DATE(2026,7,19),tblDaily[WardCode],"MW")),"")</f>
        <v/>
      </c>
      <c r="H259" s="29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IFERROR(IF(SUMIFS(tblDaily[Admissions],tblDaily[EntryDate],DATE(2026,7,20),tblDaily[WardCode],"MW")=0,"",SUMIFS(tblDaily[Admissions],tblDaily[EntryDate],DATE(2026,7,20),tblDaily[WardCode],"MW")),"")</f>
        <v/>
      </c>
      <c r="C260" s="29" t="str">
        <f>IFERROR(IF(SUMIFS(tblDaily[Discharges],tblDaily[EntryDate],DATE(2026,7,20),tblDaily[WardCode],"MW")=0,"",SUMIFS(tblDaily[Discharges],tblDaily[EntryDate],DATE(2026,7,20),tblDaily[WardCode],"MW")),"")</f>
        <v/>
      </c>
      <c r="D260" s="29" t="str">
        <f>IFERROR(IF(SUMIFS(tblDaily[Deaths],tblDaily[EntryDate],DATE(2026,7,20),tblDaily[WardCode],"MW")=0,"",SUMIFS(tblDaily[Deaths],tblDaily[EntryDate],DATE(2026,7,20),tblDaily[WardCode],"MW")),"")</f>
        <v/>
      </c>
      <c r="E260" s="29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29" t="str">
        <f>IFERROR(IF(SUMIFS(tblDaily[TransfersIn],tblDaily[EntryDate],DATE(2026,7,20),tblDaily[WardCode],"MW")=0,"",SUMIFS(tblDaily[TransfersIn],tblDaily[EntryDate],DATE(2026,7,20),tblDaily[WardCode],"MW")),"")</f>
        <v/>
      </c>
      <c r="G260" s="29" t="str">
        <f>IFERROR(IF(SUMIFS(tblDaily[TransfersOut],tblDaily[EntryDate],DATE(2026,7,20),tblDaily[WardCode],"MW")=0,"",SUMIFS(tblDaily[TransfersOut],tblDaily[EntryDate],DATE(2026,7,20),tblDaily[WardCode],"MW")),"")</f>
        <v/>
      </c>
      <c r="H260" s="29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IFERROR(IF(SUMIFS(tblDaily[Admissions],tblDaily[EntryDate],DATE(2026,7,21),tblDaily[WardCode],"MW")=0,"",SUMIFS(tblDaily[Admissions],tblDaily[EntryDate],DATE(2026,7,21),tblDaily[WardCode],"MW")),"")</f>
        <v/>
      </c>
      <c r="C261" s="29" t="str">
        <f>IFERROR(IF(SUMIFS(tblDaily[Discharges],tblDaily[EntryDate],DATE(2026,7,21),tblDaily[WardCode],"MW")=0,"",SUMIFS(tblDaily[Discharges],tblDaily[EntryDate],DATE(2026,7,21),tblDaily[WardCode],"MW")),"")</f>
        <v/>
      </c>
      <c r="D261" s="29" t="str">
        <f>IFERROR(IF(SUMIFS(tblDaily[Deaths],tblDaily[EntryDate],DATE(2026,7,21),tblDaily[WardCode],"MW")=0,"",SUMIFS(tblDaily[Deaths],tblDaily[EntryDate],DATE(2026,7,21),tblDaily[WardCode],"MW")),"")</f>
        <v/>
      </c>
      <c r="E261" s="29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29" t="str">
        <f>IFERROR(IF(SUMIFS(tblDaily[TransfersIn],tblDaily[EntryDate],DATE(2026,7,21),tblDaily[WardCode],"MW")=0,"",SUMIFS(tblDaily[TransfersIn],tblDaily[EntryDate],DATE(2026,7,21),tblDaily[WardCode],"MW")),"")</f>
        <v/>
      </c>
      <c r="G261" s="29" t="str">
        <f>IFERROR(IF(SUMIFS(tblDaily[TransfersOut],tblDaily[EntryDate],DATE(2026,7,21),tblDaily[WardCode],"MW")=0,"",SUMIFS(tblDaily[TransfersOut],tblDaily[EntryDate],DATE(2026,7,21),tblDaily[WardCode],"MW")),"")</f>
        <v/>
      </c>
      <c r="H261" s="29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IFERROR(IF(SUMIFS(tblDaily[Admissions],tblDaily[EntryDate],DATE(2026,7,22),tblDaily[WardCode],"MW")=0,"",SUMIFS(tblDaily[Admissions],tblDaily[EntryDate],DATE(2026,7,22),tblDaily[WardCode],"MW")),"")</f>
        <v/>
      </c>
      <c r="C262" s="29" t="str">
        <f>IFERROR(IF(SUMIFS(tblDaily[Discharges],tblDaily[EntryDate],DATE(2026,7,22),tblDaily[WardCode],"MW")=0,"",SUMIFS(tblDaily[Discharges],tblDaily[EntryDate],DATE(2026,7,22),tblDaily[WardCode],"MW")),"")</f>
        <v/>
      </c>
      <c r="D262" s="29" t="str">
        <f>IFERROR(IF(SUMIFS(tblDaily[Deaths],tblDaily[EntryDate],DATE(2026,7,22),tblDaily[WardCode],"MW")=0,"",SUMIFS(tblDaily[Deaths],tblDaily[EntryDate],DATE(2026,7,22),tblDaily[WardCode],"MW")),"")</f>
        <v/>
      </c>
      <c r="E262" s="29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29" t="str">
        <f>IFERROR(IF(SUMIFS(tblDaily[TransfersIn],tblDaily[EntryDate],DATE(2026,7,22),tblDaily[WardCode],"MW")=0,"",SUMIFS(tblDaily[TransfersIn],tblDaily[EntryDate],DATE(2026,7,22),tblDaily[WardCode],"MW")),"")</f>
        <v/>
      </c>
      <c r="G262" s="29" t="str">
        <f>IFERROR(IF(SUMIFS(tblDaily[TransfersOut],tblDaily[EntryDate],DATE(2026,7,22),tblDaily[WardCode],"MW")=0,"",SUMIFS(tblDaily[TransfersOut],tblDaily[EntryDate],DATE(2026,7,22),tblDaily[WardCode],"MW")),"")</f>
        <v/>
      </c>
      <c r="H262" s="29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IFERROR(IF(SUMIFS(tblDaily[Admissions],tblDaily[EntryDate],DATE(2026,7,23),tblDaily[WardCode],"MW")=0,"",SUMIFS(tblDaily[Admissions],tblDaily[EntryDate],DATE(2026,7,23),tblDaily[WardCode],"MW")),"")</f>
        <v/>
      </c>
      <c r="C263" s="29" t="str">
        <f>IFERROR(IF(SUMIFS(tblDaily[Discharges],tblDaily[EntryDate],DATE(2026,7,23),tblDaily[WardCode],"MW")=0,"",SUMIFS(tblDaily[Discharges],tblDaily[EntryDate],DATE(2026,7,23),tblDaily[WardCode],"MW")),"")</f>
        <v/>
      </c>
      <c r="D263" s="29" t="str">
        <f>IFERROR(IF(SUMIFS(tblDaily[Deaths],tblDaily[EntryDate],DATE(2026,7,23),tblDaily[WardCode],"MW")=0,"",SUMIFS(tblDaily[Deaths],tblDaily[EntryDate],DATE(2026,7,23),tblDaily[WardCode],"MW")),"")</f>
        <v/>
      </c>
      <c r="E263" s="29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29" t="str">
        <f>IFERROR(IF(SUMIFS(tblDaily[TransfersIn],tblDaily[EntryDate],DATE(2026,7,23),tblDaily[WardCode],"MW")=0,"",SUMIFS(tblDaily[TransfersIn],tblDaily[EntryDate],DATE(2026,7,23),tblDaily[WardCode],"MW")),"")</f>
        <v/>
      </c>
      <c r="G263" s="29" t="str">
        <f>IFERROR(IF(SUMIFS(tblDaily[TransfersOut],tblDaily[EntryDate],DATE(2026,7,23),tblDaily[WardCode],"MW")=0,"",SUMIFS(tblDaily[TransfersOut],tblDaily[EntryDate],DATE(2026,7,23),tblDaily[WardCode],"MW")),"")</f>
        <v/>
      </c>
      <c r="H263" s="29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IFERROR(IF(SUMIFS(tblDaily[Admissions],tblDaily[EntryDate],DATE(2026,7,24),tblDaily[WardCode],"MW")=0,"",SUMIFS(tblDaily[Admissions],tblDaily[EntryDate],DATE(2026,7,24),tblDaily[WardCode],"MW")),"")</f>
        <v/>
      </c>
      <c r="C264" s="29" t="str">
        <f>IFERROR(IF(SUMIFS(tblDaily[Discharges],tblDaily[EntryDate],DATE(2026,7,24),tblDaily[WardCode],"MW")=0,"",SUMIFS(tblDaily[Discharges],tblDaily[EntryDate],DATE(2026,7,24),tblDaily[WardCode],"MW")),"")</f>
        <v/>
      </c>
      <c r="D264" s="29" t="str">
        <f>IFERROR(IF(SUMIFS(tblDaily[Deaths],tblDaily[EntryDate],DATE(2026,7,24),tblDaily[WardCode],"MW")=0,"",SUMIFS(tblDaily[Deaths],tblDaily[EntryDate],DATE(2026,7,24),tblDaily[WardCode],"MW")),"")</f>
        <v/>
      </c>
      <c r="E264" s="29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29" t="str">
        <f>IFERROR(IF(SUMIFS(tblDaily[TransfersIn],tblDaily[EntryDate],DATE(2026,7,24),tblDaily[WardCode],"MW")=0,"",SUMIFS(tblDaily[TransfersIn],tblDaily[EntryDate],DATE(2026,7,24),tblDaily[WardCode],"MW")),"")</f>
        <v/>
      </c>
      <c r="G264" s="29" t="str">
        <f>IFERROR(IF(SUMIFS(tblDaily[TransfersOut],tblDaily[EntryDate],DATE(2026,7,24),tblDaily[WardCode],"MW")=0,"",SUMIFS(tblDaily[TransfersOut],tblDaily[EntryDate],DATE(2026,7,24),tblDaily[WardCode],"MW")),"")</f>
        <v/>
      </c>
      <c r="H264" s="29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IFERROR(IF(SUMIFS(tblDaily[Admissions],tblDaily[EntryDate],DATE(2026,7,25),tblDaily[WardCode],"MW")=0,"",SUMIFS(tblDaily[Admissions],tblDaily[EntryDate],DATE(2026,7,25),tblDaily[WardCode],"MW")),"")</f>
        <v/>
      </c>
      <c r="C265" s="29" t="str">
        <f>IFERROR(IF(SUMIFS(tblDaily[Discharges],tblDaily[EntryDate],DATE(2026,7,25),tblDaily[WardCode],"MW")=0,"",SUMIFS(tblDaily[Discharges],tblDaily[EntryDate],DATE(2026,7,25),tblDaily[WardCode],"MW")),"")</f>
        <v/>
      </c>
      <c r="D265" s="29" t="str">
        <f>IFERROR(IF(SUMIFS(tblDaily[Deaths],tblDaily[EntryDate],DATE(2026,7,25),tblDaily[WardCode],"MW")=0,"",SUMIFS(tblDaily[Deaths],tblDaily[EntryDate],DATE(2026,7,25),tblDaily[WardCode],"MW")),"")</f>
        <v/>
      </c>
      <c r="E265" s="29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29" t="str">
        <f>IFERROR(IF(SUMIFS(tblDaily[TransfersIn],tblDaily[EntryDate],DATE(2026,7,25),tblDaily[WardCode],"MW")=0,"",SUMIFS(tblDaily[TransfersIn],tblDaily[EntryDate],DATE(2026,7,25),tblDaily[WardCode],"MW")),"")</f>
        <v/>
      </c>
      <c r="G265" s="29" t="str">
        <f>IFERROR(IF(SUMIFS(tblDaily[TransfersOut],tblDaily[EntryDate],DATE(2026,7,25),tblDaily[WardCode],"MW")=0,"",SUMIFS(tblDaily[TransfersOut],tblDaily[EntryDate],DATE(2026,7,25),tblDaily[WardCode],"MW")),"")</f>
        <v/>
      </c>
      <c r="H265" s="29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IFERROR(IF(SUMIFS(tblDaily[Admissions],tblDaily[EntryDate],DATE(2026,7,26),tblDaily[WardCode],"MW")=0,"",SUMIFS(tblDaily[Admissions],tblDaily[EntryDate],DATE(2026,7,26),tblDaily[WardCode],"MW")),"")</f>
        <v/>
      </c>
      <c r="C266" s="29" t="str">
        <f>IFERROR(IF(SUMIFS(tblDaily[Discharges],tblDaily[EntryDate],DATE(2026,7,26),tblDaily[WardCode],"MW")=0,"",SUMIFS(tblDaily[Discharges],tblDaily[EntryDate],DATE(2026,7,26),tblDaily[WardCode],"MW")),"")</f>
        <v/>
      </c>
      <c r="D266" s="29" t="str">
        <f>IFERROR(IF(SUMIFS(tblDaily[Deaths],tblDaily[EntryDate],DATE(2026,7,26),tblDaily[WardCode],"MW")=0,"",SUMIFS(tblDaily[Deaths],tblDaily[EntryDate],DATE(2026,7,26),tblDaily[WardCode],"MW")),"")</f>
        <v/>
      </c>
      <c r="E266" s="29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29" t="str">
        <f>IFERROR(IF(SUMIFS(tblDaily[TransfersIn],tblDaily[EntryDate],DATE(2026,7,26),tblDaily[WardCode],"MW")=0,"",SUMIFS(tblDaily[TransfersIn],tblDaily[EntryDate],DATE(2026,7,26),tblDaily[WardCode],"MW")),"")</f>
        <v/>
      </c>
      <c r="G266" s="29" t="str">
        <f>IFERROR(IF(SUMIFS(tblDaily[TransfersOut],tblDaily[EntryDate],DATE(2026,7,26),tblDaily[WardCode],"MW")=0,"",SUMIFS(tblDaily[TransfersOut],tblDaily[EntryDate],DATE(2026,7,26),tblDaily[WardCode],"MW")),"")</f>
        <v/>
      </c>
      <c r="H266" s="29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IFERROR(IF(SUMIFS(tblDaily[Admissions],tblDaily[EntryDate],DATE(2026,7,27),tblDaily[WardCode],"MW")=0,"",SUMIFS(tblDaily[Admissions],tblDaily[EntryDate],DATE(2026,7,27),tblDaily[WardCode],"MW")),"")</f>
        <v/>
      </c>
      <c r="C267" s="29" t="str">
        <f>IFERROR(IF(SUMIFS(tblDaily[Discharges],tblDaily[EntryDate],DATE(2026,7,27),tblDaily[WardCode],"MW")=0,"",SUMIFS(tblDaily[Discharges],tblDaily[EntryDate],DATE(2026,7,27),tblDaily[WardCode],"MW")),"")</f>
        <v/>
      </c>
      <c r="D267" s="29" t="str">
        <f>IFERROR(IF(SUMIFS(tblDaily[Deaths],tblDaily[EntryDate],DATE(2026,7,27),tblDaily[WardCode],"MW")=0,"",SUMIFS(tblDaily[Deaths],tblDaily[EntryDate],DATE(2026,7,27),tblDaily[WardCode],"MW")),"")</f>
        <v/>
      </c>
      <c r="E267" s="29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29" t="str">
        <f>IFERROR(IF(SUMIFS(tblDaily[TransfersIn],tblDaily[EntryDate],DATE(2026,7,27),tblDaily[WardCode],"MW")=0,"",SUMIFS(tblDaily[TransfersIn],tblDaily[EntryDate],DATE(2026,7,27),tblDaily[WardCode],"MW")),"")</f>
        <v/>
      </c>
      <c r="G267" s="29" t="str">
        <f>IFERROR(IF(SUMIFS(tblDaily[TransfersOut],tblDaily[EntryDate],DATE(2026,7,27),tblDaily[WardCode],"MW")=0,"",SUMIFS(tblDaily[TransfersOut],tblDaily[EntryDate],DATE(2026,7,27),tblDaily[WardCode],"MW")),"")</f>
        <v/>
      </c>
      <c r="H267" s="29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IFERROR(IF(SUMIFS(tblDaily[Admissions],tblDaily[EntryDate],DATE(2026,7,28),tblDaily[WardCode],"MW")=0,"",SUMIFS(tblDaily[Admissions],tblDaily[EntryDate],DATE(2026,7,28),tblDaily[WardCode],"MW")),"")</f>
        <v/>
      </c>
      <c r="C268" s="29" t="str">
        <f>IFERROR(IF(SUMIFS(tblDaily[Discharges],tblDaily[EntryDate],DATE(2026,7,28),tblDaily[WardCode],"MW")=0,"",SUMIFS(tblDaily[Discharges],tblDaily[EntryDate],DATE(2026,7,28),tblDaily[WardCode],"MW")),"")</f>
        <v/>
      </c>
      <c r="D268" s="29" t="str">
        <f>IFERROR(IF(SUMIFS(tblDaily[Deaths],tblDaily[EntryDate],DATE(2026,7,28),tblDaily[WardCode],"MW")=0,"",SUMIFS(tblDaily[Deaths],tblDaily[EntryDate],DATE(2026,7,28),tblDaily[WardCode],"MW")),"")</f>
        <v/>
      </c>
      <c r="E268" s="29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29" t="str">
        <f>IFERROR(IF(SUMIFS(tblDaily[TransfersIn],tblDaily[EntryDate],DATE(2026,7,28),tblDaily[WardCode],"MW")=0,"",SUMIFS(tblDaily[TransfersIn],tblDaily[EntryDate],DATE(2026,7,28),tblDaily[WardCode],"MW")),"")</f>
        <v/>
      </c>
      <c r="G268" s="29" t="str">
        <f>IFERROR(IF(SUMIFS(tblDaily[TransfersOut],tblDaily[EntryDate],DATE(2026,7,28),tblDaily[WardCode],"MW")=0,"",SUMIFS(tblDaily[TransfersOut],tblDaily[EntryDate],DATE(2026,7,28),tblDaily[WardCode],"MW")),"")</f>
        <v/>
      </c>
      <c r="H268" s="29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IFERROR(IF(SUMIFS(tblDaily[Admissions],tblDaily[EntryDate],DATE(2026,7,29),tblDaily[WardCode],"MW")=0,"",SUMIFS(tblDaily[Admissions],tblDaily[EntryDate],DATE(2026,7,29),tblDaily[WardCode],"MW")),"")</f>
        <v/>
      </c>
      <c r="C269" s="29" t="str">
        <f>IFERROR(IF(SUMIFS(tblDaily[Discharges],tblDaily[EntryDate],DATE(2026,7,29),tblDaily[WardCode],"MW")=0,"",SUMIFS(tblDaily[Discharges],tblDaily[EntryDate],DATE(2026,7,29),tblDaily[WardCode],"MW")),"")</f>
        <v/>
      </c>
      <c r="D269" s="29" t="str">
        <f>IFERROR(IF(SUMIFS(tblDaily[Deaths],tblDaily[EntryDate],DATE(2026,7,29),tblDaily[WardCode],"MW")=0,"",SUMIFS(tblDaily[Deaths],tblDaily[EntryDate],DATE(2026,7,29),tblDaily[WardCode],"MW")),"")</f>
        <v/>
      </c>
      <c r="E269" s="29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29" t="str">
        <f>IFERROR(IF(SUMIFS(tblDaily[TransfersIn],tblDaily[EntryDate],DATE(2026,7,29),tblDaily[WardCode],"MW")=0,"",SUMIFS(tblDaily[TransfersIn],tblDaily[EntryDate],DATE(2026,7,29),tblDaily[WardCode],"MW")),"")</f>
        <v/>
      </c>
      <c r="G269" s="29" t="str">
        <f>IFERROR(IF(SUMIFS(tblDaily[TransfersOut],tblDaily[EntryDate],DATE(2026,7,29),tblDaily[WardCode],"MW")=0,"",SUMIFS(tblDaily[TransfersOut],tblDaily[EntryDate],DATE(2026,7,29),tblDaily[WardCode],"MW")),"")</f>
        <v/>
      </c>
      <c r="H269" s="29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IFERROR(IF(SUMIFS(tblDaily[Admissions],tblDaily[EntryDate],DATE(2026,7,30),tblDaily[WardCode],"MW")=0,"",SUMIFS(tblDaily[Admissions],tblDaily[EntryDate],DATE(2026,7,30),tblDaily[WardCode],"MW")),"")</f>
        <v/>
      </c>
      <c r="C270" s="29" t="str">
        <f>IFERROR(IF(SUMIFS(tblDaily[Discharges],tblDaily[EntryDate],DATE(2026,7,30),tblDaily[WardCode],"MW")=0,"",SUMIFS(tblDaily[Discharges],tblDaily[EntryDate],DATE(2026,7,30),tblDaily[WardCode],"MW")),"")</f>
        <v/>
      </c>
      <c r="D270" s="29" t="str">
        <f>IFERROR(IF(SUMIFS(tblDaily[Deaths],tblDaily[EntryDate],DATE(2026,7,30),tblDaily[WardCode],"MW")=0,"",SUMIFS(tblDaily[Deaths],tblDaily[EntryDate],DATE(2026,7,30),tblDaily[WardCode],"MW")),"")</f>
        <v/>
      </c>
      <c r="E270" s="29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29" t="str">
        <f>IFERROR(IF(SUMIFS(tblDaily[TransfersIn],tblDaily[EntryDate],DATE(2026,7,30),tblDaily[WardCode],"MW")=0,"",SUMIFS(tblDaily[TransfersIn],tblDaily[EntryDate],DATE(2026,7,30),tblDaily[WardCode],"MW")),"")</f>
        <v/>
      </c>
      <c r="G270" s="29" t="str">
        <f>IFERROR(IF(SUMIFS(tblDaily[TransfersOut],tblDaily[EntryDate],DATE(2026,7,30),tblDaily[WardCode],"MW")=0,"",SUMIFS(tblDaily[TransfersOut],tblDaily[EntryDate],DATE(2026,7,30),tblDaily[WardCode],"MW")),"")</f>
        <v/>
      </c>
      <c r="H270" s="29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IFERROR(IF(SUMIFS(tblDaily[Admissions],tblDaily[EntryDate],DATE(2026,7,31),tblDaily[WardCode],"MW")=0,"",SUMIFS(tblDaily[Admissions],tblDaily[EntryDate],DATE(2026,7,31),tblDaily[WardCode],"MW")),"")</f>
        <v/>
      </c>
      <c r="C271" s="29" t="str">
        <f>IFERROR(IF(SUMIFS(tblDaily[Discharges],tblDaily[EntryDate],DATE(2026,7,31),tblDaily[WardCode],"MW")=0,"",SUMIFS(tblDaily[Discharges],tblDaily[EntryDate],DATE(2026,7,31),tblDaily[WardCode],"MW")),"")</f>
        <v/>
      </c>
      <c r="D271" s="29" t="str">
        <f>IFERROR(IF(SUMIFS(tblDaily[Deaths],tblDaily[EntryDate],DATE(2026,7,31),tblDaily[WardCode],"MW")=0,"",SUMIFS(tblDaily[Deaths],tblDaily[EntryDate],DATE(2026,7,31),tblDaily[WardCode],"MW")),"")</f>
        <v/>
      </c>
      <c r="E271" s="29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29" t="str">
        <f>IFERROR(IF(SUMIFS(tblDaily[TransfersIn],tblDaily[EntryDate],DATE(2026,7,31),tblDaily[WardCode],"MW")=0,"",SUMIFS(tblDaily[TransfersIn],tblDaily[EntryDate],DATE(2026,7,31),tblDaily[WardCode],"MW")),"")</f>
        <v/>
      </c>
      <c r="G271" s="29" t="str">
        <f>IFERROR(IF(SUMIFS(tblDaily[TransfersOut],tblDaily[EntryDate],DATE(2026,7,31),tblDaily[WardCode],"MW")=0,"",SUMIFS(tblDaily[TransfersOut],tblDaily[EntryDate],DATE(2026,7,31),tblDaily[WardCode],"MW")),"")</f>
        <v/>
      </c>
      <c r="H271" s="29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30" t="s">
        <v>115</v>
      </c>
      <c r="B272" s="30">
        <f>SUMIFS(tblDaily[Admissions],tblDaily[Month],7,tblDaily[WardCode],"MW") - SUMIFS(tblDaily[DeathsUnder24Hrs],tblDaily[Month],7,tblDaily[WardCode],"MW")</f>
        <v>0</v>
      </c>
      <c r="C272" s="30">
        <f>SUMIFS(tblDaily[Discharges],tblDaily[Month],7,tblDaily[WardCode],"MW")</f>
        <v>0</v>
      </c>
      <c r="D272" s="30">
        <f>SUMIFS(tblDaily[Deaths],tblDaily[Month],7,tblDaily[WardCode],"MW")</f>
        <v>0</v>
      </c>
      <c r="E272" s="30">
        <f>SUMIFS(tblDaily[DeathsUnder24Hrs],tblDaily[Month],7,tblDaily[WardCode],"MW")</f>
        <v>0</v>
      </c>
      <c r="F272" s="30">
        <f>SUMIFS(tblDaily[TransfersIn],tblDaily[Month],7,tblDaily[WardCode],"MW")</f>
        <v>0</v>
      </c>
      <c r="G272" s="30">
        <f>SUMIFS(tblDaily[TransfersOut],tblDaily[Month],7,tblDaily[WardCode],"MW")</f>
        <v>0</v>
      </c>
      <c r="H272" s="30">
        <f>SUMIFS(tblDaily[Remaining],tblDaily[Month],7,tblDaily[WardCode],"MW")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106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IFERROR(SUMIFS(tblDaily[Remaining],tblDaily[EntryDate],DATE(2026,7,31),tblDaily[WardCode],"MW"),0)</f>
        <v>0</v>
      </c>
    </row>
    <row r="278" spans="1:8" x14ac:dyDescent="0.25">
      <c r="A278" s="24" t="s">
        <v>109</v>
      </c>
      <c r="H278" s="27">
        <f>IFERROR(INDEX(tblWardConfig[BedComplement],MATCH("MW",tblWardConfig[WardCode],0)),0)</f>
        <v>32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IFERROR(IF(SUMIFS(tblDaily[Admissions],tblDaily[EntryDate],DATE(2026,8,1),tblDaily[WardCode],"MW")=0,"",SUMIFS(tblDaily[Admissions],tblDaily[EntryDate],DATE(2026,8,1),tblDaily[WardCode],"MW")),"")</f>
        <v/>
      </c>
      <c r="C280" s="29" t="str">
        <f>IFERROR(IF(SUMIFS(tblDaily[Discharges],tblDaily[EntryDate],DATE(2026,8,1),tblDaily[WardCode],"MW")=0,"",SUMIFS(tblDaily[Discharges],tblDaily[EntryDate],DATE(2026,8,1),tblDaily[WardCode],"MW")),"")</f>
        <v/>
      </c>
      <c r="D280" s="29" t="str">
        <f>IFERROR(IF(SUMIFS(tblDaily[Deaths],tblDaily[EntryDate],DATE(2026,8,1),tblDaily[WardCode],"MW")=0,"",SUMIFS(tblDaily[Deaths],tblDaily[EntryDate],DATE(2026,8,1),tblDaily[WardCode],"MW")),"")</f>
        <v/>
      </c>
      <c r="E280" s="29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29" t="str">
        <f>IFERROR(IF(SUMIFS(tblDaily[TransfersIn],tblDaily[EntryDate],DATE(2026,8,1),tblDaily[WardCode],"MW")=0,"",SUMIFS(tblDaily[TransfersIn],tblDaily[EntryDate],DATE(2026,8,1),tblDaily[WardCode],"MW")),"")</f>
        <v/>
      </c>
      <c r="G280" s="29" t="str">
        <f>IFERROR(IF(SUMIFS(tblDaily[TransfersOut],tblDaily[EntryDate],DATE(2026,8,1),tblDaily[WardCode],"MW")=0,"",SUMIFS(tblDaily[TransfersOut],tblDaily[EntryDate],DATE(2026,8,1),tblDaily[WardCode],"MW")),"")</f>
        <v/>
      </c>
      <c r="H280" s="29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IFERROR(IF(SUMIFS(tblDaily[Admissions],tblDaily[EntryDate],DATE(2026,8,2),tblDaily[WardCode],"MW")=0,"",SUMIFS(tblDaily[Admissions],tblDaily[EntryDate],DATE(2026,8,2),tblDaily[WardCode],"MW")),"")</f>
        <v/>
      </c>
      <c r="C281" s="29" t="str">
        <f>IFERROR(IF(SUMIFS(tblDaily[Discharges],tblDaily[EntryDate],DATE(2026,8,2),tblDaily[WardCode],"MW")=0,"",SUMIFS(tblDaily[Discharges],tblDaily[EntryDate],DATE(2026,8,2),tblDaily[WardCode],"MW")),"")</f>
        <v/>
      </c>
      <c r="D281" s="29" t="str">
        <f>IFERROR(IF(SUMIFS(tblDaily[Deaths],tblDaily[EntryDate],DATE(2026,8,2),tblDaily[WardCode],"MW")=0,"",SUMIFS(tblDaily[Deaths],tblDaily[EntryDate],DATE(2026,8,2),tblDaily[WardCode],"MW")),"")</f>
        <v/>
      </c>
      <c r="E281" s="29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29" t="str">
        <f>IFERROR(IF(SUMIFS(tblDaily[TransfersIn],tblDaily[EntryDate],DATE(2026,8,2),tblDaily[WardCode],"MW")=0,"",SUMIFS(tblDaily[TransfersIn],tblDaily[EntryDate],DATE(2026,8,2),tblDaily[WardCode],"MW")),"")</f>
        <v/>
      </c>
      <c r="G281" s="29" t="str">
        <f>IFERROR(IF(SUMIFS(tblDaily[TransfersOut],tblDaily[EntryDate],DATE(2026,8,2),tblDaily[WardCode],"MW")=0,"",SUMIFS(tblDaily[TransfersOut],tblDaily[EntryDate],DATE(2026,8,2),tblDaily[WardCode],"MW")),"")</f>
        <v/>
      </c>
      <c r="H281" s="29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IFERROR(IF(SUMIFS(tblDaily[Admissions],tblDaily[EntryDate],DATE(2026,8,3),tblDaily[WardCode],"MW")=0,"",SUMIFS(tblDaily[Admissions],tblDaily[EntryDate],DATE(2026,8,3),tblDaily[WardCode],"MW")),"")</f>
        <v/>
      </c>
      <c r="C282" s="29" t="str">
        <f>IFERROR(IF(SUMIFS(tblDaily[Discharges],tblDaily[EntryDate],DATE(2026,8,3),tblDaily[WardCode],"MW")=0,"",SUMIFS(tblDaily[Discharges],tblDaily[EntryDate],DATE(2026,8,3),tblDaily[WardCode],"MW")),"")</f>
        <v/>
      </c>
      <c r="D282" s="29" t="str">
        <f>IFERROR(IF(SUMIFS(tblDaily[Deaths],tblDaily[EntryDate],DATE(2026,8,3),tblDaily[WardCode],"MW")=0,"",SUMIFS(tblDaily[Deaths],tblDaily[EntryDate],DATE(2026,8,3),tblDaily[WardCode],"MW")),"")</f>
        <v/>
      </c>
      <c r="E282" s="29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29" t="str">
        <f>IFERROR(IF(SUMIFS(tblDaily[TransfersIn],tblDaily[EntryDate],DATE(2026,8,3),tblDaily[WardCode],"MW")=0,"",SUMIFS(tblDaily[TransfersIn],tblDaily[EntryDate],DATE(2026,8,3),tblDaily[WardCode],"MW")),"")</f>
        <v/>
      </c>
      <c r="G282" s="29" t="str">
        <f>IFERROR(IF(SUMIFS(tblDaily[TransfersOut],tblDaily[EntryDate],DATE(2026,8,3),tblDaily[WardCode],"MW")=0,"",SUMIFS(tblDaily[TransfersOut],tblDaily[EntryDate],DATE(2026,8,3),tblDaily[WardCode],"MW")),"")</f>
        <v/>
      </c>
      <c r="H282" s="29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IFERROR(IF(SUMIFS(tblDaily[Admissions],tblDaily[EntryDate],DATE(2026,8,4),tblDaily[WardCode],"MW")=0,"",SUMIFS(tblDaily[Admissions],tblDaily[EntryDate],DATE(2026,8,4),tblDaily[WardCode],"MW")),"")</f>
        <v/>
      </c>
      <c r="C283" s="29" t="str">
        <f>IFERROR(IF(SUMIFS(tblDaily[Discharges],tblDaily[EntryDate],DATE(2026,8,4),tblDaily[WardCode],"MW")=0,"",SUMIFS(tblDaily[Discharges],tblDaily[EntryDate],DATE(2026,8,4),tblDaily[WardCode],"MW")),"")</f>
        <v/>
      </c>
      <c r="D283" s="29" t="str">
        <f>IFERROR(IF(SUMIFS(tblDaily[Deaths],tblDaily[EntryDate],DATE(2026,8,4),tblDaily[WardCode],"MW")=0,"",SUMIFS(tblDaily[Deaths],tblDaily[EntryDate],DATE(2026,8,4),tblDaily[WardCode],"MW")),"")</f>
        <v/>
      </c>
      <c r="E283" s="29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29" t="str">
        <f>IFERROR(IF(SUMIFS(tblDaily[TransfersIn],tblDaily[EntryDate],DATE(2026,8,4),tblDaily[WardCode],"MW")=0,"",SUMIFS(tblDaily[TransfersIn],tblDaily[EntryDate],DATE(2026,8,4),tblDaily[WardCode],"MW")),"")</f>
        <v/>
      </c>
      <c r="G283" s="29" t="str">
        <f>IFERROR(IF(SUMIFS(tblDaily[TransfersOut],tblDaily[EntryDate],DATE(2026,8,4),tblDaily[WardCode],"MW")=0,"",SUMIFS(tblDaily[TransfersOut],tblDaily[EntryDate],DATE(2026,8,4),tblDaily[WardCode],"MW")),"")</f>
        <v/>
      </c>
      <c r="H283" s="29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IFERROR(IF(SUMIFS(tblDaily[Admissions],tblDaily[EntryDate],DATE(2026,8,5),tblDaily[WardCode],"MW")=0,"",SUMIFS(tblDaily[Admissions],tblDaily[EntryDate],DATE(2026,8,5),tblDaily[WardCode],"MW")),"")</f>
        <v/>
      </c>
      <c r="C284" s="29" t="str">
        <f>IFERROR(IF(SUMIFS(tblDaily[Discharges],tblDaily[EntryDate],DATE(2026,8,5),tblDaily[WardCode],"MW")=0,"",SUMIFS(tblDaily[Discharges],tblDaily[EntryDate],DATE(2026,8,5),tblDaily[WardCode],"MW")),"")</f>
        <v/>
      </c>
      <c r="D284" s="29" t="str">
        <f>IFERROR(IF(SUMIFS(tblDaily[Deaths],tblDaily[EntryDate],DATE(2026,8,5),tblDaily[WardCode],"MW")=0,"",SUMIFS(tblDaily[Deaths],tblDaily[EntryDate],DATE(2026,8,5),tblDaily[WardCode],"MW")),"")</f>
        <v/>
      </c>
      <c r="E284" s="29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29" t="str">
        <f>IFERROR(IF(SUMIFS(tblDaily[TransfersIn],tblDaily[EntryDate],DATE(2026,8,5),tblDaily[WardCode],"MW")=0,"",SUMIFS(tblDaily[TransfersIn],tblDaily[EntryDate],DATE(2026,8,5),tblDaily[WardCode],"MW")),"")</f>
        <v/>
      </c>
      <c r="G284" s="29" t="str">
        <f>IFERROR(IF(SUMIFS(tblDaily[TransfersOut],tblDaily[EntryDate],DATE(2026,8,5),tblDaily[WardCode],"MW")=0,"",SUMIFS(tblDaily[TransfersOut],tblDaily[EntryDate],DATE(2026,8,5),tblDaily[WardCode],"MW")),"")</f>
        <v/>
      </c>
      <c r="H284" s="29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IFERROR(IF(SUMIFS(tblDaily[Admissions],tblDaily[EntryDate],DATE(2026,8,6),tblDaily[WardCode],"MW")=0,"",SUMIFS(tblDaily[Admissions],tblDaily[EntryDate],DATE(2026,8,6),tblDaily[WardCode],"MW")),"")</f>
        <v/>
      </c>
      <c r="C285" s="29" t="str">
        <f>IFERROR(IF(SUMIFS(tblDaily[Discharges],tblDaily[EntryDate],DATE(2026,8,6),tblDaily[WardCode],"MW")=0,"",SUMIFS(tblDaily[Discharges],tblDaily[EntryDate],DATE(2026,8,6),tblDaily[WardCode],"MW")),"")</f>
        <v/>
      </c>
      <c r="D285" s="29" t="str">
        <f>IFERROR(IF(SUMIFS(tblDaily[Deaths],tblDaily[EntryDate],DATE(2026,8,6),tblDaily[WardCode],"MW")=0,"",SUMIFS(tblDaily[Deaths],tblDaily[EntryDate],DATE(2026,8,6),tblDaily[WardCode],"MW")),"")</f>
        <v/>
      </c>
      <c r="E285" s="29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29" t="str">
        <f>IFERROR(IF(SUMIFS(tblDaily[TransfersIn],tblDaily[EntryDate],DATE(2026,8,6),tblDaily[WardCode],"MW")=0,"",SUMIFS(tblDaily[TransfersIn],tblDaily[EntryDate],DATE(2026,8,6),tblDaily[WardCode],"MW")),"")</f>
        <v/>
      </c>
      <c r="G285" s="29" t="str">
        <f>IFERROR(IF(SUMIFS(tblDaily[TransfersOut],tblDaily[EntryDate],DATE(2026,8,6),tblDaily[WardCode],"MW")=0,"",SUMIFS(tblDaily[TransfersOut],tblDaily[EntryDate],DATE(2026,8,6),tblDaily[WardCode],"MW")),"")</f>
        <v/>
      </c>
      <c r="H285" s="29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IFERROR(IF(SUMIFS(tblDaily[Admissions],tblDaily[EntryDate],DATE(2026,8,7),tblDaily[WardCode],"MW")=0,"",SUMIFS(tblDaily[Admissions],tblDaily[EntryDate],DATE(2026,8,7),tblDaily[WardCode],"MW")),"")</f>
        <v/>
      </c>
      <c r="C286" s="29" t="str">
        <f>IFERROR(IF(SUMIFS(tblDaily[Discharges],tblDaily[EntryDate],DATE(2026,8,7),tblDaily[WardCode],"MW")=0,"",SUMIFS(tblDaily[Discharges],tblDaily[EntryDate],DATE(2026,8,7),tblDaily[WardCode],"MW")),"")</f>
        <v/>
      </c>
      <c r="D286" s="29" t="str">
        <f>IFERROR(IF(SUMIFS(tblDaily[Deaths],tblDaily[EntryDate],DATE(2026,8,7),tblDaily[WardCode],"MW")=0,"",SUMIFS(tblDaily[Deaths],tblDaily[EntryDate],DATE(2026,8,7),tblDaily[WardCode],"MW")),"")</f>
        <v/>
      </c>
      <c r="E286" s="29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29" t="str">
        <f>IFERROR(IF(SUMIFS(tblDaily[TransfersIn],tblDaily[EntryDate],DATE(2026,8,7),tblDaily[WardCode],"MW")=0,"",SUMIFS(tblDaily[TransfersIn],tblDaily[EntryDate],DATE(2026,8,7),tblDaily[WardCode],"MW")),"")</f>
        <v/>
      </c>
      <c r="G286" s="29" t="str">
        <f>IFERROR(IF(SUMIFS(tblDaily[TransfersOut],tblDaily[EntryDate],DATE(2026,8,7),tblDaily[WardCode],"MW")=0,"",SUMIFS(tblDaily[TransfersOut],tblDaily[EntryDate],DATE(2026,8,7),tblDaily[WardCode],"MW")),"")</f>
        <v/>
      </c>
      <c r="H286" s="29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IFERROR(IF(SUMIFS(tblDaily[Admissions],tblDaily[EntryDate],DATE(2026,8,8),tblDaily[WardCode],"MW")=0,"",SUMIFS(tblDaily[Admissions],tblDaily[EntryDate],DATE(2026,8,8),tblDaily[WardCode],"MW")),"")</f>
        <v/>
      </c>
      <c r="C287" s="29" t="str">
        <f>IFERROR(IF(SUMIFS(tblDaily[Discharges],tblDaily[EntryDate],DATE(2026,8,8),tblDaily[WardCode],"MW")=0,"",SUMIFS(tblDaily[Discharges],tblDaily[EntryDate],DATE(2026,8,8),tblDaily[WardCode],"MW")),"")</f>
        <v/>
      </c>
      <c r="D287" s="29" t="str">
        <f>IFERROR(IF(SUMIFS(tblDaily[Deaths],tblDaily[EntryDate],DATE(2026,8,8),tblDaily[WardCode],"MW")=0,"",SUMIFS(tblDaily[Deaths],tblDaily[EntryDate],DATE(2026,8,8),tblDaily[WardCode],"MW")),"")</f>
        <v/>
      </c>
      <c r="E287" s="29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29" t="str">
        <f>IFERROR(IF(SUMIFS(tblDaily[TransfersIn],tblDaily[EntryDate],DATE(2026,8,8),tblDaily[WardCode],"MW")=0,"",SUMIFS(tblDaily[TransfersIn],tblDaily[EntryDate],DATE(2026,8,8),tblDaily[WardCode],"MW")),"")</f>
        <v/>
      </c>
      <c r="G287" s="29" t="str">
        <f>IFERROR(IF(SUMIFS(tblDaily[TransfersOut],tblDaily[EntryDate],DATE(2026,8,8),tblDaily[WardCode],"MW")=0,"",SUMIFS(tblDaily[TransfersOut],tblDaily[EntryDate],DATE(2026,8,8),tblDaily[WardCode],"MW")),"")</f>
        <v/>
      </c>
      <c r="H287" s="29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IFERROR(IF(SUMIFS(tblDaily[Admissions],tblDaily[EntryDate],DATE(2026,8,9),tblDaily[WardCode],"MW")=0,"",SUMIFS(tblDaily[Admissions],tblDaily[EntryDate],DATE(2026,8,9),tblDaily[WardCode],"MW")),"")</f>
        <v/>
      </c>
      <c r="C288" s="29" t="str">
        <f>IFERROR(IF(SUMIFS(tblDaily[Discharges],tblDaily[EntryDate],DATE(2026,8,9),tblDaily[WardCode],"MW")=0,"",SUMIFS(tblDaily[Discharges],tblDaily[EntryDate],DATE(2026,8,9),tblDaily[WardCode],"MW")),"")</f>
        <v/>
      </c>
      <c r="D288" s="29" t="str">
        <f>IFERROR(IF(SUMIFS(tblDaily[Deaths],tblDaily[EntryDate],DATE(2026,8,9),tblDaily[WardCode],"MW")=0,"",SUMIFS(tblDaily[Deaths],tblDaily[EntryDate],DATE(2026,8,9),tblDaily[WardCode],"MW")),"")</f>
        <v/>
      </c>
      <c r="E288" s="29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29" t="str">
        <f>IFERROR(IF(SUMIFS(tblDaily[TransfersIn],tblDaily[EntryDate],DATE(2026,8,9),tblDaily[WardCode],"MW")=0,"",SUMIFS(tblDaily[TransfersIn],tblDaily[EntryDate],DATE(2026,8,9),tblDaily[WardCode],"MW")),"")</f>
        <v/>
      </c>
      <c r="G288" s="29" t="str">
        <f>IFERROR(IF(SUMIFS(tblDaily[TransfersOut],tblDaily[EntryDate],DATE(2026,8,9),tblDaily[WardCode],"MW")=0,"",SUMIFS(tblDaily[TransfersOut],tblDaily[EntryDate],DATE(2026,8,9),tblDaily[WardCode],"MW")),"")</f>
        <v/>
      </c>
      <c r="H288" s="29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IFERROR(IF(SUMIFS(tblDaily[Admissions],tblDaily[EntryDate],DATE(2026,8,10),tblDaily[WardCode],"MW")=0,"",SUMIFS(tblDaily[Admissions],tblDaily[EntryDate],DATE(2026,8,10),tblDaily[WardCode],"MW")),"")</f>
        <v/>
      </c>
      <c r="C289" s="29" t="str">
        <f>IFERROR(IF(SUMIFS(tblDaily[Discharges],tblDaily[EntryDate],DATE(2026,8,10),tblDaily[WardCode],"MW")=0,"",SUMIFS(tblDaily[Discharges],tblDaily[EntryDate],DATE(2026,8,10),tblDaily[WardCode],"MW")),"")</f>
        <v/>
      </c>
      <c r="D289" s="29" t="str">
        <f>IFERROR(IF(SUMIFS(tblDaily[Deaths],tblDaily[EntryDate],DATE(2026,8,10),tblDaily[WardCode],"MW")=0,"",SUMIFS(tblDaily[Deaths],tblDaily[EntryDate],DATE(2026,8,10),tblDaily[WardCode],"MW")),"")</f>
        <v/>
      </c>
      <c r="E289" s="29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29" t="str">
        <f>IFERROR(IF(SUMIFS(tblDaily[TransfersIn],tblDaily[EntryDate],DATE(2026,8,10),tblDaily[WardCode],"MW")=0,"",SUMIFS(tblDaily[TransfersIn],tblDaily[EntryDate],DATE(2026,8,10),tblDaily[WardCode],"MW")),"")</f>
        <v/>
      </c>
      <c r="G289" s="29" t="str">
        <f>IFERROR(IF(SUMIFS(tblDaily[TransfersOut],tblDaily[EntryDate],DATE(2026,8,10),tblDaily[WardCode],"MW")=0,"",SUMIFS(tblDaily[TransfersOut],tblDaily[EntryDate],DATE(2026,8,10),tblDaily[WardCode],"MW")),"")</f>
        <v/>
      </c>
      <c r="H289" s="29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IFERROR(IF(SUMIFS(tblDaily[Admissions],tblDaily[EntryDate],DATE(2026,8,11),tblDaily[WardCode],"MW")=0,"",SUMIFS(tblDaily[Admissions],tblDaily[EntryDate],DATE(2026,8,11),tblDaily[WardCode],"MW")),"")</f>
        <v/>
      </c>
      <c r="C290" s="29" t="str">
        <f>IFERROR(IF(SUMIFS(tblDaily[Discharges],tblDaily[EntryDate],DATE(2026,8,11),tblDaily[WardCode],"MW")=0,"",SUMIFS(tblDaily[Discharges],tblDaily[EntryDate],DATE(2026,8,11),tblDaily[WardCode],"MW")),"")</f>
        <v/>
      </c>
      <c r="D290" s="29" t="str">
        <f>IFERROR(IF(SUMIFS(tblDaily[Deaths],tblDaily[EntryDate],DATE(2026,8,11),tblDaily[WardCode],"MW")=0,"",SUMIFS(tblDaily[Deaths],tblDaily[EntryDate],DATE(2026,8,11),tblDaily[WardCode],"MW")),"")</f>
        <v/>
      </c>
      <c r="E290" s="29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29" t="str">
        <f>IFERROR(IF(SUMIFS(tblDaily[TransfersIn],tblDaily[EntryDate],DATE(2026,8,11),tblDaily[WardCode],"MW")=0,"",SUMIFS(tblDaily[TransfersIn],tblDaily[EntryDate],DATE(2026,8,11),tblDaily[WardCode],"MW")),"")</f>
        <v/>
      </c>
      <c r="G290" s="29" t="str">
        <f>IFERROR(IF(SUMIFS(tblDaily[TransfersOut],tblDaily[EntryDate],DATE(2026,8,11),tblDaily[WardCode],"MW")=0,"",SUMIFS(tblDaily[TransfersOut],tblDaily[EntryDate],DATE(2026,8,11),tblDaily[WardCode],"MW")),"")</f>
        <v/>
      </c>
      <c r="H290" s="29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IFERROR(IF(SUMIFS(tblDaily[Admissions],tblDaily[EntryDate],DATE(2026,8,12),tblDaily[WardCode],"MW")=0,"",SUMIFS(tblDaily[Admissions],tblDaily[EntryDate],DATE(2026,8,12),tblDaily[WardCode],"MW")),"")</f>
        <v/>
      </c>
      <c r="C291" s="29" t="str">
        <f>IFERROR(IF(SUMIFS(tblDaily[Discharges],tblDaily[EntryDate],DATE(2026,8,12),tblDaily[WardCode],"MW")=0,"",SUMIFS(tblDaily[Discharges],tblDaily[EntryDate],DATE(2026,8,12),tblDaily[WardCode],"MW")),"")</f>
        <v/>
      </c>
      <c r="D291" s="29" t="str">
        <f>IFERROR(IF(SUMIFS(tblDaily[Deaths],tblDaily[EntryDate],DATE(2026,8,12),tblDaily[WardCode],"MW")=0,"",SUMIFS(tblDaily[Deaths],tblDaily[EntryDate],DATE(2026,8,12),tblDaily[WardCode],"MW")),"")</f>
        <v/>
      </c>
      <c r="E291" s="29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29" t="str">
        <f>IFERROR(IF(SUMIFS(tblDaily[TransfersIn],tblDaily[EntryDate],DATE(2026,8,12),tblDaily[WardCode],"MW")=0,"",SUMIFS(tblDaily[TransfersIn],tblDaily[EntryDate],DATE(2026,8,12),tblDaily[WardCode],"MW")),"")</f>
        <v/>
      </c>
      <c r="G291" s="29" t="str">
        <f>IFERROR(IF(SUMIFS(tblDaily[TransfersOut],tblDaily[EntryDate],DATE(2026,8,12),tblDaily[WardCode],"MW")=0,"",SUMIFS(tblDaily[TransfersOut],tblDaily[EntryDate],DATE(2026,8,12),tblDaily[WardCode],"MW")),"")</f>
        <v/>
      </c>
      <c r="H291" s="29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IFERROR(IF(SUMIFS(tblDaily[Admissions],tblDaily[EntryDate],DATE(2026,8,13),tblDaily[WardCode],"MW")=0,"",SUMIFS(tblDaily[Admissions],tblDaily[EntryDate],DATE(2026,8,13),tblDaily[WardCode],"MW")),"")</f>
        <v/>
      </c>
      <c r="C292" s="29" t="str">
        <f>IFERROR(IF(SUMIFS(tblDaily[Discharges],tblDaily[EntryDate],DATE(2026,8,13),tblDaily[WardCode],"MW")=0,"",SUMIFS(tblDaily[Discharges],tblDaily[EntryDate],DATE(2026,8,13),tblDaily[WardCode],"MW")),"")</f>
        <v/>
      </c>
      <c r="D292" s="29" t="str">
        <f>IFERROR(IF(SUMIFS(tblDaily[Deaths],tblDaily[EntryDate],DATE(2026,8,13),tblDaily[WardCode],"MW")=0,"",SUMIFS(tblDaily[Deaths],tblDaily[EntryDate],DATE(2026,8,13),tblDaily[WardCode],"MW")),"")</f>
        <v/>
      </c>
      <c r="E292" s="29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29" t="str">
        <f>IFERROR(IF(SUMIFS(tblDaily[TransfersIn],tblDaily[EntryDate],DATE(2026,8,13),tblDaily[WardCode],"MW")=0,"",SUMIFS(tblDaily[TransfersIn],tblDaily[EntryDate],DATE(2026,8,13),tblDaily[WardCode],"MW")),"")</f>
        <v/>
      </c>
      <c r="G292" s="29" t="str">
        <f>IFERROR(IF(SUMIFS(tblDaily[TransfersOut],tblDaily[EntryDate],DATE(2026,8,13),tblDaily[WardCode],"MW")=0,"",SUMIFS(tblDaily[TransfersOut],tblDaily[EntryDate],DATE(2026,8,13),tblDaily[WardCode],"MW")),"")</f>
        <v/>
      </c>
      <c r="H292" s="29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IFERROR(IF(SUMIFS(tblDaily[Admissions],tblDaily[EntryDate],DATE(2026,8,14),tblDaily[WardCode],"MW")=0,"",SUMIFS(tblDaily[Admissions],tblDaily[EntryDate],DATE(2026,8,14),tblDaily[WardCode],"MW")),"")</f>
        <v/>
      </c>
      <c r="C293" s="29" t="str">
        <f>IFERROR(IF(SUMIFS(tblDaily[Discharges],tblDaily[EntryDate],DATE(2026,8,14),tblDaily[WardCode],"MW")=0,"",SUMIFS(tblDaily[Discharges],tblDaily[EntryDate],DATE(2026,8,14),tblDaily[WardCode],"MW")),"")</f>
        <v/>
      </c>
      <c r="D293" s="29" t="str">
        <f>IFERROR(IF(SUMIFS(tblDaily[Deaths],tblDaily[EntryDate],DATE(2026,8,14),tblDaily[WardCode],"MW")=0,"",SUMIFS(tblDaily[Deaths],tblDaily[EntryDate],DATE(2026,8,14),tblDaily[WardCode],"MW")),"")</f>
        <v/>
      </c>
      <c r="E293" s="29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29" t="str">
        <f>IFERROR(IF(SUMIFS(tblDaily[TransfersIn],tblDaily[EntryDate],DATE(2026,8,14),tblDaily[WardCode],"MW")=0,"",SUMIFS(tblDaily[TransfersIn],tblDaily[EntryDate],DATE(2026,8,14),tblDaily[WardCode],"MW")),"")</f>
        <v/>
      </c>
      <c r="G293" s="29" t="str">
        <f>IFERROR(IF(SUMIFS(tblDaily[TransfersOut],tblDaily[EntryDate],DATE(2026,8,14),tblDaily[WardCode],"MW")=0,"",SUMIFS(tblDaily[TransfersOut],tblDaily[EntryDate],DATE(2026,8,14),tblDaily[WardCode],"MW")),"")</f>
        <v/>
      </c>
      <c r="H293" s="29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IFERROR(IF(SUMIFS(tblDaily[Admissions],tblDaily[EntryDate],DATE(2026,8,15),tblDaily[WardCode],"MW")=0,"",SUMIFS(tblDaily[Admissions],tblDaily[EntryDate],DATE(2026,8,15),tblDaily[WardCode],"MW")),"")</f>
        <v/>
      </c>
      <c r="C294" s="29" t="str">
        <f>IFERROR(IF(SUMIFS(tblDaily[Discharges],tblDaily[EntryDate],DATE(2026,8,15),tblDaily[WardCode],"MW")=0,"",SUMIFS(tblDaily[Discharges],tblDaily[EntryDate],DATE(2026,8,15),tblDaily[WardCode],"MW")),"")</f>
        <v/>
      </c>
      <c r="D294" s="29" t="str">
        <f>IFERROR(IF(SUMIFS(tblDaily[Deaths],tblDaily[EntryDate],DATE(2026,8,15),tblDaily[WardCode],"MW")=0,"",SUMIFS(tblDaily[Deaths],tblDaily[EntryDate],DATE(2026,8,15),tblDaily[WardCode],"MW")),"")</f>
        <v/>
      </c>
      <c r="E294" s="29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29" t="str">
        <f>IFERROR(IF(SUMIFS(tblDaily[TransfersIn],tblDaily[EntryDate],DATE(2026,8,15),tblDaily[WardCode],"MW")=0,"",SUMIFS(tblDaily[TransfersIn],tblDaily[EntryDate],DATE(2026,8,15),tblDaily[WardCode],"MW")),"")</f>
        <v/>
      </c>
      <c r="G294" s="29" t="str">
        <f>IFERROR(IF(SUMIFS(tblDaily[TransfersOut],tblDaily[EntryDate],DATE(2026,8,15),tblDaily[WardCode],"MW")=0,"",SUMIFS(tblDaily[TransfersOut],tblDaily[EntryDate],DATE(2026,8,15),tblDaily[WardCode],"MW")),"")</f>
        <v/>
      </c>
      <c r="H294" s="29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IFERROR(IF(SUMIFS(tblDaily[Admissions],tblDaily[EntryDate],DATE(2026,8,16),tblDaily[WardCode],"MW")=0,"",SUMIFS(tblDaily[Admissions],tblDaily[EntryDate],DATE(2026,8,16),tblDaily[WardCode],"MW")),"")</f>
        <v/>
      </c>
      <c r="C295" s="29" t="str">
        <f>IFERROR(IF(SUMIFS(tblDaily[Discharges],tblDaily[EntryDate],DATE(2026,8,16),tblDaily[WardCode],"MW")=0,"",SUMIFS(tblDaily[Discharges],tblDaily[EntryDate],DATE(2026,8,16),tblDaily[WardCode],"MW")),"")</f>
        <v/>
      </c>
      <c r="D295" s="29" t="str">
        <f>IFERROR(IF(SUMIFS(tblDaily[Deaths],tblDaily[EntryDate],DATE(2026,8,16),tblDaily[WardCode],"MW")=0,"",SUMIFS(tblDaily[Deaths],tblDaily[EntryDate],DATE(2026,8,16),tblDaily[WardCode],"MW")),"")</f>
        <v/>
      </c>
      <c r="E295" s="29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29" t="str">
        <f>IFERROR(IF(SUMIFS(tblDaily[TransfersIn],tblDaily[EntryDate],DATE(2026,8,16),tblDaily[WardCode],"MW")=0,"",SUMIFS(tblDaily[TransfersIn],tblDaily[EntryDate],DATE(2026,8,16),tblDaily[WardCode],"MW")),"")</f>
        <v/>
      </c>
      <c r="G295" s="29" t="str">
        <f>IFERROR(IF(SUMIFS(tblDaily[TransfersOut],tblDaily[EntryDate],DATE(2026,8,16),tblDaily[WardCode],"MW")=0,"",SUMIFS(tblDaily[TransfersOut],tblDaily[EntryDate],DATE(2026,8,16),tblDaily[WardCode],"MW")),"")</f>
        <v/>
      </c>
      <c r="H295" s="29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IFERROR(IF(SUMIFS(tblDaily[Admissions],tblDaily[EntryDate],DATE(2026,8,17),tblDaily[WardCode],"MW")=0,"",SUMIFS(tblDaily[Admissions],tblDaily[EntryDate],DATE(2026,8,17),tblDaily[WardCode],"MW")),"")</f>
        <v/>
      </c>
      <c r="C296" s="29" t="str">
        <f>IFERROR(IF(SUMIFS(tblDaily[Discharges],tblDaily[EntryDate],DATE(2026,8,17),tblDaily[WardCode],"MW")=0,"",SUMIFS(tblDaily[Discharges],tblDaily[EntryDate],DATE(2026,8,17),tblDaily[WardCode],"MW")),"")</f>
        <v/>
      </c>
      <c r="D296" s="29" t="str">
        <f>IFERROR(IF(SUMIFS(tblDaily[Deaths],tblDaily[EntryDate],DATE(2026,8,17),tblDaily[WardCode],"MW")=0,"",SUMIFS(tblDaily[Deaths],tblDaily[EntryDate],DATE(2026,8,17),tblDaily[WardCode],"MW")),"")</f>
        <v/>
      </c>
      <c r="E296" s="29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29" t="str">
        <f>IFERROR(IF(SUMIFS(tblDaily[TransfersIn],tblDaily[EntryDate],DATE(2026,8,17),tblDaily[WardCode],"MW")=0,"",SUMIFS(tblDaily[TransfersIn],tblDaily[EntryDate],DATE(2026,8,17),tblDaily[WardCode],"MW")),"")</f>
        <v/>
      </c>
      <c r="G296" s="29" t="str">
        <f>IFERROR(IF(SUMIFS(tblDaily[TransfersOut],tblDaily[EntryDate],DATE(2026,8,17),tblDaily[WardCode],"MW")=0,"",SUMIFS(tblDaily[TransfersOut],tblDaily[EntryDate],DATE(2026,8,17),tblDaily[WardCode],"MW")),"")</f>
        <v/>
      </c>
      <c r="H296" s="29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IFERROR(IF(SUMIFS(tblDaily[Admissions],tblDaily[EntryDate],DATE(2026,8,18),tblDaily[WardCode],"MW")=0,"",SUMIFS(tblDaily[Admissions],tblDaily[EntryDate],DATE(2026,8,18),tblDaily[WardCode],"MW")),"")</f>
        <v/>
      </c>
      <c r="C297" s="29" t="str">
        <f>IFERROR(IF(SUMIFS(tblDaily[Discharges],tblDaily[EntryDate],DATE(2026,8,18),tblDaily[WardCode],"MW")=0,"",SUMIFS(tblDaily[Discharges],tblDaily[EntryDate],DATE(2026,8,18),tblDaily[WardCode],"MW")),"")</f>
        <v/>
      </c>
      <c r="D297" s="29" t="str">
        <f>IFERROR(IF(SUMIFS(tblDaily[Deaths],tblDaily[EntryDate],DATE(2026,8,18),tblDaily[WardCode],"MW")=0,"",SUMIFS(tblDaily[Deaths],tblDaily[EntryDate],DATE(2026,8,18),tblDaily[WardCode],"MW")),"")</f>
        <v/>
      </c>
      <c r="E297" s="29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29" t="str">
        <f>IFERROR(IF(SUMIFS(tblDaily[TransfersIn],tblDaily[EntryDate],DATE(2026,8,18),tblDaily[WardCode],"MW")=0,"",SUMIFS(tblDaily[TransfersIn],tblDaily[EntryDate],DATE(2026,8,18),tblDaily[WardCode],"MW")),"")</f>
        <v/>
      </c>
      <c r="G297" s="29" t="str">
        <f>IFERROR(IF(SUMIFS(tblDaily[TransfersOut],tblDaily[EntryDate],DATE(2026,8,18),tblDaily[WardCode],"MW")=0,"",SUMIFS(tblDaily[TransfersOut],tblDaily[EntryDate],DATE(2026,8,18),tblDaily[WardCode],"MW")),"")</f>
        <v/>
      </c>
      <c r="H297" s="29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IFERROR(IF(SUMIFS(tblDaily[Admissions],tblDaily[EntryDate],DATE(2026,8,19),tblDaily[WardCode],"MW")=0,"",SUMIFS(tblDaily[Admissions],tblDaily[EntryDate],DATE(2026,8,19),tblDaily[WardCode],"MW")),"")</f>
        <v/>
      </c>
      <c r="C298" s="29" t="str">
        <f>IFERROR(IF(SUMIFS(tblDaily[Discharges],tblDaily[EntryDate],DATE(2026,8,19),tblDaily[WardCode],"MW")=0,"",SUMIFS(tblDaily[Discharges],tblDaily[EntryDate],DATE(2026,8,19),tblDaily[WardCode],"MW")),"")</f>
        <v/>
      </c>
      <c r="D298" s="29" t="str">
        <f>IFERROR(IF(SUMIFS(tblDaily[Deaths],tblDaily[EntryDate],DATE(2026,8,19),tblDaily[WardCode],"MW")=0,"",SUMIFS(tblDaily[Deaths],tblDaily[EntryDate],DATE(2026,8,19),tblDaily[WardCode],"MW")),"")</f>
        <v/>
      </c>
      <c r="E298" s="29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29" t="str">
        <f>IFERROR(IF(SUMIFS(tblDaily[TransfersIn],tblDaily[EntryDate],DATE(2026,8,19),tblDaily[WardCode],"MW")=0,"",SUMIFS(tblDaily[TransfersIn],tblDaily[EntryDate],DATE(2026,8,19),tblDaily[WardCode],"MW")),"")</f>
        <v/>
      </c>
      <c r="G298" s="29" t="str">
        <f>IFERROR(IF(SUMIFS(tblDaily[TransfersOut],tblDaily[EntryDate],DATE(2026,8,19),tblDaily[WardCode],"MW")=0,"",SUMIFS(tblDaily[TransfersOut],tblDaily[EntryDate],DATE(2026,8,19),tblDaily[WardCode],"MW")),"")</f>
        <v/>
      </c>
      <c r="H298" s="29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IFERROR(IF(SUMIFS(tblDaily[Admissions],tblDaily[EntryDate],DATE(2026,8,20),tblDaily[WardCode],"MW")=0,"",SUMIFS(tblDaily[Admissions],tblDaily[EntryDate],DATE(2026,8,20),tblDaily[WardCode],"MW")),"")</f>
        <v/>
      </c>
      <c r="C299" s="29" t="str">
        <f>IFERROR(IF(SUMIFS(tblDaily[Discharges],tblDaily[EntryDate],DATE(2026,8,20),tblDaily[WardCode],"MW")=0,"",SUMIFS(tblDaily[Discharges],tblDaily[EntryDate],DATE(2026,8,20),tblDaily[WardCode],"MW")),"")</f>
        <v/>
      </c>
      <c r="D299" s="29" t="str">
        <f>IFERROR(IF(SUMIFS(tblDaily[Deaths],tblDaily[EntryDate],DATE(2026,8,20),tblDaily[WardCode],"MW")=0,"",SUMIFS(tblDaily[Deaths],tblDaily[EntryDate],DATE(2026,8,20),tblDaily[WardCode],"MW")),"")</f>
        <v/>
      </c>
      <c r="E299" s="29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29" t="str">
        <f>IFERROR(IF(SUMIFS(tblDaily[TransfersIn],tblDaily[EntryDate],DATE(2026,8,20),tblDaily[WardCode],"MW")=0,"",SUMIFS(tblDaily[TransfersIn],tblDaily[EntryDate],DATE(2026,8,20),tblDaily[WardCode],"MW")),"")</f>
        <v/>
      </c>
      <c r="G299" s="29" t="str">
        <f>IFERROR(IF(SUMIFS(tblDaily[TransfersOut],tblDaily[EntryDate],DATE(2026,8,20),tblDaily[WardCode],"MW")=0,"",SUMIFS(tblDaily[TransfersOut],tblDaily[EntryDate],DATE(2026,8,20),tblDaily[WardCode],"MW")),"")</f>
        <v/>
      </c>
      <c r="H299" s="29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IFERROR(IF(SUMIFS(tblDaily[Admissions],tblDaily[EntryDate],DATE(2026,8,21),tblDaily[WardCode],"MW")=0,"",SUMIFS(tblDaily[Admissions],tblDaily[EntryDate],DATE(2026,8,21),tblDaily[WardCode],"MW")),"")</f>
        <v/>
      </c>
      <c r="C300" s="29" t="str">
        <f>IFERROR(IF(SUMIFS(tblDaily[Discharges],tblDaily[EntryDate],DATE(2026,8,21),tblDaily[WardCode],"MW")=0,"",SUMIFS(tblDaily[Discharges],tblDaily[EntryDate],DATE(2026,8,21),tblDaily[WardCode],"MW")),"")</f>
        <v/>
      </c>
      <c r="D300" s="29" t="str">
        <f>IFERROR(IF(SUMIFS(tblDaily[Deaths],tblDaily[EntryDate],DATE(2026,8,21),tblDaily[WardCode],"MW")=0,"",SUMIFS(tblDaily[Deaths],tblDaily[EntryDate],DATE(2026,8,21),tblDaily[WardCode],"MW")),"")</f>
        <v/>
      </c>
      <c r="E300" s="29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29" t="str">
        <f>IFERROR(IF(SUMIFS(tblDaily[TransfersIn],tblDaily[EntryDate],DATE(2026,8,21),tblDaily[WardCode],"MW")=0,"",SUMIFS(tblDaily[TransfersIn],tblDaily[EntryDate],DATE(2026,8,21),tblDaily[WardCode],"MW")),"")</f>
        <v/>
      </c>
      <c r="G300" s="29" t="str">
        <f>IFERROR(IF(SUMIFS(tblDaily[TransfersOut],tblDaily[EntryDate],DATE(2026,8,21),tblDaily[WardCode],"MW")=0,"",SUMIFS(tblDaily[TransfersOut],tblDaily[EntryDate],DATE(2026,8,21),tblDaily[WardCode],"MW")),"")</f>
        <v/>
      </c>
      <c r="H300" s="29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IFERROR(IF(SUMIFS(tblDaily[Admissions],tblDaily[EntryDate],DATE(2026,8,22),tblDaily[WardCode],"MW")=0,"",SUMIFS(tblDaily[Admissions],tblDaily[EntryDate],DATE(2026,8,22),tblDaily[WardCode],"MW")),"")</f>
        <v/>
      </c>
      <c r="C301" s="29" t="str">
        <f>IFERROR(IF(SUMIFS(tblDaily[Discharges],tblDaily[EntryDate],DATE(2026,8,22),tblDaily[WardCode],"MW")=0,"",SUMIFS(tblDaily[Discharges],tblDaily[EntryDate],DATE(2026,8,22),tblDaily[WardCode],"MW")),"")</f>
        <v/>
      </c>
      <c r="D301" s="29" t="str">
        <f>IFERROR(IF(SUMIFS(tblDaily[Deaths],tblDaily[EntryDate],DATE(2026,8,22),tblDaily[WardCode],"MW")=0,"",SUMIFS(tblDaily[Deaths],tblDaily[EntryDate],DATE(2026,8,22),tblDaily[WardCode],"MW")),"")</f>
        <v/>
      </c>
      <c r="E301" s="29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29" t="str">
        <f>IFERROR(IF(SUMIFS(tblDaily[TransfersIn],tblDaily[EntryDate],DATE(2026,8,22),tblDaily[WardCode],"MW")=0,"",SUMIFS(tblDaily[TransfersIn],tblDaily[EntryDate],DATE(2026,8,22),tblDaily[WardCode],"MW")),"")</f>
        <v/>
      </c>
      <c r="G301" s="29" t="str">
        <f>IFERROR(IF(SUMIFS(tblDaily[TransfersOut],tblDaily[EntryDate],DATE(2026,8,22),tblDaily[WardCode],"MW")=0,"",SUMIFS(tblDaily[TransfersOut],tblDaily[EntryDate],DATE(2026,8,22),tblDaily[WardCode],"MW")),"")</f>
        <v/>
      </c>
      <c r="H301" s="29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IFERROR(IF(SUMIFS(tblDaily[Admissions],tblDaily[EntryDate],DATE(2026,8,23),tblDaily[WardCode],"MW")=0,"",SUMIFS(tblDaily[Admissions],tblDaily[EntryDate],DATE(2026,8,23),tblDaily[WardCode],"MW")),"")</f>
        <v/>
      </c>
      <c r="C302" s="29" t="str">
        <f>IFERROR(IF(SUMIFS(tblDaily[Discharges],tblDaily[EntryDate],DATE(2026,8,23),tblDaily[WardCode],"MW")=0,"",SUMIFS(tblDaily[Discharges],tblDaily[EntryDate],DATE(2026,8,23),tblDaily[WardCode],"MW")),"")</f>
        <v/>
      </c>
      <c r="D302" s="29" t="str">
        <f>IFERROR(IF(SUMIFS(tblDaily[Deaths],tblDaily[EntryDate],DATE(2026,8,23),tblDaily[WardCode],"MW")=0,"",SUMIFS(tblDaily[Deaths],tblDaily[EntryDate],DATE(2026,8,23),tblDaily[WardCode],"MW")),"")</f>
        <v/>
      </c>
      <c r="E302" s="29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29" t="str">
        <f>IFERROR(IF(SUMIFS(tblDaily[TransfersIn],tblDaily[EntryDate],DATE(2026,8,23),tblDaily[WardCode],"MW")=0,"",SUMIFS(tblDaily[TransfersIn],tblDaily[EntryDate],DATE(2026,8,23),tblDaily[WardCode],"MW")),"")</f>
        <v/>
      </c>
      <c r="G302" s="29" t="str">
        <f>IFERROR(IF(SUMIFS(tblDaily[TransfersOut],tblDaily[EntryDate],DATE(2026,8,23),tblDaily[WardCode],"MW")=0,"",SUMIFS(tblDaily[TransfersOut],tblDaily[EntryDate],DATE(2026,8,23),tblDaily[WardCode],"MW")),"")</f>
        <v/>
      </c>
      <c r="H302" s="29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IFERROR(IF(SUMIFS(tblDaily[Admissions],tblDaily[EntryDate],DATE(2026,8,24),tblDaily[WardCode],"MW")=0,"",SUMIFS(tblDaily[Admissions],tblDaily[EntryDate],DATE(2026,8,24),tblDaily[WardCode],"MW")),"")</f>
        <v/>
      </c>
      <c r="C303" s="29" t="str">
        <f>IFERROR(IF(SUMIFS(tblDaily[Discharges],tblDaily[EntryDate],DATE(2026,8,24),tblDaily[WardCode],"MW")=0,"",SUMIFS(tblDaily[Discharges],tblDaily[EntryDate],DATE(2026,8,24),tblDaily[WardCode],"MW")),"")</f>
        <v/>
      </c>
      <c r="D303" s="29" t="str">
        <f>IFERROR(IF(SUMIFS(tblDaily[Deaths],tblDaily[EntryDate],DATE(2026,8,24),tblDaily[WardCode],"MW")=0,"",SUMIFS(tblDaily[Deaths],tblDaily[EntryDate],DATE(2026,8,24),tblDaily[WardCode],"MW")),"")</f>
        <v/>
      </c>
      <c r="E303" s="29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29" t="str">
        <f>IFERROR(IF(SUMIFS(tblDaily[TransfersIn],tblDaily[EntryDate],DATE(2026,8,24),tblDaily[WardCode],"MW")=0,"",SUMIFS(tblDaily[TransfersIn],tblDaily[EntryDate],DATE(2026,8,24),tblDaily[WardCode],"MW")),"")</f>
        <v/>
      </c>
      <c r="G303" s="29" t="str">
        <f>IFERROR(IF(SUMIFS(tblDaily[TransfersOut],tblDaily[EntryDate],DATE(2026,8,24),tblDaily[WardCode],"MW")=0,"",SUMIFS(tblDaily[TransfersOut],tblDaily[EntryDate],DATE(2026,8,24),tblDaily[WardCode],"MW")),"")</f>
        <v/>
      </c>
      <c r="H303" s="29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IFERROR(IF(SUMIFS(tblDaily[Admissions],tblDaily[EntryDate],DATE(2026,8,25),tblDaily[WardCode],"MW")=0,"",SUMIFS(tblDaily[Admissions],tblDaily[EntryDate],DATE(2026,8,25),tblDaily[WardCode],"MW")),"")</f>
        <v/>
      </c>
      <c r="C304" s="29" t="str">
        <f>IFERROR(IF(SUMIFS(tblDaily[Discharges],tblDaily[EntryDate],DATE(2026,8,25),tblDaily[WardCode],"MW")=0,"",SUMIFS(tblDaily[Discharges],tblDaily[EntryDate],DATE(2026,8,25),tblDaily[WardCode],"MW")),"")</f>
        <v/>
      </c>
      <c r="D304" s="29" t="str">
        <f>IFERROR(IF(SUMIFS(tblDaily[Deaths],tblDaily[EntryDate],DATE(2026,8,25),tblDaily[WardCode],"MW")=0,"",SUMIFS(tblDaily[Deaths],tblDaily[EntryDate],DATE(2026,8,25),tblDaily[WardCode],"MW")),"")</f>
        <v/>
      </c>
      <c r="E304" s="29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29" t="str">
        <f>IFERROR(IF(SUMIFS(tblDaily[TransfersIn],tblDaily[EntryDate],DATE(2026,8,25),tblDaily[WardCode],"MW")=0,"",SUMIFS(tblDaily[TransfersIn],tblDaily[EntryDate],DATE(2026,8,25),tblDaily[WardCode],"MW")),"")</f>
        <v/>
      </c>
      <c r="G304" s="29" t="str">
        <f>IFERROR(IF(SUMIFS(tblDaily[TransfersOut],tblDaily[EntryDate],DATE(2026,8,25),tblDaily[WardCode],"MW")=0,"",SUMIFS(tblDaily[TransfersOut],tblDaily[EntryDate],DATE(2026,8,25),tblDaily[WardCode],"MW")),"")</f>
        <v/>
      </c>
      <c r="H304" s="29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IFERROR(IF(SUMIFS(tblDaily[Admissions],tblDaily[EntryDate],DATE(2026,8,26),tblDaily[WardCode],"MW")=0,"",SUMIFS(tblDaily[Admissions],tblDaily[EntryDate],DATE(2026,8,26),tblDaily[WardCode],"MW")),"")</f>
        <v/>
      </c>
      <c r="C305" s="29" t="str">
        <f>IFERROR(IF(SUMIFS(tblDaily[Discharges],tblDaily[EntryDate],DATE(2026,8,26),tblDaily[WardCode],"MW")=0,"",SUMIFS(tblDaily[Discharges],tblDaily[EntryDate],DATE(2026,8,26),tblDaily[WardCode],"MW")),"")</f>
        <v/>
      </c>
      <c r="D305" s="29" t="str">
        <f>IFERROR(IF(SUMIFS(tblDaily[Deaths],tblDaily[EntryDate],DATE(2026,8,26),tblDaily[WardCode],"MW")=0,"",SUMIFS(tblDaily[Deaths],tblDaily[EntryDate],DATE(2026,8,26),tblDaily[WardCode],"MW")),"")</f>
        <v/>
      </c>
      <c r="E305" s="29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29" t="str">
        <f>IFERROR(IF(SUMIFS(tblDaily[TransfersIn],tblDaily[EntryDate],DATE(2026,8,26),tblDaily[WardCode],"MW")=0,"",SUMIFS(tblDaily[TransfersIn],tblDaily[EntryDate],DATE(2026,8,26),tblDaily[WardCode],"MW")),"")</f>
        <v/>
      </c>
      <c r="G305" s="29" t="str">
        <f>IFERROR(IF(SUMIFS(tblDaily[TransfersOut],tblDaily[EntryDate],DATE(2026,8,26),tblDaily[WardCode],"MW")=0,"",SUMIFS(tblDaily[TransfersOut],tblDaily[EntryDate],DATE(2026,8,26),tblDaily[WardCode],"MW")),"")</f>
        <v/>
      </c>
      <c r="H305" s="29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IFERROR(IF(SUMIFS(tblDaily[Admissions],tblDaily[EntryDate],DATE(2026,8,27),tblDaily[WardCode],"MW")=0,"",SUMIFS(tblDaily[Admissions],tblDaily[EntryDate],DATE(2026,8,27),tblDaily[WardCode],"MW")),"")</f>
        <v/>
      </c>
      <c r="C306" s="29" t="str">
        <f>IFERROR(IF(SUMIFS(tblDaily[Discharges],tblDaily[EntryDate],DATE(2026,8,27),tblDaily[WardCode],"MW")=0,"",SUMIFS(tblDaily[Discharges],tblDaily[EntryDate],DATE(2026,8,27),tblDaily[WardCode],"MW")),"")</f>
        <v/>
      </c>
      <c r="D306" s="29" t="str">
        <f>IFERROR(IF(SUMIFS(tblDaily[Deaths],tblDaily[EntryDate],DATE(2026,8,27),tblDaily[WardCode],"MW")=0,"",SUMIFS(tblDaily[Deaths],tblDaily[EntryDate],DATE(2026,8,27),tblDaily[WardCode],"MW")),"")</f>
        <v/>
      </c>
      <c r="E306" s="29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29" t="str">
        <f>IFERROR(IF(SUMIFS(tblDaily[TransfersIn],tblDaily[EntryDate],DATE(2026,8,27),tblDaily[WardCode],"MW")=0,"",SUMIFS(tblDaily[TransfersIn],tblDaily[EntryDate],DATE(2026,8,27),tblDaily[WardCode],"MW")),"")</f>
        <v/>
      </c>
      <c r="G306" s="29" t="str">
        <f>IFERROR(IF(SUMIFS(tblDaily[TransfersOut],tblDaily[EntryDate],DATE(2026,8,27),tblDaily[WardCode],"MW")=0,"",SUMIFS(tblDaily[TransfersOut],tblDaily[EntryDate],DATE(2026,8,27),tblDaily[WardCode],"MW")),"")</f>
        <v/>
      </c>
      <c r="H306" s="29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IFERROR(IF(SUMIFS(tblDaily[Admissions],tblDaily[EntryDate],DATE(2026,8,28),tblDaily[WardCode],"MW")=0,"",SUMIFS(tblDaily[Admissions],tblDaily[EntryDate],DATE(2026,8,28),tblDaily[WardCode],"MW")),"")</f>
        <v/>
      </c>
      <c r="C307" s="29" t="str">
        <f>IFERROR(IF(SUMIFS(tblDaily[Discharges],tblDaily[EntryDate],DATE(2026,8,28),tblDaily[WardCode],"MW")=0,"",SUMIFS(tblDaily[Discharges],tblDaily[EntryDate],DATE(2026,8,28),tblDaily[WardCode],"MW")),"")</f>
        <v/>
      </c>
      <c r="D307" s="29" t="str">
        <f>IFERROR(IF(SUMIFS(tblDaily[Deaths],tblDaily[EntryDate],DATE(2026,8,28),tblDaily[WardCode],"MW")=0,"",SUMIFS(tblDaily[Deaths],tblDaily[EntryDate],DATE(2026,8,28),tblDaily[WardCode],"MW")),"")</f>
        <v/>
      </c>
      <c r="E307" s="29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29" t="str">
        <f>IFERROR(IF(SUMIFS(tblDaily[TransfersIn],tblDaily[EntryDate],DATE(2026,8,28),tblDaily[WardCode],"MW")=0,"",SUMIFS(tblDaily[TransfersIn],tblDaily[EntryDate],DATE(2026,8,28),tblDaily[WardCode],"MW")),"")</f>
        <v/>
      </c>
      <c r="G307" s="29" t="str">
        <f>IFERROR(IF(SUMIFS(tblDaily[TransfersOut],tblDaily[EntryDate],DATE(2026,8,28),tblDaily[WardCode],"MW")=0,"",SUMIFS(tblDaily[TransfersOut],tblDaily[EntryDate],DATE(2026,8,28),tblDaily[WardCode],"MW")),"")</f>
        <v/>
      </c>
      <c r="H307" s="29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IFERROR(IF(SUMIFS(tblDaily[Admissions],tblDaily[EntryDate],DATE(2026,8,29),tblDaily[WardCode],"MW")=0,"",SUMIFS(tblDaily[Admissions],tblDaily[EntryDate],DATE(2026,8,29),tblDaily[WardCode],"MW")),"")</f>
        <v/>
      </c>
      <c r="C308" s="29" t="str">
        <f>IFERROR(IF(SUMIFS(tblDaily[Discharges],tblDaily[EntryDate],DATE(2026,8,29),tblDaily[WardCode],"MW")=0,"",SUMIFS(tblDaily[Discharges],tblDaily[EntryDate],DATE(2026,8,29),tblDaily[WardCode],"MW")),"")</f>
        <v/>
      </c>
      <c r="D308" s="29" t="str">
        <f>IFERROR(IF(SUMIFS(tblDaily[Deaths],tblDaily[EntryDate],DATE(2026,8,29),tblDaily[WardCode],"MW")=0,"",SUMIFS(tblDaily[Deaths],tblDaily[EntryDate],DATE(2026,8,29),tblDaily[WardCode],"MW")),"")</f>
        <v/>
      </c>
      <c r="E308" s="29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29" t="str">
        <f>IFERROR(IF(SUMIFS(tblDaily[TransfersIn],tblDaily[EntryDate],DATE(2026,8,29),tblDaily[WardCode],"MW")=0,"",SUMIFS(tblDaily[TransfersIn],tblDaily[EntryDate],DATE(2026,8,29),tblDaily[WardCode],"MW")),"")</f>
        <v/>
      </c>
      <c r="G308" s="29" t="str">
        <f>IFERROR(IF(SUMIFS(tblDaily[TransfersOut],tblDaily[EntryDate],DATE(2026,8,29),tblDaily[WardCode],"MW")=0,"",SUMIFS(tblDaily[TransfersOut],tblDaily[EntryDate],DATE(2026,8,29),tblDaily[WardCode],"MW")),"")</f>
        <v/>
      </c>
      <c r="H308" s="29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IFERROR(IF(SUMIFS(tblDaily[Admissions],tblDaily[EntryDate],DATE(2026,8,30),tblDaily[WardCode],"MW")=0,"",SUMIFS(tblDaily[Admissions],tblDaily[EntryDate],DATE(2026,8,30),tblDaily[WardCode],"MW")),"")</f>
        <v/>
      </c>
      <c r="C309" s="29" t="str">
        <f>IFERROR(IF(SUMIFS(tblDaily[Discharges],tblDaily[EntryDate],DATE(2026,8,30),tblDaily[WardCode],"MW")=0,"",SUMIFS(tblDaily[Discharges],tblDaily[EntryDate],DATE(2026,8,30),tblDaily[WardCode],"MW")),"")</f>
        <v/>
      </c>
      <c r="D309" s="29" t="str">
        <f>IFERROR(IF(SUMIFS(tblDaily[Deaths],tblDaily[EntryDate],DATE(2026,8,30),tblDaily[WardCode],"MW")=0,"",SUMIFS(tblDaily[Deaths],tblDaily[EntryDate],DATE(2026,8,30),tblDaily[WardCode],"MW")),"")</f>
        <v/>
      </c>
      <c r="E309" s="29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29" t="str">
        <f>IFERROR(IF(SUMIFS(tblDaily[TransfersIn],tblDaily[EntryDate],DATE(2026,8,30),tblDaily[WardCode],"MW")=0,"",SUMIFS(tblDaily[TransfersIn],tblDaily[EntryDate],DATE(2026,8,30),tblDaily[WardCode],"MW")),"")</f>
        <v/>
      </c>
      <c r="G309" s="29" t="str">
        <f>IFERROR(IF(SUMIFS(tblDaily[TransfersOut],tblDaily[EntryDate],DATE(2026,8,30),tblDaily[WardCode],"MW")=0,"",SUMIFS(tblDaily[TransfersOut],tblDaily[EntryDate],DATE(2026,8,30),tblDaily[WardCode],"MW")),"")</f>
        <v/>
      </c>
      <c r="H309" s="29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IFERROR(IF(SUMIFS(tblDaily[Admissions],tblDaily[EntryDate],DATE(2026,8,31),tblDaily[WardCode],"MW")=0,"",SUMIFS(tblDaily[Admissions],tblDaily[EntryDate],DATE(2026,8,31),tblDaily[WardCode],"MW")),"")</f>
        <v/>
      </c>
      <c r="C310" s="29" t="str">
        <f>IFERROR(IF(SUMIFS(tblDaily[Discharges],tblDaily[EntryDate],DATE(2026,8,31),tblDaily[WardCode],"MW")=0,"",SUMIFS(tblDaily[Discharges],tblDaily[EntryDate],DATE(2026,8,31),tblDaily[WardCode],"MW")),"")</f>
        <v/>
      </c>
      <c r="D310" s="29" t="str">
        <f>IFERROR(IF(SUMIFS(tblDaily[Deaths],tblDaily[EntryDate],DATE(2026,8,31),tblDaily[WardCode],"MW")=0,"",SUMIFS(tblDaily[Deaths],tblDaily[EntryDate],DATE(2026,8,31),tblDaily[WardCode],"MW")),"")</f>
        <v/>
      </c>
      <c r="E310" s="29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29" t="str">
        <f>IFERROR(IF(SUMIFS(tblDaily[TransfersIn],tblDaily[EntryDate],DATE(2026,8,31),tblDaily[WardCode],"MW")=0,"",SUMIFS(tblDaily[TransfersIn],tblDaily[EntryDate],DATE(2026,8,31),tblDaily[WardCode],"MW")),"")</f>
        <v/>
      </c>
      <c r="G310" s="29" t="str">
        <f>IFERROR(IF(SUMIFS(tblDaily[TransfersOut],tblDaily[EntryDate],DATE(2026,8,31),tblDaily[WardCode],"MW")=0,"",SUMIFS(tblDaily[TransfersOut],tblDaily[EntryDate],DATE(2026,8,31),tblDaily[WardCode],"MW")),"")</f>
        <v/>
      </c>
      <c r="H310" s="29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30" t="s">
        <v>115</v>
      </c>
      <c r="B311" s="30">
        <f>SUMIFS(tblDaily[Admissions],tblDaily[Month],8,tblDaily[WardCode],"MW") - SUMIFS(tblDaily[DeathsUnder24Hrs],tblDaily[Month],8,tblDaily[WardCode],"MW")</f>
        <v>0</v>
      </c>
      <c r="C311" s="30">
        <f>SUMIFS(tblDaily[Discharges],tblDaily[Month],8,tblDaily[WardCode],"MW")</f>
        <v>0</v>
      </c>
      <c r="D311" s="30">
        <f>SUMIFS(tblDaily[Deaths],tblDaily[Month],8,tblDaily[WardCode],"MW")</f>
        <v>0</v>
      </c>
      <c r="E311" s="30">
        <f>SUMIFS(tblDaily[DeathsUnder24Hrs],tblDaily[Month],8,tblDaily[WardCode],"MW")</f>
        <v>0</v>
      </c>
      <c r="F311" s="30">
        <f>SUMIFS(tblDaily[TransfersIn],tblDaily[Month],8,tblDaily[WardCode],"MW")</f>
        <v>0</v>
      </c>
      <c r="G311" s="30">
        <f>SUMIFS(tblDaily[TransfersOut],tblDaily[Month],8,tblDaily[WardCode],"MW")</f>
        <v>0</v>
      </c>
      <c r="H311" s="30">
        <f>SUMIFS(tblDaily[Remaining],tblDaily[Month],8,tblDaily[WardCode],"MW")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106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IFERROR(SUMIFS(tblDaily[Remaining],tblDaily[EntryDate],DATE(2026,8,31),tblDaily[WardCode],"MW"),0)</f>
        <v>0</v>
      </c>
    </row>
    <row r="317" spans="1:8" x14ac:dyDescent="0.25">
      <c r="A317" s="24" t="s">
        <v>109</v>
      </c>
      <c r="H317" s="27">
        <f>IFERROR(INDEX(tblWardConfig[BedComplement],MATCH("MW",tblWardConfig[WardCode],0)),0)</f>
        <v>32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IFERROR(IF(SUMIFS(tblDaily[Admissions],tblDaily[EntryDate],DATE(2026,9,1),tblDaily[WardCode],"MW")=0,"",SUMIFS(tblDaily[Admissions],tblDaily[EntryDate],DATE(2026,9,1),tblDaily[WardCode],"MW")),"")</f>
        <v/>
      </c>
      <c r="C319" s="29" t="str">
        <f>IFERROR(IF(SUMIFS(tblDaily[Discharges],tblDaily[EntryDate],DATE(2026,9,1),tblDaily[WardCode],"MW")=0,"",SUMIFS(tblDaily[Discharges],tblDaily[EntryDate],DATE(2026,9,1),tblDaily[WardCode],"MW")),"")</f>
        <v/>
      </c>
      <c r="D319" s="29" t="str">
        <f>IFERROR(IF(SUMIFS(tblDaily[Deaths],tblDaily[EntryDate],DATE(2026,9,1),tblDaily[WardCode],"MW")=0,"",SUMIFS(tblDaily[Deaths],tblDaily[EntryDate],DATE(2026,9,1),tblDaily[WardCode],"MW")),"")</f>
        <v/>
      </c>
      <c r="E319" s="29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29" t="str">
        <f>IFERROR(IF(SUMIFS(tblDaily[TransfersIn],tblDaily[EntryDate],DATE(2026,9,1),tblDaily[WardCode],"MW")=0,"",SUMIFS(tblDaily[TransfersIn],tblDaily[EntryDate],DATE(2026,9,1),tblDaily[WardCode],"MW")),"")</f>
        <v/>
      </c>
      <c r="G319" s="29" t="str">
        <f>IFERROR(IF(SUMIFS(tblDaily[TransfersOut],tblDaily[EntryDate],DATE(2026,9,1),tblDaily[WardCode],"MW")=0,"",SUMIFS(tblDaily[TransfersOut],tblDaily[EntryDate],DATE(2026,9,1),tblDaily[WardCode],"MW")),"")</f>
        <v/>
      </c>
      <c r="H319" s="29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IFERROR(IF(SUMIFS(tblDaily[Admissions],tblDaily[EntryDate],DATE(2026,9,2),tblDaily[WardCode],"MW")=0,"",SUMIFS(tblDaily[Admissions],tblDaily[EntryDate],DATE(2026,9,2),tblDaily[WardCode],"MW")),"")</f>
        <v/>
      </c>
      <c r="C320" s="29" t="str">
        <f>IFERROR(IF(SUMIFS(tblDaily[Discharges],tblDaily[EntryDate],DATE(2026,9,2),tblDaily[WardCode],"MW")=0,"",SUMIFS(tblDaily[Discharges],tblDaily[EntryDate],DATE(2026,9,2),tblDaily[WardCode],"MW")),"")</f>
        <v/>
      </c>
      <c r="D320" s="29" t="str">
        <f>IFERROR(IF(SUMIFS(tblDaily[Deaths],tblDaily[EntryDate],DATE(2026,9,2),tblDaily[WardCode],"MW")=0,"",SUMIFS(tblDaily[Deaths],tblDaily[EntryDate],DATE(2026,9,2),tblDaily[WardCode],"MW")),"")</f>
        <v/>
      </c>
      <c r="E320" s="29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29" t="str">
        <f>IFERROR(IF(SUMIFS(tblDaily[TransfersIn],tblDaily[EntryDate],DATE(2026,9,2),tblDaily[WardCode],"MW")=0,"",SUMIFS(tblDaily[TransfersIn],tblDaily[EntryDate],DATE(2026,9,2),tblDaily[WardCode],"MW")),"")</f>
        <v/>
      </c>
      <c r="G320" s="29" t="str">
        <f>IFERROR(IF(SUMIFS(tblDaily[TransfersOut],tblDaily[EntryDate],DATE(2026,9,2),tblDaily[WardCode],"MW")=0,"",SUMIFS(tblDaily[TransfersOut],tblDaily[EntryDate],DATE(2026,9,2),tblDaily[WardCode],"MW")),"")</f>
        <v/>
      </c>
      <c r="H320" s="29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IFERROR(IF(SUMIFS(tblDaily[Admissions],tblDaily[EntryDate],DATE(2026,9,3),tblDaily[WardCode],"MW")=0,"",SUMIFS(tblDaily[Admissions],tblDaily[EntryDate],DATE(2026,9,3),tblDaily[WardCode],"MW")),"")</f>
        <v/>
      </c>
      <c r="C321" s="29" t="str">
        <f>IFERROR(IF(SUMIFS(tblDaily[Discharges],tblDaily[EntryDate],DATE(2026,9,3),tblDaily[WardCode],"MW")=0,"",SUMIFS(tblDaily[Discharges],tblDaily[EntryDate],DATE(2026,9,3),tblDaily[WardCode],"MW")),"")</f>
        <v/>
      </c>
      <c r="D321" s="29" t="str">
        <f>IFERROR(IF(SUMIFS(tblDaily[Deaths],tblDaily[EntryDate],DATE(2026,9,3),tblDaily[WardCode],"MW")=0,"",SUMIFS(tblDaily[Deaths],tblDaily[EntryDate],DATE(2026,9,3),tblDaily[WardCode],"MW")),"")</f>
        <v/>
      </c>
      <c r="E321" s="29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29" t="str">
        <f>IFERROR(IF(SUMIFS(tblDaily[TransfersIn],tblDaily[EntryDate],DATE(2026,9,3),tblDaily[WardCode],"MW")=0,"",SUMIFS(tblDaily[TransfersIn],tblDaily[EntryDate],DATE(2026,9,3),tblDaily[WardCode],"MW")),"")</f>
        <v/>
      </c>
      <c r="G321" s="29" t="str">
        <f>IFERROR(IF(SUMIFS(tblDaily[TransfersOut],tblDaily[EntryDate],DATE(2026,9,3),tblDaily[WardCode],"MW")=0,"",SUMIFS(tblDaily[TransfersOut],tblDaily[EntryDate],DATE(2026,9,3),tblDaily[WardCode],"MW")),"")</f>
        <v/>
      </c>
      <c r="H321" s="29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IFERROR(IF(SUMIFS(tblDaily[Admissions],tblDaily[EntryDate],DATE(2026,9,4),tblDaily[WardCode],"MW")=0,"",SUMIFS(tblDaily[Admissions],tblDaily[EntryDate],DATE(2026,9,4),tblDaily[WardCode],"MW")),"")</f>
        <v/>
      </c>
      <c r="C322" s="29" t="str">
        <f>IFERROR(IF(SUMIFS(tblDaily[Discharges],tblDaily[EntryDate],DATE(2026,9,4),tblDaily[WardCode],"MW")=0,"",SUMIFS(tblDaily[Discharges],tblDaily[EntryDate],DATE(2026,9,4),tblDaily[WardCode],"MW")),"")</f>
        <v/>
      </c>
      <c r="D322" s="29" t="str">
        <f>IFERROR(IF(SUMIFS(tblDaily[Deaths],tblDaily[EntryDate],DATE(2026,9,4),tblDaily[WardCode],"MW")=0,"",SUMIFS(tblDaily[Deaths],tblDaily[EntryDate],DATE(2026,9,4),tblDaily[WardCode],"MW")),"")</f>
        <v/>
      </c>
      <c r="E322" s="29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29" t="str">
        <f>IFERROR(IF(SUMIFS(tblDaily[TransfersIn],tblDaily[EntryDate],DATE(2026,9,4),tblDaily[WardCode],"MW")=0,"",SUMIFS(tblDaily[TransfersIn],tblDaily[EntryDate],DATE(2026,9,4),tblDaily[WardCode],"MW")),"")</f>
        <v/>
      </c>
      <c r="G322" s="29" t="str">
        <f>IFERROR(IF(SUMIFS(tblDaily[TransfersOut],tblDaily[EntryDate],DATE(2026,9,4),tblDaily[WardCode],"MW")=0,"",SUMIFS(tblDaily[TransfersOut],tblDaily[EntryDate],DATE(2026,9,4),tblDaily[WardCode],"MW")),"")</f>
        <v/>
      </c>
      <c r="H322" s="29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IFERROR(IF(SUMIFS(tblDaily[Admissions],tblDaily[EntryDate],DATE(2026,9,5),tblDaily[WardCode],"MW")=0,"",SUMIFS(tblDaily[Admissions],tblDaily[EntryDate],DATE(2026,9,5),tblDaily[WardCode],"MW")),"")</f>
        <v/>
      </c>
      <c r="C323" s="29" t="str">
        <f>IFERROR(IF(SUMIFS(tblDaily[Discharges],tblDaily[EntryDate],DATE(2026,9,5),tblDaily[WardCode],"MW")=0,"",SUMIFS(tblDaily[Discharges],tblDaily[EntryDate],DATE(2026,9,5),tblDaily[WardCode],"MW")),"")</f>
        <v/>
      </c>
      <c r="D323" s="29" t="str">
        <f>IFERROR(IF(SUMIFS(tblDaily[Deaths],tblDaily[EntryDate],DATE(2026,9,5),tblDaily[WardCode],"MW")=0,"",SUMIFS(tblDaily[Deaths],tblDaily[EntryDate],DATE(2026,9,5),tblDaily[WardCode],"MW")),"")</f>
        <v/>
      </c>
      <c r="E323" s="29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29" t="str">
        <f>IFERROR(IF(SUMIFS(tblDaily[TransfersIn],tblDaily[EntryDate],DATE(2026,9,5),tblDaily[WardCode],"MW")=0,"",SUMIFS(tblDaily[TransfersIn],tblDaily[EntryDate],DATE(2026,9,5),tblDaily[WardCode],"MW")),"")</f>
        <v/>
      </c>
      <c r="G323" s="29" t="str">
        <f>IFERROR(IF(SUMIFS(tblDaily[TransfersOut],tblDaily[EntryDate],DATE(2026,9,5),tblDaily[WardCode],"MW")=0,"",SUMIFS(tblDaily[TransfersOut],tblDaily[EntryDate],DATE(2026,9,5),tblDaily[WardCode],"MW")),"")</f>
        <v/>
      </c>
      <c r="H323" s="29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IFERROR(IF(SUMIFS(tblDaily[Admissions],tblDaily[EntryDate],DATE(2026,9,6),tblDaily[WardCode],"MW")=0,"",SUMIFS(tblDaily[Admissions],tblDaily[EntryDate],DATE(2026,9,6),tblDaily[WardCode],"MW")),"")</f>
        <v/>
      </c>
      <c r="C324" s="29" t="str">
        <f>IFERROR(IF(SUMIFS(tblDaily[Discharges],tblDaily[EntryDate],DATE(2026,9,6),tblDaily[WardCode],"MW")=0,"",SUMIFS(tblDaily[Discharges],tblDaily[EntryDate],DATE(2026,9,6),tblDaily[WardCode],"MW")),"")</f>
        <v/>
      </c>
      <c r="D324" s="29" t="str">
        <f>IFERROR(IF(SUMIFS(tblDaily[Deaths],tblDaily[EntryDate],DATE(2026,9,6),tblDaily[WardCode],"MW")=0,"",SUMIFS(tblDaily[Deaths],tblDaily[EntryDate],DATE(2026,9,6),tblDaily[WardCode],"MW")),"")</f>
        <v/>
      </c>
      <c r="E324" s="29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29" t="str">
        <f>IFERROR(IF(SUMIFS(tblDaily[TransfersIn],tblDaily[EntryDate],DATE(2026,9,6),tblDaily[WardCode],"MW")=0,"",SUMIFS(tblDaily[TransfersIn],tblDaily[EntryDate],DATE(2026,9,6),tblDaily[WardCode],"MW")),"")</f>
        <v/>
      </c>
      <c r="G324" s="29" t="str">
        <f>IFERROR(IF(SUMIFS(tblDaily[TransfersOut],tblDaily[EntryDate],DATE(2026,9,6),tblDaily[WardCode],"MW")=0,"",SUMIFS(tblDaily[TransfersOut],tblDaily[EntryDate],DATE(2026,9,6),tblDaily[WardCode],"MW")),"")</f>
        <v/>
      </c>
      <c r="H324" s="29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IFERROR(IF(SUMIFS(tblDaily[Admissions],tblDaily[EntryDate],DATE(2026,9,7),tblDaily[WardCode],"MW")=0,"",SUMIFS(tblDaily[Admissions],tblDaily[EntryDate],DATE(2026,9,7),tblDaily[WardCode],"MW")),"")</f>
        <v/>
      </c>
      <c r="C325" s="29" t="str">
        <f>IFERROR(IF(SUMIFS(tblDaily[Discharges],tblDaily[EntryDate],DATE(2026,9,7),tblDaily[WardCode],"MW")=0,"",SUMIFS(tblDaily[Discharges],tblDaily[EntryDate],DATE(2026,9,7),tblDaily[WardCode],"MW")),"")</f>
        <v/>
      </c>
      <c r="D325" s="29" t="str">
        <f>IFERROR(IF(SUMIFS(tblDaily[Deaths],tblDaily[EntryDate],DATE(2026,9,7),tblDaily[WardCode],"MW")=0,"",SUMIFS(tblDaily[Deaths],tblDaily[EntryDate],DATE(2026,9,7),tblDaily[WardCode],"MW")),"")</f>
        <v/>
      </c>
      <c r="E325" s="29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29" t="str">
        <f>IFERROR(IF(SUMIFS(tblDaily[TransfersIn],tblDaily[EntryDate],DATE(2026,9,7),tblDaily[WardCode],"MW")=0,"",SUMIFS(tblDaily[TransfersIn],tblDaily[EntryDate],DATE(2026,9,7),tblDaily[WardCode],"MW")),"")</f>
        <v/>
      </c>
      <c r="G325" s="29" t="str">
        <f>IFERROR(IF(SUMIFS(tblDaily[TransfersOut],tblDaily[EntryDate],DATE(2026,9,7),tblDaily[WardCode],"MW")=0,"",SUMIFS(tblDaily[TransfersOut],tblDaily[EntryDate],DATE(2026,9,7),tblDaily[WardCode],"MW")),"")</f>
        <v/>
      </c>
      <c r="H325" s="29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IFERROR(IF(SUMIFS(tblDaily[Admissions],tblDaily[EntryDate],DATE(2026,9,8),tblDaily[WardCode],"MW")=0,"",SUMIFS(tblDaily[Admissions],tblDaily[EntryDate],DATE(2026,9,8),tblDaily[WardCode],"MW")),"")</f>
        <v/>
      </c>
      <c r="C326" s="29" t="str">
        <f>IFERROR(IF(SUMIFS(tblDaily[Discharges],tblDaily[EntryDate],DATE(2026,9,8),tblDaily[WardCode],"MW")=0,"",SUMIFS(tblDaily[Discharges],tblDaily[EntryDate],DATE(2026,9,8),tblDaily[WardCode],"MW")),"")</f>
        <v/>
      </c>
      <c r="D326" s="29" t="str">
        <f>IFERROR(IF(SUMIFS(tblDaily[Deaths],tblDaily[EntryDate],DATE(2026,9,8),tblDaily[WardCode],"MW")=0,"",SUMIFS(tblDaily[Deaths],tblDaily[EntryDate],DATE(2026,9,8),tblDaily[WardCode],"MW")),"")</f>
        <v/>
      </c>
      <c r="E326" s="29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29" t="str">
        <f>IFERROR(IF(SUMIFS(tblDaily[TransfersIn],tblDaily[EntryDate],DATE(2026,9,8),tblDaily[WardCode],"MW")=0,"",SUMIFS(tblDaily[TransfersIn],tblDaily[EntryDate],DATE(2026,9,8),tblDaily[WardCode],"MW")),"")</f>
        <v/>
      </c>
      <c r="G326" s="29" t="str">
        <f>IFERROR(IF(SUMIFS(tblDaily[TransfersOut],tblDaily[EntryDate],DATE(2026,9,8),tblDaily[WardCode],"MW")=0,"",SUMIFS(tblDaily[TransfersOut],tblDaily[EntryDate],DATE(2026,9,8),tblDaily[WardCode],"MW")),"")</f>
        <v/>
      </c>
      <c r="H326" s="29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IFERROR(IF(SUMIFS(tblDaily[Admissions],tblDaily[EntryDate],DATE(2026,9,9),tblDaily[WardCode],"MW")=0,"",SUMIFS(tblDaily[Admissions],tblDaily[EntryDate],DATE(2026,9,9),tblDaily[WardCode],"MW")),"")</f>
        <v/>
      </c>
      <c r="C327" s="29" t="str">
        <f>IFERROR(IF(SUMIFS(tblDaily[Discharges],tblDaily[EntryDate],DATE(2026,9,9),tblDaily[WardCode],"MW")=0,"",SUMIFS(tblDaily[Discharges],tblDaily[EntryDate],DATE(2026,9,9),tblDaily[WardCode],"MW")),"")</f>
        <v/>
      </c>
      <c r="D327" s="29" t="str">
        <f>IFERROR(IF(SUMIFS(tblDaily[Deaths],tblDaily[EntryDate],DATE(2026,9,9),tblDaily[WardCode],"MW")=0,"",SUMIFS(tblDaily[Deaths],tblDaily[EntryDate],DATE(2026,9,9),tblDaily[WardCode],"MW")),"")</f>
        <v/>
      </c>
      <c r="E327" s="29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29" t="str">
        <f>IFERROR(IF(SUMIFS(tblDaily[TransfersIn],tblDaily[EntryDate],DATE(2026,9,9),tblDaily[WardCode],"MW")=0,"",SUMIFS(tblDaily[TransfersIn],tblDaily[EntryDate],DATE(2026,9,9),tblDaily[WardCode],"MW")),"")</f>
        <v/>
      </c>
      <c r="G327" s="29" t="str">
        <f>IFERROR(IF(SUMIFS(tblDaily[TransfersOut],tblDaily[EntryDate],DATE(2026,9,9),tblDaily[WardCode],"MW")=0,"",SUMIFS(tblDaily[TransfersOut],tblDaily[EntryDate],DATE(2026,9,9),tblDaily[WardCode],"MW")),"")</f>
        <v/>
      </c>
      <c r="H327" s="29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IFERROR(IF(SUMIFS(tblDaily[Admissions],tblDaily[EntryDate],DATE(2026,9,10),tblDaily[WardCode],"MW")=0,"",SUMIFS(tblDaily[Admissions],tblDaily[EntryDate],DATE(2026,9,10),tblDaily[WardCode],"MW")),"")</f>
        <v/>
      </c>
      <c r="C328" s="29" t="str">
        <f>IFERROR(IF(SUMIFS(tblDaily[Discharges],tblDaily[EntryDate],DATE(2026,9,10),tblDaily[WardCode],"MW")=0,"",SUMIFS(tblDaily[Discharges],tblDaily[EntryDate],DATE(2026,9,10),tblDaily[WardCode],"MW")),"")</f>
        <v/>
      </c>
      <c r="D328" s="29" t="str">
        <f>IFERROR(IF(SUMIFS(tblDaily[Deaths],tblDaily[EntryDate],DATE(2026,9,10),tblDaily[WardCode],"MW")=0,"",SUMIFS(tblDaily[Deaths],tblDaily[EntryDate],DATE(2026,9,10),tblDaily[WardCode],"MW")),"")</f>
        <v/>
      </c>
      <c r="E328" s="29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29" t="str">
        <f>IFERROR(IF(SUMIFS(tblDaily[TransfersIn],tblDaily[EntryDate],DATE(2026,9,10),tblDaily[WardCode],"MW")=0,"",SUMIFS(tblDaily[TransfersIn],tblDaily[EntryDate],DATE(2026,9,10),tblDaily[WardCode],"MW")),"")</f>
        <v/>
      </c>
      <c r="G328" s="29" t="str">
        <f>IFERROR(IF(SUMIFS(tblDaily[TransfersOut],tblDaily[EntryDate],DATE(2026,9,10),tblDaily[WardCode],"MW")=0,"",SUMIFS(tblDaily[TransfersOut],tblDaily[EntryDate],DATE(2026,9,10),tblDaily[WardCode],"MW")),"")</f>
        <v/>
      </c>
      <c r="H328" s="29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IFERROR(IF(SUMIFS(tblDaily[Admissions],tblDaily[EntryDate],DATE(2026,9,11),tblDaily[WardCode],"MW")=0,"",SUMIFS(tblDaily[Admissions],tblDaily[EntryDate],DATE(2026,9,11),tblDaily[WardCode],"MW")),"")</f>
        <v/>
      </c>
      <c r="C329" s="29" t="str">
        <f>IFERROR(IF(SUMIFS(tblDaily[Discharges],tblDaily[EntryDate],DATE(2026,9,11),tblDaily[WardCode],"MW")=0,"",SUMIFS(tblDaily[Discharges],tblDaily[EntryDate],DATE(2026,9,11),tblDaily[WardCode],"MW")),"")</f>
        <v/>
      </c>
      <c r="D329" s="29" t="str">
        <f>IFERROR(IF(SUMIFS(tblDaily[Deaths],tblDaily[EntryDate],DATE(2026,9,11),tblDaily[WardCode],"MW")=0,"",SUMIFS(tblDaily[Deaths],tblDaily[EntryDate],DATE(2026,9,11),tblDaily[WardCode],"MW")),"")</f>
        <v/>
      </c>
      <c r="E329" s="29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29" t="str">
        <f>IFERROR(IF(SUMIFS(tblDaily[TransfersIn],tblDaily[EntryDate],DATE(2026,9,11),tblDaily[WardCode],"MW")=0,"",SUMIFS(tblDaily[TransfersIn],tblDaily[EntryDate],DATE(2026,9,11),tblDaily[WardCode],"MW")),"")</f>
        <v/>
      </c>
      <c r="G329" s="29" t="str">
        <f>IFERROR(IF(SUMIFS(tblDaily[TransfersOut],tblDaily[EntryDate],DATE(2026,9,11),tblDaily[WardCode],"MW")=0,"",SUMIFS(tblDaily[TransfersOut],tblDaily[EntryDate],DATE(2026,9,11),tblDaily[WardCode],"MW")),"")</f>
        <v/>
      </c>
      <c r="H329" s="29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IFERROR(IF(SUMIFS(tblDaily[Admissions],tblDaily[EntryDate],DATE(2026,9,12),tblDaily[WardCode],"MW")=0,"",SUMIFS(tblDaily[Admissions],tblDaily[EntryDate],DATE(2026,9,12),tblDaily[WardCode],"MW")),"")</f>
        <v/>
      </c>
      <c r="C330" s="29" t="str">
        <f>IFERROR(IF(SUMIFS(tblDaily[Discharges],tblDaily[EntryDate],DATE(2026,9,12),tblDaily[WardCode],"MW")=0,"",SUMIFS(tblDaily[Discharges],tblDaily[EntryDate],DATE(2026,9,12),tblDaily[WardCode],"MW")),"")</f>
        <v/>
      </c>
      <c r="D330" s="29" t="str">
        <f>IFERROR(IF(SUMIFS(tblDaily[Deaths],tblDaily[EntryDate],DATE(2026,9,12),tblDaily[WardCode],"MW")=0,"",SUMIFS(tblDaily[Deaths],tblDaily[EntryDate],DATE(2026,9,12),tblDaily[WardCode],"MW")),"")</f>
        <v/>
      </c>
      <c r="E330" s="29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29" t="str">
        <f>IFERROR(IF(SUMIFS(tblDaily[TransfersIn],tblDaily[EntryDate],DATE(2026,9,12),tblDaily[WardCode],"MW")=0,"",SUMIFS(tblDaily[TransfersIn],tblDaily[EntryDate],DATE(2026,9,12),tblDaily[WardCode],"MW")),"")</f>
        <v/>
      </c>
      <c r="G330" s="29" t="str">
        <f>IFERROR(IF(SUMIFS(tblDaily[TransfersOut],tblDaily[EntryDate],DATE(2026,9,12),tblDaily[WardCode],"MW")=0,"",SUMIFS(tblDaily[TransfersOut],tblDaily[EntryDate],DATE(2026,9,12),tblDaily[WardCode],"MW")),"")</f>
        <v/>
      </c>
      <c r="H330" s="29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IFERROR(IF(SUMIFS(tblDaily[Admissions],tblDaily[EntryDate],DATE(2026,9,13),tblDaily[WardCode],"MW")=0,"",SUMIFS(tblDaily[Admissions],tblDaily[EntryDate],DATE(2026,9,13),tblDaily[WardCode],"MW")),"")</f>
        <v/>
      </c>
      <c r="C331" s="29" t="str">
        <f>IFERROR(IF(SUMIFS(tblDaily[Discharges],tblDaily[EntryDate],DATE(2026,9,13),tblDaily[WardCode],"MW")=0,"",SUMIFS(tblDaily[Discharges],tblDaily[EntryDate],DATE(2026,9,13),tblDaily[WardCode],"MW")),"")</f>
        <v/>
      </c>
      <c r="D331" s="29" t="str">
        <f>IFERROR(IF(SUMIFS(tblDaily[Deaths],tblDaily[EntryDate],DATE(2026,9,13),tblDaily[WardCode],"MW")=0,"",SUMIFS(tblDaily[Deaths],tblDaily[EntryDate],DATE(2026,9,13),tblDaily[WardCode],"MW")),"")</f>
        <v/>
      </c>
      <c r="E331" s="29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29" t="str">
        <f>IFERROR(IF(SUMIFS(tblDaily[TransfersIn],tblDaily[EntryDate],DATE(2026,9,13),tblDaily[WardCode],"MW")=0,"",SUMIFS(tblDaily[TransfersIn],tblDaily[EntryDate],DATE(2026,9,13),tblDaily[WardCode],"MW")),"")</f>
        <v/>
      </c>
      <c r="G331" s="29" t="str">
        <f>IFERROR(IF(SUMIFS(tblDaily[TransfersOut],tblDaily[EntryDate],DATE(2026,9,13),tblDaily[WardCode],"MW")=0,"",SUMIFS(tblDaily[TransfersOut],tblDaily[EntryDate],DATE(2026,9,13),tblDaily[WardCode],"MW")),"")</f>
        <v/>
      </c>
      <c r="H331" s="29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IFERROR(IF(SUMIFS(tblDaily[Admissions],tblDaily[EntryDate],DATE(2026,9,14),tblDaily[WardCode],"MW")=0,"",SUMIFS(tblDaily[Admissions],tblDaily[EntryDate],DATE(2026,9,14),tblDaily[WardCode],"MW")),"")</f>
        <v/>
      </c>
      <c r="C332" s="29" t="str">
        <f>IFERROR(IF(SUMIFS(tblDaily[Discharges],tblDaily[EntryDate],DATE(2026,9,14),tblDaily[WardCode],"MW")=0,"",SUMIFS(tblDaily[Discharges],tblDaily[EntryDate],DATE(2026,9,14),tblDaily[WardCode],"MW")),"")</f>
        <v/>
      </c>
      <c r="D332" s="29" t="str">
        <f>IFERROR(IF(SUMIFS(tblDaily[Deaths],tblDaily[EntryDate],DATE(2026,9,14),tblDaily[WardCode],"MW")=0,"",SUMIFS(tblDaily[Deaths],tblDaily[EntryDate],DATE(2026,9,14),tblDaily[WardCode],"MW")),"")</f>
        <v/>
      </c>
      <c r="E332" s="29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29" t="str">
        <f>IFERROR(IF(SUMIFS(tblDaily[TransfersIn],tblDaily[EntryDate],DATE(2026,9,14),tblDaily[WardCode],"MW")=0,"",SUMIFS(tblDaily[TransfersIn],tblDaily[EntryDate],DATE(2026,9,14),tblDaily[WardCode],"MW")),"")</f>
        <v/>
      </c>
      <c r="G332" s="29" t="str">
        <f>IFERROR(IF(SUMIFS(tblDaily[TransfersOut],tblDaily[EntryDate],DATE(2026,9,14),tblDaily[WardCode],"MW")=0,"",SUMIFS(tblDaily[TransfersOut],tblDaily[EntryDate],DATE(2026,9,14),tblDaily[WardCode],"MW")),"")</f>
        <v/>
      </c>
      <c r="H332" s="29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IFERROR(IF(SUMIFS(tblDaily[Admissions],tblDaily[EntryDate],DATE(2026,9,15),tblDaily[WardCode],"MW")=0,"",SUMIFS(tblDaily[Admissions],tblDaily[EntryDate],DATE(2026,9,15),tblDaily[WardCode],"MW")),"")</f>
        <v/>
      </c>
      <c r="C333" s="29" t="str">
        <f>IFERROR(IF(SUMIFS(tblDaily[Discharges],tblDaily[EntryDate],DATE(2026,9,15),tblDaily[WardCode],"MW")=0,"",SUMIFS(tblDaily[Discharges],tblDaily[EntryDate],DATE(2026,9,15),tblDaily[WardCode],"MW")),"")</f>
        <v/>
      </c>
      <c r="D333" s="29" t="str">
        <f>IFERROR(IF(SUMIFS(tblDaily[Deaths],tblDaily[EntryDate],DATE(2026,9,15),tblDaily[WardCode],"MW")=0,"",SUMIFS(tblDaily[Deaths],tblDaily[EntryDate],DATE(2026,9,15),tblDaily[WardCode],"MW")),"")</f>
        <v/>
      </c>
      <c r="E333" s="29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29" t="str">
        <f>IFERROR(IF(SUMIFS(tblDaily[TransfersIn],tblDaily[EntryDate],DATE(2026,9,15),tblDaily[WardCode],"MW")=0,"",SUMIFS(tblDaily[TransfersIn],tblDaily[EntryDate],DATE(2026,9,15),tblDaily[WardCode],"MW")),"")</f>
        <v/>
      </c>
      <c r="G333" s="29" t="str">
        <f>IFERROR(IF(SUMIFS(tblDaily[TransfersOut],tblDaily[EntryDate],DATE(2026,9,15),tblDaily[WardCode],"MW")=0,"",SUMIFS(tblDaily[TransfersOut],tblDaily[EntryDate],DATE(2026,9,15),tblDaily[WardCode],"MW")),"")</f>
        <v/>
      </c>
      <c r="H333" s="29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IFERROR(IF(SUMIFS(tblDaily[Admissions],tblDaily[EntryDate],DATE(2026,9,16),tblDaily[WardCode],"MW")=0,"",SUMIFS(tblDaily[Admissions],tblDaily[EntryDate],DATE(2026,9,16),tblDaily[WardCode],"MW")),"")</f>
        <v/>
      </c>
      <c r="C334" s="29" t="str">
        <f>IFERROR(IF(SUMIFS(tblDaily[Discharges],tblDaily[EntryDate],DATE(2026,9,16),tblDaily[WardCode],"MW")=0,"",SUMIFS(tblDaily[Discharges],tblDaily[EntryDate],DATE(2026,9,16),tblDaily[WardCode],"MW")),"")</f>
        <v/>
      </c>
      <c r="D334" s="29" t="str">
        <f>IFERROR(IF(SUMIFS(tblDaily[Deaths],tblDaily[EntryDate],DATE(2026,9,16),tblDaily[WardCode],"MW")=0,"",SUMIFS(tblDaily[Deaths],tblDaily[EntryDate],DATE(2026,9,16),tblDaily[WardCode],"MW")),"")</f>
        <v/>
      </c>
      <c r="E334" s="29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29" t="str">
        <f>IFERROR(IF(SUMIFS(tblDaily[TransfersIn],tblDaily[EntryDate],DATE(2026,9,16),tblDaily[WardCode],"MW")=0,"",SUMIFS(tblDaily[TransfersIn],tblDaily[EntryDate],DATE(2026,9,16),tblDaily[WardCode],"MW")),"")</f>
        <v/>
      </c>
      <c r="G334" s="29" t="str">
        <f>IFERROR(IF(SUMIFS(tblDaily[TransfersOut],tblDaily[EntryDate],DATE(2026,9,16),tblDaily[WardCode],"MW")=0,"",SUMIFS(tblDaily[TransfersOut],tblDaily[EntryDate],DATE(2026,9,16),tblDaily[WardCode],"MW")),"")</f>
        <v/>
      </c>
      <c r="H334" s="29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IFERROR(IF(SUMIFS(tblDaily[Admissions],tblDaily[EntryDate],DATE(2026,9,17),tblDaily[WardCode],"MW")=0,"",SUMIFS(tblDaily[Admissions],tblDaily[EntryDate],DATE(2026,9,17),tblDaily[WardCode],"MW")),"")</f>
        <v/>
      </c>
      <c r="C335" s="29" t="str">
        <f>IFERROR(IF(SUMIFS(tblDaily[Discharges],tblDaily[EntryDate],DATE(2026,9,17),tblDaily[WardCode],"MW")=0,"",SUMIFS(tblDaily[Discharges],tblDaily[EntryDate],DATE(2026,9,17),tblDaily[WardCode],"MW")),"")</f>
        <v/>
      </c>
      <c r="D335" s="29" t="str">
        <f>IFERROR(IF(SUMIFS(tblDaily[Deaths],tblDaily[EntryDate],DATE(2026,9,17),tblDaily[WardCode],"MW")=0,"",SUMIFS(tblDaily[Deaths],tblDaily[EntryDate],DATE(2026,9,17),tblDaily[WardCode],"MW")),"")</f>
        <v/>
      </c>
      <c r="E335" s="29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29" t="str">
        <f>IFERROR(IF(SUMIFS(tblDaily[TransfersIn],tblDaily[EntryDate],DATE(2026,9,17),tblDaily[WardCode],"MW")=0,"",SUMIFS(tblDaily[TransfersIn],tblDaily[EntryDate],DATE(2026,9,17),tblDaily[WardCode],"MW")),"")</f>
        <v/>
      </c>
      <c r="G335" s="29" t="str">
        <f>IFERROR(IF(SUMIFS(tblDaily[TransfersOut],tblDaily[EntryDate],DATE(2026,9,17),tblDaily[WardCode],"MW")=0,"",SUMIFS(tblDaily[TransfersOut],tblDaily[EntryDate],DATE(2026,9,17),tblDaily[WardCode],"MW")),"")</f>
        <v/>
      </c>
      <c r="H335" s="29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IFERROR(IF(SUMIFS(tblDaily[Admissions],tblDaily[EntryDate],DATE(2026,9,18),tblDaily[WardCode],"MW")=0,"",SUMIFS(tblDaily[Admissions],tblDaily[EntryDate],DATE(2026,9,18),tblDaily[WardCode],"MW")),"")</f>
        <v/>
      </c>
      <c r="C336" s="29" t="str">
        <f>IFERROR(IF(SUMIFS(tblDaily[Discharges],tblDaily[EntryDate],DATE(2026,9,18),tblDaily[WardCode],"MW")=0,"",SUMIFS(tblDaily[Discharges],tblDaily[EntryDate],DATE(2026,9,18),tblDaily[WardCode],"MW")),"")</f>
        <v/>
      </c>
      <c r="D336" s="29" t="str">
        <f>IFERROR(IF(SUMIFS(tblDaily[Deaths],tblDaily[EntryDate],DATE(2026,9,18),tblDaily[WardCode],"MW")=0,"",SUMIFS(tblDaily[Deaths],tblDaily[EntryDate],DATE(2026,9,18),tblDaily[WardCode],"MW")),"")</f>
        <v/>
      </c>
      <c r="E336" s="29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29" t="str">
        <f>IFERROR(IF(SUMIFS(tblDaily[TransfersIn],tblDaily[EntryDate],DATE(2026,9,18),tblDaily[WardCode],"MW")=0,"",SUMIFS(tblDaily[TransfersIn],tblDaily[EntryDate],DATE(2026,9,18),tblDaily[WardCode],"MW")),"")</f>
        <v/>
      </c>
      <c r="G336" s="29" t="str">
        <f>IFERROR(IF(SUMIFS(tblDaily[TransfersOut],tblDaily[EntryDate],DATE(2026,9,18),tblDaily[WardCode],"MW")=0,"",SUMIFS(tblDaily[TransfersOut],tblDaily[EntryDate],DATE(2026,9,18),tblDaily[WardCode],"MW")),"")</f>
        <v/>
      </c>
      <c r="H336" s="29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IFERROR(IF(SUMIFS(tblDaily[Admissions],tblDaily[EntryDate],DATE(2026,9,19),tblDaily[WardCode],"MW")=0,"",SUMIFS(tblDaily[Admissions],tblDaily[EntryDate],DATE(2026,9,19),tblDaily[WardCode],"MW")),"")</f>
        <v/>
      </c>
      <c r="C337" s="29" t="str">
        <f>IFERROR(IF(SUMIFS(tblDaily[Discharges],tblDaily[EntryDate],DATE(2026,9,19),tblDaily[WardCode],"MW")=0,"",SUMIFS(tblDaily[Discharges],tblDaily[EntryDate],DATE(2026,9,19),tblDaily[WardCode],"MW")),"")</f>
        <v/>
      </c>
      <c r="D337" s="29" t="str">
        <f>IFERROR(IF(SUMIFS(tblDaily[Deaths],tblDaily[EntryDate],DATE(2026,9,19),tblDaily[WardCode],"MW")=0,"",SUMIFS(tblDaily[Deaths],tblDaily[EntryDate],DATE(2026,9,19),tblDaily[WardCode],"MW")),"")</f>
        <v/>
      </c>
      <c r="E337" s="29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29" t="str">
        <f>IFERROR(IF(SUMIFS(tblDaily[TransfersIn],tblDaily[EntryDate],DATE(2026,9,19),tblDaily[WardCode],"MW")=0,"",SUMIFS(tblDaily[TransfersIn],tblDaily[EntryDate],DATE(2026,9,19),tblDaily[WardCode],"MW")),"")</f>
        <v/>
      </c>
      <c r="G337" s="29" t="str">
        <f>IFERROR(IF(SUMIFS(tblDaily[TransfersOut],tblDaily[EntryDate],DATE(2026,9,19),tblDaily[WardCode],"MW")=0,"",SUMIFS(tblDaily[TransfersOut],tblDaily[EntryDate],DATE(2026,9,19),tblDaily[WardCode],"MW")),"")</f>
        <v/>
      </c>
      <c r="H337" s="29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IFERROR(IF(SUMIFS(tblDaily[Admissions],tblDaily[EntryDate],DATE(2026,9,20),tblDaily[WardCode],"MW")=0,"",SUMIFS(tblDaily[Admissions],tblDaily[EntryDate],DATE(2026,9,20),tblDaily[WardCode],"MW")),"")</f>
        <v/>
      </c>
      <c r="C338" s="29" t="str">
        <f>IFERROR(IF(SUMIFS(tblDaily[Discharges],tblDaily[EntryDate],DATE(2026,9,20),tblDaily[WardCode],"MW")=0,"",SUMIFS(tblDaily[Discharges],tblDaily[EntryDate],DATE(2026,9,20),tblDaily[WardCode],"MW")),"")</f>
        <v/>
      </c>
      <c r="D338" s="29" t="str">
        <f>IFERROR(IF(SUMIFS(tblDaily[Deaths],tblDaily[EntryDate],DATE(2026,9,20),tblDaily[WardCode],"MW")=0,"",SUMIFS(tblDaily[Deaths],tblDaily[EntryDate],DATE(2026,9,20),tblDaily[WardCode],"MW")),"")</f>
        <v/>
      </c>
      <c r="E338" s="29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29" t="str">
        <f>IFERROR(IF(SUMIFS(tblDaily[TransfersIn],tblDaily[EntryDate],DATE(2026,9,20),tblDaily[WardCode],"MW")=0,"",SUMIFS(tblDaily[TransfersIn],tblDaily[EntryDate],DATE(2026,9,20),tblDaily[WardCode],"MW")),"")</f>
        <v/>
      </c>
      <c r="G338" s="29" t="str">
        <f>IFERROR(IF(SUMIFS(tblDaily[TransfersOut],tblDaily[EntryDate],DATE(2026,9,20),tblDaily[WardCode],"MW")=0,"",SUMIFS(tblDaily[TransfersOut],tblDaily[EntryDate],DATE(2026,9,20),tblDaily[WardCode],"MW")),"")</f>
        <v/>
      </c>
      <c r="H338" s="29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IFERROR(IF(SUMIFS(tblDaily[Admissions],tblDaily[EntryDate],DATE(2026,9,21),tblDaily[WardCode],"MW")=0,"",SUMIFS(tblDaily[Admissions],tblDaily[EntryDate],DATE(2026,9,21),tblDaily[WardCode],"MW")),"")</f>
        <v/>
      </c>
      <c r="C339" s="29" t="str">
        <f>IFERROR(IF(SUMIFS(tblDaily[Discharges],tblDaily[EntryDate],DATE(2026,9,21),tblDaily[WardCode],"MW")=0,"",SUMIFS(tblDaily[Discharges],tblDaily[EntryDate],DATE(2026,9,21),tblDaily[WardCode],"MW")),"")</f>
        <v/>
      </c>
      <c r="D339" s="29" t="str">
        <f>IFERROR(IF(SUMIFS(tblDaily[Deaths],tblDaily[EntryDate],DATE(2026,9,21),tblDaily[WardCode],"MW")=0,"",SUMIFS(tblDaily[Deaths],tblDaily[EntryDate],DATE(2026,9,21),tblDaily[WardCode],"MW")),"")</f>
        <v/>
      </c>
      <c r="E339" s="29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29" t="str">
        <f>IFERROR(IF(SUMIFS(tblDaily[TransfersIn],tblDaily[EntryDate],DATE(2026,9,21),tblDaily[WardCode],"MW")=0,"",SUMIFS(tblDaily[TransfersIn],tblDaily[EntryDate],DATE(2026,9,21),tblDaily[WardCode],"MW")),"")</f>
        <v/>
      </c>
      <c r="G339" s="29" t="str">
        <f>IFERROR(IF(SUMIFS(tblDaily[TransfersOut],tblDaily[EntryDate],DATE(2026,9,21),tblDaily[WardCode],"MW")=0,"",SUMIFS(tblDaily[TransfersOut],tblDaily[EntryDate],DATE(2026,9,21),tblDaily[WardCode],"MW")),"")</f>
        <v/>
      </c>
      <c r="H339" s="29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IFERROR(IF(SUMIFS(tblDaily[Admissions],tblDaily[EntryDate],DATE(2026,9,22),tblDaily[WardCode],"MW")=0,"",SUMIFS(tblDaily[Admissions],tblDaily[EntryDate],DATE(2026,9,22),tblDaily[WardCode],"MW")),"")</f>
        <v/>
      </c>
      <c r="C340" s="29" t="str">
        <f>IFERROR(IF(SUMIFS(tblDaily[Discharges],tblDaily[EntryDate],DATE(2026,9,22),tblDaily[WardCode],"MW")=0,"",SUMIFS(tblDaily[Discharges],tblDaily[EntryDate],DATE(2026,9,22),tblDaily[WardCode],"MW")),"")</f>
        <v/>
      </c>
      <c r="D340" s="29" t="str">
        <f>IFERROR(IF(SUMIFS(tblDaily[Deaths],tblDaily[EntryDate],DATE(2026,9,22),tblDaily[WardCode],"MW")=0,"",SUMIFS(tblDaily[Deaths],tblDaily[EntryDate],DATE(2026,9,22),tblDaily[WardCode],"MW")),"")</f>
        <v/>
      </c>
      <c r="E340" s="29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29" t="str">
        <f>IFERROR(IF(SUMIFS(tblDaily[TransfersIn],tblDaily[EntryDate],DATE(2026,9,22),tblDaily[WardCode],"MW")=0,"",SUMIFS(tblDaily[TransfersIn],tblDaily[EntryDate],DATE(2026,9,22),tblDaily[WardCode],"MW")),"")</f>
        <v/>
      </c>
      <c r="G340" s="29" t="str">
        <f>IFERROR(IF(SUMIFS(tblDaily[TransfersOut],tblDaily[EntryDate],DATE(2026,9,22),tblDaily[WardCode],"MW")=0,"",SUMIFS(tblDaily[TransfersOut],tblDaily[EntryDate],DATE(2026,9,22),tblDaily[WardCode],"MW")),"")</f>
        <v/>
      </c>
      <c r="H340" s="29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IFERROR(IF(SUMIFS(tblDaily[Admissions],tblDaily[EntryDate],DATE(2026,9,23),tblDaily[WardCode],"MW")=0,"",SUMIFS(tblDaily[Admissions],tblDaily[EntryDate],DATE(2026,9,23),tblDaily[WardCode],"MW")),"")</f>
        <v/>
      </c>
      <c r="C341" s="29" t="str">
        <f>IFERROR(IF(SUMIFS(tblDaily[Discharges],tblDaily[EntryDate],DATE(2026,9,23),tblDaily[WardCode],"MW")=0,"",SUMIFS(tblDaily[Discharges],tblDaily[EntryDate],DATE(2026,9,23),tblDaily[WardCode],"MW")),"")</f>
        <v/>
      </c>
      <c r="D341" s="29" t="str">
        <f>IFERROR(IF(SUMIFS(tblDaily[Deaths],tblDaily[EntryDate],DATE(2026,9,23),tblDaily[WardCode],"MW")=0,"",SUMIFS(tblDaily[Deaths],tblDaily[EntryDate],DATE(2026,9,23),tblDaily[WardCode],"MW")),"")</f>
        <v/>
      </c>
      <c r="E341" s="29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29" t="str">
        <f>IFERROR(IF(SUMIFS(tblDaily[TransfersIn],tblDaily[EntryDate],DATE(2026,9,23),tblDaily[WardCode],"MW")=0,"",SUMIFS(tblDaily[TransfersIn],tblDaily[EntryDate],DATE(2026,9,23),tblDaily[WardCode],"MW")),"")</f>
        <v/>
      </c>
      <c r="G341" s="29" t="str">
        <f>IFERROR(IF(SUMIFS(tblDaily[TransfersOut],tblDaily[EntryDate],DATE(2026,9,23),tblDaily[WardCode],"MW")=0,"",SUMIFS(tblDaily[TransfersOut],tblDaily[EntryDate],DATE(2026,9,23),tblDaily[WardCode],"MW")),"")</f>
        <v/>
      </c>
      <c r="H341" s="29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IFERROR(IF(SUMIFS(tblDaily[Admissions],tblDaily[EntryDate],DATE(2026,9,24),tblDaily[WardCode],"MW")=0,"",SUMIFS(tblDaily[Admissions],tblDaily[EntryDate],DATE(2026,9,24),tblDaily[WardCode],"MW")),"")</f>
        <v/>
      </c>
      <c r="C342" s="29" t="str">
        <f>IFERROR(IF(SUMIFS(tblDaily[Discharges],tblDaily[EntryDate],DATE(2026,9,24),tblDaily[WardCode],"MW")=0,"",SUMIFS(tblDaily[Discharges],tblDaily[EntryDate],DATE(2026,9,24),tblDaily[WardCode],"MW")),"")</f>
        <v/>
      </c>
      <c r="D342" s="29" t="str">
        <f>IFERROR(IF(SUMIFS(tblDaily[Deaths],tblDaily[EntryDate],DATE(2026,9,24),tblDaily[WardCode],"MW")=0,"",SUMIFS(tblDaily[Deaths],tblDaily[EntryDate],DATE(2026,9,24),tblDaily[WardCode],"MW")),"")</f>
        <v/>
      </c>
      <c r="E342" s="29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29" t="str">
        <f>IFERROR(IF(SUMIFS(tblDaily[TransfersIn],tblDaily[EntryDate],DATE(2026,9,24),tblDaily[WardCode],"MW")=0,"",SUMIFS(tblDaily[TransfersIn],tblDaily[EntryDate],DATE(2026,9,24),tblDaily[WardCode],"MW")),"")</f>
        <v/>
      </c>
      <c r="G342" s="29" t="str">
        <f>IFERROR(IF(SUMIFS(tblDaily[TransfersOut],tblDaily[EntryDate],DATE(2026,9,24),tblDaily[WardCode],"MW")=0,"",SUMIFS(tblDaily[TransfersOut],tblDaily[EntryDate],DATE(2026,9,24),tblDaily[WardCode],"MW")),"")</f>
        <v/>
      </c>
      <c r="H342" s="29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IFERROR(IF(SUMIFS(tblDaily[Admissions],tblDaily[EntryDate],DATE(2026,9,25),tblDaily[WardCode],"MW")=0,"",SUMIFS(tblDaily[Admissions],tblDaily[EntryDate],DATE(2026,9,25),tblDaily[WardCode],"MW")),"")</f>
        <v/>
      </c>
      <c r="C343" s="29" t="str">
        <f>IFERROR(IF(SUMIFS(tblDaily[Discharges],tblDaily[EntryDate],DATE(2026,9,25),tblDaily[WardCode],"MW")=0,"",SUMIFS(tblDaily[Discharges],tblDaily[EntryDate],DATE(2026,9,25),tblDaily[WardCode],"MW")),"")</f>
        <v/>
      </c>
      <c r="D343" s="29" t="str">
        <f>IFERROR(IF(SUMIFS(tblDaily[Deaths],tblDaily[EntryDate],DATE(2026,9,25),tblDaily[WardCode],"MW")=0,"",SUMIFS(tblDaily[Deaths],tblDaily[EntryDate],DATE(2026,9,25),tblDaily[WardCode],"MW")),"")</f>
        <v/>
      </c>
      <c r="E343" s="29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29" t="str">
        <f>IFERROR(IF(SUMIFS(tblDaily[TransfersIn],tblDaily[EntryDate],DATE(2026,9,25),tblDaily[WardCode],"MW")=0,"",SUMIFS(tblDaily[TransfersIn],tblDaily[EntryDate],DATE(2026,9,25),tblDaily[WardCode],"MW")),"")</f>
        <v/>
      </c>
      <c r="G343" s="29" t="str">
        <f>IFERROR(IF(SUMIFS(tblDaily[TransfersOut],tblDaily[EntryDate],DATE(2026,9,25),tblDaily[WardCode],"MW")=0,"",SUMIFS(tblDaily[TransfersOut],tblDaily[EntryDate],DATE(2026,9,25),tblDaily[WardCode],"MW")),"")</f>
        <v/>
      </c>
      <c r="H343" s="29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IFERROR(IF(SUMIFS(tblDaily[Admissions],tblDaily[EntryDate],DATE(2026,9,26),tblDaily[WardCode],"MW")=0,"",SUMIFS(tblDaily[Admissions],tblDaily[EntryDate],DATE(2026,9,26),tblDaily[WardCode],"MW")),"")</f>
        <v/>
      </c>
      <c r="C344" s="29" t="str">
        <f>IFERROR(IF(SUMIFS(tblDaily[Discharges],tblDaily[EntryDate],DATE(2026,9,26),tblDaily[WardCode],"MW")=0,"",SUMIFS(tblDaily[Discharges],tblDaily[EntryDate],DATE(2026,9,26),tblDaily[WardCode],"MW")),"")</f>
        <v/>
      </c>
      <c r="D344" s="29" t="str">
        <f>IFERROR(IF(SUMIFS(tblDaily[Deaths],tblDaily[EntryDate],DATE(2026,9,26),tblDaily[WardCode],"MW")=0,"",SUMIFS(tblDaily[Deaths],tblDaily[EntryDate],DATE(2026,9,26),tblDaily[WardCode],"MW")),"")</f>
        <v/>
      </c>
      <c r="E344" s="29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29" t="str">
        <f>IFERROR(IF(SUMIFS(tblDaily[TransfersIn],tblDaily[EntryDate],DATE(2026,9,26),tblDaily[WardCode],"MW")=0,"",SUMIFS(tblDaily[TransfersIn],tblDaily[EntryDate],DATE(2026,9,26),tblDaily[WardCode],"MW")),"")</f>
        <v/>
      </c>
      <c r="G344" s="29" t="str">
        <f>IFERROR(IF(SUMIFS(tblDaily[TransfersOut],tblDaily[EntryDate],DATE(2026,9,26),tblDaily[WardCode],"MW")=0,"",SUMIFS(tblDaily[TransfersOut],tblDaily[EntryDate],DATE(2026,9,26),tblDaily[WardCode],"MW")),"")</f>
        <v/>
      </c>
      <c r="H344" s="29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IFERROR(IF(SUMIFS(tblDaily[Admissions],tblDaily[EntryDate],DATE(2026,9,27),tblDaily[WardCode],"MW")=0,"",SUMIFS(tblDaily[Admissions],tblDaily[EntryDate],DATE(2026,9,27),tblDaily[WardCode],"MW")),"")</f>
        <v/>
      </c>
      <c r="C345" s="29" t="str">
        <f>IFERROR(IF(SUMIFS(tblDaily[Discharges],tblDaily[EntryDate],DATE(2026,9,27),tblDaily[WardCode],"MW")=0,"",SUMIFS(tblDaily[Discharges],tblDaily[EntryDate],DATE(2026,9,27),tblDaily[WardCode],"MW")),"")</f>
        <v/>
      </c>
      <c r="D345" s="29" t="str">
        <f>IFERROR(IF(SUMIFS(tblDaily[Deaths],tblDaily[EntryDate],DATE(2026,9,27),tblDaily[WardCode],"MW")=0,"",SUMIFS(tblDaily[Deaths],tblDaily[EntryDate],DATE(2026,9,27),tblDaily[WardCode],"MW")),"")</f>
        <v/>
      </c>
      <c r="E345" s="29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29" t="str">
        <f>IFERROR(IF(SUMIFS(tblDaily[TransfersIn],tblDaily[EntryDate],DATE(2026,9,27),tblDaily[WardCode],"MW")=0,"",SUMIFS(tblDaily[TransfersIn],tblDaily[EntryDate],DATE(2026,9,27),tblDaily[WardCode],"MW")),"")</f>
        <v/>
      </c>
      <c r="G345" s="29" t="str">
        <f>IFERROR(IF(SUMIFS(tblDaily[TransfersOut],tblDaily[EntryDate],DATE(2026,9,27),tblDaily[WardCode],"MW")=0,"",SUMIFS(tblDaily[TransfersOut],tblDaily[EntryDate],DATE(2026,9,27),tblDaily[WardCode],"MW")),"")</f>
        <v/>
      </c>
      <c r="H345" s="29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IFERROR(IF(SUMIFS(tblDaily[Admissions],tblDaily[EntryDate],DATE(2026,9,28),tblDaily[WardCode],"MW")=0,"",SUMIFS(tblDaily[Admissions],tblDaily[EntryDate],DATE(2026,9,28),tblDaily[WardCode],"MW")),"")</f>
        <v/>
      </c>
      <c r="C346" s="29" t="str">
        <f>IFERROR(IF(SUMIFS(tblDaily[Discharges],tblDaily[EntryDate],DATE(2026,9,28),tblDaily[WardCode],"MW")=0,"",SUMIFS(tblDaily[Discharges],tblDaily[EntryDate],DATE(2026,9,28),tblDaily[WardCode],"MW")),"")</f>
        <v/>
      </c>
      <c r="D346" s="29" t="str">
        <f>IFERROR(IF(SUMIFS(tblDaily[Deaths],tblDaily[EntryDate],DATE(2026,9,28),tblDaily[WardCode],"MW")=0,"",SUMIFS(tblDaily[Deaths],tblDaily[EntryDate],DATE(2026,9,28),tblDaily[WardCode],"MW")),"")</f>
        <v/>
      </c>
      <c r="E346" s="29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29" t="str">
        <f>IFERROR(IF(SUMIFS(tblDaily[TransfersIn],tblDaily[EntryDate],DATE(2026,9,28),tblDaily[WardCode],"MW")=0,"",SUMIFS(tblDaily[TransfersIn],tblDaily[EntryDate],DATE(2026,9,28),tblDaily[WardCode],"MW")),"")</f>
        <v/>
      </c>
      <c r="G346" s="29" t="str">
        <f>IFERROR(IF(SUMIFS(tblDaily[TransfersOut],tblDaily[EntryDate],DATE(2026,9,28),tblDaily[WardCode],"MW")=0,"",SUMIFS(tblDaily[TransfersOut],tblDaily[EntryDate],DATE(2026,9,28),tblDaily[WardCode],"MW")),"")</f>
        <v/>
      </c>
      <c r="H346" s="29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IFERROR(IF(SUMIFS(tblDaily[Admissions],tblDaily[EntryDate],DATE(2026,9,29),tblDaily[WardCode],"MW")=0,"",SUMIFS(tblDaily[Admissions],tblDaily[EntryDate],DATE(2026,9,29),tblDaily[WardCode],"MW")),"")</f>
        <v/>
      </c>
      <c r="C347" s="29" t="str">
        <f>IFERROR(IF(SUMIFS(tblDaily[Discharges],tblDaily[EntryDate],DATE(2026,9,29),tblDaily[WardCode],"MW")=0,"",SUMIFS(tblDaily[Discharges],tblDaily[EntryDate],DATE(2026,9,29),tblDaily[WardCode],"MW")),"")</f>
        <v/>
      </c>
      <c r="D347" s="29" t="str">
        <f>IFERROR(IF(SUMIFS(tblDaily[Deaths],tblDaily[EntryDate],DATE(2026,9,29),tblDaily[WardCode],"MW")=0,"",SUMIFS(tblDaily[Deaths],tblDaily[EntryDate],DATE(2026,9,29),tblDaily[WardCode],"MW")),"")</f>
        <v/>
      </c>
      <c r="E347" s="29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29" t="str">
        <f>IFERROR(IF(SUMIFS(tblDaily[TransfersIn],tblDaily[EntryDate],DATE(2026,9,29),tblDaily[WardCode],"MW")=0,"",SUMIFS(tblDaily[TransfersIn],tblDaily[EntryDate],DATE(2026,9,29),tblDaily[WardCode],"MW")),"")</f>
        <v/>
      </c>
      <c r="G347" s="29" t="str">
        <f>IFERROR(IF(SUMIFS(tblDaily[TransfersOut],tblDaily[EntryDate],DATE(2026,9,29),tblDaily[WardCode],"MW")=0,"",SUMIFS(tblDaily[TransfersOut],tblDaily[EntryDate],DATE(2026,9,29),tblDaily[WardCode],"MW")),"")</f>
        <v/>
      </c>
      <c r="H347" s="29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IFERROR(IF(SUMIFS(tblDaily[Admissions],tblDaily[EntryDate],DATE(2026,9,30),tblDaily[WardCode],"MW")=0,"",SUMIFS(tblDaily[Admissions],tblDaily[EntryDate],DATE(2026,9,30),tblDaily[WardCode],"MW")),"")</f>
        <v/>
      </c>
      <c r="C348" s="29" t="str">
        <f>IFERROR(IF(SUMIFS(tblDaily[Discharges],tblDaily[EntryDate],DATE(2026,9,30),tblDaily[WardCode],"MW")=0,"",SUMIFS(tblDaily[Discharges],tblDaily[EntryDate],DATE(2026,9,30),tblDaily[WardCode],"MW")),"")</f>
        <v/>
      </c>
      <c r="D348" s="29" t="str">
        <f>IFERROR(IF(SUMIFS(tblDaily[Deaths],tblDaily[EntryDate],DATE(2026,9,30),tblDaily[WardCode],"MW")=0,"",SUMIFS(tblDaily[Deaths],tblDaily[EntryDate],DATE(2026,9,30),tblDaily[WardCode],"MW")),"")</f>
        <v/>
      </c>
      <c r="E348" s="29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29" t="str">
        <f>IFERROR(IF(SUMIFS(tblDaily[TransfersIn],tblDaily[EntryDate],DATE(2026,9,30),tblDaily[WardCode],"MW")=0,"",SUMIFS(tblDaily[TransfersIn],tblDaily[EntryDate],DATE(2026,9,30),tblDaily[WardCode],"MW")),"")</f>
        <v/>
      </c>
      <c r="G348" s="29" t="str">
        <f>IFERROR(IF(SUMIFS(tblDaily[TransfersOut],tblDaily[EntryDate],DATE(2026,9,30),tblDaily[WardCode],"MW")=0,"",SUMIFS(tblDaily[TransfersOut],tblDaily[EntryDate],DATE(2026,9,30),tblDaily[WardCode],"MW")),"")</f>
        <v/>
      </c>
      <c r="H348" s="29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SUMIFS(tblDaily[Admissions],tblDaily[Month],9,tblDaily[WardCode],"MW") - SUMIFS(tblDaily[DeathsUnder24Hrs],tblDaily[Month],9,tblDaily[WardCode],"MW")</f>
        <v>0</v>
      </c>
      <c r="C350" s="30">
        <f>SUMIFS(tblDaily[Discharges],tblDaily[Month],9,tblDaily[WardCode],"MW")</f>
        <v>0</v>
      </c>
      <c r="D350" s="30">
        <f>SUMIFS(tblDaily[Deaths],tblDaily[Month],9,tblDaily[WardCode],"MW")</f>
        <v>0</v>
      </c>
      <c r="E350" s="30">
        <f>SUMIFS(tblDaily[DeathsUnder24Hrs],tblDaily[Month],9,tblDaily[WardCode],"MW")</f>
        <v>0</v>
      </c>
      <c r="F350" s="30">
        <f>SUMIFS(tblDaily[TransfersIn],tblDaily[Month],9,tblDaily[WardCode],"MW")</f>
        <v>0</v>
      </c>
      <c r="G350" s="30">
        <f>SUMIFS(tblDaily[TransfersOut],tblDaily[Month],9,tblDaily[WardCode],"MW")</f>
        <v>0</v>
      </c>
      <c r="H350" s="30">
        <f>SUMIFS(tblDaily[Remaining],tblDaily[Month],9,tblDaily[WardCode],"MW")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106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IFERROR(SUMIFS(tblDaily[Remaining],tblDaily[EntryDate],DATE(2026,9,30),tblDaily[WardCode],"MW"),0)</f>
        <v>0</v>
      </c>
    </row>
    <row r="356" spans="1:8" x14ac:dyDescent="0.25">
      <c r="A356" s="24" t="s">
        <v>109</v>
      </c>
      <c r="H356" s="27">
        <f>IFERROR(INDEX(tblWardConfig[BedComplement],MATCH("MW",tblWardConfig[WardCode],0)),0)</f>
        <v>32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IFERROR(IF(SUMIFS(tblDaily[Admissions],tblDaily[EntryDate],DATE(2026,10,1),tblDaily[WardCode],"MW")=0,"",SUMIFS(tblDaily[Admissions],tblDaily[EntryDate],DATE(2026,10,1),tblDaily[WardCode],"MW")),"")</f>
        <v/>
      </c>
      <c r="C358" s="29" t="str">
        <f>IFERROR(IF(SUMIFS(tblDaily[Discharges],tblDaily[EntryDate],DATE(2026,10,1),tblDaily[WardCode],"MW")=0,"",SUMIFS(tblDaily[Discharges],tblDaily[EntryDate],DATE(2026,10,1),tblDaily[WardCode],"MW")),"")</f>
        <v/>
      </c>
      <c r="D358" s="29" t="str">
        <f>IFERROR(IF(SUMIFS(tblDaily[Deaths],tblDaily[EntryDate],DATE(2026,10,1),tblDaily[WardCode],"MW")=0,"",SUMIFS(tblDaily[Deaths],tblDaily[EntryDate],DATE(2026,10,1),tblDaily[WardCode],"MW")),"")</f>
        <v/>
      </c>
      <c r="E358" s="29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29" t="str">
        <f>IFERROR(IF(SUMIFS(tblDaily[TransfersIn],tblDaily[EntryDate],DATE(2026,10,1),tblDaily[WardCode],"MW")=0,"",SUMIFS(tblDaily[TransfersIn],tblDaily[EntryDate],DATE(2026,10,1),tblDaily[WardCode],"MW")),"")</f>
        <v/>
      </c>
      <c r="G358" s="29" t="str">
        <f>IFERROR(IF(SUMIFS(tblDaily[TransfersOut],tblDaily[EntryDate],DATE(2026,10,1),tblDaily[WardCode],"MW")=0,"",SUMIFS(tblDaily[TransfersOut],tblDaily[EntryDate],DATE(2026,10,1),tblDaily[WardCode],"MW")),"")</f>
        <v/>
      </c>
      <c r="H358" s="29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IFERROR(IF(SUMIFS(tblDaily[Admissions],tblDaily[EntryDate],DATE(2026,10,2),tblDaily[WardCode],"MW")=0,"",SUMIFS(tblDaily[Admissions],tblDaily[EntryDate],DATE(2026,10,2),tblDaily[WardCode],"MW")),"")</f>
        <v/>
      </c>
      <c r="C359" s="29" t="str">
        <f>IFERROR(IF(SUMIFS(tblDaily[Discharges],tblDaily[EntryDate],DATE(2026,10,2),tblDaily[WardCode],"MW")=0,"",SUMIFS(tblDaily[Discharges],tblDaily[EntryDate],DATE(2026,10,2),tblDaily[WardCode],"MW")),"")</f>
        <v/>
      </c>
      <c r="D359" s="29" t="str">
        <f>IFERROR(IF(SUMIFS(tblDaily[Deaths],tblDaily[EntryDate],DATE(2026,10,2),tblDaily[WardCode],"MW")=0,"",SUMIFS(tblDaily[Deaths],tblDaily[EntryDate],DATE(2026,10,2),tblDaily[WardCode],"MW")),"")</f>
        <v/>
      </c>
      <c r="E359" s="29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29" t="str">
        <f>IFERROR(IF(SUMIFS(tblDaily[TransfersIn],tblDaily[EntryDate],DATE(2026,10,2),tblDaily[WardCode],"MW")=0,"",SUMIFS(tblDaily[TransfersIn],tblDaily[EntryDate],DATE(2026,10,2),tblDaily[WardCode],"MW")),"")</f>
        <v/>
      </c>
      <c r="G359" s="29" t="str">
        <f>IFERROR(IF(SUMIFS(tblDaily[TransfersOut],tblDaily[EntryDate],DATE(2026,10,2),tblDaily[WardCode],"MW")=0,"",SUMIFS(tblDaily[TransfersOut],tblDaily[EntryDate],DATE(2026,10,2),tblDaily[WardCode],"MW")),"")</f>
        <v/>
      </c>
      <c r="H359" s="29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IFERROR(IF(SUMIFS(tblDaily[Admissions],tblDaily[EntryDate],DATE(2026,10,3),tblDaily[WardCode],"MW")=0,"",SUMIFS(tblDaily[Admissions],tblDaily[EntryDate],DATE(2026,10,3),tblDaily[WardCode],"MW")),"")</f>
        <v/>
      </c>
      <c r="C360" s="29" t="str">
        <f>IFERROR(IF(SUMIFS(tblDaily[Discharges],tblDaily[EntryDate],DATE(2026,10,3),tblDaily[WardCode],"MW")=0,"",SUMIFS(tblDaily[Discharges],tblDaily[EntryDate],DATE(2026,10,3),tblDaily[WardCode],"MW")),"")</f>
        <v/>
      </c>
      <c r="D360" s="29" t="str">
        <f>IFERROR(IF(SUMIFS(tblDaily[Deaths],tblDaily[EntryDate],DATE(2026,10,3),tblDaily[WardCode],"MW")=0,"",SUMIFS(tblDaily[Deaths],tblDaily[EntryDate],DATE(2026,10,3),tblDaily[WardCode],"MW")),"")</f>
        <v/>
      </c>
      <c r="E360" s="29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29" t="str">
        <f>IFERROR(IF(SUMIFS(tblDaily[TransfersIn],tblDaily[EntryDate],DATE(2026,10,3),tblDaily[WardCode],"MW")=0,"",SUMIFS(tblDaily[TransfersIn],tblDaily[EntryDate],DATE(2026,10,3),tblDaily[WardCode],"MW")),"")</f>
        <v/>
      </c>
      <c r="G360" s="29" t="str">
        <f>IFERROR(IF(SUMIFS(tblDaily[TransfersOut],tblDaily[EntryDate],DATE(2026,10,3),tblDaily[WardCode],"MW")=0,"",SUMIFS(tblDaily[TransfersOut],tblDaily[EntryDate],DATE(2026,10,3),tblDaily[WardCode],"MW")),"")</f>
        <v/>
      </c>
      <c r="H360" s="29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IFERROR(IF(SUMIFS(tblDaily[Admissions],tblDaily[EntryDate],DATE(2026,10,4),tblDaily[WardCode],"MW")=0,"",SUMIFS(tblDaily[Admissions],tblDaily[EntryDate],DATE(2026,10,4),tblDaily[WardCode],"MW")),"")</f>
        <v/>
      </c>
      <c r="C361" s="29" t="str">
        <f>IFERROR(IF(SUMIFS(tblDaily[Discharges],tblDaily[EntryDate],DATE(2026,10,4),tblDaily[WardCode],"MW")=0,"",SUMIFS(tblDaily[Discharges],tblDaily[EntryDate],DATE(2026,10,4),tblDaily[WardCode],"MW")),"")</f>
        <v/>
      </c>
      <c r="D361" s="29" t="str">
        <f>IFERROR(IF(SUMIFS(tblDaily[Deaths],tblDaily[EntryDate],DATE(2026,10,4),tblDaily[WardCode],"MW")=0,"",SUMIFS(tblDaily[Deaths],tblDaily[EntryDate],DATE(2026,10,4),tblDaily[WardCode],"MW")),"")</f>
        <v/>
      </c>
      <c r="E361" s="29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29" t="str">
        <f>IFERROR(IF(SUMIFS(tblDaily[TransfersIn],tblDaily[EntryDate],DATE(2026,10,4),tblDaily[WardCode],"MW")=0,"",SUMIFS(tblDaily[TransfersIn],tblDaily[EntryDate],DATE(2026,10,4),tblDaily[WardCode],"MW")),"")</f>
        <v/>
      </c>
      <c r="G361" s="29" t="str">
        <f>IFERROR(IF(SUMIFS(tblDaily[TransfersOut],tblDaily[EntryDate],DATE(2026,10,4),tblDaily[WardCode],"MW")=0,"",SUMIFS(tblDaily[TransfersOut],tblDaily[EntryDate],DATE(2026,10,4),tblDaily[WardCode],"MW")),"")</f>
        <v/>
      </c>
      <c r="H361" s="29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IFERROR(IF(SUMIFS(tblDaily[Admissions],tblDaily[EntryDate],DATE(2026,10,5),tblDaily[WardCode],"MW")=0,"",SUMIFS(tblDaily[Admissions],tblDaily[EntryDate],DATE(2026,10,5),tblDaily[WardCode],"MW")),"")</f>
        <v/>
      </c>
      <c r="C362" s="29" t="str">
        <f>IFERROR(IF(SUMIFS(tblDaily[Discharges],tblDaily[EntryDate],DATE(2026,10,5),tblDaily[WardCode],"MW")=0,"",SUMIFS(tblDaily[Discharges],tblDaily[EntryDate],DATE(2026,10,5),tblDaily[WardCode],"MW")),"")</f>
        <v/>
      </c>
      <c r="D362" s="29" t="str">
        <f>IFERROR(IF(SUMIFS(tblDaily[Deaths],tblDaily[EntryDate],DATE(2026,10,5),tblDaily[WardCode],"MW")=0,"",SUMIFS(tblDaily[Deaths],tblDaily[EntryDate],DATE(2026,10,5),tblDaily[WardCode],"MW")),"")</f>
        <v/>
      </c>
      <c r="E362" s="29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29" t="str">
        <f>IFERROR(IF(SUMIFS(tblDaily[TransfersIn],tblDaily[EntryDate],DATE(2026,10,5),tblDaily[WardCode],"MW")=0,"",SUMIFS(tblDaily[TransfersIn],tblDaily[EntryDate],DATE(2026,10,5),tblDaily[WardCode],"MW")),"")</f>
        <v/>
      </c>
      <c r="G362" s="29" t="str">
        <f>IFERROR(IF(SUMIFS(tblDaily[TransfersOut],tblDaily[EntryDate],DATE(2026,10,5),tblDaily[WardCode],"MW")=0,"",SUMIFS(tblDaily[TransfersOut],tblDaily[EntryDate],DATE(2026,10,5),tblDaily[WardCode],"MW")),"")</f>
        <v/>
      </c>
      <c r="H362" s="29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IFERROR(IF(SUMIFS(tblDaily[Admissions],tblDaily[EntryDate],DATE(2026,10,6),tblDaily[WardCode],"MW")=0,"",SUMIFS(tblDaily[Admissions],tblDaily[EntryDate],DATE(2026,10,6),tblDaily[WardCode],"MW")),"")</f>
        <v/>
      </c>
      <c r="C363" s="29" t="str">
        <f>IFERROR(IF(SUMIFS(tblDaily[Discharges],tblDaily[EntryDate],DATE(2026,10,6),tblDaily[WardCode],"MW")=0,"",SUMIFS(tblDaily[Discharges],tblDaily[EntryDate],DATE(2026,10,6),tblDaily[WardCode],"MW")),"")</f>
        <v/>
      </c>
      <c r="D363" s="29" t="str">
        <f>IFERROR(IF(SUMIFS(tblDaily[Deaths],tblDaily[EntryDate],DATE(2026,10,6),tblDaily[WardCode],"MW")=0,"",SUMIFS(tblDaily[Deaths],tblDaily[EntryDate],DATE(2026,10,6),tblDaily[WardCode],"MW")),"")</f>
        <v/>
      </c>
      <c r="E363" s="29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29" t="str">
        <f>IFERROR(IF(SUMIFS(tblDaily[TransfersIn],tblDaily[EntryDate],DATE(2026,10,6),tblDaily[WardCode],"MW")=0,"",SUMIFS(tblDaily[TransfersIn],tblDaily[EntryDate],DATE(2026,10,6),tblDaily[WardCode],"MW")),"")</f>
        <v/>
      </c>
      <c r="G363" s="29" t="str">
        <f>IFERROR(IF(SUMIFS(tblDaily[TransfersOut],tblDaily[EntryDate],DATE(2026,10,6),tblDaily[WardCode],"MW")=0,"",SUMIFS(tblDaily[TransfersOut],tblDaily[EntryDate],DATE(2026,10,6),tblDaily[WardCode],"MW")),"")</f>
        <v/>
      </c>
      <c r="H363" s="29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IFERROR(IF(SUMIFS(tblDaily[Admissions],tblDaily[EntryDate],DATE(2026,10,7),tblDaily[WardCode],"MW")=0,"",SUMIFS(tblDaily[Admissions],tblDaily[EntryDate],DATE(2026,10,7),tblDaily[WardCode],"MW")),"")</f>
        <v/>
      </c>
      <c r="C364" s="29" t="str">
        <f>IFERROR(IF(SUMIFS(tblDaily[Discharges],tblDaily[EntryDate],DATE(2026,10,7),tblDaily[WardCode],"MW")=0,"",SUMIFS(tblDaily[Discharges],tblDaily[EntryDate],DATE(2026,10,7),tblDaily[WardCode],"MW")),"")</f>
        <v/>
      </c>
      <c r="D364" s="29" t="str">
        <f>IFERROR(IF(SUMIFS(tblDaily[Deaths],tblDaily[EntryDate],DATE(2026,10,7),tblDaily[WardCode],"MW")=0,"",SUMIFS(tblDaily[Deaths],tblDaily[EntryDate],DATE(2026,10,7),tblDaily[WardCode],"MW")),"")</f>
        <v/>
      </c>
      <c r="E364" s="29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29" t="str">
        <f>IFERROR(IF(SUMIFS(tblDaily[TransfersIn],tblDaily[EntryDate],DATE(2026,10,7),tblDaily[WardCode],"MW")=0,"",SUMIFS(tblDaily[TransfersIn],tblDaily[EntryDate],DATE(2026,10,7),tblDaily[WardCode],"MW")),"")</f>
        <v/>
      </c>
      <c r="G364" s="29" t="str">
        <f>IFERROR(IF(SUMIFS(tblDaily[TransfersOut],tblDaily[EntryDate],DATE(2026,10,7),tblDaily[WardCode],"MW")=0,"",SUMIFS(tblDaily[TransfersOut],tblDaily[EntryDate],DATE(2026,10,7),tblDaily[WardCode],"MW")),"")</f>
        <v/>
      </c>
      <c r="H364" s="29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IFERROR(IF(SUMIFS(tblDaily[Admissions],tblDaily[EntryDate],DATE(2026,10,8),tblDaily[WardCode],"MW")=0,"",SUMIFS(tblDaily[Admissions],tblDaily[EntryDate],DATE(2026,10,8),tblDaily[WardCode],"MW")),"")</f>
        <v/>
      </c>
      <c r="C365" s="29" t="str">
        <f>IFERROR(IF(SUMIFS(tblDaily[Discharges],tblDaily[EntryDate],DATE(2026,10,8),tblDaily[WardCode],"MW")=0,"",SUMIFS(tblDaily[Discharges],tblDaily[EntryDate],DATE(2026,10,8),tblDaily[WardCode],"MW")),"")</f>
        <v/>
      </c>
      <c r="D365" s="29" t="str">
        <f>IFERROR(IF(SUMIFS(tblDaily[Deaths],tblDaily[EntryDate],DATE(2026,10,8),tblDaily[WardCode],"MW")=0,"",SUMIFS(tblDaily[Deaths],tblDaily[EntryDate],DATE(2026,10,8),tblDaily[WardCode],"MW")),"")</f>
        <v/>
      </c>
      <c r="E365" s="29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29" t="str">
        <f>IFERROR(IF(SUMIFS(tblDaily[TransfersIn],tblDaily[EntryDate],DATE(2026,10,8),tblDaily[WardCode],"MW")=0,"",SUMIFS(tblDaily[TransfersIn],tblDaily[EntryDate],DATE(2026,10,8),tblDaily[WardCode],"MW")),"")</f>
        <v/>
      </c>
      <c r="G365" s="29" t="str">
        <f>IFERROR(IF(SUMIFS(tblDaily[TransfersOut],tblDaily[EntryDate],DATE(2026,10,8),tblDaily[WardCode],"MW")=0,"",SUMIFS(tblDaily[TransfersOut],tblDaily[EntryDate],DATE(2026,10,8),tblDaily[WardCode],"MW")),"")</f>
        <v/>
      </c>
      <c r="H365" s="29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IFERROR(IF(SUMIFS(tblDaily[Admissions],tblDaily[EntryDate],DATE(2026,10,9),tblDaily[WardCode],"MW")=0,"",SUMIFS(tblDaily[Admissions],tblDaily[EntryDate],DATE(2026,10,9),tblDaily[WardCode],"MW")),"")</f>
        <v/>
      </c>
      <c r="C366" s="29" t="str">
        <f>IFERROR(IF(SUMIFS(tblDaily[Discharges],tblDaily[EntryDate],DATE(2026,10,9),tblDaily[WardCode],"MW")=0,"",SUMIFS(tblDaily[Discharges],tblDaily[EntryDate],DATE(2026,10,9),tblDaily[WardCode],"MW")),"")</f>
        <v/>
      </c>
      <c r="D366" s="29" t="str">
        <f>IFERROR(IF(SUMIFS(tblDaily[Deaths],tblDaily[EntryDate],DATE(2026,10,9),tblDaily[WardCode],"MW")=0,"",SUMIFS(tblDaily[Deaths],tblDaily[EntryDate],DATE(2026,10,9),tblDaily[WardCode],"MW")),"")</f>
        <v/>
      </c>
      <c r="E366" s="29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29" t="str">
        <f>IFERROR(IF(SUMIFS(tblDaily[TransfersIn],tblDaily[EntryDate],DATE(2026,10,9),tblDaily[WardCode],"MW")=0,"",SUMIFS(tblDaily[TransfersIn],tblDaily[EntryDate],DATE(2026,10,9),tblDaily[WardCode],"MW")),"")</f>
        <v/>
      </c>
      <c r="G366" s="29" t="str">
        <f>IFERROR(IF(SUMIFS(tblDaily[TransfersOut],tblDaily[EntryDate],DATE(2026,10,9),tblDaily[WardCode],"MW")=0,"",SUMIFS(tblDaily[TransfersOut],tblDaily[EntryDate],DATE(2026,10,9),tblDaily[WardCode],"MW")),"")</f>
        <v/>
      </c>
      <c r="H366" s="29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IFERROR(IF(SUMIFS(tblDaily[Admissions],tblDaily[EntryDate],DATE(2026,10,10),tblDaily[WardCode],"MW")=0,"",SUMIFS(tblDaily[Admissions],tblDaily[EntryDate],DATE(2026,10,10),tblDaily[WardCode],"MW")),"")</f>
        <v/>
      </c>
      <c r="C367" s="29" t="str">
        <f>IFERROR(IF(SUMIFS(tblDaily[Discharges],tblDaily[EntryDate],DATE(2026,10,10),tblDaily[WardCode],"MW")=0,"",SUMIFS(tblDaily[Discharges],tblDaily[EntryDate],DATE(2026,10,10),tblDaily[WardCode],"MW")),"")</f>
        <v/>
      </c>
      <c r="D367" s="29" t="str">
        <f>IFERROR(IF(SUMIFS(tblDaily[Deaths],tblDaily[EntryDate],DATE(2026,10,10),tblDaily[WardCode],"MW")=0,"",SUMIFS(tblDaily[Deaths],tblDaily[EntryDate],DATE(2026,10,10),tblDaily[WardCode],"MW")),"")</f>
        <v/>
      </c>
      <c r="E367" s="29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29" t="str">
        <f>IFERROR(IF(SUMIFS(tblDaily[TransfersIn],tblDaily[EntryDate],DATE(2026,10,10),tblDaily[WardCode],"MW")=0,"",SUMIFS(tblDaily[TransfersIn],tblDaily[EntryDate],DATE(2026,10,10),tblDaily[WardCode],"MW")),"")</f>
        <v/>
      </c>
      <c r="G367" s="29" t="str">
        <f>IFERROR(IF(SUMIFS(tblDaily[TransfersOut],tblDaily[EntryDate],DATE(2026,10,10),tblDaily[WardCode],"MW")=0,"",SUMIFS(tblDaily[TransfersOut],tblDaily[EntryDate],DATE(2026,10,10),tblDaily[WardCode],"MW")),"")</f>
        <v/>
      </c>
      <c r="H367" s="29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IFERROR(IF(SUMIFS(tblDaily[Admissions],tblDaily[EntryDate],DATE(2026,10,11),tblDaily[WardCode],"MW")=0,"",SUMIFS(tblDaily[Admissions],tblDaily[EntryDate],DATE(2026,10,11),tblDaily[WardCode],"MW")),"")</f>
        <v/>
      </c>
      <c r="C368" s="29" t="str">
        <f>IFERROR(IF(SUMIFS(tblDaily[Discharges],tblDaily[EntryDate],DATE(2026,10,11),tblDaily[WardCode],"MW")=0,"",SUMIFS(tblDaily[Discharges],tblDaily[EntryDate],DATE(2026,10,11),tblDaily[WardCode],"MW")),"")</f>
        <v/>
      </c>
      <c r="D368" s="29" t="str">
        <f>IFERROR(IF(SUMIFS(tblDaily[Deaths],tblDaily[EntryDate],DATE(2026,10,11),tblDaily[WardCode],"MW")=0,"",SUMIFS(tblDaily[Deaths],tblDaily[EntryDate],DATE(2026,10,11),tblDaily[WardCode],"MW")),"")</f>
        <v/>
      </c>
      <c r="E368" s="29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29" t="str">
        <f>IFERROR(IF(SUMIFS(tblDaily[TransfersIn],tblDaily[EntryDate],DATE(2026,10,11),tblDaily[WardCode],"MW")=0,"",SUMIFS(tblDaily[TransfersIn],tblDaily[EntryDate],DATE(2026,10,11),tblDaily[WardCode],"MW")),"")</f>
        <v/>
      </c>
      <c r="G368" s="29" t="str">
        <f>IFERROR(IF(SUMIFS(tblDaily[TransfersOut],tblDaily[EntryDate],DATE(2026,10,11),tblDaily[WardCode],"MW")=0,"",SUMIFS(tblDaily[TransfersOut],tblDaily[EntryDate],DATE(2026,10,11),tblDaily[WardCode],"MW")),"")</f>
        <v/>
      </c>
      <c r="H368" s="29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IFERROR(IF(SUMIFS(tblDaily[Admissions],tblDaily[EntryDate],DATE(2026,10,12),tblDaily[WardCode],"MW")=0,"",SUMIFS(tblDaily[Admissions],tblDaily[EntryDate],DATE(2026,10,12),tblDaily[WardCode],"MW")),"")</f>
        <v/>
      </c>
      <c r="C369" s="29" t="str">
        <f>IFERROR(IF(SUMIFS(tblDaily[Discharges],tblDaily[EntryDate],DATE(2026,10,12),tblDaily[WardCode],"MW")=0,"",SUMIFS(tblDaily[Discharges],tblDaily[EntryDate],DATE(2026,10,12),tblDaily[WardCode],"MW")),"")</f>
        <v/>
      </c>
      <c r="D369" s="29" t="str">
        <f>IFERROR(IF(SUMIFS(tblDaily[Deaths],tblDaily[EntryDate],DATE(2026,10,12),tblDaily[WardCode],"MW")=0,"",SUMIFS(tblDaily[Deaths],tblDaily[EntryDate],DATE(2026,10,12),tblDaily[WardCode],"MW")),"")</f>
        <v/>
      </c>
      <c r="E369" s="29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29" t="str">
        <f>IFERROR(IF(SUMIFS(tblDaily[TransfersIn],tblDaily[EntryDate],DATE(2026,10,12),tblDaily[WardCode],"MW")=0,"",SUMIFS(tblDaily[TransfersIn],tblDaily[EntryDate],DATE(2026,10,12),tblDaily[WardCode],"MW")),"")</f>
        <v/>
      </c>
      <c r="G369" s="29" t="str">
        <f>IFERROR(IF(SUMIFS(tblDaily[TransfersOut],tblDaily[EntryDate],DATE(2026,10,12),tblDaily[WardCode],"MW")=0,"",SUMIFS(tblDaily[TransfersOut],tblDaily[EntryDate],DATE(2026,10,12),tblDaily[WardCode],"MW")),"")</f>
        <v/>
      </c>
      <c r="H369" s="29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IFERROR(IF(SUMIFS(tblDaily[Admissions],tblDaily[EntryDate],DATE(2026,10,13),tblDaily[WardCode],"MW")=0,"",SUMIFS(tblDaily[Admissions],tblDaily[EntryDate],DATE(2026,10,13),tblDaily[WardCode],"MW")),"")</f>
        <v/>
      </c>
      <c r="C370" s="29" t="str">
        <f>IFERROR(IF(SUMIFS(tblDaily[Discharges],tblDaily[EntryDate],DATE(2026,10,13),tblDaily[WardCode],"MW")=0,"",SUMIFS(tblDaily[Discharges],tblDaily[EntryDate],DATE(2026,10,13),tblDaily[WardCode],"MW")),"")</f>
        <v/>
      </c>
      <c r="D370" s="29" t="str">
        <f>IFERROR(IF(SUMIFS(tblDaily[Deaths],tblDaily[EntryDate],DATE(2026,10,13),tblDaily[WardCode],"MW")=0,"",SUMIFS(tblDaily[Deaths],tblDaily[EntryDate],DATE(2026,10,13),tblDaily[WardCode],"MW")),"")</f>
        <v/>
      </c>
      <c r="E370" s="29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29" t="str">
        <f>IFERROR(IF(SUMIFS(tblDaily[TransfersIn],tblDaily[EntryDate],DATE(2026,10,13),tblDaily[WardCode],"MW")=0,"",SUMIFS(tblDaily[TransfersIn],tblDaily[EntryDate],DATE(2026,10,13),tblDaily[WardCode],"MW")),"")</f>
        <v/>
      </c>
      <c r="G370" s="29" t="str">
        <f>IFERROR(IF(SUMIFS(tblDaily[TransfersOut],tblDaily[EntryDate],DATE(2026,10,13),tblDaily[WardCode],"MW")=0,"",SUMIFS(tblDaily[TransfersOut],tblDaily[EntryDate],DATE(2026,10,13),tblDaily[WardCode],"MW")),"")</f>
        <v/>
      </c>
      <c r="H370" s="29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IFERROR(IF(SUMIFS(tblDaily[Admissions],tblDaily[EntryDate],DATE(2026,10,14),tblDaily[WardCode],"MW")=0,"",SUMIFS(tblDaily[Admissions],tblDaily[EntryDate],DATE(2026,10,14),tblDaily[WardCode],"MW")),"")</f>
        <v/>
      </c>
      <c r="C371" s="29" t="str">
        <f>IFERROR(IF(SUMIFS(tblDaily[Discharges],tblDaily[EntryDate],DATE(2026,10,14),tblDaily[WardCode],"MW")=0,"",SUMIFS(tblDaily[Discharges],tblDaily[EntryDate],DATE(2026,10,14),tblDaily[WardCode],"MW")),"")</f>
        <v/>
      </c>
      <c r="D371" s="29" t="str">
        <f>IFERROR(IF(SUMIFS(tblDaily[Deaths],tblDaily[EntryDate],DATE(2026,10,14),tblDaily[WardCode],"MW")=0,"",SUMIFS(tblDaily[Deaths],tblDaily[EntryDate],DATE(2026,10,14),tblDaily[WardCode],"MW")),"")</f>
        <v/>
      </c>
      <c r="E371" s="29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29" t="str">
        <f>IFERROR(IF(SUMIFS(tblDaily[TransfersIn],tblDaily[EntryDate],DATE(2026,10,14),tblDaily[WardCode],"MW")=0,"",SUMIFS(tblDaily[TransfersIn],tblDaily[EntryDate],DATE(2026,10,14),tblDaily[WardCode],"MW")),"")</f>
        <v/>
      </c>
      <c r="G371" s="29" t="str">
        <f>IFERROR(IF(SUMIFS(tblDaily[TransfersOut],tblDaily[EntryDate],DATE(2026,10,14),tblDaily[WardCode],"MW")=0,"",SUMIFS(tblDaily[TransfersOut],tblDaily[EntryDate],DATE(2026,10,14),tblDaily[WardCode],"MW")),"")</f>
        <v/>
      </c>
      <c r="H371" s="29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IFERROR(IF(SUMIFS(tblDaily[Admissions],tblDaily[EntryDate],DATE(2026,10,15),tblDaily[WardCode],"MW")=0,"",SUMIFS(tblDaily[Admissions],tblDaily[EntryDate],DATE(2026,10,15),tblDaily[WardCode],"MW")),"")</f>
        <v/>
      </c>
      <c r="C372" s="29" t="str">
        <f>IFERROR(IF(SUMIFS(tblDaily[Discharges],tblDaily[EntryDate],DATE(2026,10,15),tblDaily[WardCode],"MW")=0,"",SUMIFS(tblDaily[Discharges],tblDaily[EntryDate],DATE(2026,10,15),tblDaily[WardCode],"MW")),"")</f>
        <v/>
      </c>
      <c r="D372" s="29" t="str">
        <f>IFERROR(IF(SUMIFS(tblDaily[Deaths],tblDaily[EntryDate],DATE(2026,10,15),tblDaily[WardCode],"MW")=0,"",SUMIFS(tblDaily[Deaths],tblDaily[EntryDate],DATE(2026,10,15),tblDaily[WardCode],"MW")),"")</f>
        <v/>
      </c>
      <c r="E372" s="29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29" t="str">
        <f>IFERROR(IF(SUMIFS(tblDaily[TransfersIn],tblDaily[EntryDate],DATE(2026,10,15),tblDaily[WardCode],"MW")=0,"",SUMIFS(tblDaily[TransfersIn],tblDaily[EntryDate],DATE(2026,10,15),tblDaily[WardCode],"MW")),"")</f>
        <v/>
      </c>
      <c r="G372" s="29" t="str">
        <f>IFERROR(IF(SUMIFS(tblDaily[TransfersOut],tblDaily[EntryDate],DATE(2026,10,15),tblDaily[WardCode],"MW")=0,"",SUMIFS(tblDaily[TransfersOut],tblDaily[EntryDate],DATE(2026,10,15),tblDaily[WardCode],"MW")),"")</f>
        <v/>
      </c>
      <c r="H372" s="29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IFERROR(IF(SUMIFS(tblDaily[Admissions],tblDaily[EntryDate],DATE(2026,10,16),tblDaily[WardCode],"MW")=0,"",SUMIFS(tblDaily[Admissions],tblDaily[EntryDate],DATE(2026,10,16),tblDaily[WardCode],"MW")),"")</f>
        <v/>
      </c>
      <c r="C373" s="29" t="str">
        <f>IFERROR(IF(SUMIFS(tblDaily[Discharges],tblDaily[EntryDate],DATE(2026,10,16),tblDaily[WardCode],"MW")=0,"",SUMIFS(tblDaily[Discharges],tblDaily[EntryDate],DATE(2026,10,16),tblDaily[WardCode],"MW")),"")</f>
        <v/>
      </c>
      <c r="D373" s="29" t="str">
        <f>IFERROR(IF(SUMIFS(tblDaily[Deaths],tblDaily[EntryDate],DATE(2026,10,16),tblDaily[WardCode],"MW")=0,"",SUMIFS(tblDaily[Deaths],tblDaily[EntryDate],DATE(2026,10,16),tblDaily[WardCode],"MW")),"")</f>
        <v/>
      </c>
      <c r="E373" s="29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29" t="str">
        <f>IFERROR(IF(SUMIFS(tblDaily[TransfersIn],tblDaily[EntryDate],DATE(2026,10,16),tblDaily[WardCode],"MW")=0,"",SUMIFS(tblDaily[TransfersIn],tblDaily[EntryDate],DATE(2026,10,16),tblDaily[WardCode],"MW")),"")</f>
        <v/>
      </c>
      <c r="G373" s="29" t="str">
        <f>IFERROR(IF(SUMIFS(tblDaily[TransfersOut],tblDaily[EntryDate],DATE(2026,10,16),tblDaily[WardCode],"MW")=0,"",SUMIFS(tblDaily[TransfersOut],tblDaily[EntryDate],DATE(2026,10,16),tblDaily[WardCode],"MW")),"")</f>
        <v/>
      </c>
      <c r="H373" s="29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IFERROR(IF(SUMIFS(tblDaily[Admissions],tblDaily[EntryDate],DATE(2026,10,17),tblDaily[WardCode],"MW")=0,"",SUMIFS(tblDaily[Admissions],tblDaily[EntryDate],DATE(2026,10,17),tblDaily[WardCode],"MW")),"")</f>
        <v/>
      </c>
      <c r="C374" s="29" t="str">
        <f>IFERROR(IF(SUMIFS(tblDaily[Discharges],tblDaily[EntryDate],DATE(2026,10,17),tblDaily[WardCode],"MW")=0,"",SUMIFS(tblDaily[Discharges],tblDaily[EntryDate],DATE(2026,10,17),tblDaily[WardCode],"MW")),"")</f>
        <v/>
      </c>
      <c r="D374" s="29" t="str">
        <f>IFERROR(IF(SUMIFS(tblDaily[Deaths],tblDaily[EntryDate],DATE(2026,10,17),tblDaily[WardCode],"MW")=0,"",SUMIFS(tblDaily[Deaths],tblDaily[EntryDate],DATE(2026,10,17),tblDaily[WardCode],"MW")),"")</f>
        <v/>
      </c>
      <c r="E374" s="29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29" t="str">
        <f>IFERROR(IF(SUMIFS(tblDaily[TransfersIn],tblDaily[EntryDate],DATE(2026,10,17),tblDaily[WardCode],"MW")=0,"",SUMIFS(tblDaily[TransfersIn],tblDaily[EntryDate],DATE(2026,10,17),tblDaily[WardCode],"MW")),"")</f>
        <v/>
      </c>
      <c r="G374" s="29" t="str">
        <f>IFERROR(IF(SUMIFS(tblDaily[TransfersOut],tblDaily[EntryDate],DATE(2026,10,17),tblDaily[WardCode],"MW")=0,"",SUMIFS(tblDaily[TransfersOut],tblDaily[EntryDate],DATE(2026,10,17),tblDaily[WardCode],"MW")),"")</f>
        <v/>
      </c>
      <c r="H374" s="29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IFERROR(IF(SUMIFS(tblDaily[Admissions],tblDaily[EntryDate],DATE(2026,10,18),tblDaily[WardCode],"MW")=0,"",SUMIFS(tblDaily[Admissions],tblDaily[EntryDate],DATE(2026,10,18),tblDaily[WardCode],"MW")),"")</f>
        <v/>
      </c>
      <c r="C375" s="29" t="str">
        <f>IFERROR(IF(SUMIFS(tblDaily[Discharges],tblDaily[EntryDate],DATE(2026,10,18),tblDaily[WardCode],"MW")=0,"",SUMIFS(tblDaily[Discharges],tblDaily[EntryDate],DATE(2026,10,18),tblDaily[WardCode],"MW")),"")</f>
        <v/>
      </c>
      <c r="D375" s="29" t="str">
        <f>IFERROR(IF(SUMIFS(tblDaily[Deaths],tblDaily[EntryDate],DATE(2026,10,18),tblDaily[WardCode],"MW")=0,"",SUMIFS(tblDaily[Deaths],tblDaily[EntryDate],DATE(2026,10,18),tblDaily[WardCode],"MW")),"")</f>
        <v/>
      </c>
      <c r="E375" s="29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29" t="str">
        <f>IFERROR(IF(SUMIFS(tblDaily[TransfersIn],tblDaily[EntryDate],DATE(2026,10,18),tblDaily[WardCode],"MW")=0,"",SUMIFS(tblDaily[TransfersIn],tblDaily[EntryDate],DATE(2026,10,18),tblDaily[WardCode],"MW")),"")</f>
        <v/>
      </c>
      <c r="G375" s="29" t="str">
        <f>IFERROR(IF(SUMIFS(tblDaily[TransfersOut],tblDaily[EntryDate],DATE(2026,10,18),tblDaily[WardCode],"MW")=0,"",SUMIFS(tblDaily[TransfersOut],tblDaily[EntryDate],DATE(2026,10,18),tblDaily[WardCode],"MW")),"")</f>
        <v/>
      </c>
      <c r="H375" s="29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IFERROR(IF(SUMIFS(tblDaily[Admissions],tblDaily[EntryDate],DATE(2026,10,19),tblDaily[WardCode],"MW")=0,"",SUMIFS(tblDaily[Admissions],tblDaily[EntryDate],DATE(2026,10,19),tblDaily[WardCode],"MW")),"")</f>
        <v/>
      </c>
      <c r="C376" s="29" t="str">
        <f>IFERROR(IF(SUMIFS(tblDaily[Discharges],tblDaily[EntryDate],DATE(2026,10,19),tblDaily[WardCode],"MW")=0,"",SUMIFS(tblDaily[Discharges],tblDaily[EntryDate],DATE(2026,10,19),tblDaily[WardCode],"MW")),"")</f>
        <v/>
      </c>
      <c r="D376" s="29" t="str">
        <f>IFERROR(IF(SUMIFS(tblDaily[Deaths],tblDaily[EntryDate],DATE(2026,10,19),tblDaily[WardCode],"MW")=0,"",SUMIFS(tblDaily[Deaths],tblDaily[EntryDate],DATE(2026,10,19),tblDaily[WardCode],"MW")),"")</f>
        <v/>
      </c>
      <c r="E376" s="29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29" t="str">
        <f>IFERROR(IF(SUMIFS(tblDaily[TransfersIn],tblDaily[EntryDate],DATE(2026,10,19),tblDaily[WardCode],"MW")=0,"",SUMIFS(tblDaily[TransfersIn],tblDaily[EntryDate],DATE(2026,10,19),tblDaily[WardCode],"MW")),"")</f>
        <v/>
      </c>
      <c r="G376" s="29" t="str">
        <f>IFERROR(IF(SUMIFS(tblDaily[TransfersOut],tblDaily[EntryDate],DATE(2026,10,19),tblDaily[WardCode],"MW")=0,"",SUMIFS(tblDaily[TransfersOut],tblDaily[EntryDate],DATE(2026,10,19),tblDaily[WardCode],"MW")),"")</f>
        <v/>
      </c>
      <c r="H376" s="29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IFERROR(IF(SUMIFS(tblDaily[Admissions],tblDaily[EntryDate],DATE(2026,10,20),tblDaily[WardCode],"MW")=0,"",SUMIFS(tblDaily[Admissions],tblDaily[EntryDate],DATE(2026,10,20),tblDaily[WardCode],"MW")),"")</f>
        <v/>
      </c>
      <c r="C377" s="29" t="str">
        <f>IFERROR(IF(SUMIFS(tblDaily[Discharges],tblDaily[EntryDate],DATE(2026,10,20),tblDaily[WardCode],"MW")=0,"",SUMIFS(tblDaily[Discharges],tblDaily[EntryDate],DATE(2026,10,20),tblDaily[WardCode],"MW")),"")</f>
        <v/>
      </c>
      <c r="D377" s="29" t="str">
        <f>IFERROR(IF(SUMIFS(tblDaily[Deaths],tblDaily[EntryDate],DATE(2026,10,20),tblDaily[WardCode],"MW")=0,"",SUMIFS(tblDaily[Deaths],tblDaily[EntryDate],DATE(2026,10,20),tblDaily[WardCode],"MW")),"")</f>
        <v/>
      </c>
      <c r="E377" s="29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29" t="str">
        <f>IFERROR(IF(SUMIFS(tblDaily[TransfersIn],tblDaily[EntryDate],DATE(2026,10,20),tblDaily[WardCode],"MW")=0,"",SUMIFS(tblDaily[TransfersIn],tblDaily[EntryDate],DATE(2026,10,20),tblDaily[WardCode],"MW")),"")</f>
        <v/>
      </c>
      <c r="G377" s="29" t="str">
        <f>IFERROR(IF(SUMIFS(tblDaily[TransfersOut],tblDaily[EntryDate],DATE(2026,10,20),tblDaily[WardCode],"MW")=0,"",SUMIFS(tblDaily[TransfersOut],tblDaily[EntryDate],DATE(2026,10,20),tblDaily[WardCode],"MW")),"")</f>
        <v/>
      </c>
      <c r="H377" s="29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IFERROR(IF(SUMIFS(tblDaily[Admissions],tblDaily[EntryDate],DATE(2026,10,21),tblDaily[WardCode],"MW")=0,"",SUMIFS(tblDaily[Admissions],tblDaily[EntryDate],DATE(2026,10,21),tblDaily[WardCode],"MW")),"")</f>
        <v/>
      </c>
      <c r="C378" s="29" t="str">
        <f>IFERROR(IF(SUMIFS(tblDaily[Discharges],tblDaily[EntryDate],DATE(2026,10,21),tblDaily[WardCode],"MW")=0,"",SUMIFS(tblDaily[Discharges],tblDaily[EntryDate],DATE(2026,10,21),tblDaily[WardCode],"MW")),"")</f>
        <v/>
      </c>
      <c r="D378" s="29" t="str">
        <f>IFERROR(IF(SUMIFS(tblDaily[Deaths],tblDaily[EntryDate],DATE(2026,10,21),tblDaily[WardCode],"MW")=0,"",SUMIFS(tblDaily[Deaths],tblDaily[EntryDate],DATE(2026,10,21),tblDaily[WardCode],"MW")),"")</f>
        <v/>
      </c>
      <c r="E378" s="29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29" t="str">
        <f>IFERROR(IF(SUMIFS(tblDaily[TransfersIn],tblDaily[EntryDate],DATE(2026,10,21),tblDaily[WardCode],"MW")=0,"",SUMIFS(tblDaily[TransfersIn],tblDaily[EntryDate],DATE(2026,10,21),tblDaily[WardCode],"MW")),"")</f>
        <v/>
      </c>
      <c r="G378" s="29" t="str">
        <f>IFERROR(IF(SUMIFS(tblDaily[TransfersOut],tblDaily[EntryDate],DATE(2026,10,21),tblDaily[WardCode],"MW")=0,"",SUMIFS(tblDaily[TransfersOut],tblDaily[EntryDate],DATE(2026,10,21),tblDaily[WardCode],"MW")),"")</f>
        <v/>
      </c>
      <c r="H378" s="29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IFERROR(IF(SUMIFS(tblDaily[Admissions],tblDaily[EntryDate],DATE(2026,10,22),tblDaily[WardCode],"MW")=0,"",SUMIFS(tblDaily[Admissions],tblDaily[EntryDate],DATE(2026,10,22),tblDaily[WardCode],"MW")),"")</f>
        <v/>
      </c>
      <c r="C379" s="29" t="str">
        <f>IFERROR(IF(SUMIFS(tblDaily[Discharges],tblDaily[EntryDate],DATE(2026,10,22),tblDaily[WardCode],"MW")=0,"",SUMIFS(tblDaily[Discharges],tblDaily[EntryDate],DATE(2026,10,22),tblDaily[WardCode],"MW")),"")</f>
        <v/>
      </c>
      <c r="D379" s="29" t="str">
        <f>IFERROR(IF(SUMIFS(tblDaily[Deaths],tblDaily[EntryDate],DATE(2026,10,22),tblDaily[WardCode],"MW")=0,"",SUMIFS(tblDaily[Deaths],tblDaily[EntryDate],DATE(2026,10,22),tblDaily[WardCode],"MW")),"")</f>
        <v/>
      </c>
      <c r="E379" s="29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29" t="str">
        <f>IFERROR(IF(SUMIFS(tblDaily[TransfersIn],tblDaily[EntryDate],DATE(2026,10,22),tblDaily[WardCode],"MW")=0,"",SUMIFS(tblDaily[TransfersIn],tblDaily[EntryDate],DATE(2026,10,22),tblDaily[WardCode],"MW")),"")</f>
        <v/>
      </c>
      <c r="G379" s="29" t="str">
        <f>IFERROR(IF(SUMIFS(tblDaily[TransfersOut],tblDaily[EntryDate],DATE(2026,10,22),tblDaily[WardCode],"MW")=0,"",SUMIFS(tblDaily[TransfersOut],tblDaily[EntryDate],DATE(2026,10,22),tblDaily[WardCode],"MW")),"")</f>
        <v/>
      </c>
      <c r="H379" s="29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IFERROR(IF(SUMIFS(tblDaily[Admissions],tblDaily[EntryDate],DATE(2026,10,23),tblDaily[WardCode],"MW")=0,"",SUMIFS(tblDaily[Admissions],tblDaily[EntryDate],DATE(2026,10,23),tblDaily[WardCode],"MW")),"")</f>
        <v/>
      </c>
      <c r="C380" s="29" t="str">
        <f>IFERROR(IF(SUMIFS(tblDaily[Discharges],tblDaily[EntryDate],DATE(2026,10,23),tblDaily[WardCode],"MW")=0,"",SUMIFS(tblDaily[Discharges],tblDaily[EntryDate],DATE(2026,10,23),tblDaily[WardCode],"MW")),"")</f>
        <v/>
      </c>
      <c r="D380" s="29" t="str">
        <f>IFERROR(IF(SUMIFS(tblDaily[Deaths],tblDaily[EntryDate],DATE(2026,10,23),tblDaily[WardCode],"MW")=0,"",SUMIFS(tblDaily[Deaths],tblDaily[EntryDate],DATE(2026,10,23),tblDaily[WardCode],"MW")),"")</f>
        <v/>
      </c>
      <c r="E380" s="29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29" t="str">
        <f>IFERROR(IF(SUMIFS(tblDaily[TransfersIn],tblDaily[EntryDate],DATE(2026,10,23),tblDaily[WardCode],"MW")=0,"",SUMIFS(tblDaily[TransfersIn],tblDaily[EntryDate],DATE(2026,10,23),tblDaily[WardCode],"MW")),"")</f>
        <v/>
      </c>
      <c r="G380" s="29" t="str">
        <f>IFERROR(IF(SUMIFS(tblDaily[TransfersOut],tblDaily[EntryDate],DATE(2026,10,23),tblDaily[WardCode],"MW")=0,"",SUMIFS(tblDaily[TransfersOut],tblDaily[EntryDate],DATE(2026,10,23),tblDaily[WardCode],"MW")),"")</f>
        <v/>
      </c>
      <c r="H380" s="29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IFERROR(IF(SUMIFS(tblDaily[Admissions],tblDaily[EntryDate],DATE(2026,10,24),tblDaily[WardCode],"MW")=0,"",SUMIFS(tblDaily[Admissions],tblDaily[EntryDate],DATE(2026,10,24),tblDaily[WardCode],"MW")),"")</f>
        <v/>
      </c>
      <c r="C381" s="29" t="str">
        <f>IFERROR(IF(SUMIFS(tblDaily[Discharges],tblDaily[EntryDate],DATE(2026,10,24),tblDaily[WardCode],"MW")=0,"",SUMIFS(tblDaily[Discharges],tblDaily[EntryDate],DATE(2026,10,24),tblDaily[WardCode],"MW")),"")</f>
        <v/>
      </c>
      <c r="D381" s="29" t="str">
        <f>IFERROR(IF(SUMIFS(tblDaily[Deaths],tblDaily[EntryDate],DATE(2026,10,24),tblDaily[WardCode],"MW")=0,"",SUMIFS(tblDaily[Deaths],tblDaily[EntryDate],DATE(2026,10,24),tblDaily[WardCode],"MW")),"")</f>
        <v/>
      </c>
      <c r="E381" s="29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29" t="str">
        <f>IFERROR(IF(SUMIFS(tblDaily[TransfersIn],tblDaily[EntryDate],DATE(2026,10,24),tblDaily[WardCode],"MW")=0,"",SUMIFS(tblDaily[TransfersIn],tblDaily[EntryDate],DATE(2026,10,24),tblDaily[WardCode],"MW")),"")</f>
        <v/>
      </c>
      <c r="G381" s="29" t="str">
        <f>IFERROR(IF(SUMIFS(tblDaily[TransfersOut],tblDaily[EntryDate],DATE(2026,10,24),tblDaily[WardCode],"MW")=0,"",SUMIFS(tblDaily[TransfersOut],tblDaily[EntryDate],DATE(2026,10,24),tblDaily[WardCode],"MW")),"")</f>
        <v/>
      </c>
      <c r="H381" s="29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IFERROR(IF(SUMIFS(tblDaily[Admissions],tblDaily[EntryDate],DATE(2026,10,25),tblDaily[WardCode],"MW")=0,"",SUMIFS(tblDaily[Admissions],tblDaily[EntryDate],DATE(2026,10,25),tblDaily[WardCode],"MW")),"")</f>
        <v/>
      </c>
      <c r="C382" s="29" t="str">
        <f>IFERROR(IF(SUMIFS(tblDaily[Discharges],tblDaily[EntryDate],DATE(2026,10,25),tblDaily[WardCode],"MW")=0,"",SUMIFS(tblDaily[Discharges],tblDaily[EntryDate],DATE(2026,10,25),tblDaily[WardCode],"MW")),"")</f>
        <v/>
      </c>
      <c r="D382" s="29" t="str">
        <f>IFERROR(IF(SUMIFS(tblDaily[Deaths],tblDaily[EntryDate],DATE(2026,10,25),tblDaily[WardCode],"MW")=0,"",SUMIFS(tblDaily[Deaths],tblDaily[EntryDate],DATE(2026,10,25),tblDaily[WardCode],"MW")),"")</f>
        <v/>
      </c>
      <c r="E382" s="29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29" t="str">
        <f>IFERROR(IF(SUMIFS(tblDaily[TransfersIn],tblDaily[EntryDate],DATE(2026,10,25),tblDaily[WardCode],"MW")=0,"",SUMIFS(tblDaily[TransfersIn],tblDaily[EntryDate],DATE(2026,10,25),tblDaily[WardCode],"MW")),"")</f>
        <v/>
      </c>
      <c r="G382" s="29" t="str">
        <f>IFERROR(IF(SUMIFS(tblDaily[TransfersOut],tblDaily[EntryDate],DATE(2026,10,25),tblDaily[WardCode],"MW")=0,"",SUMIFS(tblDaily[TransfersOut],tblDaily[EntryDate],DATE(2026,10,25),tblDaily[WardCode],"MW")),"")</f>
        <v/>
      </c>
      <c r="H382" s="29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IFERROR(IF(SUMIFS(tblDaily[Admissions],tblDaily[EntryDate],DATE(2026,10,26),tblDaily[WardCode],"MW")=0,"",SUMIFS(tblDaily[Admissions],tblDaily[EntryDate],DATE(2026,10,26),tblDaily[WardCode],"MW")),"")</f>
        <v/>
      </c>
      <c r="C383" s="29" t="str">
        <f>IFERROR(IF(SUMIFS(tblDaily[Discharges],tblDaily[EntryDate],DATE(2026,10,26),tblDaily[WardCode],"MW")=0,"",SUMIFS(tblDaily[Discharges],tblDaily[EntryDate],DATE(2026,10,26),tblDaily[WardCode],"MW")),"")</f>
        <v/>
      </c>
      <c r="D383" s="29" t="str">
        <f>IFERROR(IF(SUMIFS(tblDaily[Deaths],tblDaily[EntryDate],DATE(2026,10,26),tblDaily[WardCode],"MW")=0,"",SUMIFS(tblDaily[Deaths],tblDaily[EntryDate],DATE(2026,10,26),tblDaily[WardCode],"MW")),"")</f>
        <v/>
      </c>
      <c r="E383" s="29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29" t="str">
        <f>IFERROR(IF(SUMIFS(tblDaily[TransfersIn],tblDaily[EntryDate],DATE(2026,10,26),tblDaily[WardCode],"MW")=0,"",SUMIFS(tblDaily[TransfersIn],tblDaily[EntryDate],DATE(2026,10,26),tblDaily[WardCode],"MW")),"")</f>
        <v/>
      </c>
      <c r="G383" s="29" t="str">
        <f>IFERROR(IF(SUMIFS(tblDaily[TransfersOut],tblDaily[EntryDate],DATE(2026,10,26),tblDaily[WardCode],"MW")=0,"",SUMIFS(tblDaily[TransfersOut],tblDaily[EntryDate],DATE(2026,10,26),tblDaily[WardCode],"MW")),"")</f>
        <v/>
      </c>
      <c r="H383" s="29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IFERROR(IF(SUMIFS(tblDaily[Admissions],tblDaily[EntryDate],DATE(2026,10,27),tblDaily[WardCode],"MW")=0,"",SUMIFS(tblDaily[Admissions],tblDaily[EntryDate],DATE(2026,10,27),tblDaily[WardCode],"MW")),"")</f>
        <v/>
      </c>
      <c r="C384" s="29" t="str">
        <f>IFERROR(IF(SUMIFS(tblDaily[Discharges],tblDaily[EntryDate],DATE(2026,10,27),tblDaily[WardCode],"MW")=0,"",SUMIFS(tblDaily[Discharges],tblDaily[EntryDate],DATE(2026,10,27),tblDaily[WardCode],"MW")),"")</f>
        <v/>
      </c>
      <c r="D384" s="29" t="str">
        <f>IFERROR(IF(SUMIFS(tblDaily[Deaths],tblDaily[EntryDate],DATE(2026,10,27),tblDaily[WardCode],"MW")=0,"",SUMIFS(tblDaily[Deaths],tblDaily[EntryDate],DATE(2026,10,27),tblDaily[WardCode],"MW")),"")</f>
        <v/>
      </c>
      <c r="E384" s="29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29" t="str">
        <f>IFERROR(IF(SUMIFS(tblDaily[TransfersIn],tblDaily[EntryDate],DATE(2026,10,27),tblDaily[WardCode],"MW")=0,"",SUMIFS(tblDaily[TransfersIn],tblDaily[EntryDate],DATE(2026,10,27),tblDaily[WardCode],"MW")),"")</f>
        <v/>
      </c>
      <c r="G384" s="29" t="str">
        <f>IFERROR(IF(SUMIFS(tblDaily[TransfersOut],tblDaily[EntryDate],DATE(2026,10,27),tblDaily[WardCode],"MW")=0,"",SUMIFS(tblDaily[TransfersOut],tblDaily[EntryDate],DATE(2026,10,27),tblDaily[WardCode],"MW")),"")</f>
        <v/>
      </c>
      <c r="H384" s="29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IFERROR(IF(SUMIFS(tblDaily[Admissions],tblDaily[EntryDate],DATE(2026,10,28),tblDaily[WardCode],"MW")=0,"",SUMIFS(tblDaily[Admissions],tblDaily[EntryDate],DATE(2026,10,28),tblDaily[WardCode],"MW")),"")</f>
        <v/>
      </c>
      <c r="C385" s="29" t="str">
        <f>IFERROR(IF(SUMIFS(tblDaily[Discharges],tblDaily[EntryDate],DATE(2026,10,28),tblDaily[WardCode],"MW")=0,"",SUMIFS(tblDaily[Discharges],tblDaily[EntryDate],DATE(2026,10,28),tblDaily[WardCode],"MW")),"")</f>
        <v/>
      </c>
      <c r="D385" s="29" t="str">
        <f>IFERROR(IF(SUMIFS(tblDaily[Deaths],tblDaily[EntryDate],DATE(2026,10,28),tblDaily[WardCode],"MW")=0,"",SUMIFS(tblDaily[Deaths],tblDaily[EntryDate],DATE(2026,10,28),tblDaily[WardCode],"MW")),"")</f>
        <v/>
      </c>
      <c r="E385" s="29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29" t="str">
        <f>IFERROR(IF(SUMIFS(tblDaily[TransfersIn],tblDaily[EntryDate],DATE(2026,10,28),tblDaily[WardCode],"MW")=0,"",SUMIFS(tblDaily[TransfersIn],tblDaily[EntryDate],DATE(2026,10,28),tblDaily[WardCode],"MW")),"")</f>
        <v/>
      </c>
      <c r="G385" s="29" t="str">
        <f>IFERROR(IF(SUMIFS(tblDaily[TransfersOut],tblDaily[EntryDate],DATE(2026,10,28),tblDaily[WardCode],"MW")=0,"",SUMIFS(tblDaily[TransfersOut],tblDaily[EntryDate],DATE(2026,10,28),tblDaily[WardCode],"MW")),"")</f>
        <v/>
      </c>
      <c r="H385" s="29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IFERROR(IF(SUMIFS(tblDaily[Admissions],tblDaily[EntryDate],DATE(2026,10,29),tblDaily[WardCode],"MW")=0,"",SUMIFS(tblDaily[Admissions],tblDaily[EntryDate],DATE(2026,10,29),tblDaily[WardCode],"MW")),"")</f>
        <v/>
      </c>
      <c r="C386" s="29" t="str">
        <f>IFERROR(IF(SUMIFS(tblDaily[Discharges],tblDaily[EntryDate],DATE(2026,10,29),tblDaily[WardCode],"MW")=0,"",SUMIFS(tblDaily[Discharges],tblDaily[EntryDate],DATE(2026,10,29),tblDaily[WardCode],"MW")),"")</f>
        <v/>
      </c>
      <c r="D386" s="29" t="str">
        <f>IFERROR(IF(SUMIFS(tblDaily[Deaths],tblDaily[EntryDate],DATE(2026,10,29),tblDaily[WardCode],"MW")=0,"",SUMIFS(tblDaily[Deaths],tblDaily[EntryDate],DATE(2026,10,29),tblDaily[WardCode],"MW")),"")</f>
        <v/>
      </c>
      <c r="E386" s="29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29" t="str">
        <f>IFERROR(IF(SUMIFS(tblDaily[TransfersIn],tblDaily[EntryDate],DATE(2026,10,29),tblDaily[WardCode],"MW")=0,"",SUMIFS(tblDaily[TransfersIn],tblDaily[EntryDate],DATE(2026,10,29),tblDaily[WardCode],"MW")),"")</f>
        <v/>
      </c>
      <c r="G386" s="29" t="str">
        <f>IFERROR(IF(SUMIFS(tblDaily[TransfersOut],tblDaily[EntryDate],DATE(2026,10,29),tblDaily[WardCode],"MW")=0,"",SUMIFS(tblDaily[TransfersOut],tblDaily[EntryDate],DATE(2026,10,29),tblDaily[WardCode],"MW")),"")</f>
        <v/>
      </c>
      <c r="H386" s="29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IFERROR(IF(SUMIFS(tblDaily[Admissions],tblDaily[EntryDate],DATE(2026,10,30),tblDaily[WardCode],"MW")=0,"",SUMIFS(tblDaily[Admissions],tblDaily[EntryDate],DATE(2026,10,30),tblDaily[WardCode],"MW")),"")</f>
        <v/>
      </c>
      <c r="C387" s="29" t="str">
        <f>IFERROR(IF(SUMIFS(tblDaily[Discharges],tblDaily[EntryDate],DATE(2026,10,30),tblDaily[WardCode],"MW")=0,"",SUMIFS(tblDaily[Discharges],tblDaily[EntryDate],DATE(2026,10,30),tblDaily[WardCode],"MW")),"")</f>
        <v/>
      </c>
      <c r="D387" s="29" t="str">
        <f>IFERROR(IF(SUMIFS(tblDaily[Deaths],tblDaily[EntryDate],DATE(2026,10,30),tblDaily[WardCode],"MW")=0,"",SUMIFS(tblDaily[Deaths],tblDaily[EntryDate],DATE(2026,10,30),tblDaily[WardCode],"MW")),"")</f>
        <v/>
      </c>
      <c r="E387" s="29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29" t="str">
        <f>IFERROR(IF(SUMIFS(tblDaily[TransfersIn],tblDaily[EntryDate],DATE(2026,10,30),tblDaily[WardCode],"MW")=0,"",SUMIFS(tblDaily[TransfersIn],tblDaily[EntryDate],DATE(2026,10,30),tblDaily[WardCode],"MW")),"")</f>
        <v/>
      </c>
      <c r="G387" s="29" t="str">
        <f>IFERROR(IF(SUMIFS(tblDaily[TransfersOut],tblDaily[EntryDate],DATE(2026,10,30),tblDaily[WardCode],"MW")=0,"",SUMIFS(tblDaily[TransfersOut],tblDaily[EntryDate],DATE(2026,10,30),tblDaily[WardCode],"MW")),"")</f>
        <v/>
      </c>
      <c r="H387" s="29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IFERROR(IF(SUMIFS(tblDaily[Admissions],tblDaily[EntryDate],DATE(2026,10,31),tblDaily[WardCode],"MW")=0,"",SUMIFS(tblDaily[Admissions],tblDaily[EntryDate],DATE(2026,10,31),tblDaily[WardCode],"MW")),"")</f>
        <v/>
      </c>
      <c r="C388" s="29" t="str">
        <f>IFERROR(IF(SUMIFS(tblDaily[Discharges],tblDaily[EntryDate],DATE(2026,10,31),tblDaily[WardCode],"MW")=0,"",SUMIFS(tblDaily[Discharges],tblDaily[EntryDate],DATE(2026,10,31),tblDaily[WardCode],"MW")),"")</f>
        <v/>
      </c>
      <c r="D388" s="29" t="str">
        <f>IFERROR(IF(SUMIFS(tblDaily[Deaths],tblDaily[EntryDate],DATE(2026,10,31),tblDaily[WardCode],"MW")=0,"",SUMIFS(tblDaily[Deaths],tblDaily[EntryDate],DATE(2026,10,31),tblDaily[WardCode],"MW")),"")</f>
        <v/>
      </c>
      <c r="E388" s="29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29" t="str">
        <f>IFERROR(IF(SUMIFS(tblDaily[TransfersIn],tblDaily[EntryDate],DATE(2026,10,31),tblDaily[WardCode],"MW")=0,"",SUMIFS(tblDaily[TransfersIn],tblDaily[EntryDate],DATE(2026,10,31),tblDaily[WardCode],"MW")),"")</f>
        <v/>
      </c>
      <c r="G388" s="29" t="str">
        <f>IFERROR(IF(SUMIFS(tblDaily[TransfersOut],tblDaily[EntryDate],DATE(2026,10,31),tblDaily[WardCode],"MW")=0,"",SUMIFS(tblDaily[TransfersOut],tblDaily[EntryDate],DATE(2026,10,31),tblDaily[WardCode],"MW")),"")</f>
        <v/>
      </c>
      <c r="H388" s="29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30" t="s">
        <v>115</v>
      </c>
      <c r="B389" s="30">
        <f>SUMIFS(tblDaily[Admissions],tblDaily[Month],10,tblDaily[WardCode],"MW") - SUMIFS(tblDaily[DeathsUnder24Hrs],tblDaily[Month],10,tblDaily[WardCode],"MW")</f>
        <v>0</v>
      </c>
      <c r="C389" s="30">
        <f>SUMIFS(tblDaily[Discharges],tblDaily[Month],10,tblDaily[WardCode],"MW")</f>
        <v>0</v>
      </c>
      <c r="D389" s="30">
        <f>SUMIFS(tblDaily[Deaths],tblDaily[Month],10,tblDaily[WardCode],"MW")</f>
        <v>0</v>
      </c>
      <c r="E389" s="30">
        <f>SUMIFS(tblDaily[DeathsUnder24Hrs],tblDaily[Month],10,tblDaily[WardCode],"MW")</f>
        <v>0</v>
      </c>
      <c r="F389" s="30">
        <f>SUMIFS(tblDaily[TransfersIn],tblDaily[Month],10,tblDaily[WardCode],"MW")</f>
        <v>0</v>
      </c>
      <c r="G389" s="30">
        <f>SUMIFS(tblDaily[TransfersOut],tblDaily[Month],10,tblDaily[WardCode],"MW")</f>
        <v>0</v>
      </c>
      <c r="H389" s="30">
        <f>SUMIFS(tblDaily[Remaining],tblDaily[Month],10,tblDaily[WardCode],"MW")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106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IFERROR(SUMIFS(tblDaily[Remaining],tblDaily[EntryDate],DATE(2026,10,31),tblDaily[WardCode],"MW"),0)</f>
        <v>0</v>
      </c>
    </row>
    <row r="395" spans="1:8" x14ac:dyDescent="0.25">
      <c r="A395" s="24" t="s">
        <v>109</v>
      </c>
      <c r="H395" s="27">
        <f>IFERROR(INDEX(tblWardConfig[BedComplement],MATCH("MW",tblWardConfig[WardCode],0)),0)</f>
        <v>32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IFERROR(IF(SUMIFS(tblDaily[Admissions],tblDaily[EntryDate],DATE(2026,11,1),tblDaily[WardCode],"MW")=0,"",SUMIFS(tblDaily[Admissions],tblDaily[EntryDate],DATE(2026,11,1),tblDaily[WardCode],"MW")),"")</f>
        <v/>
      </c>
      <c r="C397" s="29" t="str">
        <f>IFERROR(IF(SUMIFS(tblDaily[Discharges],tblDaily[EntryDate],DATE(2026,11,1),tblDaily[WardCode],"MW")=0,"",SUMIFS(tblDaily[Discharges],tblDaily[EntryDate],DATE(2026,11,1),tblDaily[WardCode],"MW")),"")</f>
        <v/>
      </c>
      <c r="D397" s="29" t="str">
        <f>IFERROR(IF(SUMIFS(tblDaily[Deaths],tblDaily[EntryDate],DATE(2026,11,1),tblDaily[WardCode],"MW")=0,"",SUMIFS(tblDaily[Deaths],tblDaily[EntryDate],DATE(2026,11,1),tblDaily[WardCode],"MW")),"")</f>
        <v/>
      </c>
      <c r="E397" s="29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29" t="str">
        <f>IFERROR(IF(SUMIFS(tblDaily[TransfersIn],tblDaily[EntryDate],DATE(2026,11,1),tblDaily[WardCode],"MW")=0,"",SUMIFS(tblDaily[TransfersIn],tblDaily[EntryDate],DATE(2026,11,1),tblDaily[WardCode],"MW")),"")</f>
        <v/>
      </c>
      <c r="G397" s="29" t="str">
        <f>IFERROR(IF(SUMIFS(tblDaily[TransfersOut],tblDaily[EntryDate],DATE(2026,11,1),tblDaily[WardCode],"MW")=0,"",SUMIFS(tblDaily[TransfersOut],tblDaily[EntryDate],DATE(2026,11,1),tblDaily[WardCode],"MW")),"")</f>
        <v/>
      </c>
      <c r="H397" s="29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IFERROR(IF(SUMIFS(tblDaily[Admissions],tblDaily[EntryDate],DATE(2026,11,2),tblDaily[WardCode],"MW")=0,"",SUMIFS(tblDaily[Admissions],tblDaily[EntryDate],DATE(2026,11,2),tblDaily[WardCode],"MW")),"")</f>
        <v/>
      </c>
      <c r="C398" s="29" t="str">
        <f>IFERROR(IF(SUMIFS(tblDaily[Discharges],tblDaily[EntryDate],DATE(2026,11,2),tblDaily[WardCode],"MW")=0,"",SUMIFS(tblDaily[Discharges],tblDaily[EntryDate],DATE(2026,11,2),tblDaily[WardCode],"MW")),"")</f>
        <v/>
      </c>
      <c r="D398" s="29" t="str">
        <f>IFERROR(IF(SUMIFS(tblDaily[Deaths],tblDaily[EntryDate],DATE(2026,11,2),tblDaily[WardCode],"MW")=0,"",SUMIFS(tblDaily[Deaths],tblDaily[EntryDate],DATE(2026,11,2),tblDaily[WardCode],"MW")),"")</f>
        <v/>
      </c>
      <c r="E398" s="29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29" t="str">
        <f>IFERROR(IF(SUMIFS(tblDaily[TransfersIn],tblDaily[EntryDate],DATE(2026,11,2),tblDaily[WardCode],"MW")=0,"",SUMIFS(tblDaily[TransfersIn],tblDaily[EntryDate],DATE(2026,11,2),tblDaily[WardCode],"MW")),"")</f>
        <v/>
      </c>
      <c r="G398" s="29" t="str">
        <f>IFERROR(IF(SUMIFS(tblDaily[TransfersOut],tblDaily[EntryDate],DATE(2026,11,2),tblDaily[WardCode],"MW")=0,"",SUMIFS(tblDaily[TransfersOut],tblDaily[EntryDate],DATE(2026,11,2),tblDaily[WardCode],"MW")),"")</f>
        <v/>
      </c>
      <c r="H398" s="29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IFERROR(IF(SUMIFS(tblDaily[Admissions],tblDaily[EntryDate],DATE(2026,11,3),tblDaily[WardCode],"MW")=0,"",SUMIFS(tblDaily[Admissions],tblDaily[EntryDate],DATE(2026,11,3),tblDaily[WardCode],"MW")),"")</f>
        <v/>
      </c>
      <c r="C399" s="29" t="str">
        <f>IFERROR(IF(SUMIFS(tblDaily[Discharges],tblDaily[EntryDate],DATE(2026,11,3),tblDaily[WardCode],"MW")=0,"",SUMIFS(tblDaily[Discharges],tblDaily[EntryDate],DATE(2026,11,3),tblDaily[WardCode],"MW")),"")</f>
        <v/>
      </c>
      <c r="D399" s="29" t="str">
        <f>IFERROR(IF(SUMIFS(tblDaily[Deaths],tblDaily[EntryDate],DATE(2026,11,3),tblDaily[WardCode],"MW")=0,"",SUMIFS(tblDaily[Deaths],tblDaily[EntryDate],DATE(2026,11,3),tblDaily[WardCode],"MW")),"")</f>
        <v/>
      </c>
      <c r="E399" s="29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29" t="str">
        <f>IFERROR(IF(SUMIFS(tblDaily[TransfersIn],tblDaily[EntryDate],DATE(2026,11,3),tblDaily[WardCode],"MW")=0,"",SUMIFS(tblDaily[TransfersIn],tblDaily[EntryDate],DATE(2026,11,3),tblDaily[WardCode],"MW")),"")</f>
        <v/>
      </c>
      <c r="G399" s="29" t="str">
        <f>IFERROR(IF(SUMIFS(tblDaily[TransfersOut],tblDaily[EntryDate],DATE(2026,11,3),tblDaily[WardCode],"MW")=0,"",SUMIFS(tblDaily[TransfersOut],tblDaily[EntryDate],DATE(2026,11,3),tblDaily[WardCode],"MW")),"")</f>
        <v/>
      </c>
      <c r="H399" s="29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IFERROR(IF(SUMIFS(tblDaily[Admissions],tblDaily[EntryDate],DATE(2026,11,4),tblDaily[WardCode],"MW")=0,"",SUMIFS(tblDaily[Admissions],tblDaily[EntryDate],DATE(2026,11,4),tblDaily[WardCode],"MW")),"")</f>
        <v/>
      </c>
      <c r="C400" s="29" t="str">
        <f>IFERROR(IF(SUMIFS(tblDaily[Discharges],tblDaily[EntryDate],DATE(2026,11,4),tblDaily[WardCode],"MW")=0,"",SUMIFS(tblDaily[Discharges],tblDaily[EntryDate],DATE(2026,11,4),tblDaily[WardCode],"MW")),"")</f>
        <v/>
      </c>
      <c r="D400" s="29" t="str">
        <f>IFERROR(IF(SUMIFS(tblDaily[Deaths],tblDaily[EntryDate],DATE(2026,11,4),tblDaily[WardCode],"MW")=0,"",SUMIFS(tblDaily[Deaths],tblDaily[EntryDate],DATE(2026,11,4),tblDaily[WardCode],"MW")),"")</f>
        <v/>
      </c>
      <c r="E400" s="29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29" t="str">
        <f>IFERROR(IF(SUMIFS(tblDaily[TransfersIn],tblDaily[EntryDate],DATE(2026,11,4),tblDaily[WardCode],"MW")=0,"",SUMIFS(tblDaily[TransfersIn],tblDaily[EntryDate],DATE(2026,11,4),tblDaily[WardCode],"MW")),"")</f>
        <v/>
      </c>
      <c r="G400" s="29" t="str">
        <f>IFERROR(IF(SUMIFS(tblDaily[TransfersOut],tblDaily[EntryDate],DATE(2026,11,4),tblDaily[WardCode],"MW")=0,"",SUMIFS(tblDaily[TransfersOut],tblDaily[EntryDate],DATE(2026,11,4),tblDaily[WardCode],"MW")),"")</f>
        <v/>
      </c>
      <c r="H400" s="29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IFERROR(IF(SUMIFS(tblDaily[Admissions],tblDaily[EntryDate],DATE(2026,11,5),tblDaily[WardCode],"MW")=0,"",SUMIFS(tblDaily[Admissions],tblDaily[EntryDate],DATE(2026,11,5),tblDaily[WardCode],"MW")),"")</f>
        <v/>
      </c>
      <c r="C401" s="29" t="str">
        <f>IFERROR(IF(SUMIFS(tblDaily[Discharges],tblDaily[EntryDate],DATE(2026,11,5),tblDaily[WardCode],"MW")=0,"",SUMIFS(tblDaily[Discharges],tblDaily[EntryDate],DATE(2026,11,5),tblDaily[WardCode],"MW")),"")</f>
        <v/>
      </c>
      <c r="D401" s="29" t="str">
        <f>IFERROR(IF(SUMIFS(tblDaily[Deaths],tblDaily[EntryDate],DATE(2026,11,5),tblDaily[WardCode],"MW")=0,"",SUMIFS(tblDaily[Deaths],tblDaily[EntryDate],DATE(2026,11,5),tblDaily[WardCode],"MW")),"")</f>
        <v/>
      </c>
      <c r="E401" s="29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29" t="str">
        <f>IFERROR(IF(SUMIFS(tblDaily[TransfersIn],tblDaily[EntryDate],DATE(2026,11,5),tblDaily[WardCode],"MW")=0,"",SUMIFS(tblDaily[TransfersIn],tblDaily[EntryDate],DATE(2026,11,5),tblDaily[WardCode],"MW")),"")</f>
        <v/>
      </c>
      <c r="G401" s="29" t="str">
        <f>IFERROR(IF(SUMIFS(tblDaily[TransfersOut],tblDaily[EntryDate],DATE(2026,11,5),tblDaily[WardCode],"MW")=0,"",SUMIFS(tblDaily[TransfersOut],tblDaily[EntryDate],DATE(2026,11,5),tblDaily[WardCode],"MW")),"")</f>
        <v/>
      </c>
      <c r="H401" s="29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IFERROR(IF(SUMIFS(tblDaily[Admissions],tblDaily[EntryDate],DATE(2026,11,6),tblDaily[WardCode],"MW")=0,"",SUMIFS(tblDaily[Admissions],tblDaily[EntryDate],DATE(2026,11,6),tblDaily[WardCode],"MW")),"")</f>
        <v/>
      </c>
      <c r="C402" s="29" t="str">
        <f>IFERROR(IF(SUMIFS(tblDaily[Discharges],tblDaily[EntryDate],DATE(2026,11,6),tblDaily[WardCode],"MW")=0,"",SUMIFS(tblDaily[Discharges],tblDaily[EntryDate],DATE(2026,11,6),tblDaily[WardCode],"MW")),"")</f>
        <v/>
      </c>
      <c r="D402" s="29" t="str">
        <f>IFERROR(IF(SUMIFS(tblDaily[Deaths],tblDaily[EntryDate],DATE(2026,11,6),tblDaily[WardCode],"MW")=0,"",SUMIFS(tblDaily[Deaths],tblDaily[EntryDate],DATE(2026,11,6),tblDaily[WardCode],"MW")),"")</f>
        <v/>
      </c>
      <c r="E402" s="29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29" t="str">
        <f>IFERROR(IF(SUMIFS(tblDaily[TransfersIn],tblDaily[EntryDate],DATE(2026,11,6),tblDaily[WardCode],"MW")=0,"",SUMIFS(tblDaily[TransfersIn],tblDaily[EntryDate],DATE(2026,11,6),tblDaily[WardCode],"MW")),"")</f>
        <v/>
      </c>
      <c r="G402" s="29" t="str">
        <f>IFERROR(IF(SUMIFS(tblDaily[TransfersOut],tblDaily[EntryDate],DATE(2026,11,6),tblDaily[WardCode],"MW")=0,"",SUMIFS(tblDaily[TransfersOut],tblDaily[EntryDate],DATE(2026,11,6),tblDaily[WardCode],"MW")),"")</f>
        <v/>
      </c>
      <c r="H402" s="29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IFERROR(IF(SUMIFS(tblDaily[Admissions],tblDaily[EntryDate],DATE(2026,11,7),tblDaily[WardCode],"MW")=0,"",SUMIFS(tblDaily[Admissions],tblDaily[EntryDate],DATE(2026,11,7),tblDaily[WardCode],"MW")),"")</f>
        <v/>
      </c>
      <c r="C403" s="29" t="str">
        <f>IFERROR(IF(SUMIFS(tblDaily[Discharges],tblDaily[EntryDate],DATE(2026,11,7),tblDaily[WardCode],"MW")=0,"",SUMIFS(tblDaily[Discharges],tblDaily[EntryDate],DATE(2026,11,7),tblDaily[WardCode],"MW")),"")</f>
        <v/>
      </c>
      <c r="D403" s="29" t="str">
        <f>IFERROR(IF(SUMIFS(tblDaily[Deaths],tblDaily[EntryDate],DATE(2026,11,7),tblDaily[WardCode],"MW")=0,"",SUMIFS(tblDaily[Deaths],tblDaily[EntryDate],DATE(2026,11,7),tblDaily[WardCode],"MW")),"")</f>
        <v/>
      </c>
      <c r="E403" s="29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29" t="str">
        <f>IFERROR(IF(SUMIFS(tblDaily[TransfersIn],tblDaily[EntryDate],DATE(2026,11,7),tblDaily[WardCode],"MW")=0,"",SUMIFS(tblDaily[TransfersIn],tblDaily[EntryDate],DATE(2026,11,7),tblDaily[WardCode],"MW")),"")</f>
        <v/>
      </c>
      <c r="G403" s="29" t="str">
        <f>IFERROR(IF(SUMIFS(tblDaily[TransfersOut],tblDaily[EntryDate],DATE(2026,11,7),tblDaily[WardCode],"MW")=0,"",SUMIFS(tblDaily[TransfersOut],tblDaily[EntryDate],DATE(2026,11,7),tblDaily[WardCode],"MW")),"")</f>
        <v/>
      </c>
      <c r="H403" s="29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IFERROR(IF(SUMIFS(tblDaily[Admissions],tblDaily[EntryDate],DATE(2026,11,8),tblDaily[WardCode],"MW")=0,"",SUMIFS(tblDaily[Admissions],tblDaily[EntryDate],DATE(2026,11,8),tblDaily[WardCode],"MW")),"")</f>
        <v/>
      </c>
      <c r="C404" s="29" t="str">
        <f>IFERROR(IF(SUMIFS(tblDaily[Discharges],tblDaily[EntryDate],DATE(2026,11,8),tblDaily[WardCode],"MW")=0,"",SUMIFS(tblDaily[Discharges],tblDaily[EntryDate],DATE(2026,11,8),tblDaily[WardCode],"MW")),"")</f>
        <v/>
      </c>
      <c r="D404" s="29" t="str">
        <f>IFERROR(IF(SUMIFS(tblDaily[Deaths],tblDaily[EntryDate],DATE(2026,11,8),tblDaily[WardCode],"MW")=0,"",SUMIFS(tblDaily[Deaths],tblDaily[EntryDate],DATE(2026,11,8),tblDaily[WardCode],"MW")),"")</f>
        <v/>
      </c>
      <c r="E404" s="29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29" t="str">
        <f>IFERROR(IF(SUMIFS(tblDaily[TransfersIn],tblDaily[EntryDate],DATE(2026,11,8),tblDaily[WardCode],"MW")=0,"",SUMIFS(tblDaily[TransfersIn],tblDaily[EntryDate],DATE(2026,11,8),tblDaily[WardCode],"MW")),"")</f>
        <v/>
      </c>
      <c r="G404" s="29" t="str">
        <f>IFERROR(IF(SUMIFS(tblDaily[TransfersOut],tblDaily[EntryDate],DATE(2026,11,8),tblDaily[WardCode],"MW")=0,"",SUMIFS(tblDaily[TransfersOut],tblDaily[EntryDate],DATE(2026,11,8),tblDaily[WardCode],"MW")),"")</f>
        <v/>
      </c>
      <c r="H404" s="29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IFERROR(IF(SUMIFS(tblDaily[Admissions],tblDaily[EntryDate],DATE(2026,11,9),tblDaily[WardCode],"MW")=0,"",SUMIFS(tblDaily[Admissions],tblDaily[EntryDate],DATE(2026,11,9),tblDaily[WardCode],"MW")),"")</f>
        <v/>
      </c>
      <c r="C405" s="29" t="str">
        <f>IFERROR(IF(SUMIFS(tblDaily[Discharges],tblDaily[EntryDate],DATE(2026,11,9),tblDaily[WardCode],"MW")=0,"",SUMIFS(tblDaily[Discharges],tblDaily[EntryDate],DATE(2026,11,9),tblDaily[WardCode],"MW")),"")</f>
        <v/>
      </c>
      <c r="D405" s="29" t="str">
        <f>IFERROR(IF(SUMIFS(tblDaily[Deaths],tblDaily[EntryDate],DATE(2026,11,9),tblDaily[WardCode],"MW")=0,"",SUMIFS(tblDaily[Deaths],tblDaily[EntryDate],DATE(2026,11,9),tblDaily[WardCode],"MW")),"")</f>
        <v/>
      </c>
      <c r="E405" s="29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29" t="str">
        <f>IFERROR(IF(SUMIFS(tblDaily[TransfersIn],tblDaily[EntryDate],DATE(2026,11,9),tblDaily[WardCode],"MW")=0,"",SUMIFS(tblDaily[TransfersIn],tblDaily[EntryDate],DATE(2026,11,9),tblDaily[WardCode],"MW")),"")</f>
        <v/>
      </c>
      <c r="G405" s="29" t="str">
        <f>IFERROR(IF(SUMIFS(tblDaily[TransfersOut],tblDaily[EntryDate],DATE(2026,11,9),tblDaily[WardCode],"MW")=0,"",SUMIFS(tblDaily[TransfersOut],tblDaily[EntryDate],DATE(2026,11,9),tblDaily[WardCode],"MW")),"")</f>
        <v/>
      </c>
      <c r="H405" s="29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IFERROR(IF(SUMIFS(tblDaily[Admissions],tblDaily[EntryDate],DATE(2026,11,10),tblDaily[WardCode],"MW")=0,"",SUMIFS(tblDaily[Admissions],tblDaily[EntryDate],DATE(2026,11,10),tblDaily[WardCode],"MW")),"")</f>
        <v/>
      </c>
      <c r="C406" s="29" t="str">
        <f>IFERROR(IF(SUMIFS(tblDaily[Discharges],tblDaily[EntryDate],DATE(2026,11,10),tblDaily[WardCode],"MW")=0,"",SUMIFS(tblDaily[Discharges],tblDaily[EntryDate],DATE(2026,11,10),tblDaily[WardCode],"MW")),"")</f>
        <v/>
      </c>
      <c r="D406" s="29" t="str">
        <f>IFERROR(IF(SUMIFS(tblDaily[Deaths],tblDaily[EntryDate],DATE(2026,11,10),tblDaily[WardCode],"MW")=0,"",SUMIFS(tblDaily[Deaths],tblDaily[EntryDate],DATE(2026,11,10),tblDaily[WardCode],"MW")),"")</f>
        <v/>
      </c>
      <c r="E406" s="29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29" t="str">
        <f>IFERROR(IF(SUMIFS(tblDaily[TransfersIn],tblDaily[EntryDate],DATE(2026,11,10),tblDaily[WardCode],"MW")=0,"",SUMIFS(tblDaily[TransfersIn],tblDaily[EntryDate],DATE(2026,11,10),tblDaily[WardCode],"MW")),"")</f>
        <v/>
      </c>
      <c r="G406" s="29" t="str">
        <f>IFERROR(IF(SUMIFS(tblDaily[TransfersOut],tblDaily[EntryDate],DATE(2026,11,10),tblDaily[WardCode],"MW")=0,"",SUMIFS(tblDaily[TransfersOut],tblDaily[EntryDate],DATE(2026,11,10),tblDaily[WardCode],"MW")),"")</f>
        <v/>
      </c>
      <c r="H406" s="29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IFERROR(IF(SUMIFS(tblDaily[Admissions],tblDaily[EntryDate],DATE(2026,11,11),tblDaily[WardCode],"MW")=0,"",SUMIFS(tblDaily[Admissions],tblDaily[EntryDate],DATE(2026,11,11),tblDaily[WardCode],"MW")),"")</f>
        <v/>
      </c>
      <c r="C407" s="29" t="str">
        <f>IFERROR(IF(SUMIFS(tblDaily[Discharges],tblDaily[EntryDate],DATE(2026,11,11),tblDaily[WardCode],"MW")=0,"",SUMIFS(tblDaily[Discharges],tblDaily[EntryDate],DATE(2026,11,11),tblDaily[WardCode],"MW")),"")</f>
        <v/>
      </c>
      <c r="D407" s="29" t="str">
        <f>IFERROR(IF(SUMIFS(tblDaily[Deaths],tblDaily[EntryDate],DATE(2026,11,11),tblDaily[WardCode],"MW")=0,"",SUMIFS(tblDaily[Deaths],tblDaily[EntryDate],DATE(2026,11,11),tblDaily[WardCode],"MW")),"")</f>
        <v/>
      </c>
      <c r="E407" s="29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29" t="str">
        <f>IFERROR(IF(SUMIFS(tblDaily[TransfersIn],tblDaily[EntryDate],DATE(2026,11,11),tblDaily[WardCode],"MW")=0,"",SUMIFS(tblDaily[TransfersIn],tblDaily[EntryDate],DATE(2026,11,11),tblDaily[WardCode],"MW")),"")</f>
        <v/>
      </c>
      <c r="G407" s="29" t="str">
        <f>IFERROR(IF(SUMIFS(tblDaily[TransfersOut],tblDaily[EntryDate],DATE(2026,11,11),tblDaily[WardCode],"MW")=0,"",SUMIFS(tblDaily[TransfersOut],tblDaily[EntryDate],DATE(2026,11,11),tblDaily[WardCode],"MW")),"")</f>
        <v/>
      </c>
      <c r="H407" s="29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IFERROR(IF(SUMIFS(tblDaily[Admissions],tblDaily[EntryDate],DATE(2026,11,12),tblDaily[WardCode],"MW")=0,"",SUMIFS(tblDaily[Admissions],tblDaily[EntryDate],DATE(2026,11,12),tblDaily[WardCode],"MW")),"")</f>
        <v/>
      </c>
      <c r="C408" s="29" t="str">
        <f>IFERROR(IF(SUMIFS(tblDaily[Discharges],tblDaily[EntryDate],DATE(2026,11,12),tblDaily[WardCode],"MW")=0,"",SUMIFS(tblDaily[Discharges],tblDaily[EntryDate],DATE(2026,11,12),tblDaily[WardCode],"MW")),"")</f>
        <v/>
      </c>
      <c r="D408" s="29" t="str">
        <f>IFERROR(IF(SUMIFS(tblDaily[Deaths],tblDaily[EntryDate],DATE(2026,11,12),tblDaily[WardCode],"MW")=0,"",SUMIFS(tblDaily[Deaths],tblDaily[EntryDate],DATE(2026,11,12),tblDaily[WardCode],"MW")),"")</f>
        <v/>
      </c>
      <c r="E408" s="29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29" t="str">
        <f>IFERROR(IF(SUMIFS(tblDaily[TransfersIn],tblDaily[EntryDate],DATE(2026,11,12),tblDaily[WardCode],"MW")=0,"",SUMIFS(tblDaily[TransfersIn],tblDaily[EntryDate],DATE(2026,11,12),tblDaily[WardCode],"MW")),"")</f>
        <v/>
      </c>
      <c r="G408" s="29" t="str">
        <f>IFERROR(IF(SUMIFS(tblDaily[TransfersOut],tblDaily[EntryDate],DATE(2026,11,12),tblDaily[WardCode],"MW")=0,"",SUMIFS(tblDaily[TransfersOut],tblDaily[EntryDate],DATE(2026,11,12),tblDaily[WardCode],"MW")),"")</f>
        <v/>
      </c>
      <c r="H408" s="29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IFERROR(IF(SUMIFS(tblDaily[Admissions],tblDaily[EntryDate],DATE(2026,11,13),tblDaily[WardCode],"MW")=0,"",SUMIFS(tblDaily[Admissions],tblDaily[EntryDate],DATE(2026,11,13),tblDaily[WardCode],"MW")),"")</f>
        <v/>
      </c>
      <c r="C409" s="29" t="str">
        <f>IFERROR(IF(SUMIFS(tblDaily[Discharges],tblDaily[EntryDate],DATE(2026,11,13),tblDaily[WardCode],"MW")=0,"",SUMIFS(tblDaily[Discharges],tblDaily[EntryDate],DATE(2026,11,13),tblDaily[WardCode],"MW")),"")</f>
        <v/>
      </c>
      <c r="D409" s="29" t="str">
        <f>IFERROR(IF(SUMIFS(tblDaily[Deaths],tblDaily[EntryDate],DATE(2026,11,13),tblDaily[WardCode],"MW")=0,"",SUMIFS(tblDaily[Deaths],tblDaily[EntryDate],DATE(2026,11,13),tblDaily[WardCode],"MW")),"")</f>
        <v/>
      </c>
      <c r="E409" s="29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29" t="str">
        <f>IFERROR(IF(SUMIFS(tblDaily[TransfersIn],tblDaily[EntryDate],DATE(2026,11,13),tblDaily[WardCode],"MW")=0,"",SUMIFS(tblDaily[TransfersIn],tblDaily[EntryDate],DATE(2026,11,13),tblDaily[WardCode],"MW")),"")</f>
        <v/>
      </c>
      <c r="G409" s="29" t="str">
        <f>IFERROR(IF(SUMIFS(tblDaily[TransfersOut],tblDaily[EntryDate],DATE(2026,11,13),tblDaily[WardCode],"MW")=0,"",SUMIFS(tblDaily[TransfersOut],tblDaily[EntryDate],DATE(2026,11,13),tblDaily[WardCode],"MW")),"")</f>
        <v/>
      </c>
      <c r="H409" s="29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IFERROR(IF(SUMIFS(tblDaily[Admissions],tblDaily[EntryDate],DATE(2026,11,14),tblDaily[WardCode],"MW")=0,"",SUMIFS(tblDaily[Admissions],tblDaily[EntryDate],DATE(2026,11,14),tblDaily[WardCode],"MW")),"")</f>
        <v/>
      </c>
      <c r="C410" s="29" t="str">
        <f>IFERROR(IF(SUMIFS(tblDaily[Discharges],tblDaily[EntryDate],DATE(2026,11,14),tblDaily[WardCode],"MW")=0,"",SUMIFS(tblDaily[Discharges],tblDaily[EntryDate],DATE(2026,11,14),tblDaily[WardCode],"MW")),"")</f>
        <v/>
      </c>
      <c r="D410" s="29" t="str">
        <f>IFERROR(IF(SUMIFS(tblDaily[Deaths],tblDaily[EntryDate],DATE(2026,11,14),tblDaily[WardCode],"MW")=0,"",SUMIFS(tblDaily[Deaths],tblDaily[EntryDate],DATE(2026,11,14),tblDaily[WardCode],"MW")),"")</f>
        <v/>
      </c>
      <c r="E410" s="29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29" t="str">
        <f>IFERROR(IF(SUMIFS(tblDaily[TransfersIn],tblDaily[EntryDate],DATE(2026,11,14),tblDaily[WardCode],"MW")=0,"",SUMIFS(tblDaily[TransfersIn],tblDaily[EntryDate],DATE(2026,11,14),tblDaily[WardCode],"MW")),"")</f>
        <v/>
      </c>
      <c r="G410" s="29" t="str">
        <f>IFERROR(IF(SUMIFS(tblDaily[TransfersOut],tblDaily[EntryDate],DATE(2026,11,14),tblDaily[WardCode],"MW")=0,"",SUMIFS(tblDaily[TransfersOut],tblDaily[EntryDate],DATE(2026,11,14),tblDaily[WardCode],"MW")),"")</f>
        <v/>
      </c>
      <c r="H410" s="29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IFERROR(IF(SUMIFS(tblDaily[Admissions],tblDaily[EntryDate],DATE(2026,11,15),tblDaily[WardCode],"MW")=0,"",SUMIFS(tblDaily[Admissions],tblDaily[EntryDate],DATE(2026,11,15),tblDaily[WardCode],"MW")),"")</f>
        <v/>
      </c>
      <c r="C411" s="29" t="str">
        <f>IFERROR(IF(SUMIFS(tblDaily[Discharges],tblDaily[EntryDate],DATE(2026,11,15),tblDaily[WardCode],"MW")=0,"",SUMIFS(tblDaily[Discharges],tblDaily[EntryDate],DATE(2026,11,15),tblDaily[WardCode],"MW")),"")</f>
        <v/>
      </c>
      <c r="D411" s="29" t="str">
        <f>IFERROR(IF(SUMIFS(tblDaily[Deaths],tblDaily[EntryDate],DATE(2026,11,15),tblDaily[WardCode],"MW")=0,"",SUMIFS(tblDaily[Deaths],tblDaily[EntryDate],DATE(2026,11,15),tblDaily[WardCode],"MW")),"")</f>
        <v/>
      </c>
      <c r="E411" s="29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29" t="str">
        <f>IFERROR(IF(SUMIFS(tblDaily[TransfersIn],tblDaily[EntryDate],DATE(2026,11,15),tblDaily[WardCode],"MW")=0,"",SUMIFS(tblDaily[TransfersIn],tblDaily[EntryDate],DATE(2026,11,15),tblDaily[WardCode],"MW")),"")</f>
        <v/>
      </c>
      <c r="G411" s="29" t="str">
        <f>IFERROR(IF(SUMIFS(tblDaily[TransfersOut],tblDaily[EntryDate],DATE(2026,11,15),tblDaily[WardCode],"MW")=0,"",SUMIFS(tblDaily[TransfersOut],tblDaily[EntryDate],DATE(2026,11,15),tblDaily[WardCode],"MW")),"")</f>
        <v/>
      </c>
      <c r="H411" s="29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IFERROR(IF(SUMIFS(tblDaily[Admissions],tblDaily[EntryDate],DATE(2026,11,16),tblDaily[WardCode],"MW")=0,"",SUMIFS(tblDaily[Admissions],tblDaily[EntryDate],DATE(2026,11,16),tblDaily[WardCode],"MW")),"")</f>
        <v/>
      </c>
      <c r="C412" s="29" t="str">
        <f>IFERROR(IF(SUMIFS(tblDaily[Discharges],tblDaily[EntryDate],DATE(2026,11,16),tblDaily[WardCode],"MW")=0,"",SUMIFS(tblDaily[Discharges],tblDaily[EntryDate],DATE(2026,11,16),tblDaily[WardCode],"MW")),"")</f>
        <v/>
      </c>
      <c r="D412" s="29" t="str">
        <f>IFERROR(IF(SUMIFS(tblDaily[Deaths],tblDaily[EntryDate],DATE(2026,11,16),tblDaily[WardCode],"MW")=0,"",SUMIFS(tblDaily[Deaths],tblDaily[EntryDate],DATE(2026,11,16),tblDaily[WardCode],"MW")),"")</f>
        <v/>
      </c>
      <c r="E412" s="29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29" t="str">
        <f>IFERROR(IF(SUMIFS(tblDaily[TransfersIn],tblDaily[EntryDate],DATE(2026,11,16),tblDaily[WardCode],"MW")=0,"",SUMIFS(tblDaily[TransfersIn],tblDaily[EntryDate],DATE(2026,11,16),tblDaily[WardCode],"MW")),"")</f>
        <v/>
      </c>
      <c r="G412" s="29" t="str">
        <f>IFERROR(IF(SUMIFS(tblDaily[TransfersOut],tblDaily[EntryDate],DATE(2026,11,16),tblDaily[WardCode],"MW")=0,"",SUMIFS(tblDaily[TransfersOut],tblDaily[EntryDate],DATE(2026,11,16),tblDaily[WardCode],"MW")),"")</f>
        <v/>
      </c>
      <c r="H412" s="29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IFERROR(IF(SUMIFS(tblDaily[Admissions],tblDaily[EntryDate],DATE(2026,11,17),tblDaily[WardCode],"MW")=0,"",SUMIFS(tblDaily[Admissions],tblDaily[EntryDate],DATE(2026,11,17),tblDaily[WardCode],"MW")),"")</f>
        <v/>
      </c>
      <c r="C413" s="29" t="str">
        <f>IFERROR(IF(SUMIFS(tblDaily[Discharges],tblDaily[EntryDate],DATE(2026,11,17),tblDaily[WardCode],"MW")=0,"",SUMIFS(tblDaily[Discharges],tblDaily[EntryDate],DATE(2026,11,17),tblDaily[WardCode],"MW")),"")</f>
        <v/>
      </c>
      <c r="D413" s="29" t="str">
        <f>IFERROR(IF(SUMIFS(tblDaily[Deaths],tblDaily[EntryDate],DATE(2026,11,17),tblDaily[WardCode],"MW")=0,"",SUMIFS(tblDaily[Deaths],tblDaily[EntryDate],DATE(2026,11,17),tblDaily[WardCode],"MW")),"")</f>
        <v/>
      </c>
      <c r="E413" s="29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29" t="str">
        <f>IFERROR(IF(SUMIFS(tblDaily[TransfersIn],tblDaily[EntryDate],DATE(2026,11,17),tblDaily[WardCode],"MW")=0,"",SUMIFS(tblDaily[TransfersIn],tblDaily[EntryDate],DATE(2026,11,17),tblDaily[WardCode],"MW")),"")</f>
        <v/>
      </c>
      <c r="G413" s="29" t="str">
        <f>IFERROR(IF(SUMIFS(tblDaily[TransfersOut],tblDaily[EntryDate],DATE(2026,11,17),tblDaily[WardCode],"MW")=0,"",SUMIFS(tblDaily[TransfersOut],tblDaily[EntryDate],DATE(2026,11,17),tblDaily[WardCode],"MW")),"")</f>
        <v/>
      </c>
      <c r="H413" s="29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IFERROR(IF(SUMIFS(tblDaily[Admissions],tblDaily[EntryDate],DATE(2026,11,18),tblDaily[WardCode],"MW")=0,"",SUMIFS(tblDaily[Admissions],tblDaily[EntryDate],DATE(2026,11,18),tblDaily[WardCode],"MW")),"")</f>
        <v/>
      </c>
      <c r="C414" s="29" t="str">
        <f>IFERROR(IF(SUMIFS(tblDaily[Discharges],tblDaily[EntryDate],DATE(2026,11,18),tblDaily[WardCode],"MW")=0,"",SUMIFS(tblDaily[Discharges],tblDaily[EntryDate],DATE(2026,11,18),tblDaily[WardCode],"MW")),"")</f>
        <v/>
      </c>
      <c r="D414" s="29" t="str">
        <f>IFERROR(IF(SUMIFS(tblDaily[Deaths],tblDaily[EntryDate],DATE(2026,11,18),tblDaily[WardCode],"MW")=0,"",SUMIFS(tblDaily[Deaths],tblDaily[EntryDate],DATE(2026,11,18),tblDaily[WardCode],"MW")),"")</f>
        <v/>
      </c>
      <c r="E414" s="29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29" t="str">
        <f>IFERROR(IF(SUMIFS(tblDaily[TransfersIn],tblDaily[EntryDate],DATE(2026,11,18),tblDaily[WardCode],"MW")=0,"",SUMIFS(tblDaily[TransfersIn],tblDaily[EntryDate],DATE(2026,11,18),tblDaily[WardCode],"MW")),"")</f>
        <v/>
      </c>
      <c r="G414" s="29" t="str">
        <f>IFERROR(IF(SUMIFS(tblDaily[TransfersOut],tblDaily[EntryDate],DATE(2026,11,18),tblDaily[WardCode],"MW")=0,"",SUMIFS(tblDaily[TransfersOut],tblDaily[EntryDate],DATE(2026,11,18),tblDaily[WardCode],"MW")),"")</f>
        <v/>
      </c>
      <c r="H414" s="29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IFERROR(IF(SUMIFS(tblDaily[Admissions],tblDaily[EntryDate],DATE(2026,11,19),tblDaily[WardCode],"MW")=0,"",SUMIFS(tblDaily[Admissions],tblDaily[EntryDate],DATE(2026,11,19),tblDaily[WardCode],"MW")),"")</f>
        <v/>
      </c>
      <c r="C415" s="29" t="str">
        <f>IFERROR(IF(SUMIFS(tblDaily[Discharges],tblDaily[EntryDate],DATE(2026,11,19),tblDaily[WardCode],"MW")=0,"",SUMIFS(tblDaily[Discharges],tblDaily[EntryDate],DATE(2026,11,19),tblDaily[WardCode],"MW")),"")</f>
        <v/>
      </c>
      <c r="D415" s="29" t="str">
        <f>IFERROR(IF(SUMIFS(tblDaily[Deaths],tblDaily[EntryDate],DATE(2026,11,19),tblDaily[WardCode],"MW")=0,"",SUMIFS(tblDaily[Deaths],tblDaily[EntryDate],DATE(2026,11,19),tblDaily[WardCode],"MW")),"")</f>
        <v/>
      </c>
      <c r="E415" s="29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29" t="str">
        <f>IFERROR(IF(SUMIFS(tblDaily[TransfersIn],tblDaily[EntryDate],DATE(2026,11,19),tblDaily[WardCode],"MW")=0,"",SUMIFS(tblDaily[TransfersIn],tblDaily[EntryDate],DATE(2026,11,19),tblDaily[WardCode],"MW")),"")</f>
        <v/>
      </c>
      <c r="G415" s="29" t="str">
        <f>IFERROR(IF(SUMIFS(tblDaily[TransfersOut],tblDaily[EntryDate],DATE(2026,11,19),tblDaily[WardCode],"MW")=0,"",SUMIFS(tblDaily[TransfersOut],tblDaily[EntryDate],DATE(2026,11,19),tblDaily[WardCode],"MW")),"")</f>
        <v/>
      </c>
      <c r="H415" s="29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IFERROR(IF(SUMIFS(tblDaily[Admissions],tblDaily[EntryDate],DATE(2026,11,20),tblDaily[WardCode],"MW")=0,"",SUMIFS(tblDaily[Admissions],tblDaily[EntryDate],DATE(2026,11,20),tblDaily[WardCode],"MW")),"")</f>
        <v/>
      </c>
      <c r="C416" s="29" t="str">
        <f>IFERROR(IF(SUMIFS(tblDaily[Discharges],tblDaily[EntryDate],DATE(2026,11,20),tblDaily[WardCode],"MW")=0,"",SUMIFS(tblDaily[Discharges],tblDaily[EntryDate],DATE(2026,11,20),tblDaily[WardCode],"MW")),"")</f>
        <v/>
      </c>
      <c r="D416" s="29" t="str">
        <f>IFERROR(IF(SUMIFS(tblDaily[Deaths],tblDaily[EntryDate],DATE(2026,11,20),tblDaily[WardCode],"MW")=0,"",SUMIFS(tblDaily[Deaths],tblDaily[EntryDate],DATE(2026,11,20),tblDaily[WardCode],"MW")),"")</f>
        <v/>
      </c>
      <c r="E416" s="29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29" t="str">
        <f>IFERROR(IF(SUMIFS(tblDaily[TransfersIn],tblDaily[EntryDate],DATE(2026,11,20),tblDaily[WardCode],"MW")=0,"",SUMIFS(tblDaily[TransfersIn],tblDaily[EntryDate],DATE(2026,11,20),tblDaily[WardCode],"MW")),"")</f>
        <v/>
      </c>
      <c r="G416" s="29" t="str">
        <f>IFERROR(IF(SUMIFS(tblDaily[TransfersOut],tblDaily[EntryDate],DATE(2026,11,20),tblDaily[WardCode],"MW")=0,"",SUMIFS(tblDaily[TransfersOut],tblDaily[EntryDate],DATE(2026,11,20),tblDaily[WardCode],"MW")),"")</f>
        <v/>
      </c>
      <c r="H416" s="29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IFERROR(IF(SUMIFS(tblDaily[Admissions],tblDaily[EntryDate],DATE(2026,11,21),tblDaily[WardCode],"MW")=0,"",SUMIFS(tblDaily[Admissions],tblDaily[EntryDate],DATE(2026,11,21),tblDaily[WardCode],"MW")),"")</f>
        <v/>
      </c>
      <c r="C417" s="29" t="str">
        <f>IFERROR(IF(SUMIFS(tblDaily[Discharges],tblDaily[EntryDate],DATE(2026,11,21),tblDaily[WardCode],"MW")=0,"",SUMIFS(tblDaily[Discharges],tblDaily[EntryDate],DATE(2026,11,21),tblDaily[WardCode],"MW")),"")</f>
        <v/>
      </c>
      <c r="D417" s="29" t="str">
        <f>IFERROR(IF(SUMIFS(tblDaily[Deaths],tblDaily[EntryDate],DATE(2026,11,21),tblDaily[WardCode],"MW")=0,"",SUMIFS(tblDaily[Deaths],tblDaily[EntryDate],DATE(2026,11,21),tblDaily[WardCode],"MW")),"")</f>
        <v/>
      </c>
      <c r="E417" s="29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29" t="str">
        <f>IFERROR(IF(SUMIFS(tblDaily[TransfersIn],tblDaily[EntryDate],DATE(2026,11,21),tblDaily[WardCode],"MW")=0,"",SUMIFS(tblDaily[TransfersIn],tblDaily[EntryDate],DATE(2026,11,21),tblDaily[WardCode],"MW")),"")</f>
        <v/>
      </c>
      <c r="G417" s="29" t="str">
        <f>IFERROR(IF(SUMIFS(tblDaily[TransfersOut],tblDaily[EntryDate],DATE(2026,11,21),tblDaily[WardCode],"MW")=0,"",SUMIFS(tblDaily[TransfersOut],tblDaily[EntryDate],DATE(2026,11,21),tblDaily[WardCode],"MW")),"")</f>
        <v/>
      </c>
      <c r="H417" s="29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IFERROR(IF(SUMIFS(tblDaily[Admissions],tblDaily[EntryDate],DATE(2026,11,22),tblDaily[WardCode],"MW")=0,"",SUMIFS(tblDaily[Admissions],tblDaily[EntryDate],DATE(2026,11,22),tblDaily[WardCode],"MW")),"")</f>
        <v/>
      </c>
      <c r="C418" s="29" t="str">
        <f>IFERROR(IF(SUMIFS(tblDaily[Discharges],tblDaily[EntryDate],DATE(2026,11,22),tblDaily[WardCode],"MW")=0,"",SUMIFS(tblDaily[Discharges],tblDaily[EntryDate],DATE(2026,11,22),tblDaily[WardCode],"MW")),"")</f>
        <v/>
      </c>
      <c r="D418" s="29" t="str">
        <f>IFERROR(IF(SUMIFS(tblDaily[Deaths],tblDaily[EntryDate],DATE(2026,11,22),tblDaily[WardCode],"MW")=0,"",SUMIFS(tblDaily[Deaths],tblDaily[EntryDate],DATE(2026,11,22),tblDaily[WardCode],"MW")),"")</f>
        <v/>
      </c>
      <c r="E418" s="29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29" t="str">
        <f>IFERROR(IF(SUMIFS(tblDaily[TransfersIn],tblDaily[EntryDate],DATE(2026,11,22),tblDaily[WardCode],"MW")=0,"",SUMIFS(tblDaily[TransfersIn],tblDaily[EntryDate],DATE(2026,11,22),tblDaily[WardCode],"MW")),"")</f>
        <v/>
      </c>
      <c r="G418" s="29" t="str">
        <f>IFERROR(IF(SUMIFS(tblDaily[TransfersOut],tblDaily[EntryDate],DATE(2026,11,22),tblDaily[WardCode],"MW")=0,"",SUMIFS(tblDaily[TransfersOut],tblDaily[EntryDate],DATE(2026,11,22),tblDaily[WardCode],"MW")),"")</f>
        <v/>
      </c>
      <c r="H418" s="29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IFERROR(IF(SUMIFS(tblDaily[Admissions],tblDaily[EntryDate],DATE(2026,11,23),tblDaily[WardCode],"MW")=0,"",SUMIFS(tblDaily[Admissions],tblDaily[EntryDate],DATE(2026,11,23),tblDaily[WardCode],"MW")),"")</f>
        <v/>
      </c>
      <c r="C419" s="29" t="str">
        <f>IFERROR(IF(SUMIFS(tblDaily[Discharges],tblDaily[EntryDate],DATE(2026,11,23),tblDaily[WardCode],"MW")=0,"",SUMIFS(tblDaily[Discharges],tblDaily[EntryDate],DATE(2026,11,23),tblDaily[WardCode],"MW")),"")</f>
        <v/>
      </c>
      <c r="D419" s="29" t="str">
        <f>IFERROR(IF(SUMIFS(tblDaily[Deaths],tblDaily[EntryDate],DATE(2026,11,23),tblDaily[WardCode],"MW")=0,"",SUMIFS(tblDaily[Deaths],tblDaily[EntryDate],DATE(2026,11,23),tblDaily[WardCode],"MW")),"")</f>
        <v/>
      </c>
      <c r="E419" s="29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29" t="str">
        <f>IFERROR(IF(SUMIFS(tblDaily[TransfersIn],tblDaily[EntryDate],DATE(2026,11,23),tblDaily[WardCode],"MW")=0,"",SUMIFS(tblDaily[TransfersIn],tblDaily[EntryDate],DATE(2026,11,23),tblDaily[WardCode],"MW")),"")</f>
        <v/>
      </c>
      <c r="G419" s="29" t="str">
        <f>IFERROR(IF(SUMIFS(tblDaily[TransfersOut],tblDaily[EntryDate],DATE(2026,11,23),tblDaily[WardCode],"MW")=0,"",SUMIFS(tblDaily[TransfersOut],tblDaily[EntryDate],DATE(2026,11,23),tblDaily[WardCode],"MW")),"")</f>
        <v/>
      </c>
      <c r="H419" s="29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IFERROR(IF(SUMIFS(tblDaily[Admissions],tblDaily[EntryDate],DATE(2026,11,24),tblDaily[WardCode],"MW")=0,"",SUMIFS(tblDaily[Admissions],tblDaily[EntryDate],DATE(2026,11,24),tblDaily[WardCode],"MW")),"")</f>
        <v/>
      </c>
      <c r="C420" s="29" t="str">
        <f>IFERROR(IF(SUMIFS(tblDaily[Discharges],tblDaily[EntryDate],DATE(2026,11,24),tblDaily[WardCode],"MW")=0,"",SUMIFS(tblDaily[Discharges],tblDaily[EntryDate],DATE(2026,11,24),tblDaily[WardCode],"MW")),"")</f>
        <v/>
      </c>
      <c r="D420" s="29" t="str">
        <f>IFERROR(IF(SUMIFS(tblDaily[Deaths],tblDaily[EntryDate],DATE(2026,11,24),tblDaily[WardCode],"MW")=0,"",SUMIFS(tblDaily[Deaths],tblDaily[EntryDate],DATE(2026,11,24),tblDaily[WardCode],"MW")),"")</f>
        <v/>
      </c>
      <c r="E420" s="29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29" t="str">
        <f>IFERROR(IF(SUMIFS(tblDaily[TransfersIn],tblDaily[EntryDate],DATE(2026,11,24),tblDaily[WardCode],"MW")=0,"",SUMIFS(tblDaily[TransfersIn],tblDaily[EntryDate],DATE(2026,11,24),tblDaily[WardCode],"MW")),"")</f>
        <v/>
      </c>
      <c r="G420" s="29" t="str">
        <f>IFERROR(IF(SUMIFS(tblDaily[TransfersOut],tblDaily[EntryDate],DATE(2026,11,24),tblDaily[WardCode],"MW")=0,"",SUMIFS(tblDaily[TransfersOut],tblDaily[EntryDate],DATE(2026,11,24),tblDaily[WardCode],"MW")),"")</f>
        <v/>
      </c>
      <c r="H420" s="29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IFERROR(IF(SUMIFS(tblDaily[Admissions],tblDaily[EntryDate],DATE(2026,11,25),tblDaily[WardCode],"MW")=0,"",SUMIFS(tblDaily[Admissions],tblDaily[EntryDate],DATE(2026,11,25),tblDaily[WardCode],"MW")),"")</f>
        <v/>
      </c>
      <c r="C421" s="29" t="str">
        <f>IFERROR(IF(SUMIFS(tblDaily[Discharges],tblDaily[EntryDate],DATE(2026,11,25),tblDaily[WardCode],"MW")=0,"",SUMIFS(tblDaily[Discharges],tblDaily[EntryDate],DATE(2026,11,25),tblDaily[WardCode],"MW")),"")</f>
        <v/>
      </c>
      <c r="D421" s="29" t="str">
        <f>IFERROR(IF(SUMIFS(tblDaily[Deaths],tblDaily[EntryDate],DATE(2026,11,25),tblDaily[WardCode],"MW")=0,"",SUMIFS(tblDaily[Deaths],tblDaily[EntryDate],DATE(2026,11,25),tblDaily[WardCode],"MW")),"")</f>
        <v/>
      </c>
      <c r="E421" s="29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29" t="str">
        <f>IFERROR(IF(SUMIFS(tblDaily[TransfersIn],tblDaily[EntryDate],DATE(2026,11,25),tblDaily[WardCode],"MW")=0,"",SUMIFS(tblDaily[TransfersIn],tblDaily[EntryDate],DATE(2026,11,25),tblDaily[WardCode],"MW")),"")</f>
        <v/>
      </c>
      <c r="G421" s="29" t="str">
        <f>IFERROR(IF(SUMIFS(tblDaily[TransfersOut],tblDaily[EntryDate],DATE(2026,11,25),tblDaily[WardCode],"MW")=0,"",SUMIFS(tblDaily[TransfersOut],tblDaily[EntryDate],DATE(2026,11,25),tblDaily[WardCode],"MW")),"")</f>
        <v/>
      </c>
      <c r="H421" s="29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IFERROR(IF(SUMIFS(tblDaily[Admissions],tblDaily[EntryDate],DATE(2026,11,26),tblDaily[WardCode],"MW")=0,"",SUMIFS(tblDaily[Admissions],tblDaily[EntryDate],DATE(2026,11,26),tblDaily[WardCode],"MW")),"")</f>
        <v/>
      </c>
      <c r="C422" s="29" t="str">
        <f>IFERROR(IF(SUMIFS(tblDaily[Discharges],tblDaily[EntryDate],DATE(2026,11,26),tblDaily[WardCode],"MW")=0,"",SUMIFS(tblDaily[Discharges],tblDaily[EntryDate],DATE(2026,11,26),tblDaily[WardCode],"MW")),"")</f>
        <v/>
      </c>
      <c r="D422" s="29" t="str">
        <f>IFERROR(IF(SUMIFS(tblDaily[Deaths],tblDaily[EntryDate],DATE(2026,11,26),tblDaily[WardCode],"MW")=0,"",SUMIFS(tblDaily[Deaths],tblDaily[EntryDate],DATE(2026,11,26),tblDaily[WardCode],"MW")),"")</f>
        <v/>
      </c>
      <c r="E422" s="29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29" t="str">
        <f>IFERROR(IF(SUMIFS(tblDaily[TransfersIn],tblDaily[EntryDate],DATE(2026,11,26),tblDaily[WardCode],"MW")=0,"",SUMIFS(tblDaily[TransfersIn],tblDaily[EntryDate],DATE(2026,11,26),tblDaily[WardCode],"MW")),"")</f>
        <v/>
      </c>
      <c r="G422" s="29" t="str">
        <f>IFERROR(IF(SUMIFS(tblDaily[TransfersOut],tblDaily[EntryDate],DATE(2026,11,26),tblDaily[WardCode],"MW")=0,"",SUMIFS(tblDaily[TransfersOut],tblDaily[EntryDate],DATE(2026,11,26),tblDaily[WardCode],"MW")),"")</f>
        <v/>
      </c>
      <c r="H422" s="29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IFERROR(IF(SUMIFS(tblDaily[Admissions],tblDaily[EntryDate],DATE(2026,11,27),tblDaily[WardCode],"MW")=0,"",SUMIFS(tblDaily[Admissions],tblDaily[EntryDate],DATE(2026,11,27),tblDaily[WardCode],"MW")),"")</f>
        <v/>
      </c>
      <c r="C423" s="29" t="str">
        <f>IFERROR(IF(SUMIFS(tblDaily[Discharges],tblDaily[EntryDate],DATE(2026,11,27),tblDaily[WardCode],"MW")=0,"",SUMIFS(tblDaily[Discharges],tblDaily[EntryDate],DATE(2026,11,27),tblDaily[WardCode],"MW")),"")</f>
        <v/>
      </c>
      <c r="D423" s="29" t="str">
        <f>IFERROR(IF(SUMIFS(tblDaily[Deaths],tblDaily[EntryDate],DATE(2026,11,27),tblDaily[WardCode],"MW")=0,"",SUMIFS(tblDaily[Deaths],tblDaily[EntryDate],DATE(2026,11,27),tblDaily[WardCode],"MW")),"")</f>
        <v/>
      </c>
      <c r="E423" s="29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29" t="str">
        <f>IFERROR(IF(SUMIFS(tblDaily[TransfersIn],tblDaily[EntryDate],DATE(2026,11,27),tblDaily[WardCode],"MW")=0,"",SUMIFS(tblDaily[TransfersIn],tblDaily[EntryDate],DATE(2026,11,27),tblDaily[WardCode],"MW")),"")</f>
        <v/>
      </c>
      <c r="G423" s="29" t="str">
        <f>IFERROR(IF(SUMIFS(tblDaily[TransfersOut],tblDaily[EntryDate],DATE(2026,11,27),tblDaily[WardCode],"MW")=0,"",SUMIFS(tblDaily[TransfersOut],tblDaily[EntryDate],DATE(2026,11,27),tblDaily[WardCode],"MW")),"")</f>
        <v/>
      </c>
      <c r="H423" s="29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IFERROR(IF(SUMIFS(tblDaily[Admissions],tblDaily[EntryDate],DATE(2026,11,28),tblDaily[WardCode],"MW")=0,"",SUMIFS(tblDaily[Admissions],tblDaily[EntryDate],DATE(2026,11,28),tblDaily[WardCode],"MW")),"")</f>
        <v/>
      </c>
      <c r="C424" s="29" t="str">
        <f>IFERROR(IF(SUMIFS(tblDaily[Discharges],tblDaily[EntryDate],DATE(2026,11,28),tblDaily[WardCode],"MW")=0,"",SUMIFS(tblDaily[Discharges],tblDaily[EntryDate],DATE(2026,11,28),tblDaily[WardCode],"MW")),"")</f>
        <v/>
      </c>
      <c r="D424" s="29" t="str">
        <f>IFERROR(IF(SUMIFS(tblDaily[Deaths],tblDaily[EntryDate],DATE(2026,11,28),tblDaily[WardCode],"MW")=0,"",SUMIFS(tblDaily[Deaths],tblDaily[EntryDate],DATE(2026,11,28),tblDaily[WardCode],"MW")),"")</f>
        <v/>
      </c>
      <c r="E424" s="29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29" t="str">
        <f>IFERROR(IF(SUMIFS(tblDaily[TransfersIn],tblDaily[EntryDate],DATE(2026,11,28),tblDaily[WardCode],"MW")=0,"",SUMIFS(tblDaily[TransfersIn],tblDaily[EntryDate],DATE(2026,11,28),tblDaily[WardCode],"MW")),"")</f>
        <v/>
      </c>
      <c r="G424" s="29" t="str">
        <f>IFERROR(IF(SUMIFS(tblDaily[TransfersOut],tblDaily[EntryDate],DATE(2026,11,28),tblDaily[WardCode],"MW")=0,"",SUMIFS(tblDaily[TransfersOut],tblDaily[EntryDate],DATE(2026,11,28),tblDaily[WardCode],"MW")),"")</f>
        <v/>
      </c>
      <c r="H424" s="29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IFERROR(IF(SUMIFS(tblDaily[Admissions],tblDaily[EntryDate],DATE(2026,11,29),tblDaily[WardCode],"MW")=0,"",SUMIFS(tblDaily[Admissions],tblDaily[EntryDate],DATE(2026,11,29),tblDaily[WardCode],"MW")),"")</f>
        <v/>
      </c>
      <c r="C425" s="29" t="str">
        <f>IFERROR(IF(SUMIFS(tblDaily[Discharges],tblDaily[EntryDate],DATE(2026,11,29),tblDaily[WardCode],"MW")=0,"",SUMIFS(tblDaily[Discharges],tblDaily[EntryDate],DATE(2026,11,29),tblDaily[WardCode],"MW")),"")</f>
        <v/>
      </c>
      <c r="D425" s="29" t="str">
        <f>IFERROR(IF(SUMIFS(tblDaily[Deaths],tblDaily[EntryDate],DATE(2026,11,29),tblDaily[WardCode],"MW")=0,"",SUMIFS(tblDaily[Deaths],tblDaily[EntryDate],DATE(2026,11,29),tblDaily[WardCode],"MW")),"")</f>
        <v/>
      </c>
      <c r="E425" s="29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29" t="str">
        <f>IFERROR(IF(SUMIFS(tblDaily[TransfersIn],tblDaily[EntryDate],DATE(2026,11,29),tblDaily[WardCode],"MW")=0,"",SUMIFS(tblDaily[TransfersIn],tblDaily[EntryDate],DATE(2026,11,29),tblDaily[WardCode],"MW")),"")</f>
        <v/>
      </c>
      <c r="G425" s="29" t="str">
        <f>IFERROR(IF(SUMIFS(tblDaily[TransfersOut],tblDaily[EntryDate],DATE(2026,11,29),tblDaily[WardCode],"MW")=0,"",SUMIFS(tblDaily[TransfersOut],tblDaily[EntryDate],DATE(2026,11,29),tblDaily[WardCode],"MW")),"")</f>
        <v/>
      </c>
      <c r="H425" s="29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IFERROR(IF(SUMIFS(tblDaily[Admissions],tblDaily[EntryDate],DATE(2026,11,30),tblDaily[WardCode],"MW")=0,"",SUMIFS(tblDaily[Admissions],tblDaily[EntryDate],DATE(2026,11,30),tblDaily[WardCode],"MW")),"")</f>
        <v/>
      </c>
      <c r="C426" s="29" t="str">
        <f>IFERROR(IF(SUMIFS(tblDaily[Discharges],tblDaily[EntryDate],DATE(2026,11,30),tblDaily[WardCode],"MW")=0,"",SUMIFS(tblDaily[Discharges],tblDaily[EntryDate],DATE(2026,11,30),tblDaily[WardCode],"MW")),"")</f>
        <v/>
      </c>
      <c r="D426" s="29" t="str">
        <f>IFERROR(IF(SUMIFS(tblDaily[Deaths],tblDaily[EntryDate],DATE(2026,11,30),tblDaily[WardCode],"MW")=0,"",SUMIFS(tblDaily[Deaths],tblDaily[EntryDate],DATE(2026,11,30),tblDaily[WardCode],"MW")),"")</f>
        <v/>
      </c>
      <c r="E426" s="29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29" t="str">
        <f>IFERROR(IF(SUMIFS(tblDaily[TransfersIn],tblDaily[EntryDate],DATE(2026,11,30),tblDaily[WardCode],"MW")=0,"",SUMIFS(tblDaily[TransfersIn],tblDaily[EntryDate],DATE(2026,11,30),tblDaily[WardCode],"MW")),"")</f>
        <v/>
      </c>
      <c r="G426" s="29" t="str">
        <f>IFERROR(IF(SUMIFS(tblDaily[TransfersOut],tblDaily[EntryDate],DATE(2026,11,30),tblDaily[WardCode],"MW")=0,"",SUMIFS(tblDaily[TransfersOut],tblDaily[EntryDate],DATE(2026,11,30),tblDaily[WardCode],"MW")),"")</f>
        <v/>
      </c>
      <c r="H426" s="29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SUMIFS(tblDaily[Admissions],tblDaily[Month],11,tblDaily[WardCode],"MW") - SUMIFS(tblDaily[DeathsUnder24Hrs],tblDaily[Month],11,tblDaily[WardCode],"MW")</f>
        <v>0</v>
      </c>
      <c r="C428" s="30">
        <f>SUMIFS(tblDaily[Discharges],tblDaily[Month],11,tblDaily[WardCode],"MW")</f>
        <v>0</v>
      </c>
      <c r="D428" s="30">
        <f>SUMIFS(tblDaily[Deaths],tblDaily[Month],11,tblDaily[WardCode],"MW")</f>
        <v>0</v>
      </c>
      <c r="E428" s="30">
        <f>SUMIFS(tblDaily[DeathsUnder24Hrs],tblDaily[Month],11,tblDaily[WardCode],"MW")</f>
        <v>0</v>
      </c>
      <c r="F428" s="30">
        <f>SUMIFS(tblDaily[TransfersIn],tblDaily[Month],11,tblDaily[WardCode],"MW")</f>
        <v>0</v>
      </c>
      <c r="G428" s="30">
        <f>SUMIFS(tblDaily[TransfersOut],tblDaily[Month],11,tblDaily[WardCode],"MW")</f>
        <v>0</v>
      </c>
      <c r="H428" s="30">
        <f>SUMIFS(tblDaily[Remaining],tblDaily[Month],11,tblDaily[WardCode],"MW")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106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IFERROR(SUMIFS(tblDaily[Remaining],tblDaily[EntryDate],DATE(2026,11,30),tblDaily[WardCode],"MW"),0)</f>
        <v>0</v>
      </c>
    </row>
    <row r="434" spans="1:8" x14ac:dyDescent="0.25">
      <c r="A434" s="24" t="s">
        <v>109</v>
      </c>
      <c r="H434" s="27">
        <f>IFERROR(INDEX(tblWardConfig[BedComplement],MATCH("MW",tblWardConfig[WardCode],0)),0)</f>
        <v>32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IFERROR(IF(SUMIFS(tblDaily[Admissions],tblDaily[EntryDate],DATE(2026,12,1),tblDaily[WardCode],"MW")=0,"",SUMIFS(tblDaily[Admissions],tblDaily[EntryDate],DATE(2026,12,1),tblDaily[WardCode],"MW")),"")</f>
        <v/>
      </c>
      <c r="C436" s="29" t="str">
        <f>IFERROR(IF(SUMIFS(tblDaily[Discharges],tblDaily[EntryDate],DATE(2026,12,1),tblDaily[WardCode],"MW")=0,"",SUMIFS(tblDaily[Discharges],tblDaily[EntryDate],DATE(2026,12,1),tblDaily[WardCode],"MW")),"")</f>
        <v/>
      </c>
      <c r="D436" s="29" t="str">
        <f>IFERROR(IF(SUMIFS(tblDaily[Deaths],tblDaily[EntryDate],DATE(2026,12,1),tblDaily[WardCode],"MW")=0,"",SUMIFS(tblDaily[Deaths],tblDaily[EntryDate],DATE(2026,12,1),tblDaily[WardCode],"MW")),"")</f>
        <v/>
      </c>
      <c r="E436" s="29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29" t="str">
        <f>IFERROR(IF(SUMIFS(tblDaily[TransfersIn],tblDaily[EntryDate],DATE(2026,12,1),tblDaily[WardCode],"MW")=0,"",SUMIFS(tblDaily[TransfersIn],tblDaily[EntryDate],DATE(2026,12,1),tblDaily[WardCode],"MW")),"")</f>
        <v/>
      </c>
      <c r="G436" s="29" t="str">
        <f>IFERROR(IF(SUMIFS(tblDaily[TransfersOut],tblDaily[EntryDate],DATE(2026,12,1),tblDaily[WardCode],"MW")=0,"",SUMIFS(tblDaily[TransfersOut],tblDaily[EntryDate],DATE(2026,12,1),tblDaily[WardCode],"MW")),"")</f>
        <v/>
      </c>
      <c r="H436" s="29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IFERROR(IF(SUMIFS(tblDaily[Admissions],tblDaily[EntryDate],DATE(2026,12,2),tblDaily[WardCode],"MW")=0,"",SUMIFS(tblDaily[Admissions],tblDaily[EntryDate],DATE(2026,12,2),tblDaily[WardCode],"MW")),"")</f>
        <v/>
      </c>
      <c r="C437" s="29" t="str">
        <f>IFERROR(IF(SUMIFS(tblDaily[Discharges],tblDaily[EntryDate],DATE(2026,12,2),tblDaily[WardCode],"MW")=0,"",SUMIFS(tblDaily[Discharges],tblDaily[EntryDate],DATE(2026,12,2),tblDaily[WardCode],"MW")),"")</f>
        <v/>
      </c>
      <c r="D437" s="29" t="str">
        <f>IFERROR(IF(SUMIFS(tblDaily[Deaths],tblDaily[EntryDate],DATE(2026,12,2),tblDaily[WardCode],"MW")=0,"",SUMIFS(tblDaily[Deaths],tblDaily[EntryDate],DATE(2026,12,2),tblDaily[WardCode],"MW")),"")</f>
        <v/>
      </c>
      <c r="E437" s="29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29" t="str">
        <f>IFERROR(IF(SUMIFS(tblDaily[TransfersIn],tblDaily[EntryDate],DATE(2026,12,2),tblDaily[WardCode],"MW")=0,"",SUMIFS(tblDaily[TransfersIn],tblDaily[EntryDate],DATE(2026,12,2),tblDaily[WardCode],"MW")),"")</f>
        <v/>
      </c>
      <c r="G437" s="29" t="str">
        <f>IFERROR(IF(SUMIFS(tblDaily[TransfersOut],tblDaily[EntryDate],DATE(2026,12,2),tblDaily[WardCode],"MW")=0,"",SUMIFS(tblDaily[TransfersOut],tblDaily[EntryDate],DATE(2026,12,2),tblDaily[WardCode],"MW")),"")</f>
        <v/>
      </c>
      <c r="H437" s="29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IFERROR(IF(SUMIFS(tblDaily[Admissions],tblDaily[EntryDate],DATE(2026,12,3),tblDaily[WardCode],"MW")=0,"",SUMIFS(tblDaily[Admissions],tblDaily[EntryDate],DATE(2026,12,3),tblDaily[WardCode],"MW")),"")</f>
        <v/>
      </c>
      <c r="C438" s="29" t="str">
        <f>IFERROR(IF(SUMIFS(tblDaily[Discharges],tblDaily[EntryDate],DATE(2026,12,3),tblDaily[WardCode],"MW")=0,"",SUMIFS(tblDaily[Discharges],tblDaily[EntryDate],DATE(2026,12,3),tblDaily[WardCode],"MW")),"")</f>
        <v/>
      </c>
      <c r="D438" s="29" t="str">
        <f>IFERROR(IF(SUMIFS(tblDaily[Deaths],tblDaily[EntryDate],DATE(2026,12,3),tblDaily[WardCode],"MW")=0,"",SUMIFS(tblDaily[Deaths],tblDaily[EntryDate],DATE(2026,12,3),tblDaily[WardCode],"MW")),"")</f>
        <v/>
      </c>
      <c r="E438" s="29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29" t="str">
        <f>IFERROR(IF(SUMIFS(tblDaily[TransfersIn],tblDaily[EntryDate],DATE(2026,12,3),tblDaily[WardCode],"MW")=0,"",SUMIFS(tblDaily[TransfersIn],tblDaily[EntryDate],DATE(2026,12,3),tblDaily[WardCode],"MW")),"")</f>
        <v/>
      </c>
      <c r="G438" s="29" t="str">
        <f>IFERROR(IF(SUMIFS(tblDaily[TransfersOut],tblDaily[EntryDate],DATE(2026,12,3),tblDaily[WardCode],"MW")=0,"",SUMIFS(tblDaily[TransfersOut],tblDaily[EntryDate],DATE(2026,12,3),tblDaily[WardCode],"MW")),"")</f>
        <v/>
      </c>
      <c r="H438" s="29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IFERROR(IF(SUMIFS(tblDaily[Admissions],tblDaily[EntryDate],DATE(2026,12,4),tblDaily[WardCode],"MW")=0,"",SUMIFS(tblDaily[Admissions],tblDaily[EntryDate],DATE(2026,12,4),tblDaily[WardCode],"MW")),"")</f>
        <v/>
      </c>
      <c r="C439" s="29" t="str">
        <f>IFERROR(IF(SUMIFS(tblDaily[Discharges],tblDaily[EntryDate],DATE(2026,12,4),tblDaily[WardCode],"MW")=0,"",SUMIFS(tblDaily[Discharges],tblDaily[EntryDate],DATE(2026,12,4),tblDaily[WardCode],"MW")),"")</f>
        <v/>
      </c>
      <c r="D439" s="29" t="str">
        <f>IFERROR(IF(SUMIFS(tblDaily[Deaths],tblDaily[EntryDate],DATE(2026,12,4),tblDaily[WardCode],"MW")=0,"",SUMIFS(tblDaily[Deaths],tblDaily[EntryDate],DATE(2026,12,4),tblDaily[WardCode],"MW")),"")</f>
        <v/>
      </c>
      <c r="E439" s="29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29" t="str">
        <f>IFERROR(IF(SUMIFS(tblDaily[TransfersIn],tblDaily[EntryDate],DATE(2026,12,4),tblDaily[WardCode],"MW")=0,"",SUMIFS(tblDaily[TransfersIn],tblDaily[EntryDate],DATE(2026,12,4),tblDaily[WardCode],"MW")),"")</f>
        <v/>
      </c>
      <c r="G439" s="29" t="str">
        <f>IFERROR(IF(SUMIFS(tblDaily[TransfersOut],tblDaily[EntryDate],DATE(2026,12,4),tblDaily[WardCode],"MW")=0,"",SUMIFS(tblDaily[TransfersOut],tblDaily[EntryDate],DATE(2026,12,4),tblDaily[WardCode],"MW")),"")</f>
        <v/>
      </c>
      <c r="H439" s="29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IFERROR(IF(SUMIFS(tblDaily[Admissions],tblDaily[EntryDate],DATE(2026,12,5),tblDaily[WardCode],"MW")=0,"",SUMIFS(tblDaily[Admissions],tblDaily[EntryDate],DATE(2026,12,5),tblDaily[WardCode],"MW")),"")</f>
        <v/>
      </c>
      <c r="C440" s="29" t="str">
        <f>IFERROR(IF(SUMIFS(tblDaily[Discharges],tblDaily[EntryDate],DATE(2026,12,5),tblDaily[WardCode],"MW")=0,"",SUMIFS(tblDaily[Discharges],tblDaily[EntryDate],DATE(2026,12,5),tblDaily[WardCode],"MW")),"")</f>
        <v/>
      </c>
      <c r="D440" s="29" t="str">
        <f>IFERROR(IF(SUMIFS(tblDaily[Deaths],tblDaily[EntryDate],DATE(2026,12,5),tblDaily[WardCode],"MW")=0,"",SUMIFS(tblDaily[Deaths],tblDaily[EntryDate],DATE(2026,12,5),tblDaily[WardCode],"MW")),"")</f>
        <v/>
      </c>
      <c r="E440" s="29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29" t="str">
        <f>IFERROR(IF(SUMIFS(tblDaily[TransfersIn],tblDaily[EntryDate],DATE(2026,12,5),tblDaily[WardCode],"MW")=0,"",SUMIFS(tblDaily[TransfersIn],tblDaily[EntryDate],DATE(2026,12,5),tblDaily[WardCode],"MW")),"")</f>
        <v/>
      </c>
      <c r="G440" s="29" t="str">
        <f>IFERROR(IF(SUMIFS(tblDaily[TransfersOut],tblDaily[EntryDate],DATE(2026,12,5),tblDaily[WardCode],"MW")=0,"",SUMIFS(tblDaily[TransfersOut],tblDaily[EntryDate],DATE(2026,12,5),tblDaily[WardCode],"MW")),"")</f>
        <v/>
      </c>
      <c r="H440" s="29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IFERROR(IF(SUMIFS(tblDaily[Admissions],tblDaily[EntryDate],DATE(2026,12,6),tblDaily[WardCode],"MW")=0,"",SUMIFS(tblDaily[Admissions],tblDaily[EntryDate],DATE(2026,12,6),tblDaily[WardCode],"MW")),"")</f>
        <v/>
      </c>
      <c r="C441" s="29" t="str">
        <f>IFERROR(IF(SUMIFS(tblDaily[Discharges],tblDaily[EntryDate],DATE(2026,12,6),tblDaily[WardCode],"MW")=0,"",SUMIFS(tblDaily[Discharges],tblDaily[EntryDate],DATE(2026,12,6),tblDaily[WardCode],"MW")),"")</f>
        <v/>
      </c>
      <c r="D441" s="29" t="str">
        <f>IFERROR(IF(SUMIFS(tblDaily[Deaths],tblDaily[EntryDate],DATE(2026,12,6),tblDaily[WardCode],"MW")=0,"",SUMIFS(tblDaily[Deaths],tblDaily[EntryDate],DATE(2026,12,6),tblDaily[WardCode],"MW")),"")</f>
        <v/>
      </c>
      <c r="E441" s="29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29" t="str">
        <f>IFERROR(IF(SUMIFS(tblDaily[TransfersIn],tblDaily[EntryDate],DATE(2026,12,6),tblDaily[WardCode],"MW")=0,"",SUMIFS(tblDaily[TransfersIn],tblDaily[EntryDate],DATE(2026,12,6),tblDaily[WardCode],"MW")),"")</f>
        <v/>
      </c>
      <c r="G441" s="29" t="str">
        <f>IFERROR(IF(SUMIFS(tblDaily[TransfersOut],tblDaily[EntryDate],DATE(2026,12,6),tblDaily[WardCode],"MW")=0,"",SUMIFS(tblDaily[TransfersOut],tblDaily[EntryDate],DATE(2026,12,6),tblDaily[WardCode],"MW")),"")</f>
        <v/>
      </c>
      <c r="H441" s="29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IFERROR(IF(SUMIFS(tblDaily[Admissions],tblDaily[EntryDate],DATE(2026,12,7),tblDaily[WardCode],"MW")=0,"",SUMIFS(tblDaily[Admissions],tblDaily[EntryDate],DATE(2026,12,7),tblDaily[WardCode],"MW")),"")</f>
        <v/>
      </c>
      <c r="C442" s="29" t="str">
        <f>IFERROR(IF(SUMIFS(tblDaily[Discharges],tblDaily[EntryDate],DATE(2026,12,7),tblDaily[WardCode],"MW")=0,"",SUMIFS(tblDaily[Discharges],tblDaily[EntryDate],DATE(2026,12,7),tblDaily[WardCode],"MW")),"")</f>
        <v/>
      </c>
      <c r="D442" s="29" t="str">
        <f>IFERROR(IF(SUMIFS(tblDaily[Deaths],tblDaily[EntryDate],DATE(2026,12,7),tblDaily[WardCode],"MW")=0,"",SUMIFS(tblDaily[Deaths],tblDaily[EntryDate],DATE(2026,12,7),tblDaily[WardCode],"MW")),"")</f>
        <v/>
      </c>
      <c r="E442" s="29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29" t="str">
        <f>IFERROR(IF(SUMIFS(tblDaily[TransfersIn],tblDaily[EntryDate],DATE(2026,12,7),tblDaily[WardCode],"MW")=0,"",SUMIFS(tblDaily[TransfersIn],tblDaily[EntryDate],DATE(2026,12,7),tblDaily[WardCode],"MW")),"")</f>
        <v/>
      </c>
      <c r="G442" s="29" t="str">
        <f>IFERROR(IF(SUMIFS(tblDaily[TransfersOut],tblDaily[EntryDate],DATE(2026,12,7),tblDaily[WardCode],"MW")=0,"",SUMIFS(tblDaily[TransfersOut],tblDaily[EntryDate],DATE(2026,12,7),tblDaily[WardCode],"MW")),"")</f>
        <v/>
      </c>
      <c r="H442" s="29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IFERROR(IF(SUMIFS(tblDaily[Admissions],tblDaily[EntryDate],DATE(2026,12,8),tblDaily[WardCode],"MW")=0,"",SUMIFS(tblDaily[Admissions],tblDaily[EntryDate],DATE(2026,12,8),tblDaily[WardCode],"MW")),"")</f>
        <v/>
      </c>
      <c r="C443" s="29" t="str">
        <f>IFERROR(IF(SUMIFS(tblDaily[Discharges],tblDaily[EntryDate],DATE(2026,12,8),tblDaily[WardCode],"MW")=0,"",SUMIFS(tblDaily[Discharges],tblDaily[EntryDate],DATE(2026,12,8),tblDaily[WardCode],"MW")),"")</f>
        <v/>
      </c>
      <c r="D443" s="29" t="str">
        <f>IFERROR(IF(SUMIFS(tblDaily[Deaths],tblDaily[EntryDate],DATE(2026,12,8),tblDaily[WardCode],"MW")=0,"",SUMIFS(tblDaily[Deaths],tblDaily[EntryDate],DATE(2026,12,8),tblDaily[WardCode],"MW")),"")</f>
        <v/>
      </c>
      <c r="E443" s="29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29" t="str">
        <f>IFERROR(IF(SUMIFS(tblDaily[TransfersIn],tblDaily[EntryDate],DATE(2026,12,8),tblDaily[WardCode],"MW")=0,"",SUMIFS(tblDaily[TransfersIn],tblDaily[EntryDate],DATE(2026,12,8),tblDaily[WardCode],"MW")),"")</f>
        <v/>
      </c>
      <c r="G443" s="29" t="str">
        <f>IFERROR(IF(SUMIFS(tblDaily[TransfersOut],tblDaily[EntryDate],DATE(2026,12,8),tblDaily[WardCode],"MW")=0,"",SUMIFS(tblDaily[TransfersOut],tblDaily[EntryDate],DATE(2026,12,8),tblDaily[WardCode],"MW")),"")</f>
        <v/>
      </c>
      <c r="H443" s="29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IFERROR(IF(SUMIFS(tblDaily[Admissions],tblDaily[EntryDate],DATE(2026,12,9),tblDaily[WardCode],"MW")=0,"",SUMIFS(tblDaily[Admissions],tblDaily[EntryDate],DATE(2026,12,9),tblDaily[WardCode],"MW")),"")</f>
        <v/>
      </c>
      <c r="C444" s="29" t="str">
        <f>IFERROR(IF(SUMIFS(tblDaily[Discharges],tblDaily[EntryDate],DATE(2026,12,9),tblDaily[WardCode],"MW")=0,"",SUMIFS(tblDaily[Discharges],tblDaily[EntryDate],DATE(2026,12,9),tblDaily[WardCode],"MW")),"")</f>
        <v/>
      </c>
      <c r="D444" s="29" t="str">
        <f>IFERROR(IF(SUMIFS(tblDaily[Deaths],tblDaily[EntryDate],DATE(2026,12,9),tblDaily[WardCode],"MW")=0,"",SUMIFS(tblDaily[Deaths],tblDaily[EntryDate],DATE(2026,12,9),tblDaily[WardCode],"MW")),"")</f>
        <v/>
      </c>
      <c r="E444" s="29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29" t="str">
        <f>IFERROR(IF(SUMIFS(tblDaily[TransfersIn],tblDaily[EntryDate],DATE(2026,12,9),tblDaily[WardCode],"MW")=0,"",SUMIFS(tblDaily[TransfersIn],tblDaily[EntryDate],DATE(2026,12,9),tblDaily[WardCode],"MW")),"")</f>
        <v/>
      </c>
      <c r="G444" s="29" t="str">
        <f>IFERROR(IF(SUMIFS(tblDaily[TransfersOut],tblDaily[EntryDate],DATE(2026,12,9),tblDaily[WardCode],"MW")=0,"",SUMIFS(tblDaily[TransfersOut],tblDaily[EntryDate],DATE(2026,12,9),tblDaily[WardCode],"MW")),"")</f>
        <v/>
      </c>
      <c r="H444" s="29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IFERROR(IF(SUMIFS(tblDaily[Admissions],tblDaily[EntryDate],DATE(2026,12,10),tblDaily[WardCode],"MW")=0,"",SUMIFS(tblDaily[Admissions],tblDaily[EntryDate],DATE(2026,12,10),tblDaily[WardCode],"MW")),"")</f>
        <v/>
      </c>
      <c r="C445" s="29" t="str">
        <f>IFERROR(IF(SUMIFS(tblDaily[Discharges],tblDaily[EntryDate],DATE(2026,12,10),tblDaily[WardCode],"MW")=0,"",SUMIFS(tblDaily[Discharges],tblDaily[EntryDate],DATE(2026,12,10),tblDaily[WardCode],"MW")),"")</f>
        <v/>
      </c>
      <c r="D445" s="29" t="str">
        <f>IFERROR(IF(SUMIFS(tblDaily[Deaths],tblDaily[EntryDate],DATE(2026,12,10),tblDaily[WardCode],"MW")=0,"",SUMIFS(tblDaily[Deaths],tblDaily[EntryDate],DATE(2026,12,10),tblDaily[WardCode],"MW")),"")</f>
        <v/>
      </c>
      <c r="E445" s="29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29" t="str">
        <f>IFERROR(IF(SUMIFS(tblDaily[TransfersIn],tblDaily[EntryDate],DATE(2026,12,10),tblDaily[WardCode],"MW")=0,"",SUMIFS(tblDaily[TransfersIn],tblDaily[EntryDate],DATE(2026,12,10),tblDaily[WardCode],"MW")),"")</f>
        <v/>
      </c>
      <c r="G445" s="29" t="str">
        <f>IFERROR(IF(SUMIFS(tblDaily[TransfersOut],tblDaily[EntryDate],DATE(2026,12,10),tblDaily[WardCode],"MW")=0,"",SUMIFS(tblDaily[TransfersOut],tblDaily[EntryDate],DATE(2026,12,10),tblDaily[WardCode],"MW")),"")</f>
        <v/>
      </c>
      <c r="H445" s="29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IFERROR(IF(SUMIFS(tblDaily[Admissions],tblDaily[EntryDate],DATE(2026,12,11),tblDaily[WardCode],"MW")=0,"",SUMIFS(tblDaily[Admissions],tblDaily[EntryDate],DATE(2026,12,11),tblDaily[WardCode],"MW")),"")</f>
        <v/>
      </c>
      <c r="C446" s="29" t="str">
        <f>IFERROR(IF(SUMIFS(tblDaily[Discharges],tblDaily[EntryDate],DATE(2026,12,11),tblDaily[WardCode],"MW")=0,"",SUMIFS(tblDaily[Discharges],tblDaily[EntryDate],DATE(2026,12,11),tblDaily[WardCode],"MW")),"")</f>
        <v/>
      </c>
      <c r="D446" s="29" t="str">
        <f>IFERROR(IF(SUMIFS(tblDaily[Deaths],tblDaily[EntryDate],DATE(2026,12,11),tblDaily[WardCode],"MW")=0,"",SUMIFS(tblDaily[Deaths],tblDaily[EntryDate],DATE(2026,12,11),tblDaily[WardCode],"MW")),"")</f>
        <v/>
      </c>
      <c r="E446" s="29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29" t="str">
        <f>IFERROR(IF(SUMIFS(tblDaily[TransfersIn],tblDaily[EntryDate],DATE(2026,12,11),tblDaily[WardCode],"MW")=0,"",SUMIFS(tblDaily[TransfersIn],tblDaily[EntryDate],DATE(2026,12,11),tblDaily[WardCode],"MW")),"")</f>
        <v/>
      </c>
      <c r="G446" s="29" t="str">
        <f>IFERROR(IF(SUMIFS(tblDaily[TransfersOut],tblDaily[EntryDate],DATE(2026,12,11),tblDaily[WardCode],"MW")=0,"",SUMIFS(tblDaily[TransfersOut],tblDaily[EntryDate],DATE(2026,12,11),tblDaily[WardCode],"MW")),"")</f>
        <v/>
      </c>
      <c r="H446" s="29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IFERROR(IF(SUMIFS(tblDaily[Admissions],tblDaily[EntryDate],DATE(2026,12,12),tblDaily[WardCode],"MW")=0,"",SUMIFS(tblDaily[Admissions],tblDaily[EntryDate],DATE(2026,12,12),tblDaily[WardCode],"MW")),"")</f>
        <v/>
      </c>
      <c r="C447" s="29" t="str">
        <f>IFERROR(IF(SUMIFS(tblDaily[Discharges],tblDaily[EntryDate],DATE(2026,12,12),tblDaily[WardCode],"MW")=0,"",SUMIFS(tblDaily[Discharges],tblDaily[EntryDate],DATE(2026,12,12),tblDaily[WardCode],"MW")),"")</f>
        <v/>
      </c>
      <c r="D447" s="29" t="str">
        <f>IFERROR(IF(SUMIFS(tblDaily[Deaths],tblDaily[EntryDate],DATE(2026,12,12),tblDaily[WardCode],"MW")=0,"",SUMIFS(tblDaily[Deaths],tblDaily[EntryDate],DATE(2026,12,12),tblDaily[WardCode],"MW")),"")</f>
        <v/>
      </c>
      <c r="E447" s="29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29" t="str">
        <f>IFERROR(IF(SUMIFS(tblDaily[TransfersIn],tblDaily[EntryDate],DATE(2026,12,12),tblDaily[WardCode],"MW")=0,"",SUMIFS(tblDaily[TransfersIn],tblDaily[EntryDate],DATE(2026,12,12),tblDaily[WardCode],"MW")),"")</f>
        <v/>
      </c>
      <c r="G447" s="29" t="str">
        <f>IFERROR(IF(SUMIFS(tblDaily[TransfersOut],tblDaily[EntryDate],DATE(2026,12,12),tblDaily[WardCode],"MW")=0,"",SUMIFS(tblDaily[TransfersOut],tblDaily[EntryDate],DATE(2026,12,12),tblDaily[WardCode],"MW")),"")</f>
        <v/>
      </c>
      <c r="H447" s="29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IFERROR(IF(SUMIFS(tblDaily[Admissions],tblDaily[EntryDate],DATE(2026,12,13),tblDaily[WardCode],"MW")=0,"",SUMIFS(tblDaily[Admissions],tblDaily[EntryDate],DATE(2026,12,13),tblDaily[WardCode],"MW")),"")</f>
        <v/>
      </c>
      <c r="C448" s="29" t="str">
        <f>IFERROR(IF(SUMIFS(tblDaily[Discharges],tblDaily[EntryDate],DATE(2026,12,13),tblDaily[WardCode],"MW")=0,"",SUMIFS(tblDaily[Discharges],tblDaily[EntryDate],DATE(2026,12,13),tblDaily[WardCode],"MW")),"")</f>
        <v/>
      </c>
      <c r="D448" s="29" t="str">
        <f>IFERROR(IF(SUMIFS(tblDaily[Deaths],tblDaily[EntryDate],DATE(2026,12,13),tblDaily[WardCode],"MW")=0,"",SUMIFS(tblDaily[Deaths],tblDaily[EntryDate],DATE(2026,12,13),tblDaily[WardCode],"MW")),"")</f>
        <v/>
      </c>
      <c r="E448" s="29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29" t="str">
        <f>IFERROR(IF(SUMIFS(tblDaily[TransfersIn],tblDaily[EntryDate],DATE(2026,12,13),tblDaily[WardCode],"MW")=0,"",SUMIFS(tblDaily[TransfersIn],tblDaily[EntryDate],DATE(2026,12,13),tblDaily[WardCode],"MW")),"")</f>
        <v/>
      </c>
      <c r="G448" s="29" t="str">
        <f>IFERROR(IF(SUMIFS(tblDaily[TransfersOut],tblDaily[EntryDate],DATE(2026,12,13),tblDaily[WardCode],"MW")=0,"",SUMIFS(tblDaily[TransfersOut],tblDaily[EntryDate],DATE(2026,12,13),tblDaily[WardCode],"MW")),"")</f>
        <v/>
      </c>
      <c r="H448" s="29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IFERROR(IF(SUMIFS(tblDaily[Admissions],tblDaily[EntryDate],DATE(2026,12,14),tblDaily[WardCode],"MW")=0,"",SUMIFS(tblDaily[Admissions],tblDaily[EntryDate],DATE(2026,12,14),tblDaily[WardCode],"MW")),"")</f>
        <v/>
      </c>
      <c r="C449" s="29" t="str">
        <f>IFERROR(IF(SUMIFS(tblDaily[Discharges],tblDaily[EntryDate],DATE(2026,12,14),tblDaily[WardCode],"MW")=0,"",SUMIFS(tblDaily[Discharges],tblDaily[EntryDate],DATE(2026,12,14),tblDaily[WardCode],"MW")),"")</f>
        <v/>
      </c>
      <c r="D449" s="29" t="str">
        <f>IFERROR(IF(SUMIFS(tblDaily[Deaths],tblDaily[EntryDate],DATE(2026,12,14),tblDaily[WardCode],"MW")=0,"",SUMIFS(tblDaily[Deaths],tblDaily[EntryDate],DATE(2026,12,14),tblDaily[WardCode],"MW")),"")</f>
        <v/>
      </c>
      <c r="E449" s="29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29" t="str">
        <f>IFERROR(IF(SUMIFS(tblDaily[TransfersIn],tblDaily[EntryDate],DATE(2026,12,14),tblDaily[WardCode],"MW")=0,"",SUMIFS(tblDaily[TransfersIn],tblDaily[EntryDate],DATE(2026,12,14),tblDaily[WardCode],"MW")),"")</f>
        <v/>
      </c>
      <c r="G449" s="29" t="str">
        <f>IFERROR(IF(SUMIFS(tblDaily[TransfersOut],tblDaily[EntryDate],DATE(2026,12,14),tblDaily[WardCode],"MW")=0,"",SUMIFS(tblDaily[TransfersOut],tblDaily[EntryDate],DATE(2026,12,14),tblDaily[WardCode],"MW")),"")</f>
        <v/>
      </c>
      <c r="H449" s="29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IFERROR(IF(SUMIFS(tblDaily[Admissions],tblDaily[EntryDate],DATE(2026,12,15),tblDaily[WardCode],"MW")=0,"",SUMIFS(tblDaily[Admissions],tblDaily[EntryDate],DATE(2026,12,15),tblDaily[WardCode],"MW")),"")</f>
        <v/>
      </c>
      <c r="C450" s="29" t="str">
        <f>IFERROR(IF(SUMIFS(tblDaily[Discharges],tblDaily[EntryDate],DATE(2026,12,15),tblDaily[WardCode],"MW")=0,"",SUMIFS(tblDaily[Discharges],tblDaily[EntryDate],DATE(2026,12,15),tblDaily[WardCode],"MW")),"")</f>
        <v/>
      </c>
      <c r="D450" s="29" t="str">
        <f>IFERROR(IF(SUMIFS(tblDaily[Deaths],tblDaily[EntryDate],DATE(2026,12,15),tblDaily[WardCode],"MW")=0,"",SUMIFS(tblDaily[Deaths],tblDaily[EntryDate],DATE(2026,12,15),tblDaily[WardCode],"MW")),"")</f>
        <v/>
      </c>
      <c r="E450" s="29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29" t="str">
        <f>IFERROR(IF(SUMIFS(tblDaily[TransfersIn],tblDaily[EntryDate],DATE(2026,12,15),tblDaily[WardCode],"MW")=0,"",SUMIFS(tblDaily[TransfersIn],tblDaily[EntryDate],DATE(2026,12,15),tblDaily[WardCode],"MW")),"")</f>
        <v/>
      </c>
      <c r="G450" s="29" t="str">
        <f>IFERROR(IF(SUMIFS(tblDaily[TransfersOut],tblDaily[EntryDate],DATE(2026,12,15),tblDaily[WardCode],"MW")=0,"",SUMIFS(tblDaily[TransfersOut],tblDaily[EntryDate],DATE(2026,12,15),tblDaily[WardCode],"MW")),"")</f>
        <v/>
      </c>
      <c r="H450" s="29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IFERROR(IF(SUMIFS(tblDaily[Admissions],tblDaily[EntryDate],DATE(2026,12,16),tblDaily[WardCode],"MW")=0,"",SUMIFS(tblDaily[Admissions],tblDaily[EntryDate],DATE(2026,12,16),tblDaily[WardCode],"MW")),"")</f>
        <v/>
      </c>
      <c r="C451" s="29" t="str">
        <f>IFERROR(IF(SUMIFS(tblDaily[Discharges],tblDaily[EntryDate],DATE(2026,12,16),tblDaily[WardCode],"MW")=0,"",SUMIFS(tblDaily[Discharges],tblDaily[EntryDate],DATE(2026,12,16),tblDaily[WardCode],"MW")),"")</f>
        <v/>
      </c>
      <c r="D451" s="29" t="str">
        <f>IFERROR(IF(SUMIFS(tblDaily[Deaths],tblDaily[EntryDate],DATE(2026,12,16),tblDaily[WardCode],"MW")=0,"",SUMIFS(tblDaily[Deaths],tblDaily[EntryDate],DATE(2026,12,16),tblDaily[WardCode],"MW")),"")</f>
        <v/>
      </c>
      <c r="E451" s="29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29" t="str">
        <f>IFERROR(IF(SUMIFS(tblDaily[TransfersIn],tblDaily[EntryDate],DATE(2026,12,16),tblDaily[WardCode],"MW")=0,"",SUMIFS(tblDaily[TransfersIn],tblDaily[EntryDate],DATE(2026,12,16),tblDaily[WardCode],"MW")),"")</f>
        <v/>
      </c>
      <c r="G451" s="29" t="str">
        <f>IFERROR(IF(SUMIFS(tblDaily[TransfersOut],tblDaily[EntryDate],DATE(2026,12,16),tblDaily[WardCode],"MW")=0,"",SUMIFS(tblDaily[TransfersOut],tblDaily[EntryDate],DATE(2026,12,16),tblDaily[WardCode],"MW")),"")</f>
        <v/>
      </c>
      <c r="H451" s="29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IFERROR(IF(SUMIFS(tblDaily[Admissions],tblDaily[EntryDate],DATE(2026,12,17),tblDaily[WardCode],"MW")=0,"",SUMIFS(tblDaily[Admissions],tblDaily[EntryDate],DATE(2026,12,17),tblDaily[WardCode],"MW")),"")</f>
        <v/>
      </c>
      <c r="C452" s="29" t="str">
        <f>IFERROR(IF(SUMIFS(tblDaily[Discharges],tblDaily[EntryDate],DATE(2026,12,17),tblDaily[WardCode],"MW")=0,"",SUMIFS(tblDaily[Discharges],tblDaily[EntryDate],DATE(2026,12,17),tblDaily[WardCode],"MW")),"")</f>
        <v/>
      </c>
      <c r="D452" s="29" t="str">
        <f>IFERROR(IF(SUMIFS(tblDaily[Deaths],tblDaily[EntryDate],DATE(2026,12,17),tblDaily[WardCode],"MW")=0,"",SUMIFS(tblDaily[Deaths],tblDaily[EntryDate],DATE(2026,12,17),tblDaily[WardCode],"MW")),"")</f>
        <v/>
      </c>
      <c r="E452" s="29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29" t="str">
        <f>IFERROR(IF(SUMIFS(tblDaily[TransfersIn],tblDaily[EntryDate],DATE(2026,12,17),tblDaily[WardCode],"MW")=0,"",SUMIFS(tblDaily[TransfersIn],tblDaily[EntryDate],DATE(2026,12,17),tblDaily[WardCode],"MW")),"")</f>
        <v/>
      </c>
      <c r="G452" s="29" t="str">
        <f>IFERROR(IF(SUMIFS(tblDaily[TransfersOut],tblDaily[EntryDate],DATE(2026,12,17),tblDaily[WardCode],"MW")=0,"",SUMIFS(tblDaily[TransfersOut],tblDaily[EntryDate],DATE(2026,12,17),tblDaily[WardCode],"MW")),"")</f>
        <v/>
      </c>
      <c r="H452" s="29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IFERROR(IF(SUMIFS(tblDaily[Admissions],tblDaily[EntryDate],DATE(2026,12,18),tblDaily[WardCode],"MW")=0,"",SUMIFS(tblDaily[Admissions],tblDaily[EntryDate],DATE(2026,12,18),tblDaily[WardCode],"MW")),"")</f>
        <v/>
      </c>
      <c r="C453" s="29" t="str">
        <f>IFERROR(IF(SUMIFS(tblDaily[Discharges],tblDaily[EntryDate],DATE(2026,12,18),tblDaily[WardCode],"MW")=0,"",SUMIFS(tblDaily[Discharges],tblDaily[EntryDate],DATE(2026,12,18),tblDaily[WardCode],"MW")),"")</f>
        <v/>
      </c>
      <c r="D453" s="29" t="str">
        <f>IFERROR(IF(SUMIFS(tblDaily[Deaths],tblDaily[EntryDate],DATE(2026,12,18),tblDaily[WardCode],"MW")=0,"",SUMIFS(tblDaily[Deaths],tblDaily[EntryDate],DATE(2026,12,18),tblDaily[WardCode],"MW")),"")</f>
        <v/>
      </c>
      <c r="E453" s="29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29" t="str">
        <f>IFERROR(IF(SUMIFS(tblDaily[TransfersIn],tblDaily[EntryDate],DATE(2026,12,18),tblDaily[WardCode],"MW")=0,"",SUMIFS(tblDaily[TransfersIn],tblDaily[EntryDate],DATE(2026,12,18),tblDaily[WardCode],"MW")),"")</f>
        <v/>
      </c>
      <c r="G453" s="29" t="str">
        <f>IFERROR(IF(SUMIFS(tblDaily[TransfersOut],tblDaily[EntryDate],DATE(2026,12,18),tblDaily[WardCode],"MW")=0,"",SUMIFS(tblDaily[TransfersOut],tblDaily[EntryDate],DATE(2026,12,18),tblDaily[WardCode],"MW")),"")</f>
        <v/>
      </c>
      <c r="H453" s="29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IFERROR(IF(SUMIFS(tblDaily[Admissions],tblDaily[EntryDate],DATE(2026,12,19),tblDaily[WardCode],"MW")=0,"",SUMIFS(tblDaily[Admissions],tblDaily[EntryDate],DATE(2026,12,19),tblDaily[WardCode],"MW")),"")</f>
        <v/>
      </c>
      <c r="C454" s="29" t="str">
        <f>IFERROR(IF(SUMIFS(tblDaily[Discharges],tblDaily[EntryDate],DATE(2026,12,19),tblDaily[WardCode],"MW")=0,"",SUMIFS(tblDaily[Discharges],tblDaily[EntryDate],DATE(2026,12,19),tblDaily[WardCode],"MW")),"")</f>
        <v/>
      </c>
      <c r="D454" s="29" t="str">
        <f>IFERROR(IF(SUMIFS(tblDaily[Deaths],tblDaily[EntryDate],DATE(2026,12,19),tblDaily[WardCode],"MW")=0,"",SUMIFS(tblDaily[Deaths],tblDaily[EntryDate],DATE(2026,12,19),tblDaily[WardCode],"MW")),"")</f>
        <v/>
      </c>
      <c r="E454" s="29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29" t="str">
        <f>IFERROR(IF(SUMIFS(tblDaily[TransfersIn],tblDaily[EntryDate],DATE(2026,12,19),tblDaily[WardCode],"MW")=0,"",SUMIFS(tblDaily[TransfersIn],tblDaily[EntryDate],DATE(2026,12,19),tblDaily[WardCode],"MW")),"")</f>
        <v/>
      </c>
      <c r="G454" s="29" t="str">
        <f>IFERROR(IF(SUMIFS(tblDaily[TransfersOut],tblDaily[EntryDate],DATE(2026,12,19),tblDaily[WardCode],"MW")=0,"",SUMIFS(tblDaily[TransfersOut],tblDaily[EntryDate],DATE(2026,12,19),tblDaily[WardCode],"MW")),"")</f>
        <v/>
      </c>
      <c r="H454" s="29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IFERROR(IF(SUMIFS(tblDaily[Admissions],tblDaily[EntryDate],DATE(2026,12,20),tblDaily[WardCode],"MW")=0,"",SUMIFS(tblDaily[Admissions],tblDaily[EntryDate],DATE(2026,12,20),tblDaily[WardCode],"MW")),"")</f>
        <v/>
      </c>
      <c r="C455" s="29" t="str">
        <f>IFERROR(IF(SUMIFS(tblDaily[Discharges],tblDaily[EntryDate],DATE(2026,12,20),tblDaily[WardCode],"MW")=0,"",SUMIFS(tblDaily[Discharges],tblDaily[EntryDate],DATE(2026,12,20),tblDaily[WardCode],"MW")),"")</f>
        <v/>
      </c>
      <c r="D455" s="29" t="str">
        <f>IFERROR(IF(SUMIFS(tblDaily[Deaths],tblDaily[EntryDate],DATE(2026,12,20),tblDaily[WardCode],"MW")=0,"",SUMIFS(tblDaily[Deaths],tblDaily[EntryDate],DATE(2026,12,20),tblDaily[WardCode],"MW")),"")</f>
        <v/>
      </c>
      <c r="E455" s="29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29" t="str">
        <f>IFERROR(IF(SUMIFS(tblDaily[TransfersIn],tblDaily[EntryDate],DATE(2026,12,20),tblDaily[WardCode],"MW")=0,"",SUMIFS(tblDaily[TransfersIn],tblDaily[EntryDate],DATE(2026,12,20),tblDaily[WardCode],"MW")),"")</f>
        <v/>
      </c>
      <c r="G455" s="29" t="str">
        <f>IFERROR(IF(SUMIFS(tblDaily[TransfersOut],tblDaily[EntryDate],DATE(2026,12,20),tblDaily[WardCode],"MW")=0,"",SUMIFS(tblDaily[TransfersOut],tblDaily[EntryDate],DATE(2026,12,20),tblDaily[WardCode],"MW")),"")</f>
        <v/>
      </c>
      <c r="H455" s="29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IFERROR(IF(SUMIFS(tblDaily[Admissions],tblDaily[EntryDate],DATE(2026,12,21),tblDaily[WardCode],"MW")=0,"",SUMIFS(tblDaily[Admissions],tblDaily[EntryDate],DATE(2026,12,21),tblDaily[WardCode],"MW")),"")</f>
        <v/>
      </c>
      <c r="C456" s="29" t="str">
        <f>IFERROR(IF(SUMIFS(tblDaily[Discharges],tblDaily[EntryDate],DATE(2026,12,21),tblDaily[WardCode],"MW")=0,"",SUMIFS(tblDaily[Discharges],tblDaily[EntryDate],DATE(2026,12,21),tblDaily[WardCode],"MW")),"")</f>
        <v/>
      </c>
      <c r="D456" s="29" t="str">
        <f>IFERROR(IF(SUMIFS(tblDaily[Deaths],tblDaily[EntryDate],DATE(2026,12,21),tblDaily[WardCode],"MW")=0,"",SUMIFS(tblDaily[Deaths],tblDaily[EntryDate],DATE(2026,12,21),tblDaily[WardCode],"MW")),"")</f>
        <v/>
      </c>
      <c r="E456" s="29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29" t="str">
        <f>IFERROR(IF(SUMIFS(tblDaily[TransfersIn],tblDaily[EntryDate],DATE(2026,12,21),tblDaily[WardCode],"MW")=0,"",SUMIFS(tblDaily[TransfersIn],tblDaily[EntryDate],DATE(2026,12,21),tblDaily[WardCode],"MW")),"")</f>
        <v/>
      </c>
      <c r="G456" s="29" t="str">
        <f>IFERROR(IF(SUMIFS(tblDaily[TransfersOut],tblDaily[EntryDate],DATE(2026,12,21),tblDaily[WardCode],"MW")=0,"",SUMIFS(tblDaily[TransfersOut],tblDaily[EntryDate],DATE(2026,12,21),tblDaily[WardCode],"MW")),"")</f>
        <v/>
      </c>
      <c r="H456" s="29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IFERROR(IF(SUMIFS(tblDaily[Admissions],tblDaily[EntryDate],DATE(2026,12,22),tblDaily[WardCode],"MW")=0,"",SUMIFS(tblDaily[Admissions],tblDaily[EntryDate],DATE(2026,12,22),tblDaily[WardCode],"MW")),"")</f>
        <v/>
      </c>
      <c r="C457" s="29" t="str">
        <f>IFERROR(IF(SUMIFS(tblDaily[Discharges],tblDaily[EntryDate],DATE(2026,12,22),tblDaily[WardCode],"MW")=0,"",SUMIFS(tblDaily[Discharges],tblDaily[EntryDate],DATE(2026,12,22),tblDaily[WardCode],"MW")),"")</f>
        <v/>
      </c>
      <c r="D457" s="29" t="str">
        <f>IFERROR(IF(SUMIFS(tblDaily[Deaths],tblDaily[EntryDate],DATE(2026,12,22),tblDaily[WardCode],"MW")=0,"",SUMIFS(tblDaily[Deaths],tblDaily[EntryDate],DATE(2026,12,22),tblDaily[WardCode],"MW")),"")</f>
        <v/>
      </c>
      <c r="E457" s="29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29" t="str">
        <f>IFERROR(IF(SUMIFS(tblDaily[TransfersIn],tblDaily[EntryDate],DATE(2026,12,22),tblDaily[WardCode],"MW")=0,"",SUMIFS(tblDaily[TransfersIn],tblDaily[EntryDate],DATE(2026,12,22),tblDaily[WardCode],"MW")),"")</f>
        <v/>
      </c>
      <c r="G457" s="29" t="str">
        <f>IFERROR(IF(SUMIFS(tblDaily[TransfersOut],tblDaily[EntryDate],DATE(2026,12,22),tblDaily[WardCode],"MW")=0,"",SUMIFS(tblDaily[TransfersOut],tblDaily[EntryDate],DATE(2026,12,22),tblDaily[WardCode],"MW")),"")</f>
        <v/>
      </c>
      <c r="H457" s="29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IFERROR(IF(SUMIFS(tblDaily[Admissions],tblDaily[EntryDate],DATE(2026,12,23),tblDaily[WardCode],"MW")=0,"",SUMIFS(tblDaily[Admissions],tblDaily[EntryDate],DATE(2026,12,23),tblDaily[WardCode],"MW")),"")</f>
        <v/>
      </c>
      <c r="C458" s="29" t="str">
        <f>IFERROR(IF(SUMIFS(tblDaily[Discharges],tblDaily[EntryDate],DATE(2026,12,23),tblDaily[WardCode],"MW")=0,"",SUMIFS(tblDaily[Discharges],tblDaily[EntryDate],DATE(2026,12,23),tblDaily[WardCode],"MW")),"")</f>
        <v/>
      </c>
      <c r="D458" s="29" t="str">
        <f>IFERROR(IF(SUMIFS(tblDaily[Deaths],tblDaily[EntryDate],DATE(2026,12,23),tblDaily[WardCode],"MW")=0,"",SUMIFS(tblDaily[Deaths],tblDaily[EntryDate],DATE(2026,12,23),tblDaily[WardCode],"MW")),"")</f>
        <v/>
      </c>
      <c r="E458" s="29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29" t="str">
        <f>IFERROR(IF(SUMIFS(tblDaily[TransfersIn],tblDaily[EntryDate],DATE(2026,12,23),tblDaily[WardCode],"MW")=0,"",SUMIFS(tblDaily[TransfersIn],tblDaily[EntryDate],DATE(2026,12,23),tblDaily[WardCode],"MW")),"")</f>
        <v/>
      </c>
      <c r="G458" s="29" t="str">
        <f>IFERROR(IF(SUMIFS(tblDaily[TransfersOut],tblDaily[EntryDate],DATE(2026,12,23),tblDaily[WardCode],"MW")=0,"",SUMIFS(tblDaily[TransfersOut],tblDaily[EntryDate],DATE(2026,12,23),tblDaily[WardCode],"MW")),"")</f>
        <v/>
      </c>
      <c r="H458" s="29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IFERROR(IF(SUMIFS(tblDaily[Admissions],tblDaily[EntryDate],DATE(2026,12,24),tblDaily[WardCode],"MW")=0,"",SUMIFS(tblDaily[Admissions],tblDaily[EntryDate],DATE(2026,12,24),tblDaily[WardCode],"MW")),"")</f>
        <v/>
      </c>
      <c r="C459" s="29" t="str">
        <f>IFERROR(IF(SUMIFS(tblDaily[Discharges],tblDaily[EntryDate],DATE(2026,12,24),tblDaily[WardCode],"MW")=0,"",SUMIFS(tblDaily[Discharges],tblDaily[EntryDate],DATE(2026,12,24),tblDaily[WardCode],"MW")),"")</f>
        <v/>
      </c>
      <c r="D459" s="29" t="str">
        <f>IFERROR(IF(SUMIFS(tblDaily[Deaths],tblDaily[EntryDate],DATE(2026,12,24),tblDaily[WardCode],"MW")=0,"",SUMIFS(tblDaily[Deaths],tblDaily[EntryDate],DATE(2026,12,24),tblDaily[WardCode],"MW")),"")</f>
        <v/>
      </c>
      <c r="E459" s="29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29" t="str">
        <f>IFERROR(IF(SUMIFS(tblDaily[TransfersIn],tblDaily[EntryDate],DATE(2026,12,24),tblDaily[WardCode],"MW")=0,"",SUMIFS(tblDaily[TransfersIn],tblDaily[EntryDate],DATE(2026,12,24),tblDaily[WardCode],"MW")),"")</f>
        <v/>
      </c>
      <c r="G459" s="29" t="str">
        <f>IFERROR(IF(SUMIFS(tblDaily[TransfersOut],tblDaily[EntryDate],DATE(2026,12,24),tblDaily[WardCode],"MW")=0,"",SUMIFS(tblDaily[TransfersOut],tblDaily[EntryDate],DATE(2026,12,24),tblDaily[WardCode],"MW")),"")</f>
        <v/>
      </c>
      <c r="H459" s="29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IFERROR(IF(SUMIFS(tblDaily[Admissions],tblDaily[EntryDate],DATE(2026,12,25),tblDaily[WardCode],"MW")=0,"",SUMIFS(tblDaily[Admissions],tblDaily[EntryDate],DATE(2026,12,25),tblDaily[WardCode],"MW")),"")</f>
        <v/>
      </c>
      <c r="C460" s="29" t="str">
        <f>IFERROR(IF(SUMIFS(tblDaily[Discharges],tblDaily[EntryDate],DATE(2026,12,25),tblDaily[WardCode],"MW")=0,"",SUMIFS(tblDaily[Discharges],tblDaily[EntryDate],DATE(2026,12,25),tblDaily[WardCode],"MW")),"")</f>
        <v/>
      </c>
      <c r="D460" s="29" t="str">
        <f>IFERROR(IF(SUMIFS(tblDaily[Deaths],tblDaily[EntryDate],DATE(2026,12,25),tblDaily[WardCode],"MW")=0,"",SUMIFS(tblDaily[Deaths],tblDaily[EntryDate],DATE(2026,12,25),tblDaily[WardCode],"MW")),"")</f>
        <v/>
      </c>
      <c r="E460" s="29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29" t="str">
        <f>IFERROR(IF(SUMIFS(tblDaily[TransfersIn],tblDaily[EntryDate],DATE(2026,12,25),tblDaily[WardCode],"MW")=0,"",SUMIFS(tblDaily[TransfersIn],tblDaily[EntryDate],DATE(2026,12,25),tblDaily[WardCode],"MW")),"")</f>
        <v/>
      </c>
      <c r="G460" s="29" t="str">
        <f>IFERROR(IF(SUMIFS(tblDaily[TransfersOut],tblDaily[EntryDate],DATE(2026,12,25),tblDaily[WardCode],"MW")=0,"",SUMIFS(tblDaily[TransfersOut],tblDaily[EntryDate],DATE(2026,12,25),tblDaily[WardCode],"MW")),"")</f>
        <v/>
      </c>
      <c r="H460" s="29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IFERROR(IF(SUMIFS(tblDaily[Admissions],tblDaily[EntryDate],DATE(2026,12,26),tblDaily[WardCode],"MW")=0,"",SUMIFS(tblDaily[Admissions],tblDaily[EntryDate],DATE(2026,12,26),tblDaily[WardCode],"MW")),"")</f>
        <v/>
      </c>
      <c r="C461" s="29" t="str">
        <f>IFERROR(IF(SUMIFS(tblDaily[Discharges],tblDaily[EntryDate],DATE(2026,12,26),tblDaily[WardCode],"MW")=0,"",SUMIFS(tblDaily[Discharges],tblDaily[EntryDate],DATE(2026,12,26),tblDaily[WardCode],"MW")),"")</f>
        <v/>
      </c>
      <c r="D461" s="29" t="str">
        <f>IFERROR(IF(SUMIFS(tblDaily[Deaths],tblDaily[EntryDate],DATE(2026,12,26),tblDaily[WardCode],"MW")=0,"",SUMIFS(tblDaily[Deaths],tblDaily[EntryDate],DATE(2026,12,26),tblDaily[WardCode],"MW")),"")</f>
        <v/>
      </c>
      <c r="E461" s="29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29" t="str">
        <f>IFERROR(IF(SUMIFS(tblDaily[TransfersIn],tblDaily[EntryDate],DATE(2026,12,26),tblDaily[WardCode],"MW")=0,"",SUMIFS(tblDaily[TransfersIn],tblDaily[EntryDate],DATE(2026,12,26),tblDaily[WardCode],"MW")),"")</f>
        <v/>
      </c>
      <c r="G461" s="29" t="str">
        <f>IFERROR(IF(SUMIFS(tblDaily[TransfersOut],tblDaily[EntryDate],DATE(2026,12,26),tblDaily[WardCode],"MW")=0,"",SUMIFS(tblDaily[TransfersOut],tblDaily[EntryDate],DATE(2026,12,26),tblDaily[WardCode],"MW")),"")</f>
        <v/>
      </c>
      <c r="H461" s="29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IFERROR(IF(SUMIFS(tblDaily[Admissions],tblDaily[EntryDate],DATE(2026,12,27),tblDaily[WardCode],"MW")=0,"",SUMIFS(tblDaily[Admissions],tblDaily[EntryDate],DATE(2026,12,27),tblDaily[WardCode],"MW")),"")</f>
        <v/>
      </c>
      <c r="C462" s="29" t="str">
        <f>IFERROR(IF(SUMIFS(tblDaily[Discharges],tblDaily[EntryDate],DATE(2026,12,27),tblDaily[WardCode],"MW")=0,"",SUMIFS(tblDaily[Discharges],tblDaily[EntryDate],DATE(2026,12,27),tblDaily[WardCode],"MW")),"")</f>
        <v/>
      </c>
      <c r="D462" s="29" t="str">
        <f>IFERROR(IF(SUMIFS(tblDaily[Deaths],tblDaily[EntryDate],DATE(2026,12,27),tblDaily[WardCode],"MW")=0,"",SUMIFS(tblDaily[Deaths],tblDaily[EntryDate],DATE(2026,12,27),tblDaily[WardCode],"MW")),"")</f>
        <v/>
      </c>
      <c r="E462" s="29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29" t="str">
        <f>IFERROR(IF(SUMIFS(tblDaily[TransfersIn],tblDaily[EntryDate],DATE(2026,12,27),tblDaily[WardCode],"MW")=0,"",SUMIFS(tblDaily[TransfersIn],tblDaily[EntryDate],DATE(2026,12,27),tblDaily[WardCode],"MW")),"")</f>
        <v/>
      </c>
      <c r="G462" s="29" t="str">
        <f>IFERROR(IF(SUMIFS(tblDaily[TransfersOut],tblDaily[EntryDate],DATE(2026,12,27),tblDaily[WardCode],"MW")=0,"",SUMIFS(tblDaily[TransfersOut],tblDaily[EntryDate],DATE(2026,12,27),tblDaily[WardCode],"MW")),"")</f>
        <v/>
      </c>
      <c r="H462" s="29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IFERROR(IF(SUMIFS(tblDaily[Admissions],tblDaily[EntryDate],DATE(2026,12,28),tblDaily[WardCode],"MW")=0,"",SUMIFS(tblDaily[Admissions],tblDaily[EntryDate],DATE(2026,12,28),tblDaily[WardCode],"MW")),"")</f>
        <v/>
      </c>
      <c r="C463" s="29" t="str">
        <f>IFERROR(IF(SUMIFS(tblDaily[Discharges],tblDaily[EntryDate],DATE(2026,12,28),tblDaily[WardCode],"MW")=0,"",SUMIFS(tblDaily[Discharges],tblDaily[EntryDate],DATE(2026,12,28),tblDaily[WardCode],"MW")),"")</f>
        <v/>
      </c>
      <c r="D463" s="29" t="str">
        <f>IFERROR(IF(SUMIFS(tblDaily[Deaths],tblDaily[EntryDate],DATE(2026,12,28),tblDaily[WardCode],"MW")=0,"",SUMIFS(tblDaily[Deaths],tblDaily[EntryDate],DATE(2026,12,28),tblDaily[WardCode],"MW")),"")</f>
        <v/>
      </c>
      <c r="E463" s="29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29" t="str">
        <f>IFERROR(IF(SUMIFS(tblDaily[TransfersIn],tblDaily[EntryDate],DATE(2026,12,28),tblDaily[WardCode],"MW")=0,"",SUMIFS(tblDaily[TransfersIn],tblDaily[EntryDate],DATE(2026,12,28),tblDaily[WardCode],"MW")),"")</f>
        <v/>
      </c>
      <c r="G463" s="29" t="str">
        <f>IFERROR(IF(SUMIFS(tblDaily[TransfersOut],tblDaily[EntryDate],DATE(2026,12,28),tblDaily[WardCode],"MW")=0,"",SUMIFS(tblDaily[TransfersOut],tblDaily[EntryDate],DATE(2026,12,28),tblDaily[WardCode],"MW")),"")</f>
        <v/>
      </c>
      <c r="H463" s="29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IFERROR(IF(SUMIFS(tblDaily[Admissions],tblDaily[EntryDate],DATE(2026,12,29),tblDaily[WardCode],"MW")=0,"",SUMIFS(tblDaily[Admissions],tblDaily[EntryDate],DATE(2026,12,29),tblDaily[WardCode],"MW")),"")</f>
        <v/>
      </c>
      <c r="C464" s="29" t="str">
        <f>IFERROR(IF(SUMIFS(tblDaily[Discharges],tblDaily[EntryDate],DATE(2026,12,29),tblDaily[WardCode],"MW")=0,"",SUMIFS(tblDaily[Discharges],tblDaily[EntryDate],DATE(2026,12,29),tblDaily[WardCode],"MW")),"")</f>
        <v/>
      </c>
      <c r="D464" s="29" t="str">
        <f>IFERROR(IF(SUMIFS(tblDaily[Deaths],tblDaily[EntryDate],DATE(2026,12,29),tblDaily[WardCode],"MW")=0,"",SUMIFS(tblDaily[Deaths],tblDaily[EntryDate],DATE(2026,12,29),tblDaily[WardCode],"MW")),"")</f>
        <v/>
      </c>
      <c r="E464" s="29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29" t="str">
        <f>IFERROR(IF(SUMIFS(tblDaily[TransfersIn],tblDaily[EntryDate],DATE(2026,12,29),tblDaily[WardCode],"MW")=0,"",SUMIFS(tblDaily[TransfersIn],tblDaily[EntryDate],DATE(2026,12,29),tblDaily[WardCode],"MW")),"")</f>
        <v/>
      </c>
      <c r="G464" s="29" t="str">
        <f>IFERROR(IF(SUMIFS(tblDaily[TransfersOut],tblDaily[EntryDate],DATE(2026,12,29),tblDaily[WardCode],"MW")=0,"",SUMIFS(tblDaily[TransfersOut],tblDaily[EntryDate],DATE(2026,12,29),tblDaily[WardCode],"MW")),"")</f>
        <v/>
      </c>
      <c r="H464" s="29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IFERROR(IF(SUMIFS(tblDaily[Admissions],tblDaily[EntryDate],DATE(2026,12,30),tblDaily[WardCode],"MW")=0,"",SUMIFS(tblDaily[Admissions],tblDaily[EntryDate],DATE(2026,12,30),tblDaily[WardCode],"MW")),"")</f>
        <v/>
      </c>
      <c r="C465" s="29" t="str">
        <f>IFERROR(IF(SUMIFS(tblDaily[Discharges],tblDaily[EntryDate],DATE(2026,12,30),tblDaily[WardCode],"MW")=0,"",SUMIFS(tblDaily[Discharges],tblDaily[EntryDate],DATE(2026,12,30),tblDaily[WardCode],"MW")),"")</f>
        <v/>
      </c>
      <c r="D465" s="29" t="str">
        <f>IFERROR(IF(SUMIFS(tblDaily[Deaths],tblDaily[EntryDate],DATE(2026,12,30),tblDaily[WardCode],"MW")=0,"",SUMIFS(tblDaily[Deaths],tblDaily[EntryDate],DATE(2026,12,30),tblDaily[WardCode],"MW")),"")</f>
        <v/>
      </c>
      <c r="E465" s="29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29" t="str">
        <f>IFERROR(IF(SUMIFS(tblDaily[TransfersIn],tblDaily[EntryDate],DATE(2026,12,30),tblDaily[WardCode],"MW")=0,"",SUMIFS(tblDaily[TransfersIn],tblDaily[EntryDate],DATE(2026,12,30),tblDaily[WardCode],"MW")),"")</f>
        <v/>
      </c>
      <c r="G465" s="29" t="str">
        <f>IFERROR(IF(SUMIFS(tblDaily[TransfersOut],tblDaily[EntryDate],DATE(2026,12,30),tblDaily[WardCode],"MW")=0,"",SUMIFS(tblDaily[TransfersOut],tblDaily[EntryDate],DATE(2026,12,30),tblDaily[WardCode],"MW")),"")</f>
        <v/>
      </c>
      <c r="H465" s="29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IFERROR(IF(SUMIFS(tblDaily[Admissions],tblDaily[EntryDate],DATE(2026,12,31),tblDaily[WardCode],"MW")=0,"",SUMIFS(tblDaily[Admissions],tblDaily[EntryDate],DATE(2026,12,31),tblDaily[WardCode],"MW")),"")</f>
        <v/>
      </c>
      <c r="C466" s="29" t="str">
        <f>IFERROR(IF(SUMIFS(tblDaily[Discharges],tblDaily[EntryDate],DATE(2026,12,31),tblDaily[WardCode],"MW")=0,"",SUMIFS(tblDaily[Discharges],tblDaily[EntryDate],DATE(2026,12,31),tblDaily[WardCode],"MW")),"")</f>
        <v/>
      </c>
      <c r="D466" s="29" t="str">
        <f>IFERROR(IF(SUMIFS(tblDaily[Deaths],tblDaily[EntryDate],DATE(2026,12,31),tblDaily[WardCode],"MW")=0,"",SUMIFS(tblDaily[Deaths],tblDaily[EntryDate],DATE(2026,12,31),tblDaily[WardCode],"MW")),"")</f>
        <v/>
      </c>
      <c r="E466" s="29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29" t="str">
        <f>IFERROR(IF(SUMIFS(tblDaily[TransfersIn],tblDaily[EntryDate],DATE(2026,12,31),tblDaily[WardCode],"MW")=0,"",SUMIFS(tblDaily[TransfersIn],tblDaily[EntryDate],DATE(2026,12,31),tblDaily[WardCode],"MW")),"")</f>
        <v/>
      </c>
      <c r="G466" s="29" t="str">
        <f>IFERROR(IF(SUMIFS(tblDaily[TransfersOut],tblDaily[EntryDate],DATE(2026,12,31),tblDaily[WardCode],"MW")=0,"",SUMIFS(tblDaily[TransfersOut],tblDaily[EntryDate],DATE(2026,12,31),tblDaily[WardCode],"MW")),"")</f>
        <v/>
      </c>
      <c r="H466" s="29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30" t="s">
        <v>115</v>
      </c>
      <c r="B467" s="30">
        <f>SUMIFS(tblDaily[Admissions],tblDaily[Month],12,tblDaily[WardCode],"MW") - SUMIFS(tblDaily[DeathsUnder24Hrs],tblDaily[Month],12,tblDaily[WardCode],"MW")</f>
        <v>0</v>
      </c>
      <c r="C467" s="30">
        <f>SUMIFS(tblDaily[Discharges],tblDaily[Month],12,tblDaily[WardCode],"MW")</f>
        <v>0</v>
      </c>
      <c r="D467" s="30">
        <f>SUMIFS(tblDaily[Deaths],tblDaily[Month],12,tblDaily[WardCode],"MW")</f>
        <v>0</v>
      </c>
      <c r="E467" s="30">
        <f>SUMIFS(tblDaily[DeathsUnder24Hrs],tblDaily[Month],12,tblDaily[WardCode],"MW")</f>
        <v>0</v>
      </c>
      <c r="F467" s="30">
        <f>SUMIFS(tblDaily[TransfersIn],tblDaily[Month],12,tblDaily[WardCode],"MW")</f>
        <v>0</v>
      </c>
      <c r="G467" s="30">
        <f>SUMIFS(tblDaily[TransfersOut],tblDaily[Month],12,tblDaily[WardCode],"MW")</f>
        <v>0</v>
      </c>
      <c r="H467" s="30">
        <f>SUMIFS(tblDaily[Remaining],tblDaily[Month],12,tblDaily[WardCode],"MW")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116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IFERROR(INDEX(tblWardConfig[PrevYearRemaining],MATCH("FW",tblWardConfig[WardCode],0)),0)</f>
        <v>16</v>
      </c>
    </row>
    <row r="5" spans="1:8" x14ac:dyDescent="0.25">
      <c r="A5" s="24" t="s">
        <v>109</v>
      </c>
      <c r="H5" s="27">
        <f>IFERROR(INDEX(tblWardConfig[BedComplement],MATCH("FW",tblWardConfig[WardCode],0)),0)</f>
        <v>28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>
        <f>IFERROR(IF(SUMIFS(tblDaily[Admissions],tblDaily[EntryDate],DATE(2026,1,1),tblDaily[WardCode],"FW")=0,"",SUMIFS(tblDaily[Admissions],tblDaily[EntryDate],DATE(2026,1,1),tblDaily[WardCode],"FW")),"")</f>
        <v>4</v>
      </c>
      <c r="C7" s="29">
        <f>IFERROR(IF(SUMIFS(tblDaily[Discharges],tblDaily[EntryDate],DATE(2026,1,1),tblDaily[WardCode],"FW")=0,"",SUMIFS(tblDaily[Discharges],tblDaily[EntryDate],DATE(2026,1,1),tblDaily[WardCode],"FW")),"")</f>
        <v>2</v>
      </c>
      <c r="D7" s="29" t="str">
        <f>IFERROR(IF(SUMIFS(tblDaily[Deaths],tblDaily[EntryDate],DATE(2026,1,1),tblDaily[WardCode],"FW")=0,"",SUMIFS(tblDaily[Deaths],tblDaily[EntryDate],DATE(2026,1,1),tblDaily[WardCode],"FW")),"")</f>
        <v/>
      </c>
      <c r="E7" s="29" t="str">
        <f>IFERROR(IF(SUMIFS(tblDaily[DeathsUnder24Hrs],tblDaily[EntryDate],DATE(2026,1,1),tblDaily[WardCode],"FW")=0,"",SUMIFS(tblDaily[DeathsUnder24Hrs],tblDaily[EntryDate],DATE(2026,1,1),tblDaily[WardCode],"FW")),"")</f>
        <v/>
      </c>
      <c r="F7" s="29">
        <f>IFERROR(IF(SUMIFS(tblDaily[TransfersIn],tblDaily[EntryDate],DATE(2026,1,1),tblDaily[WardCode],"FW")=0,"",SUMIFS(tblDaily[TransfersIn],tblDaily[EntryDate],DATE(2026,1,1),tblDaily[WardCode],"FW")),"")</f>
        <v>1</v>
      </c>
      <c r="G7" s="29" t="str">
        <f>IFERROR(IF(SUMIFS(tblDaily[TransfersOut],tblDaily[EntryDate],DATE(2026,1,1),tblDaily[WardCode],"FW")=0,"",SUMIFS(tblDaily[TransfersOut],tblDaily[EntryDate],DATE(2026,1,1),tblDaily[WardCode],"FW")),"")</f>
        <v/>
      </c>
      <c r="H7" s="29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29">
        <v>2</v>
      </c>
      <c r="B8" s="29">
        <f>IFERROR(IF(SUMIFS(tblDaily[Admissions],tblDaily[EntryDate],DATE(2026,1,2),tblDaily[WardCode],"FW")=0,"",SUMIFS(tblDaily[Admissions],tblDaily[EntryDate],DATE(2026,1,2),tblDaily[WardCode],"FW")),"")</f>
        <v>2</v>
      </c>
      <c r="C8" s="29">
        <f>IFERROR(IF(SUMIFS(tblDaily[Discharges],tblDaily[EntryDate],DATE(2026,1,2),tblDaily[WardCode],"FW")=0,"",SUMIFS(tblDaily[Discharges],tblDaily[EntryDate],DATE(2026,1,2),tblDaily[WardCode],"FW")),"")</f>
        <v>4</v>
      </c>
      <c r="D8" s="29">
        <f>IFERROR(IF(SUMIFS(tblDaily[Deaths],tblDaily[EntryDate],DATE(2026,1,2),tblDaily[WardCode],"FW")=0,"",SUMIFS(tblDaily[Deaths],tblDaily[EntryDate],DATE(2026,1,2),tblDaily[WardCode],"FW")),"")</f>
        <v>1</v>
      </c>
      <c r="E8" s="29" t="str">
        <f>IFERROR(IF(SUMIFS(tblDaily[DeathsUnder24Hrs],tblDaily[EntryDate],DATE(2026,1,2),tblDaily[WardCode],"FW")=0,"",SUMIFS(tblDaily[DeathsUnder24Hrs],tblDaily[EntryDate],DATE(2026,1,2),tblDaily[WardCode],"FW")),"")</f>
        <v/>
      </c>
      <c r="F8" s="29" t="str">
        <f>IFERROR(IF(SUMIFS(tblDaily[TransfersIn],tblDaily[EntryDate],DATE(2026,1,2),tblDaily[WardCode],"FW")=0,"",SUMIFS(tblDaily[TransfersIn],tblDaily[EntryDate],DATE(2026,1,2),tblDaily[WardCode],"FW")),"")</f>
        <v/>
      </c>
      <c r="G8" s="29" t="str">
        <f>IFERROR(IF(SUMIFS(tblDaily[TransfersOut],tblDaily[EntryDate],DATE(2026,1,2),tblDaily[WardCode],"FW")=0,"",SUMIFS(tblDaily[TransfersOut],tblDaily[EntryDate],DATE(2026,1,2),tblDaily[WardCode],"FW")),"")</f>
        <v/>
      </c>
      <c r="H8" s="29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29">
        <v>3</v>
      </c>
      <c r="B9" s="29">
        <f>IFERROR(IF(SUMIFS(tblDaily[Admissions],tblDaily[EntryDate],DATE(2026,1,3),tblDaily[WardCode],"FW")=0,"",SUMIFS(tblDaily[Admissions],tblDaily[EntryDate],DATE(2026,1,3),tblDaily[WardCode],"FW")),"")</f>
        <v>2</v>
      </c>
      <c r="C9" s="29">
        <f>IFERROR(IF(SUMIFS(tblDaily[Discharges],tblDaily[EntryDate],DATE(2026,1,3),tblDaily[WardCode],"FW")=0,"",SUMIFS(tblDaily[Discharges],tblDaily[EntryDate],DATE(2026,1,3),tblDaily[WardCode],"FW")),"")</f>
        <v>1</v>
      </c>
      <c r="D9" s="29" t="str">
        <f>IFERROR(IF(SUMIFS(tblDaily[Deaths],tblDaily[EntryDate],DATE(2026,1,3),tblDaily[WardCode],"FW")=0,"",SUMIFS(tblDaily[Deaths],tblDaily[EntryDate],DATE(2026,1,3),tblDaily[WardCode],"FW")),"")</f>
        <v/>
      </c>
      <c r="E9" s="29" t="str">
        <f>IFERROR(IF(SUMIFS(tblDaily[DeathsUnder24Hrs],tblDaily[EntryDate],DATE(2026,1,3),tblDaily[WardCode],"FW")=0,"",SUMIFS(tblDaily[DeathsUnder24Hrs],tblDaily[EntryDate],DATE(2026,1,3),tblDaily[WardCode],"FW")),"")</f>
        <v/>
      </c>
      <c r="F9" s="29">
        <f>IFERROR(IF(SUMIFS(tblDaily[TransfersIn],tblDaily[EntryDate],DATE(2026,1,3),tblDaily[WardCode],"FW")=0,"",SUMIFS(tblDaily[TransfersIn],tblDaily[EntryDate],DATE(2026,1,3),tblDaily[WardCode],"FW")),"")</f>
        <v>1</v>
      </c>
      <c r="G9" s="29" t="str">
        <f>IFERROR(IF(SUMIFS(tblDaily[TransfersOut],tblDaily[EntryDate],DATE(2026,1,3),tblDaily[WardCode],"FW")=0,"",SUMIFS(tblDaily[TransfersOut],tblDaily[EntryDate],DATE(2026,1,3),tblDaily[WardCode],"FW")),"")</f>
        <v/>
      </c>
      <c r="H9" s="29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29">
        <v>4</v>
      </c>
      <c r="B10" s="29">
        <f>IFERROR(IF(SUMIFS(tblDaily[Admissions],tblDaily[EntryDate],DATE(2026,1,4),tblDaily[WardCode],"FW")=0,"",SUMIFS(tblDaily[Admissions],tblDaily[EntryDate],DATE(2026,1,4),tblDaily[WardCode],"FW")),"")</f>
        <v>6</v>
      </c>
      <c r="C10" s="29">
        <f>IFERROR(IF(SUMIFS(tblDaily[Discharges],tblDaily[EntryDate],DATE(2026,1,4),tblDaily[WardCode],"FW")=0,"",SUMIFS(tblDaily[Discharges],tblDaily[EntryDate],DATE(2026,1,4),tblDaily[WardCode],"FW")),"")</f>
        <v>1</v>
      </c>
      <c r="D10" s="29" t="str">
        <f>IFERROR(IF(SUMIFS(tblDaily[Deaths],tblDaily[EntryDate],DATE(2026,1,4),tblDaily[WardCode],"FW")=0,"",SUMIFS(tblDaily[Deaths],tblDaily[EntryDate],DATE(2026,1,4),tblDaily[WardCode],"FW")),"")</f>
        <v/>
      </c>
      <c r="E10" s="29" t="str">
        <f>IFERROR(IF(SUMIFS(tblDaily[DeathsUnder24Hrs],tblDaily[EntryDate],DATE(2026,1,4),tblDaily[WardCode],"FW")=0,"",SUMIFS(tblDaily[DeathsUnder24Hrs],tblDaily[EntryDate],DATE(2026,1,4),tblDaily[WardCode],"FW")),"")</f>
        <v/>
      </c>
      <c r="F10" s="29" t="str">
        <f>IFERROR(IF(SUMIFS(tblDaily[TransfersIn],tblDaily[EntryDate],DATE(2026,1,4),tblDaily[WardCode],"FW")=0,"",SUMIFS(tblDaily[TransfersIn],tblDaily[EntryDate],DATE(2026,1,4),tblDaily[WardCode],"FW")),"")</f>
        <v/>
      </c>
      <c r="G10" s="29" t="str">
        <f>IFERROR(IF(SUMIFS(tblDaily[TransfersOut],tblDaily[EntryDate],DATE(2026,1,4),tblDaily[WardCode],"FW")=0,"",SUMIFS(tblDaily[TransfersOut],tblDaily[EntryDate],DATE(2026,1,4),tblDaily[WardCode],"FW")),"")</f>
        <v/>
      </c>
      <c r="H10" s="29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29">
        <v>5</v>
      </c>
      <c r="B11" s="29">
        <f>IFERROR(IF(SUMIFS(tblDaily[Admissions],tblDaily[EntryDate],DATE(2026,1,5),tblDaily[WardCode],"FW")=0,"",SUMIFS(tblDaily[Admissions],tblDaily[EntryDate],DATE(2026,1,5),tblDaily[WardCode],"FW")),"")</f>
        <v>4</v>
      </c>
      <c r="C11" s="29">
        <f>IFERROR(IF(SUMIFS(tblDaily[Discharges],tblDaily[EntryDate],DATE(2026,1,5),tblDaily[WardCode],"FW")=0,"",SUMIFS(tblDaily[Discharges],tblDaily[EntryDate],DATE(2026,1,5),tblDaily[WardCode],"FW")),"")</f>
        <v>5</v>
      </c>
      <c r="D11" s="29" t="str">
        <f>IFERROR(IF(SUMIFS(tblDaily[Deaths],tblDaily[EntryDate],DATE(2026,1,5),tblDaily[WardCode],"FW")=0,"",SUMIFS(tblDaily[Deaths],tblDaily[EntryDate],DATE(2026,1,5),tblDaily[WardCode],"FW")),"")</f>
        <v/>
      </c>
      <c r="E11" s="29" t="str">
        <f>IFERROR(IF(SUMIFS(tblDaily[DeathsUnder24Hrs],tblDaily[EntryDate],DATE(2026,1,5),tblDaily[WardCode],"FW")=0,"",SUMIFS(tblDaily[DeathsUnder24Hrs],tblDaily[EntryDate],DATE(2026,1,5),tblDaily[WardCode],"FW")),"")</f>
        <v/>
      </c>
      <c r="F11" s="29">
        <f>IFERROR(IF(SUMIFS(tblDaily[TransfersIn],tblDaily[EntryDate],DATE(2026,1,5),tblDaily[WardCode],"FW")=0,"",SUMIFS(tblDaily[TransfersIn],tblDaily[EntryDate],DATE(2026,1,5),tblDaily[WardCode],"FW")),"")</f>
        <v>1</v>
      </c>
      <c r="G11" s="29" t="str">
        <f>IFERROR(IF(SUMIFS(tblDaily[TransfersOut],tblDaily[EntryDate],DATE(2026,1,5),tblDaily[WardCode],"FW")=0,"",SUMIFS(tblDaily[TransfersOut],tblDaily[EntryDate],DATE(2026,1,5),tblDaily[WardCode],"FW")),"")</f>
        <v/>
      </c>
      <c r="H11" s="29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29">
        <v>6</v>
      </c>
      <c r="B12" s="29">
        <f>IFERROR(IF(SUMIFS(tblDaily[Admissions],tblDaily[EntryDate],DATE(2026,1,6),tblDaily[WardCode],"FW")=0,"",SUMIFS(tblDaily[Admissions],tblDaily[EntryDate],DATE(2026,1,6),tblDaily[WardCode],"FW")),"")</f>
        <v>2</v>
      </c>
      <c r="C12" s="29">
        <f>IFERROR(IF(SUMIFS(tblDaily[Discharges],tblDaily[EntryDate],DATE(2026,1,6),tblDaily[WardCode],"FW")=0,"",SUMIFS(tblDaily[Discharges],tblDaily[EntryDate],DATE(2026,1,6),tblDaily[WardCode],"FW")),"")</f>
        <v>5</v>
      </c>
      <c r="D12" s="29" t="str">
        <f>IFERROR(IF(SUMIFS(tblDaily[Deaths],tblDaily[EntryDate],DATE(2026,1,6),tblDaily[WardCode],"FW")=0,"",SUMIFS(tblDaily[Deaths],tblDaily[EntryDate],DATE(2026,1,6),tblDaily[WardCode],"FW")),"")</f>
        <v/>
      </c>
      <c r="E12" s="29" t="str">
        <f>IFERROR(IF(SUMIFS(tblDaily[DeathsUnder24Hrs],tblDaily[EntryDate],DATE(2026,1,6),tblDaily[WardCode],"FW")=0,"",SUMIFS(tblDaily[DeathsUnder24Hrs],tblDaily[EntryDate],DATE(2026,1,6),tblDaily[WardCode],"FW")),"")</f>
        <v/>
      </c>
      <c r="F12" s="29" t="str">
        <f>IFERROR(IF(SUMIFS(tblDaily[TransfersIn],tblDaily[EntryDate],DATE(2026,1,6),tblDaily[WardCode],"FW")=0,"",SUMIFS(tblDaily[TransfersIn],tblDaily[EntryDate],DATE(2026,1,6),tblDaily[WardCode],"FW")),"")</f>
        <v/>
      </c>
      <c r="G12" s="29" t="str">
        <f>IFERROR(IF(SUMIFS(tblDaily[TransfersOut],tblDaily[EntryDate],DATE(2026,1,6),tblDaily[WardCode],"FW")=0,"",SUMIFS(tblDaily[TransfersOut],tblDaily[EntryDate],DATE(2026,1,6),tblDaily[WardCode],"FW")),"")</f>
        <v/>
      </c>
      <c r="H12" s="29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29">
        <v>7</v>
      </c>
      <c r="B13" s="29">
        <f>IFERROR(IF(SUMIFS(tblDaily[Admissions],tblDaily[EntryDate],DATE(2026,1,7),tblDaily[WardCode],"FW")=0,"",SUMIFS(tblDaily[Admissions],tblDaily[EntryDate],DATE(2026,1,7),tblDaily[WardCode],"FW")),"")</f>
        <v>5</v>
      </c>
      <c r="C13" s="29">
        <f>IFERROR(IF(SUMIFS(tblDaily[Discharges],tblDaily[EntryDate],DATE(2026,1,7),tblDaily[WardCode],"FW")=0,"",SUMIFS(tblDaily[Discharges],tblDaily[EntryDate],DATE(2026,1,7),tblDaily[WardCode],"FW")),"")</f>
        <v>2</v>
      </c>
      <c r="D13" s="29" t="str">
        <f>IFERROR(IF(SUMIFS(tblDaily[Deaths],tblDaily[EntryDate],DATE(2026,1,7),tblDaily[WardCode],"FW")=0,"",SUMIFS(tblDaily[Deaths],tblDaily[EntryDate],DATE(2026,1,7),tblDaily[WardCode],"FW")),"")</f>
        <v/>
      </c>
      <c r="E13" s="29" t="str">
        <f>IFERROR(IF(SUMIFS(tblDaily[DeathsUnder24Hrs],tblDaily[EntryDate],DATE(2026,1,7),tblDaily[WardCode],"FW")=0,"",SUMIFS(tblDaily[DeathsUnder24Hrs],tblDaily[EntryDate],DATE(2026,1,7),tblDaily[WardCode],"FW")),"")</f>
        <v/>
      </c>
      <c r="F13" s="29" t="str">
        <f>IFERROR(IF(SUMIFS(tblDaily[TransfersIn],tblDaily[EntryDate],DATE(2026,1,7),tblDaily[WardCode],"FW")=0,"",SUMIFS(tblDaily[TransfersIn],tblDaily[EntryDate],DATE(2026,1,7),tblDaily[WardCode],"FW")),"")</f>
        <v/>
      </c>
      <c r="G13" s="29" t="str">
        <f>IFERROR(IF(SUMIFS(tblDaily[TransfersOut],tblDaily[EntryDate],DATE(2026,1,7),tblDaily[WardCode],"FW")=0,"",SUMIFS(tblDaily[TransfersOut],tblDaily[EntryDate],DATE(2026,1,7),tblDaily[WardCode],"FW")),"")</f>
        <v/>
      </c>
      <c r="H13" s="29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29">
        <v>8</v>
      </c>
      <c r="B14" s="29">
        <f>IFERROR(IF(SUMIFS(tblDaily[Admissions],tblDaily[EntryDate],DATE(2026,1,8),tblDaily[WardCode],"FW")=0,"",SUMIFS(tblDaily[Admissions],tblDaily[EntryDate],DATE(2026,1,8),tblDaily[WardCode],"FW")),"")</f>
        <v>1</v>
      </c>
      <c r="C14" s="29">
        <f>IFERROR(IF(SUMIFS(tblDaily[Discharges],tblDaily[EntryDate],DATE(2026,1,8),tblDaily[WardCode],"FW")=0,"",SUMIFS(tblDaily[Discharges],tblDaily[EntryDate],DATE(2026,1,8),tblDaily[WardCode],"FW")),"")</f>
        <v>7</v>
      </c>
      <c r="D14" s="29" t="str">
        <f>IFERROR(IF(SUMIFS(tblDaily[Deaths],tblDaily[EntryDate],DATE(2026,1,8),tblDaily[WardCode],"FW")=0,"",SUMIFS(tblDaily[Deaths],tblDaily[EntryDate],DATE(2026,1,8),tblDaily[WardCode],"FW")),"")</f>
        <v/>
      </c>
      <c r="E14" s="29" t="str">
        <f>IFERROR(IF(SUMIFS(tblDaily[DeathsUnder24Hrs],tblDaily[EntryDate],DATE(2026,1,8),tblDaily[WardCode],"FW")=0,"",SUMIFS(tblDaily[DeathsUnder24Hrs],tblDaily[EntryDate],DATE(2026,1,8),tblDaily[WardCode],"FW")),"")</f>
        <v/>
      </c>
      <c r="F14" s="29">
        <f>IFERROR(IF(SUMIFS(tblDaily[TransfersIn],tblDaily[EntryDate],DATE(2026,1,8),tblDaily[WardCode],"FW")=0,"",SUMIFS(tblDaily[TransfersIn],tblDaily[EntryDate],DATE(2026,1,8),tblDaily[WardCode],"FW")),"")</f>
        <v>2</v>
      </c>
      <c r="G14" s="29" t="str">
        <f>IFERROR(IF(SUMIFS(tblDaily[TransfersOut],tblDaily[EntryDate],DATE(2026,1,8),tblDaily[WardCode],"FW")=0,"",SUMIFS(tblDaily[TransfersOut],tblDaily[EntryDate],DATE(2026,1,8),tblDaily[WardCode],"FW")),"")</f>
        <v/>
      </c>
      <c r="H14" s="29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29">
        <v>9</v>
      </c>
      <c r="B15" s="29">
        <f>IFERROR(IF(SUMIFS(tblDaily[Admissions],tblDaily[EntryDate],DATE(2026,1,9),tblDaily[WardCode],"FW")=0,"",SUMIFS(tblDaily[Admissions],tblDaily[EntryDate],DATE(2026,1,9),tblDaily[WardCode],"FW")),"")</f>
        <v>4</v>
      </c>
      <c r="C15" s="29">
        <f>IFERROR(IF(SUMIFS(tblDaily[Discharges],tblDaily[EntryDate],DATE(2026,1,9),tblDaily[WardCode],"FW")=0,"",SUMIFS(tblDaily[Discharges],tblDaily[EntryDate],DATE(2026,1,9),tblDaily[WardCode],"FW")),"")</f>
        <v>3</v>
      </c>
      <c r="D15" s="29" t="str">
        <f>IFERROR(IF(SUMIFS(tblDaily[Deaths],tblDaily[EntryDate],DATE(2026,1,9),tblDaily[WardCode],"FW")=0,"",SUMIFS(tblDaily[Deaths],tblDaily[EntryDate],DATE(2026,1,9),tblDaily[WardCode],"FW")),"")</f>
        <v/>
      </c>
      <c r="E15" s="29" t="str">
        <f>IFERROR(IF(SUMIFS(tblDaily[DeathsUnder24Hrs],tblDaily[EntryDate],DATE(2026,1,9),tblDaily[WardCode],"FW")=0,"",SUMIFS(tblDaily[DeathsUnder24Hrs],tblDaily[EntryDate],DATE(2026,1,9),tblDaily[WardCode],"FW")),"")</f>
        <v/>
      </c>
      <c r="F15" s="29" t="str">
        <f>IFERROR(IF(SUMIFS(tblDaily[TransfersIn],tblDaily[EntryDate],DATE(2026,1,9),tblDaily[WardCode],"FW")=0,"",SUMIFS(tblDaily[TransfersIn],tblDaily[EntryDate],DATE(2026,1,9),tblDaily[WardCode],"FW")),"")</f>
        <v/>
      </c>
      <c r="G15" s="29" t="str">
        <f>IFERROR(IF(SUMIFS(tblDaily[TransfersOut],tblDaily[EntryDate],DATE(2026,1,9),tblDaily[WardCode],"FW")=0,"",SUMIFS(tblDaily[TransfersOut],tblDaily[EntryDate],DATE(2026,1,9),tblDaily[WardCode],"FW")),"")</f>
        <v/>
      </c>
      <c r="H15" s="29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29">
        <v>10</v>
      </c>
      <c r="B16" s="29">
        <f>IFERROR(IF(SUMIFS(tblDaily[Admissions],tblDaily[EntryDate],DATE(2026,1,10),tblDaily[WardCode],"FW")=0,"",SUMIFS(tblDaily[Admissions],tblDaily[EntryDate],DATE(2026,1,10),tblDaily[WardCode],"FW")),"")</f>
        <v>2</v>
      </c>
      <c r="C16" s="29">
        <f>IFERROR(IF(SUMIFS(tblDaily[Discharges],tblDaily[EntryDate],DATE(2026,1,10),tblDaily[WardCode],"FW")=0,"",SUMIFS(tblDaily[Discharges],tblDaily[EntryDate],DATE(2026,1,10),tblDaily[WardCode],"FW")),"")</f>
        <v>6</v>
      </c>
      <c r="D16" s="29" t="str">
        <f>IFERROR(IF(SUMIFS(tblDaily[Deaths],tblDaily[EntryDate],DATE(2026,1,10),tblDaily[WardCode],"FW")=0,"",SUMIFS(tblDaily[Deaths],tblDaily[EntryDate],DATE(2026,1,10),tblDaily[WardCode],"FW")),"")</f>
        <v/>
      </c>
      <c r="E16" s="29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29" t="str">
        <f>IFERROR(IF(SUMIFS(tblDaily[TransfersIn],tblDaily[EntryDate],DATE(2026,1,10),tblDaily[WardCode],"FW")=0,"",SUMIFS(tblDaily[TransfersIn],tblDaily[EntryDate],DATE(2026,1,10),tblDaily[WardCode],"FW")),"")</f>
        <v/>
      </c>
      <c r="G16" s="29" t="str">
        <f>IFERROR(IF(SUMIFS(tblDaily[TransfersOut],tblDaily[EntryDate],DATE(2026,1,10),tblDaily[WardCode],"FW")=0,"",SUMIFS(tblDaily[TransfersOut],tblDaily[EntryDate],DATE(2026,1,10),tblDaily[WardCode],"FW")),"")</f>
        <v/>
      </c>
      <c r="H16" s="29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29">
        <v>11</v>
      </c>
      <c r="B17" s="29">
        <f>IFERROR(IF(SUMIFS(tblDaily[Admissions],tblDaily[EntryDate],DATE(2026,1,11),tblDaily[WardCode],"FW")=0,"",SUMIFS(tblDaily[Admissions],tblDaily[EntryDate],DATE(2026,1,11),tblDaily[WardCode],"FW")),"")</f>
        <v>1</v>
      </c>
      <c r="C17" s="29">
        <f>IFERROR(IF(SUMIFS(tblDaily[Discharges],tblDaily[EntryDate],DATE(2026,1,11),tblDaily[WardCode],"FW")=0,"",SUMIFS(tblDaily[Discharges],tblDaily[EntryDate],DATE(2026,1,11),tblDaily[WardCode],"FW")),"")</f>
        <v>2</v>
      </c>
      <c r="D17" s="29" t="str">
        <f>IFERROR(IF(SUMIFS(tblDaily[Deaths],tblDaily[EntryDate],DATE(2026,1,11),tblDaily[WardCode],"FW")=0,"",SUMIFS(tblDaily[Deaths],tblDaily[EntryDate],DATE(2026,1,11),tblDaily[WardCode],"FW")),"")</f>
        <v/>
      </c>
      <c r="E17" s="29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29">
        <f>IFERROR(IF(SUMIFS(tblDaily[TransfersIn],tblDaily[EntryDate],DATE(2026,1,11),tblDaily[WardCode],"FW")=0,"",SUMIFS(tblDaily[TransfersIn],tblDaily[EntryDate],DATE(2026,1,11),tblDaily[WardCode],"FW")),"")</f>
        <v>1</v>
      </c>
      <c r="G17" s="29" t="str">
        <f>IFERROR(IF(SUMIFS(tblDaily[TransfersOut],tblDaily[EntryDate],DATE(2026,1,11),tblDaily[WardCode],"FW")=0,"",SUMIFS(tblDaily[TransfersOut],tblDaily[EntryDate],DATE(2026,1,11),tblDaily[WardCode],"FW")),"")</f>
        <v/>
      </c>
      <c r="H17" s="29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29">
        <v>12</v>
      </c>
      <c r="B18" s="29">
        <f>IFERROR(IF(SUMIFS(tblDaily[Admissions],tblDaily[EntryDate],DATE(2026,1,12),tblDaily[WardCode],"FW")=0,"",SUMIFS(tblDaily[Admissions],tblDaily[EntryDate],DATE(2026,1,12),tblDaily[WardCode],"FW")),"")</f>
        <v>5</v>
      </c>
      <c r="C18" s="29">
        <f>IFERROR(IF(SUMIFS(tblDaily[Discharges],tblDaily[EntryDate],DATE(2026,1,12),tblDaily[WardCode],"FW")=0,"",SUMIFS(tblDaily[Discharges],tblDaily[EntryDate],DATE(2026,1,12),tblDaily[WardCode],"FW")),"")</f>
        <v>4</v>
      </c>
      <c r="D18" s="29" t="str">
        <f>IFERROR(IF(SUMIFS(tblDaily[Deaths],tblDaily[EntryDate],DATE(2026,1,12),tblDaily[WardCode],"FW")=0,"",SUMIFS(tblDaily[Deaths],tblDaily[EntryDate],DATE(2026,1,12),tblDaily[WardCode],"FW")),"")</f>
        <v/>
      </c>
      <c r="E18" s="29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29" t="str">
        <f>IFERROR(IF(SUMIFS(tblDaily[TransfersIn],tblDaily[EntryDate],DATE(2026,1,12),tblDaily[WardCode],"FW")=0,"",SUMIFS(tblDaily[TransfersIn],tblDaily[EntryDate],DATE(2026,1,12),tblDaily[WardCode],"FW")),"")</f>
        <v/>
      </c>
      <c r="G18" s="29" t="str">
        <f>IFERROR(IF(SUMIFS(tblDaily[TransfersOut],tblDaily[EntryDate],DATE(2026,1,12),tblDaily[WardCode],"FW")=0,"",SUMIFS(tblDaily[TransfersOut],tblDaily[EntryDate],DATE(2026,1,12),tblDaily[WardCode],"FW")),"")</f>
        <v/>
      </c>
      <c r="H18" s="29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29">
        <v>13</v>
      </c>
      <c r="B19" s="29">
        <f>IFERROR(IF(SUMIFS(tblDaily[Admissions],tblDaily[EntryDate],DATE(2026,1,13),tblDaily[WardCode],"FW")=0,"",SUMIFS(tblDaily[Admissions],tblDaily[EntryDate],DATE(2026,1,13),tblDaily[WardCode],"FW")),"")</f>
        <v>5</v>
      </c>
      <c r="C19" s="29">
        <f>IFERROR(IF(SUMIFS(tblDaily[Discharges],tblDaily[EntryDate],DATE(2026,1,13),tblDaily[WardCode],"FW")=0,"",SUMIFS(tblDaily[Discharges],tblDaily[EntryDate],DATE(2026,1,13),tblDaily[WardCode],"FW")),"")</f>
        <v>5</v>
      </c>
      <c r="D19" s="29" t="str">
        <f>IFERROR(IF(SUMIFS(tblDaily[Deaths],tblDaily[EntryDate],DATE(2026,1,13),tblDaily[WardCode],"FW")=0,"",SUMIFS(tblDaily[Deaths],tblDaily[EntryDate],DATE(2026,1,13),tblDaily[WardCode],"FW")),"")</f>
        <v/>
      </c>
      <c r="E19" s="29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29" t="str">
        <f>IFERROR(IF(SUMIFS(tblDaily[TransfersIn],tblDaily[EntryDate],DATE(2026,1,13),tblDaily[WardCode],"FW")=0,"",SUMIFS(tblDaily[TransfersIn],tblDaily[EntryDate],DATE(2026,1,13),tblDaily[WardCode],"FW")),"")</f>
        <v/>
      </c>
      <c r="G19" s="29" t="str">
        <f>IFERROR(IF(SUMIFS(tblDaily[TransfersOut],tblDaily[EntryDate],DATE(2026,1,13),tblDaily[WardCode],"FW")=0,"",SUMIFS(tblDaily[TransfersOut],tblDaily[EntryDate],DATE(2026,1,13),tblDaily[WardCode],"FW")),"")</f>
        <v/>
      </c>
      <c r="H19" s="29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29">
        <v>14</v>
      </c>
      <c r="B20" s="29">
        <f>IFERROR(IF(SUMIFS(tblDaily[Admissions],tblDaily[EntryDate],DATE(2026,1,14),tblDaily[WardCode],"FW")=0,"",SUMIFS(tblDaily[Admissions],tblDaily[EntryDate],DATE(2026,1,14),tblDaily[WardCode],"FW")),"")</f>
        <v>1</v>
      </c>
      <c r="C20" s="29">
        <f>IFERROR(IF(SUMIFS(tblDaily[Discharges],tblDaily[EntryDate],DATE(2026,1,14),tblDaily[WardCode],"FW")=0,"",SUMIFS(tblDaily[Discharges],tblDaily[EntryDate],DATE(2026,1,14),tblDaily[WardCode],"FW")),"")</f>
        <v>3</v>
      </c>
      <c r="D20" s="29" t="str">
        <f>IFERROR(IF(SUMIFS(tblDaily[Deaths],tblDaily[EntryDate],DATE(2026,1,14),tblDaily[WardCode],"FW")=0,"",SUMIFS(tblDaily[Deaths],tblDaily[EntryDate],DATE(2026,1,14),tblDaily[WardCode],"FW")),"")</f>
        <v/>
      </c>
      <c r="E20" s="29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29">
        <f>IFERROR(IF(SUMIFS(tblDaily[TransfersIn],tblDaily[EntryDate],DATE(2026,1,14),tblDaily[WardCode],"FW")=0,"",SUMIFS(tblDaily[TransfersIn],tblDaily[EntryDate],DATE(2026,1,14),tblDaily[WardCode],"FW")),"")</f>
        <v>1</v>
      </c>
      <c r="G20" s="29" t="str">
        <f>IFERROR(IF(SUMIFS(tblDaily[TransfersOut],tblDaily[EntryDate],DATE(2026,1,14),tblDaily[WardCode],"FW")=0,"",SUMIFS(tblDaily[TransfersOut],tblDaily[EntryDate],DATE(2026,1,14),tblDaily[WardCode],"FW")),"")</f>
        <v/>
      </c>
      <c r="H20" s="29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29">
        <v>15</v>
      </c>
      <c r="B21" s="29">
        <f>IFERROR(IF(SUMIFS(tblDaily[Admissions],tblDaily[EntryDate],DATE(2026,1,15),tblDaily[WardCode],"FW")=0,"",SUMIFS(tblDaily[Admissions],tblDaily[EntryDate],DATE(2026,1,15),tblDaily[WardCode],"FW")),"")</f>
        <v>2</v>
      </c>
      <c r="C21" s="29">
        <f>IFERROR(IF(SUMIFS(tblDaily[Discharges],tblDaily[EntryDate],DATE(2026,1,15),tblDaily[WardCode],"FW")=0,"",SUMIFS(tblDaily[Discharges],tblDaily[EntryDate],DATE(2026,1,15),tblDaily[WardCode],"FW")),"")</f>
        <v>2</v>
      </c>
      <c r="D21" s="29" t="str">
        <f>IFERROR(IF(SUMIFS(tblDaily[Deaths],tblDaily[EntryDate],DATE(2026,1,15),tblDaily[WardCode],"FW")=0,"",SUMIFS(tblDaily[Deaths],tblDaily[EntryDate],DATE(2026,1,15),tblDaily[WardCode],"FW")),"")</f>
        <v/>
      </c>
      <c r="E21" s="29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29">
        <f>IFERROR(IF(SUMIFS(tblDaily[TransfersIn],tblDaily[EntryDate],DATE(2026,1,15),tblDaily[WardCode],"FW")=0,"",SUMIFS(tblDaily[TransfersIn],tblDaily[EntryDate],DATE(2026,1,15),tblDaily[WardCode],"FW")),"")</f>
        <v>1</v>
      </c>
      <c r="G21" s="29" t="str">
        <f>IFERROR(IF(SUMIFS(tblDaily[TransfersOut],tblDaily[EntryDate],DATE(2026,1,15),tblDaily[WardCode],"FW")=0,"",SUMIFS(tblDaily[TransfersOut],tblDaily[EntryDate],DATE(2026,1,15),tblDaily[WardCode],"FW")),"")</f>
        <v/>
      </c>
      <c r="H21" s="29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29">
        <v>16</v>
      </c>
      <c r="B22" s="29" t="str">
        <f>IFERROR(IF(SUMIFS(tblDaily[Admissions],tblDaily[EntryDate],DATE(2026,1,16),tblDaily[WardCode],"FW")=0,"",SUMIFS(tblDaily[Admissions],tblDaily[EntryDate],DATE(2026,1,16),tblDaily[WardCode],"FW")),"")</f>
        <v/>
      </c>
      <c r="C22" s="29">
        <f>IFERROR(IF(SUMIFS(tblDaily[Discharges],tblDaily[EntryDate],DATE(2026,1,16),tblDaily[WardCode],"FW")=0,"",SUMIFS(tblDaily[Discharges],tblDaily[EntryDate],DATE(2026,1,16),tblDaily[WardCode],"FW")),"")</f>
        <v>1</v>
      </c>
      <c r="D22" s="29">
        <f>IFERROR(IF(SUMIFS(tblDaily[Deaths],tblDaily[EntryDate],DATE(2026,1,16),tblDaily[WardCode],"FW")=0,"",SUMIFS(tblDaily[Deaths],tblDaily[EntryDate],DATE(2026,1,16),tblDaily[WardCode],"FW")),"")</f>
        <v>2</v>
      </c>
      <c r="E22" s="29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29">
        <f>IFERROR(IF(SUMIFS(tblDaily[TransfersIn],tblDaily[EntryDate],DATE(2026,1,16),tblDaily[WardCode],"FW")=0,"",SUMIFS(tblDaily[TransfersIn],tblDaily[EntryDate],DATE(2026,1,16),tblDaily[WardCode],"FW")),"")</f>
        <v>2</v>
      </c>
      <c r="G22" s="29" t="str">
        <f>IFERROR(IF(SUMIFS(tblDaily[TransfersOut],tblDaily[EntryDate],DATE(2026,1,16),tblDaily[WardCode],"FW")=0,"",SUMIFS(tblDaily[TransfersOut],tblDaily[EntryDate],DATE(2026,1,16),tblDaily[WardCode],"FW")),"")</f>
        <v/>
      </c>
      <c r="H22" s="29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29">
        <v>17</v>
      </c>
      <c r="B23" s="29">
        <f>IFERROR(IF(SUMIFS(tblDaily[Admissions],tblDaily[EntryDate],DATE(2026,1,17),tblDaily[WardCode],"FW")=0,"",SUMIFS(tblDaily[Admissions],tblDaily[EntryDate],DATE(2026,1,17),tblDaily[WardCode],"FW")),"")</f>
        <v>3</v>
      </c>
      <c r="C23" s="29">
        <f>IFERROR(IF(SUMIFS(tblDaily[Discharges],tblDaily[EntryDate],DATE(2026,1,17),tblDaily[WardCode],"FW")=0,"",SUMIFS(tblDaily[Discharges],tblDaily[EntryDate],DATE(2026,1,17),tblDaily[WardCode],"FW")),"")</f>
        <v>2</v>
      </c>
      <c r="D23" s="29">
        <f>IFERROR(IF(SUMIFS(tblDaily[Deaths],tblDaily[EntryDate],DATE(2026,1,17),tblDaily[WardCode],"FW")=0,"",SUMIFS(tblDaily[Deaths],tblDaily[EntryDate],DATE(2026,1,17),tblDaily[WardCode],"FW")),"")</f>
        <v>1</v>
      </c>
      <c r="E23" s="29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29">
        <f>IFERROR(IF(SUMIFS(tblDaily[TransfersIn],tblDaily[EntryDate],DATE(2026,1,17),tblDaily[WardCode],"FW")=0,"",SUMIFS(tblDaily[TransfersIn],tblDaily[EntryDate],DATE(2026,1,17),tblDaily[WardCode],"FW")),"")</f>
        <v>2</v>
      </c>
      <c r="G23" s="29" t="str">
        <f>IFERROR(IF(SUMIFS(tblDaily[TransfersOut],tblDaily[EntryDate],DATE(2026,1,17),tblDaily[WardCode],"FW")=0,"",SUMIFS(tblDaily[TransfersOut],tblDaily[EntryDate],DATE(2026,1,17),tblDaily[WardCode],"FW")),"")</f>
        <v/>
      </c>
      <c r="H23" s="29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29">
        <v>18</v>
      </c>
      <c r="B24" s="29">
        <f>IFERROR(IF(SUMIFS(tblDaily[Admissions],tblDaily[EntryDate],DATE(2026,1,18),tblDaily[WardCode],"FW")=0,"",SUMIFS(tblDaily[Admissions],tblDaily[EntryDate],DATE(2026,1,18),tblDaily[WardCode],"FW")),"")</f>
        <v>4</v>
      </c>
      <c r="C24" s="29">
        <f>IFERROR(IF(SUMIFS(tblDaily[Discharges],tblDaily[EntryDate],DATE(2026,1,18),tblDaily[WardCode],"FW")=0,"",SUMIFS(tblDaily[Discharges],tblDaily[EntryDate],DATE(2026,1,18),tblDaily[WardCode],"FW")),"")</f>
        <v>2</v>
      </c>
      <c r="D24" s="29">
        <f>IFERROR(IF(SUMIFS(tblDaily[Deaths],tblDaily[EntryDate],DATE(2026,1,18),tblDaily[WardCode],"FW")=0,"",SUMIFS(tblDaily[Deaths],tblDaily[EntryDate],DATE(2026,1,18),tblDaily[WardCode],"FW")),"")</f>
        <v>1</v>
      </c>
      <c r="E24" s="29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29">
        <f>IFERROR(IF(SUMIFS(tblDaily[TransfersIn],tblDaily[EntryDate],DATE(2026,1,18),tblDaily[WardCode],"FW")=0,"",SUMIFS(tblDaily[TransfersIn],tblDaily[EntryDate],DATE(2026,1,18),tblDaily[WardCode],"FW")),"")</f>
        <v>1</v>
      </c>
      <c r="G24" s="29" t="str">
        <f>IFERROR(IF(SUMIFS(tblDaily[TransfersOut],tblDaily[EntryDate],DATE(2026,1,18),tblDaily[WardCode],"FW")=0,"",SUMIFS(tblDaily[TransfersOut],tblDaily[EntryDate],DATE(2026,1,18),tblDaily[WardCode],"FW")),"")</f>
        <v/>
      </c>
      <c r="H24" s="29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29">
        <v>19</v>
      </c>
      <c r="B25" s="29">
        <f>IFERROR(IF(SUMIFS(tblDaily[Admissions],tblDaily[EntryDate],DATE(2026,1,19),tblDaily[WardCode],"FW")=0,"",SUMIFS(tblDaily[Admissions],tblDaily[EntryDate],DATE(2026,1,19),tblDaily[WardCode],"FW")),"")</f>
        <v>3</v>
      </c>
      <c r="C25" s="29">
        <f>IFERROR(IF(SUMIFS(tblDaily[Discharges],tblDaily[EntryDate],DATE(2026,1,19),tblDaily[WardCode],"FW")=0,"",SUMIFS(tblDaily[Discharges],tblDaily[EntryDate],DATE(2026,1,19),tblDaily[WardCode],"FW")),"")</f>
        <v>1</v>
      </c>
      <c r="D25" s="29" t="str">
        <f>IFERROR(IF(SUMIFS(tblDaily[Deaths],tblDaily[EntryDate],DATE(2026,1,19),tblDaily[WardCode],"FW")=0,"",SUMIFS(tblDaily[Deaths],tblDaily[EntryDate],DATE(2026,1,19),tblDaily[WardCode],"FW")),"")</f>
        <v/>
      </c>
      <c r="E25" s="29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29">
        <f>IFERROR(IF(SUMIFS(tblDaily[TransfersIn],tblDaily[EntryDate],DATE(2026,1,19),tblDaily[WardCode],"FW")=0,"",SUMIFS(tblDaily[TransfersIn],tblDaily[EntryDate],DATE(2026,1,19),tblDaily[WardCode],"FW")),"")</f>
        <v>1</v>
      </c>
      <c r="G25" s="29" t="str">
        <f>IFERROR(IF(SUMIFS(tblDaily[TransfersOut],tblDaily[EntryDate],DATE(2026,1,19),tblDaily[WardCode],"FW")=0,"",SUMIFS(tblDaily[TransfersOut],tblDaily[EntryDate],DATE(2026,1,19),tblDaily[WardCode],"FW")),"")</f>
        <v/>
      </c>
      <c r="H25" s="29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29">
        <v>20</v>
      </c>
      <c r="B26" s="29">
        <f>IFERROR(IF(SUMIFS(tblDaily[Admissions],tblDaily[EntryDate],DATE(2026,1,20),tblDaily[WardCode],"FW")=0,"",SUMIFS(tblDaily[Admissions],tblDaily[EntryDate],DATE(2026,1,20),tblDaily[WardCode],"FW")),"")</f>
        <v>4</v>
      </c>
      <c r="C26" s="29">
        <f>IFERROR(IF(SUMIFS(tblDaily[Discharges],tblDaily[EntryDate],DATE(2026,1,20),tblDaily[WardCode],"FW")=0,"",SUMIFS(tblDaily[Discharges],tblDaily[EntryDate],DATE(2026,1,20),tblDaily[WardCode],"FW")),"")</f>
        <v>11</v>
      </c>
      <c r="D26" s="29" t="str">
        <f>IFERROR(IF(SUMIFS(tblDaily[Deaths],tblDaily[EntryDate],DATE(2026,1,20),tblDaily[WardCode],"FW")=0,"",SUMIFS(tblDaily[Deaths],tblDaily[EntryDate],DATE(2026,1,20),tblDaily[WardCode],"FW")),"")</f>
        <v/>
      </c>
      <c r="E26" s="29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29" t="str">
        <f>IFERROR(IF(SUMIFS(tblDaily[TransfersIn],tblDaily[EntryDate],DATE(2026,1,20),tblDaily[WardCode],"FW")=0,"",SUMIFS(tblDaily[TransfersIn],tblDaily[EntryDate],DATE(2026,1,20),tblDaily[WardCode],"FW")),"")</f>
        <v/>
      </c>
      <c r="G26" s="29" t="str">
        <f>IFERROR(IF(SUMIFS(tblDaily[TransfersOut],tblDaily[EntryDate],DATE(2026,1,20),tblDaily[WardCode],"FW")=0,"",SUMIFS(tblDaily[TransfersOut],tblDaily[EntryDate],DATE(2026,1,20),tblDaily[WardCode],"FW")),"")</f>
        <v/>
      </c>
      <c r="H26" s="29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29">
        <v>21</v>
      </c>
      <c r="B27" s="29">
        <f>IFERROR(IF(SUMIFS(tblDaily[Admissions],tblDaily[EntryDate],DATE(2026,1,21),tblDaily[WardCode],"FW")=0,"",SUMIFS(tblDaily[Admissions],tblDaily[EntryDate],DATE(2026,1,21),tblDaily[WardCode],"FW")),"")</f>
        <v>1</v>
      </c>
      <c r="C27" s="29">
        <f>IFERROR(IF(SUMIFS(tblDaily[Discharges],tblDaily[EntryDate],DATE(2026,1,21),tblDaily[WardCode],"FW")=0,"",SUMIFS(tblDaily[Discharges],tblDaily[EntryDate],DATE(2026,1,21),tblDaily[WardCode],"FW")),"")</f>
        <v>3</v>
      </c>
      <c r="D27" s="29">
        <f>IFERROR(IF(SUMIFS(tblDaily[Deaths],tblDaily[EntryDate],DATE(2026,1,21),tblDaily[WardCode],"FW")=0,"",SUMIFS(tblDaily[Deaths],tblDaily[EntryDate],DATE(2026,1,21),tblDaily[WardCode],"FW")),"")</f>
        <v>1</v>
      </c>
      <c r="E27" s="29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29">
        <f>IFERROR(IF(SUMIFS(tblDaily[TransfersIn],tblDaily[EntryDate],DATE(2026,1,21),tblDaily[WardCode],"FW")=0,"",SUMIFS(tblDaily[TransfersIn],tblDaily[EntryDate],DATE(2026,1,21),tblDaily[WardCode],"FW")),"")</f>
        <v>1</v>
      </c>
      <c r="G27" s="29" t="str">
        <f>IFERROR(IF(SUMIFS(tblDaily[TransfersOut],tblDaily[EntryDate],DATE(2026,1,21),tblDaily[WardCode],"FW")=0,"",SUMIFS(tblDaily[TransfersOut],tblDaily[EntryDate],DATE(2026,1,21),tblDaily[WardCode],"FW")),"")</f>
        <v/>
      </c>
      <c r="H27" s="29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29">
        <v>22</v>
      </c>
      <c r="B28" s="29">
        <f>IFERROR(IF(SUMIFS(tblDaily[Admissions],tblDaily[EntryDate],DATE(2026,1,22),tblDaily[WardCode],"FW")=0,"",SUMIFS(tblDaily[Admissions],tblDaily[EntryDate],DATE(2026,1,22),tblDaily[WardCode],"FW")),"")</f>
        <v>2</v>
      </c>
      <c r="C28" s="29">
        <f>IFERROR(IF(SUMIFS(tblDaily[Discharges],tblDaily[EntryDate],DATE(2026,1,22),tblDaily[WardCode],"FW")=0,"",SUMIFS(tblDaily[Discharges],tblDaily[EntryDate],DATE(2026,1,22),tblDaily[WardCode],"FW")),"")</f>
        <v>3</v>
      </c>
      <c r="D28" s="29" t="str">
        <f>IFERROR(IF(SUMIFS(tblDaily[Deaths],tblDaily[EntryDate],DATE(2026,1,22),tblDaily[WardCode],"FW")=0,"",SUMIFS(tblDaily[Deaths],tblDaily[EntryDate],DATE(2026,1,22),tblDaily[WardCode],"FW")),"")</f>
        <v/>
      </c>
      <c r="E28" s="29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29">
        <f>IFERROR(IF(SUMIFS(tblDaily[TransfersIn],tblDaily[EntryDate],DATE(2026,1,22),tblDaily[WardCode],"FW")=0,"",SUMIFS(tblDaily[TransfersIn],tblDaily[EntryDate],DATE(2026,1,22),tblDaily[WardCode],"FW")),"")</f>
        <v>2</v>
      </c>
      <c r="G28" s="29" t="str">
        <f>IFERROR(IF(SUMIFS(tblDaily[TransfersOut],tblDaily[EntryDate],DATE(2026,1,22),tblDaily[WardCode],"FW")=0,"",SUMIFS(tblDaily[TransfersOut],tblDaily[EntryDate],DATE(2026,1,22),tblDaily[WardCode],"FW")),"")</f>
        <v/>
      </c>
      <c r="H28" s="29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29">
        <v>23</v>
      </c>
      <c r="B29" s="29">
        <f>IFERROR(IF(SUMIFS(tblDaily[Admissions],tblDaily[EntryDate],DATE(2026,1,23),tblDaily[WardCode],"FW")=0,"",SUMIFS(tblDaily[Admissions],tblDaily[EntryDate],DATE(2026,1,23),tblDaily[WardCode],"FW")),"")</f>
        <v>4</v>
      </c>
      <c r="C29" s="29">
        <f>IFERROR(IF(SUMIFS(tblDaily[Discharges],tblDaily[EntryDate],DATE(2026,1,23),tblDaily[WardCode],"FW")=0,"",SUMIFS(tblDaily[Discharges],tblDaily[EntryDate],DATE(2026,1,23),tblDaily[WardCode],"FW")),"")</f>
        <v>2</v>
      </c>
      <c r="D29" s="29">
        <f>IFERROR(IF(SUMIFS(tblDaily[Deaths],tblDaily[EntryDate],DATE(2026,1,23),tblDaily[WardCode],"FW")=0,"",SUMIFS(tblDaily[Deaths],tblDaily[EntryDate],DATE(2026,1,23),tblDaily[WardCode],"FW")),"")</f>
        <v>2</v>
      </c>
      <c r="E29" s="29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29" t="str">
        <f>IFERROR(IF(SUMIFS(tblDaily[TransfersIn],tblDaily[EntryDate],DATE(2026,1,23),tblDaily[WardCode],"FW")=0,"",SUMIFS(tblDaily[TransfersIn],tblDaily[EntryDate],DATE(2026,1,23),tblDaily[WardCode],"FW")),"")</f>
        <v/>
      </c>
      <c r="G29" s="29" t="str">
        <f>IFERROR(IF(SUMIFS(tblDaily[TransfersOut],tblDaily[EntryDate],DATE(2026,1,23),tblDaily[WardCode],"FW")=0,"",SUMIFS(tblDaily[TransfersOut],tblDaily[EntryDate],DATE(2026,1,23),tblDaily[WardCode],"FW")),"")</f>
        <v/>
      </c>
      <c r="H29" s="29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29">
        <v>24</v>
      </c>
      <c r="B30" s="29">
        <f>IFERROR(IF(SUMIFS(tblDaily[Admissions],tblDaily[EntryDate],DATE(2026,1,24),tblDaily[WardCode],"FW")=0,"",SUMIFS(tblDaily[Admissions],tblDaily[EntryDate],DATE(2026,1,24),tblDaily[WardCode],"FW")),"")</f>
        <v>2</v>
      </c>
      <c r="C30" s="29">
        <f>IFERROR(IF(SUMIFS(tblDaily[Discharges],tblDaily[EntryDate],DATE(2026,1,24),tblDaily[WardCode],"FW")=0,"",SUMIFS(tblDaily[Discharges],tblDaily[EntryDate],DATE(2026,1,24),tblDaily[WardCode],"FW")),"")</f>
        <v>1</v>
      </c>
      <c r="D30" s="29" t="str">
        <f>IFERROR(IF(SUMIFS(tblDaily[Deaths],tblDaily[EntryDate],DATE(2026,1,24),tblDaily[WardCode],"FW")=0,"",SUMIFS(tblDaily[Deaths],tblDaily[EntryDate],DATE(2026,1,24),tblDaily[WardCode],"FW")),"")</f>
        <v/>
      </c>
      <c r="E30" s="29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29">
        <f>IFERROR(IF(SUMIFS(tblDaily[TransfersIn],tblDaily[EntryDate],DATE(2026,1,24),tblDaily[WardCode],"FW")=0,"",SUMIFS(tblDaily[TransfersIn],tblDaily[EntryDate],DATE(2026,1,24),tblDaily[WardCode],"FW")),"")</f>
        <v>1</v>
      </c>
      <c r="G30" s="29" t="str">
        <f>IFERROR(IF(SUMIFS(tblDaily[TransfersOut],tblDaily[EntryDate],DATE(2026,1,24),tblDaily[WardCode],"FW")=0,"",SUMIFS(tblDaily[TransfersOut],tblDaily[EntryDate],DATE(2026,1,24),tblDaily[WardCode],"FW")),"")</f>
        <v/>
      </c>
      <c r="H30" s="29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29">
        <v>25</v>
      </c>
      <c r="B31" s="29" t="str">
        <f>IFERROR(IF(SUMIFS(tblDaily[Admissions],tblDaily[EntryDate],DATE(2026,1,25),tblDaily[WardCode],"FW")=0,"",SUMIFS(tblDaily[Admissions],tblDaily[EntryDate],DATE(2026,1,25),tblDaily[WardCode],"FW")),"")</f>
        <v/>
      </c>
      <c r="C31" s="29">
        <f>IFERROR(IF(SUMIFS(tblDaily[Discharges],tblDaily[EntryDate],DATE(2026,1,25),tblDaily[WardCode],"FW")=0,"",SUMIFS(tblDaily[Discharges],tblDaily[EntryDate],DATE(2026,1,25),tblDaily[WardCode],"FW")),"")</f>
        <v>4</v>
      </c>
      <c r="D31" s="29" t="str">
        <f>IFERROR(IF(SUMIFS(tblDaily[Deaths],tblDaily[EntryDate],DATE(2026,1,25),tblDaily[WardCode],"FW")=0,"",SUMIFS(tblDaily[Deaths],tblDaily[EntryDate],DATE(2026,1,25),tblDaily[WardCode],"FW")),"")</f>
        <v/>
      </c>
      <c r="E31" s="29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29" t="str">
        <f>IFERROR(IF(SUMIFS(tblDaily[TransfersIn],tblDaily[EntryDate],DATE(2026,1,25),tblDaily[WardCode],"FW")=0,"",SUMIFS(tblDaily[TransfersIn],tblDaily[EntryDate],DATE(2026,1,25),tblDaily[WardCode],"FW")),"")</f>
        <v/>
      </c>
      <c r="G31" s="29" t="str">
        <f>IFERROR(IF(SUMIFS(tblDaily[TransfersOut],tblDaily[EntryDate],DATE(2026,1,25),tblDaily[WardCode],"FW")=0,"",SUMIFS(tblDaily[TransfersOut],tblDaily[EntryDate],DATE(2026,1,25),tblDaily[WardCode],"FW")),"")</f>
        <v/>
      </c>
      <c r="H31" s="29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29">
        <v>26</v>
      </c>
      <c r="B32" s="29">
        <f>IFERROR(IF(SUMIFS(tblDaily[Admissions],tblDaily[EntryDate],DATE(2026,1,26),tblDaily[WardCode],"FW")=0,"",SUMIFS(tblDaily[Admissions],tblDaily[EntryDate],DATE(2026,1,26),tblDaily[WardCode],"FW")),"")</f>
        <v>2</v>
      </c>
      <c r="C32" s="29">
        <f>IFERROR(IF(SUMIFS(tblDaily[Discharges],tblDaily[EntryDate],DATE(2026,1,26),tblDaily[WardCode],"FW")=0,"",SUMIFS(tblDaily[Discharges],tblDaily[EntryDate],DATE(2026,1,26),tblDaily[WardCode],"FW")),"")</f>
        <v>2</v>
      </c>
      <c r="D32" s="29" t="str">
        <f>IFERROR(IF(SUMIFS(tblDaily[Deaths],tblDaily[EntryDate],DATE(2026,1,26),tblDaily[WardCode],"FW")=0,"",SUMIFS(tblDaily[Deaths],tblDaily[EntryDate],DATE(2026,1,26),tblDaily[WardCode],"FW")),"")</f>
        <v/>
      </c>
      <c r="E32" s="29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29">
        <f>IFERROR(IF(SUMIFS(tblDaily[TransfersIn],tblDaily[EntryDate],DATE(2026,1,26),tblDaily[WardCode],"FW")=0,"",SUMIFS(tblDaily[TransfersIn],tblDaily[EntryDate],DATE(2026,1,26),tblDaily[WardCode],"FW")),"")</f>
        <v>1</v>
      </c>
      <c r="G32" s="29" t="str">
        <f>IFERROR(IF(SUMIFS(tblDaily[TransfersOut],tblDaily[EntryDate],DATE(2026,1,26),tblDaily[WardCode],"FW")=0,"",SUMIFS(tblDaily[TransfersOut],tblDaily[EntryDate],DATE(2026,1,26),tblDaily[WardCode],"FW")),"")</f>
        <v/>
      </c>
      <c r="H32" s="29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29">
        <v>27</v>
      </c>
      <c r="B33" s="29">
        <f>IFERROR(IF(SUMIFS(tblDaily[Admissions],tblDaily[EntryDate],DATE(2026,1,27),tblDaily[WardCode],"FW")=0,"",SUMIFS(tblDaily[Admissions],tblDaily[EntryDate],DATE(2026,1,27),tblDaily[WardCode],"FW")),"")</f>
        <v>3</v>
      </c>
      <c r="C33" s="29">
        <f>IFERROR(IF(SUMIFS(tblDaily[Discharges],tblDaily[EntryDate],DATE(2026,1,27),tblDaily[WardCode],"FW")=0,"",SUMIFS(tblDaily[Discharges],tblDaily[EntryDate],DATE(2026,1,27),tblDaily[WardCode],"FW")),"")</f>
        <v>7</v>
      </c>
      <c r="D33" s="29">
        <f>IFERROR(IF(SUMIFS(tblDaily[Deaths],tblDaily[EntryDate],DATE(2026,1,27),tblDaily[WardCode],"FW")=0,"",SUMIFS(tblDaily[Deaths],tblDaily[EntryDate],DATE(2026,1,27),tblDaily[WardCode],"FW")),"")</f>
        <v>1</v>
      </c>
      <c r="E33" s="29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29">
        <f>IFERROR(IF(SUMIFS(tblDaily[TransfersIn],tblDaily[EntryDate],DATE(2026,1,27),tblDaily[WardCode],"FW")=0,"",SUMIFS(tblDaily[TransfersIn],tblDaily[EntryDate],DATE(2026,1,27),tblDaily[WardCode],"FW")),"")</f>
        <v>1</v>
      </c>
      <c r="G33" s="29" t="str">
        <f>IFERROR(IF(SUMIFS(tblDaily[TransfersOut],tblDaily[EntryDate],DATE(2026,1,27),tblDaily[WardCode],"FW")=0,"",SUMIFS(tblDaily[TransfersOut],tblDaily[EntryDate],DATE(2026,1,27),tblDaily[WardCode],"FW")),"")</f>
        <v/>
      </c>
      <c r="H33" s="29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IFERROR(IF(SUMIFS(tblDaily[Admissions],tblDaily[EntryDate],DATE(2026,1,28),tblDaily[WardCode],"FW")=0,"",SUMIFS(tblDaily[Admissions],tblDaily[EntryDate],DATE(2026,1,28),tblDaily[WardCode],"FW")),"")</f>
        <v>1</v>
      </c>
      <c r="C34" s="29">
        <f>IFERROR(IF(SUMIFS(tblDaily[Discharges],tblDaily[EntryDate],DATE(2026,1,28),tblDaily[WardCode],"FW")=0,"",SUMIFS(tblDaily[Discharges],tblDaily[EntryDate],DATE(2026,1,28),tblDaily[WardCode],"FW")),"")</f>
        <v>1</v>
      </c>
      <c r="D34" s="29" t="str">
        <f>IFERROR(IF(SUMIFS(tblDaily[Deaths],tblDaily[EntryDate],DATE(2026,1,28),tblDaily[WardCode],"FW")=0,"",SUMIFS(tblDaily[Deaths],tblDaily[EntryDate],DATE(2026,1,28),tblDaily[WardCode],"FW")),"")</f>
        <v/>
      </c>
      <c r="E34" s="29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29">
        <f>IFERROR(IF(SUMIFS(tblDaily[TransfersIn],tblDaily[EntryDate],DATE(2026,1,28),tblDaily[WardCode],"FW")=0,"",SUMIFS(tblDaily[TransfersIn],tblDaily[EntryDate],DATE(2026,1,28),tblDaily[WardCode],"FW")),"")</f>
        <v>1</v>
      </c>
      <c r="G34" s="29" t="str">
        <f>IFERROR(IF(SUMIFS(tblDaily[TransfersOut],tblDaily[EntryDate],DATE(2026,1,28),tblDaily[WardCode],"FW")=0,"",SUMIFS(tblDaily[TransfersOut],tblDaily[EntryDate],DATE(2026,1,28),tblDaily[WardCode],"FW")),"")</f>
        <v/>
      </c>
      <c r="H34" s="29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29">
        <v>29</v>
      </c>
      <c r="B35" s="29">
        <f>IFERROR(IF(SUMIFS(tblDaily[Admissions],tblDaily[EntryDate],DATE(2026,1,29),tblDaily[WardCode],"FW")=0,"",SUMIFS(tblDaily[Admissions],tblDaily[EntryDate],DATE(2026,1,29),tblDaily[WardCode],"FW")),"")</f>
        <v>2</v>
      </c>
      <c r="C35" s="29">
        <f>IFERROR(IF(SUMIFS(tblDaily[Discharges],tblDaily[EntryDate],DATE(2026,1,29),tblDaily[WardCode],"FW")=0,"",SUMIFS(tblDaily[Discharges],tblDaily[EntryDate],DATE(2026,1,29),tblDaily[WardCode],"FW")),"")</f>
        <v>1</v>
      </c>
      <c r="D35" s="29" t="str">
        <f>IFERROR(IF(SUMIFS(tblDaily[Deaths],tblDaily[EntryDate],DATE(2026,1,29),tblDaily[WardCode],"FW")=0,"",SUMIFS(tblDaily[Deaths],tblDaily[EntryDate],DATE(2026,1,29),tblDaily[WardCode],"FW")),"")</f>
        <v/>
      </c>
      <c r="E35" s="29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29">
        <f>IFERROR(IF(SUMIFS(tblDaily[TransfersIn],tblDaily[EntryDate],DATE(2026,1,29),tblDaily[WardCode],"FW")=0,"",SUMIFS(tblDaily[TransfersIn],tblDaily[EntryDate],DATE(2026,1,29),tblDaily[WardCode],"FW")),"")</f>
        <v>2</v>
      </c>
      <c r="G35" s="29" t="str">
        <f>IFERROR(IF(SUMIFS(tblDaily[TransfersOut],tblDaily[EntryDate],DATE(2026,1,29),tblDaily[WardCode],"FW")=0,"",SUMIFS(tblDaily[TransfersOut],tblDaily[EntryDate],DATE(2026,1,29),tblDaily[WardCode],"FW")),"")</f>
        <v/>
      </c>
      <c r="H35" s="29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29">
        <v>30</v>
      </c>
      <c r="B36" s="29">
        <f>IFERROR(IF(SUMIFS(tblDaily[Admissions],tblDaily[EntryDate],DATE(2026,1,30),tblDaily[WardCode],"FW")=0,"",SUMIFS(tblDaily[Admissions],tblDaily[EntryDate],DATE(2026,1,30),tblDaily[WardCode],"FW")),"")</f>
        <v>2</v>
      </c>
      <c r="C36" s="29">
        <f>IFERROR(IF(SUMIFS(tblDaily[Discharges],tblDaily[EntryDate],DATE(2026,1,30),tblDaily[WardCode],"FW")=0,"",SUMIFS(tblDaily[Discharges],tblDaily[EntryDate],DATE(2026,1,30),tblDaily[WardCode],"FW")),"")</f>
        <v>1</v>
      </c>
      <c r="D36" s="29" t="str">
        <f>IFERROR(IF(SUMIFS(tblDaily[Deaths],tblDaily[EntryDate],DATE(2026,1,30),tblDaily[WardCode],"FW")=0,"",SUMIFS(tblDaily[Deaths],tblDaily[EntryDate],DATE(2026,1,30),tblDaily[WardCode],"FW")),"")</f>
        <v/>
      </c>
      <c r="E36" s="29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29">
        <f>IFERROR(IF(SUMIFS(tblDaily[TransfersIn],tblDaily[EntryDate],DATE(2026,1,30),tblDaily[WardCode],"FW")=0,"",SUMIFS(tblDaily[TransfersIn],tblDaily[EntryDate],DATE(2026,1,30),tblDaily[WardCode],"FW")),"")</f>
        <v>2</v>
      </c>
      <c r="G36" s="29" t="str">
        <f>IFERROR(IF(SUMIFS(tblDaily[TransfersOut],tblDaily[EntryDate],DATE(2026,1,30),tblDaily[WardCode],"FW")=0,"",SUMIFS(tblDaily[TransfersOut],tblDaily[EntryDate],DATE(2026,1,30),tblDaily[WardCode],"FW")),"")</f>
        <v/>
      </c>
      <c r="H36" s="29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29">
        <v>31</v>
      </c>
      <c r="B37" s="29" t="str">
        <f>IFERROR(IF(SUMIFS(tblDaily[Admissions],tblDaily[EntryDate],DATE(2026,1,31),tblDaily[WardCode],"FW")=0,"",SUMIFS(tblDaily[Admissions],tblDaily[EntryDate],DATE(2026,1,31),tblDaily[WardCode],"FW")),"")</f>
        <v/>
      </c>
      <c r="C37" s="29">
        <f>IFERROR(IF(SUMIFS(tblDaily[Discharges],tblDaily[EntryDate],DATE(2026,1,31),tblDaily[WardCode],"FW")=0,"",SUMIFS(tblDaily[Discharges],tblDaily[EntryDate],DATE(2026,1,31),tblDaily[WardCode],"FW")),"")</f>
        <v>6</v>
      </c>
      <c r="D37" s="29">
        <f>IFERROR(IF(SUMIFS(tblDaily[Deaths],tblDaily[EntryDate],DATE(2026,1,31),tblDaily[WardCode],"FW")=0,"",SUMIFS(tblDaily[Deaths],tblDaily[EntryDate],DATE(2026,1,31),tblDaily[WardCode],"FW")),"")</f>
        <v>1</v>
      </c>
      <c r="E37" s="29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29">
        <f>IFERROR(IF(SUMIFS(tblDaily[TransfersIn],tblDaily[EntryDate],DATE(2026,1,31),tblDaily[WardCode],"FW")=0,"",SUMIFS(tblDaily[TransfersIn],tblDaily[EntryDate],DATE(2026,1,31),tblDaily[WardCode],"FW")),"")</f>
        <v>2</v>
      </c>
      <c r="G37" s="29" t="str">
        <f>IFERROR(IF(SUMIFS(tblDaily[TransfersOut],tblDaily[EntryDate],DATE(2026,1,31),tblDaily[WardCode],"FW")=0,"",SUMIFS(tblDaily[TransfersOut],tblDaily[EntryDate],DATE(2026,1,31),tblDaily[WardCode],"FW")),"")</f>
        <v/>
      </c>
      <c r="H37" s="29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30" t="s">
        <v>115</v>
      </c>
      <c r="B38" s="30">
        <f>SUMIFS(tblDaily[Admissions],tblDaily[Month],1,tblDaily[WardCode],"FW") - SUMIFS(tblDaily[DeathsUnder24Hrs],tblDaily[Month],1,tblDaily[WardCode],"FW")</f>
        <v>79</v>
      </c>
      <c r="C38" s="30">
        <f>SUMIFS(tblDaily[Discharges],tblDaily[Month],1,tblDaily[WardCode],"FW")</f>
        <v>100</v>
      </c>
      <c r="D38" s="30">
        <f>SUMIFS(tblDaily[Deaths],tblDaily[Month],1,tblDaily[WardCode],"FW")</f>
        <v>10</v>
      </c>
      <c r="E38" s="30">
        <f>SUMIFS(tblDaily[DeathsUnder24Hrs],tblDaily[Month],1,tblDaily[WardCode],"FW")</f>
        <v>0</v>
      </c>
      <c r="F38" s="30">
        <f>SUMIFS(tblDaily[TransfersIn],tblDaily[Month],1,tblDaily[WardCode],"FW")</f>
        <v>27</v>
      </c>
      <c r="G38" s="30">
        <f>SUMIFS(tblDaily[TransfersOut],tblDaily[Month],1,tblDaily[WardCode],"FW")</f>
        <v>0</v>
      </c>
      <c r="H38" s="30">
        <f>SUMIFS(tblDaily[Remaining],tblDaily[Month],1,tblDaily[WardCode],"FW")</f>
        <v>525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116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IFERROR(SUMIFS(tblDaily[Remaining],tblDaily[EntryDate],DATE(2026,1,31),tblDaily[WardCode],"FW"),0)</f>
        <v>12</v>
      </c>
    </row>
    <row r="44" spans="1:8" x14ac:dyDescent="0.25">
      <c r="A44" s="24" t="s">
        <v>109</v>
      </c>
      <c r="H44" s="27">
        <f>IFERROR(INDEX(tblWardConfig[BedComplement],MATCH("FW",tblWardConfig[WardCode],0)),0)</f>
        <v>28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IFERROR(IF(SUMIFS(tblDaily[Admissions],tblDaily[EntryDate],DATE(2026,2,1),tblDaily[WardCode],"FW")=0,"",SUMIFS(tblDaily[Admissions],tblDaily[EntryDate],DATE(2026,2,1),tblDaily[WardCode],"FW")),"")</f>
        <v/>
      </c>
      <c r="C46" s="29" t="str">
        <f>IFERROR(IF(SUMIFS(tblDaily[Discharges],tblDaily[EntryDate],DATE(2026,2,1),tblDaily[WardCode],"FW")=0,"",SUMIFS(tblDaily[Discharges],tblDaily[EntryDate],DATE(2026,2,1),tblDaily[WardCode],"FW")),"")</f>
        <v/>
      </c>
      <c r="D46" s="29" t="str">
        <f>IFERROR(IF(SUMIFS(tblDaily[Deaths],tblDaily[EntryDate],DATE(2026,2,1),tblDaily[WardCode],"FW")=0,"",SUMIFS(tblDaily[Deaths],tblDaily[EntryDate],DATE(2026,2,1),tblDaily[WardCode],"FW")),"")</f>
        <v/>
      </c>
      <c r="E46" s="29" t="str">
        <f>IFERROR(IF(SUMIFS(tblDaily[DeathsUnder24Hrs],tblDaily[EntryDate],DATE(2026,2,1),tblDaily[WardCode],"FW")=0,"",SUMIFS(tblDaily[DeathsUnder24Hrs],tblDaily[EntryDate],DATE(2026,2,1),tblDaily[WardCode],"FW")),"")</f>
        <v/>
      </c>
      <c r="F46" s="29">
        <f>IFERROR(IF(SUMIFS(tblDaily[TransfersIn],tblDaily[EntryDate],DATE(2026,2,1),tblDaily[WardCode],"FW")=0,"",SUMIFS(tblDaily[TransfersIn],tblDaily[EntryDate],DATE(2026,2,1),tblDaily[WardCode],"FW")),"")</f>
        <v>2</v>
      </c>
      <c r="G46" s="29" t="str">
        <f>IFERROR(IF(SUMIFS(tblDaily[TransfersOut],tblDaily[EntryDate],DATE(2026,2,1),tblDaily[WardCode],"FW")=0,"",SUMIFS(tblDaily[TransfersOut],tblDaily[EntryDate],DATE(2026,2,1),tblDaily[WardCode],"FW")),"")</f>
        <v/>
      </c>
      <c r="H46" s="29">
        <f>IFERROR(IF(SUMIFS(tblDaily[Remaining],tblDaily[EntryDate],DATE(2026,2,1),tblDaily[WardCode],"FW")=0,"",SUMIFS(tblDaily[Remaining],tblDaily[EntryDate],DATE(2026,2,1),tblDaily[WardCode],"FW")),"")</f>
        <v>14</v>
      </c>
    </row>
    <row r="47" spans="1:8" x14ac:dyDescent="0.25">
      <c r="A47" s="29">
        <v>2</v>
      </c>
      <c r="B47" s="29">
        <f>IFERROR(IF(SUMIFS(tblDaily[Admissions],tblDaily[EntryDate],DATE(2026,2,2),tblDaily[WardCode],"FW")=0,"",SUMIFS(tblDaily[Admissions],tblDaily[EntryDate],DATE(2026,2,2),tblDaily[WardCode],"FW")),"")</f>
        <v>1</v>
      </c>
      <c r="C47" s="29">
        <f>IFERROR(IF(SUMIFS(tblDaily[Discharges],tblDaily[EntryDate],DATE(2026,2,2),tblDaily[WardCode],"FW")=0,"",SUMIFS(tblDaily[Discharges],tblDaily[EntryDate],DATE(2026,2,2),tblDaily[WardCode],"FW")),"")</f>
        <v>4</v>
      </c>
      <c r="D47" s="29">
        <f>IFERROR(IF(SUMIFS(tblDaily[Deaths],tblDaily[EntryDate],DATE(2026,2,2),tblDaily[WardCode],"FW")=0,"",SUMIFS(tblDaily[Deaths],tblDaily[EntryDate],DATE(2026,2,2),tblDaily[WardCode],"FW")),"")</f>
        <v>1</v>
      </c>
      <c r="E47" s="29" t="str">
        <f>IFERROR(IF(SUMIFS(tblDaily[DeathsUnder24Hrs],tblDaily[EntryDate],DATE(2026,2,2),tblDaily[WardCode],"FW")=0,"",SUMIFS(tblDaily[DeathsUnder24Hrs],tblDaily[EntryDate],DATE(2026,2,2),tblDaily[WardCode],"FW")),"")</f>
        <v/>
      </c>
      <c r="F47" s="29">
        <f>IFERROR(IF(SUMIFS(tblDaily[TransfersIn],tblDaily[EntryDate],DATE(2026,2,2),tblDaily[WardCode],"FW")=0,"",SUMIFS(tblDaily[TransfersIn],tblDaily[EntryDate],DATE(2026,2,2),tblDaily[WardCode],"FW")),"")</f>
        <v>2</v>
      </c>
      <c r="G47" s="29" t="str">
        <f>IFERROR(IF(SUMIFS(tblDaily[TransfersOut],tblDaily[EntryDate],DATE(2026,2,2),tblDaily[WardCode],"FW")=0,"",SUMIFS(tblDaily[TransfersOut],tblDaily[EntryDate],DATE(2026,2,2),tblDaily[WardCode],"FW")),"")</f>
        <v/>
      </c>
      <c r="H47" s="29">
        <f>IFERROR(IF(SUMIFS(tblDaily[Remaining],tblDaily[EntryDate],DATE(2026,2,2),tblDaily[WardCode],"FW")=0,"",SUMIFS(tblDaily[Remaining],tblDaily[EntryDate],DATE(2026,2,2),tblDaily[WardCode],"FW")),"")</f>
        <v>12</v>
      </c>
    </row>
    <row r="48" spans="1:8" x14ac:dyDescent="0.25">
      <c r="A48" s="29">
        <v>3</v>
      </c>
      <c r="B48" s="29">
        <f>IFERROR(IF(SUMIFS(tblDaily[Admissions],tblDaily[EntryDate],DATE(2026,2,3),tblDaily[WardCode],"FW")=0,"",SUMIFS(tblDaily[Admissions],tblDaily[EntryDate],DATE(2026,2,3),tblDaily[WardCode],"FW")),"")</f>
        <v>6</v>
      </c>
      <c r="C48" s="29">
        <f>IFERROR(IF(SUMIFS(tblDaily[Discharges],tblDaily[EntryDate],DATE(2026,2,3),tblDaily[WardCode],"FW")=0,"",SUMIFS(tblDaily[Discharges],tblDaily[EntryDate],DATE(2026,2,3),tblDaily[WardCode],"FW")),"")</f>
        <v>2</v>
      </c>
      <c r="D48" s="29" t="str">
        <f>IFERROR(IF(SUMIFS(tblDaily[Deaths],tblDaily[EntryDate],DATE(2026,2,3),tblDaily[WardCode],"FW")=0,"",SUMIFS(tblDaily[Deaths],tblDaily[EntryDate],DATE(2026,2,3),tblDaily[WardCode],"FW")),"")</f>
        <v/>
      </c>
      <c r="E48" s="29" t="str">
        <f>IFERROR(IF(SUMIFS(tblDaily[DeathsUnder24Hrs],tblDaily[EntryDate],DATE(2026,2,3),tblDaily[WardCode],"FW")=0,"",SUMIFS(tblDaily[DeathsUnder24Hrs],tblDaily[EntryDate],DATE(2026,2,3),tblDaily[WardCode],"FW")),"")</f>
        <v/>
      </c>
      <c r="F48" s="29" t="str">
        <f>IFERROR(IF(SUMIFS(tblDaily[TransfersIn],tblDaily[EntryDate],DATE(2026,2,3),tblDaily[WardCode],"FW")=0,"",SUMIFS(tblDaily[TransfersIn],tblDaily[EntryDate],DATE(2026,2,3),tblDaily[WardCode],"FW")),"")</f>
        <v/>
      </c>
      <c r="G48" s="29" t="str">
        <f>IFERROR(IF(SUMIFS(tblDaily[TransfersOut],tblDaily[EntryDate],DATE(2026,2,3),tblDaily[WardCode],"FW")=0,"",SUMIFS(tblDaily[TransfersOut],tblDaily[EntryDate],DATE(2026,2,3),tblDaily[WardCode],"FW")),"")</f>
        <v/>
      </c>
      <c r="H48" s="29">
        <f>IFERROR(IF(SUMIFS(tblDaily[Remaining],tblDaily[EntryDate],DATE(2026,2,3),tblDaily[WardCode],"FW")=0,"",SUMIFS(tblDaily[Remaining],tblDaily[EntryDate],DATE(2026,2,3),tblDaily[WardCode],"FW")),"")</f>
        <v>16</v>
      </c>
    </row>
    <row r="49" spans="1:8" x14ac:dyDescent="0.25">
      <c r="A49" s="29">
        <v>4</v>
      </c>
      <c r="B49" s="29">
        <f>IFERROR(IF(SUMIFS(tblDaily[Admissions],tblDaily[EntryDate],DATE(2026,2,4),tblDaily[WardCode],"FW")=0,"",SUMIFS(tblDaily[Admissions],tblDaily[EntryDate],DATE(2026,2,4),tblDaily[WardCode],"FW")),"")</f>
        <v>3</v>
      </c>
      <c r="C49" s="29">
        <f>IFERROR(IF(SUMIFS(tblDaily[Discharges],tblDaily[EntryDate],DATE(2026,2,4),tblDaily[WardCode],"FW")=0,"",SUMIFS(tblDaily[Discharges],tblDaily[EntryDate],DATE(2026,2,4),tblDaily[WardCode],"FW")),"")</f>
        <v>1</v>
      </c>
      <c r="D49" s="29" t="str">
        <f>IFERROR(IF(SUMIFS(tblDaily[Deaths],tblDaily[EntryDate],DATE(2026,2,4),tblDaily[WardCode],"FW")=0,"",SUMIFS(tblDaily[Deaths],tblDaily[EntryDate],DATE(2026,2,4),tblDaily[WardCode],"FW")),"")</f>
        <v/>
      </c>
      <c r="E49" s="29" t="str">
        <f>IFERROR(IF(SUMIFS(tblDaily[DeathsUnder24Hrs],tblDaily[EntryDate],DATE(2026,2,4),tblDaily[WardCode],"FW")=0,"",SUMIFS(tblDaily[DeathsUnder24Hrs],tblDaily[EntryDate],DATE(2026,2,4),tblDaily[WardCode],"FW")),"")</f>
        <v/>
      </c>
      <c r="F49" s="29">
        <f>IFERROR(IF(SUMIFS(tblDaily[TransfersIn],tblDaily[EntryDate],DATE(2026,2,4),tblDaily[WardCode],"FW")=0,"",SUMIFS(tblDaily[TransfersIn],tblDaily[EntryDate],DATE(2026,2,4),tblDaily[WardCode],"FW")),"")</f>
        <v>1</v>
      </c>
      <c r="G49" s="29" t="str">
        <f>IFERROR(IF(SUMIFS(tblDaily[TransfersOut],tblDaily[EntryDate],DATE(2026,2,4),tblDaily[WardCode],"FW")=0,"",SUMIFS(tblDaily[TransfersOut],tblDaily[EntryDate],DATE(2026,2,4),tblDaily[WardCode],"FW")),"")</f>
        <v/>
      </c>
      <c r="H49" s="29">
        <f>IFERROR(IF(SUMIFS(tblDaily[Remaining],tblDaily[EntryDate],DATE(2026,2,4),tblDaily[WardCode],"FW")=0,"",SUMIFS(tblDaily[Remaining],tblDaily[EntryDate],DATE(2026,2,4),tblDaily[WardCode],"FW")),"")</f>
        <v>19</v>
      </c>
    </row>
    <row r="50" spans="1:8" x14ac:dyDescent="0.25">
      <c r="A50" s="29">
        <v>5</v>
      </c>
      <c r="B50" s="29">
        <f>IFERROR(IF(SUMIFS(tblDaily[Admissions],tblDaily[EntryDate],DATE(2026,2,5),tblDaily[WardCode],"FW")=0,"",SUMIFS(tblDaily[Admissions],tblDaily[EntryDate],DATE(2026,2,5),tblDaily[WardCode],"FW")),"")</f>
        <v>2</v>
      </c>
      <c r="C50" s="29">
        <f>IFERROR(IF(SUMIFS(tblDaily[Discharges],tblDaily[EntryDate],DATE(2026,2,5),tblDaily[WardCode],"FW")=0,"",SUMIFS(tblDaily[Discharges],tblDaily[EntryDate],DATE(2026,2,5),tblDaily[WardCode],"FW")),"")</f>
        <v>2</v>
      </c>
      <c r="D50" s="29">
        <f>IFERROR(IF(SUMIFS(tblDaily[Deaths],tblDaily[EntryDate],DATE(2026,2,5),tblDaily[WardCode],"FW")=0,"",SUMIFS(tblDaily[Deaths],tblDaily[EntryDate],DATE(2026,2,5),tblDaily[WardCode],"FW")),"")</f>
        <v>1</v>
      </c>
      <c r="E50" s="29" t="str">
        <f>IFERROR(IF(SUMIFS(tblDaily[DeathsUnder24Hrs],tblDaily[EntryDate],DATE(2026,2,5),tblDaily[WardCode],"FW")=0,"",SUMIFS(tblDaily[DeathsUnder24Hrs],tblDaily[EntryDate],DATE(2026,2,5),tblDaily[WardCode],"FW")),"")</f>
        <v/>
      </c>
      <c r="F50" s="29">
        <f>IFERROR(IF(SUMIFS(tblDaily[TransfersIn],tblDaily[EntryDate],DATE(2026,2,5),tblDaily[WardCode],"FW")=0,"",SUMIFS(tblDaily[TransfersIn],tblDaily[EntryDate],DATE(2026,2,5),tblDaily[WardCode],"FW")),"")</f>
        <v>2</v>
      </c>
      <c r="G50" s="29" t="str">
        <f>IFERROR(IF(SUMIFS(tblDaily[TransfersOut],tblDaily[EntryDate],DATE(2026,2,5),tblDaily[WardCode],"FW")=0,"",SUMIFS(tblDaily[TransfersOut],tblDaily[EntryDate],DATE(2026,2,5),tblDaily[WardCode],"FW")),"")</f>
        <v/>
      </c>
      <c r="H50" s="29">
        <f>IFERROR(IF(SUMIFS(tblDaily[Remaining],tblDaily[EntryDate],DATE(2026,2,5),tblDaily[WardCode],"FW")=0,"",SUMIFS(tblDaily[Remaining],tblDaily[EntryDate],DATE(2026,2,5),tblDaily[WardCode],"FW")),"")</f>
        <v>20</v>
      </c>
    </row>
    <row r="51" spans="1:8" x14ac:dyDescent="0.25">
      <c r="A51" s="29">
        <v>6</v>
      </c>
      <c r="B51" s="29">
        <f>IFERROR(IF(SUMIFS(tblDaily[Admissions],tblDaily[EntryDate],DATE(2026,2,6),tblDaily[WardCode],"FW")=0,"",SUMIFS(tblDaily[Admissions],tblDaily[EntryDate],DATE(2026,2,6),tblDaily[WardCode],"FW")),"")</f>
        <v>1</v>
      </c>
      <c r="C51" s="29">
        <f>IFERROR(IF(SUMIFS(tblDaily[Discharges],tblDaily[EntryDate],DATE(2026,2,6),tblDaily[WardCode],"FW")=0,"",SUMIFS(tblDaily[Discharges],tblDaily[EntryDate],DATE(2026,2,6),tblDaily[WardCode],"FW")),"")</f>
        <v>3</v>
      </c>
      <c r="D51" s="29" t="str">
        <f>IFERROR(IF(SUMIFS(tblDaily[Deaths],tblDaily[EntryDate],DATE(2026,2,6),tblDaily[WardCode],"FW")=0,"",SUMIFS(tblDaily[Deaths],tblDaily[EntryDate],DATE(2026,2,6),tblDaily[WardCode],"FW")),"")</f>
        <v/>
      </c>
      <c r="E51" s="29" t="str">
        <f>IFERROR(IF(SUMIFS(tblDaily[DeathsUnder24Hrs],tblDaily[EntryDate],DATE(2026,2,6),tblDaily[WardCode],"FW")=0,"",SUMIFS(tblDaily[DeathsUnder24Hrs],tblDaily[EntryDate],DATE(2026,2,6),tblDaily[WardCode],"FW")),"")</f>
        <v/>
      </c>
      <c r="F51" s="29" t="str">
        <f>IFERROR(IF(SUMIFS(tblDaily[TransfersIn],tblDaily[EntryDate],DATE(2026,2,6),tblDaily[WardCode],"FW")=0,"",SUMIFS(tblDaily[TransfersIn],tblDaily[EntryDate],DATE(2026,2,6),tblDaily[WardCode],"FW")),"")</f>
        <v/>
      </c>
      <c r="G51" s="29" t="str">
        <f>IFERROR(IF(SUMIFS(tblDaily[TransfersOut],tblDaily[EntryDate],DATE(2026,2,6),tblDaily[WardCode],"FW")=0,"",SUMIFS(tblDaily[TransfersOut],tblDaily[EntryDate],DATE(2026,2,6),tblDaily[WardCode],"FW")),"")</f>
        <v/>
      </c>
      <c r="H51" s="29">
        <f>IFERROR(IF(SUMIFS(tblDaily[Remaining],tblDaily[EntryDate],DATE(2026,2,6),tblDaily[WardCode],"FW")=0,"",SUMIFS(tblDaily[Remaining],tblDaily[EntryDate],DATE(2026,2,6),tblDaily[WardCode],"FW")),"")</f>
        <v>18</v>
      </c>
    </row>
    <row r="52" spans="1:8" x14ac:dyDescent="0.25">
      <c r="A52" s="29">
        <v>7</v>
      </c>
      <c r="B52" s="29">
        <f>IFERROR(IF(SUMIFS(tblDaily[Admissions],tblDaily[EntryDate],DATE(2026,2,7),tblDaily[WardCode],"FW")=0,"",SUMIFS(tblDaily[Admissions],tblDaily[EntryDate],DATE(2026,2,7),tblDaily[WardCode],"FW")),"")</f>
        <v>2</v>
      </c>
      <c r="C52" s="29">
        <f>IFERROR(IF(SUMIFS(tblDaily[Discharges],tblDaily[EntryDate],DATE(2026,2,7),tblDaily[WardCode],"FW")=0,"",SUMIFS(tblDaily[Discharges],tblDaily[EntryDate],DATE(2026,2,7),tblDaily[WardCode],"FW")),"")</f>
        <v>1</v>
      </c>
      <c r="D52" s="29" t="str">
        <f>IFERROR(IF(SUMIFS(tblDaily[Deaths],tblDaily[EntryDate],DATE(2026,2,7),tblDaily[WardCode],"FW")=0,"",SUMIFS(tblDaily[Deaths],tblDaily[EntryDate],DATE(2026,2,7),tblDaily[WardCode],"FW")),"")</f>
        <v/>
      </c>
      <c r="E52" s="29" t="str">
        <f>IFERROR(IF(SUMIFS(tblDaily[DeathsUnder24Hrs],tblDaily[EntryDate],DATE(2026,2,7),tblDaily[WardCode],"FW")=0,"",SUMIFS(tblDaily[DeathsUnder24Hrs],tblDaily[EntryDate],DATE(2026,2,7),tblDaily[WardCode],"FW")),"")</f>
        <v/>
      </c>
      <c r="F52" s="29" t="str">
        <f>IFERROR(IF(SUMIFS(tblDaily[TransfersIn],tblDaily[EntryDate],DATE(2026,2,7),tblDaily[WardCode],"FW")=0,"",SUMIFS(tblDaily[TransfersIn],tblDaily[EntryDate],DATE(2026,2,7),tblDaily[WardCode],"FW")),"")</f>
        <v/>
      </c>
      <c r="G52" s="29" t="str">
        <f>IFERROR(IF(SUMIFS(tblDaily[TransfersOut],tblDaily[EntryDate],DATE(2026,2,7),tblDaily[WardCode],"FW")=0,"",SUMIFS(tblDaily[TransfersOut],tblDaily[EntryDate],DATE(2026,2,7),tblDaily[WardCode],"FW")),"")</f>
        <v/>
      </c>
      <c r="H52" s="29">
        <f>IFERROR(IF(SUMIFS(tblDaily[Remaining],tblDaily[EntryDate],DATE(2026,2,7),tblDaily[WardCode],"FW")=0,"",SUMIFS(tblDaily[Remaining],tblDaily[EntryDate],DATE(2026,2,7),tblDaily[WardCode],"FW")),"")</f>
        <v>19</v>
      </c>
    </row>
    <row r="53" spans="1:8" x14ac:dyDescent="0.25">
      <c r="A53" s="29">
        <v>8</v>
      </c>
      <c r="B53" s="29">
        <f>IFERROR(IF(SUMIFS(tblDaily[Admissions],tblDaily[EntryDate],DATE(2026,2,8),tblDaily[WardCode],"FW")=0,"",SUMIFS(tblDaily[Admissions],tblDaily[EntryDate],DATE(2026,2,8),tblDaily[WardCode],"FW")),"")</f>
        <v>2</v>
      </c>
      <c r="C53" s="29" t="str">
        <f>IFERROR(IF(SUMIFS(tblDaily[Discharges],tblDaily[EntryDate],DATE(2026,2,8),tblDaily[WardCode],"FW")=0,"",SUMIFS(tblDaily[Discharges],tblDaily[EntryDate],DATE(2026,2,8),tblDaily[WardCode],"FW")),"")</f>
        <v/>
      </c>
      <c r="D53" s="29" t="str">
        <f>IFERROR(IF(SUMIFS(tblDaily[Deaths],tblDaily[EntryDate],DATE(2026,2,8),tblDaily[WardCode],"FW")=0,"",SUMIFS(tblDaily[Deaths],tblDaily[EntryDate],DATE(2026,2,8),tblDaily[WardCode],"FW")),"")</f>
        <v/>
      </c>
      <c r="E53" s="29" t="str">
        <f>IFERROR(IF(SUMIFS(tblDaily[DeathsUnder24Hrs],tblDaily[EntryDate],DATE(2026,2,8),tblDaily[WardCode],"FW")=0,"",SUMIFS(tblDaily[DeathsUnder24Hrs],tblDaily[EntryDate],DATE(2026,2,8),tblDaily[WardCode],"FW")),"")</f>
        <v/>
      </c>
      <c r="F53" s="29" t="str">
        <f>IFERROR(IF(SUMIFS(tblDaily[TransfersIn],tblDaily[EntryDate],DATE(2026,2,8),tblDaily[WardCode],"FW")=0,"",SUMIFS(tblDaily[TransfersIn],tblDaily[EntryDate],DATE(2026,2,8),tblDaily[WardCode],"FW")),"")</f>
        <v/>
      </c>
      <c r="G53" s="29" t="str">
        <f>IFERROR(IF(SUMIFS(tblDaily[TransfersOut],tblDaily[EntryDate],DATE(2026,2,8),tblDaily[WardCode],"FW")=0,"",SUMIFS(tblDaily[TransfersOut],tblDaily[EntryDate],DATE(2026,2,8),tblDaily[WardCode],"FW")),"")</f>
        <v/>
      </c>
      <c r="H53" s="29">
        <f>IFERROR(IF(SUMIFS(tblDaily[Remaining],tblDaily[EntryDate],DATE(2026,2,8),tblDaily[WardCode],"FW")=0,"",SUMIFS(tblDaily[Remaining],tblDaily[EntryDate],DATE(2026,2,8),tblDaily[WardCode],"FW")),"")</f>
        <v>21</v>
      </c>
    </row>
    <row r="54" spans="1:8" x14ac:dyDescent="0.25">
      <c r="A54" s="29">
        <v>9</v>
      </c>
      <c r="B54" s="29" t="str">
        <f>IFERROR(IF(SUMIFS(tblDaily[Admissions],tblDaily[EntryDate],DATE(2026,2,9),tblDaily[WardCode],"FW")=0,"",SUMIFS(tblDaily[Admissions],tblDaily[EntryDate],DATE(2026,2,9),tblDaily[WardCode],"FW")),"")</f>
        <v/>
      </c>
      <c r="C54" s="29">
        <f>IFERROR(IF(SUMIFS(tblDaily[Discharges],tblDaily[EntryDate],DATE(2026,2,9),tblDaily[WardCode],"FW")=0,"",SUMIFS(tblDaily[Discharges],tblDaily[EntryDate],DATE(2026,2,9),tblDaily[WardCode],"FW")),"")</f>
        <v>3</v>
      </c>
      <c r="D54" s="29" t="str">
        <f>IFERROR(IF(SUMIFS(tblDaily[Deaths],tblDaily[EntryDate],DATE(2026,2,9),tblDaily[WardCode],"FW")=0,"",SUMIFS(tblDaily[Deaths],tblDaily[EntryDate],DATE(2026,2,9),tblDaily[WardCode],"FW")),"")</f>
        <v/>
      </c>
      <c r="E54" s="29" t="str">
        <f>IFERROR(IF(SUMIFS(tblDaily[DeathsUnder24Hrs],tblDaily[EntryDate],DATE(2026,2,9),tblDaily[WardCode],"FW")=0,"",SUMIFS(tblDaily[DeathsUnder24Hrs],tblDaily[EntryDate],DATE(2026,2,9),tblDaily[WardCode],"FW")),"")</f>
        <v/>
      </c>
      <c r="F54" s="29">
        <f>IFERROR(IF(SUMIFS(tblDaily[TransfersIn],tblDaily[EntryDate],DATE(2026,2,9),tblDaily[WardCode],"FW")=0,"",SUMIFS(tblDaily[TransfersIn],tblDaily[EntryDate],DATE(2026,2,9),tblDaily[WardCode],"FW")),"")</f>
        <v>1</v>
      </c>
      <c r="G54" s="29" t="str">
        <f>IFERROR(IF(SUMIFS(tblDaily[TransfersOut],tblDaily[EntryDate],DATE(2026,2,9),tblDaily[WardCode],"FW")=0,"",SUMIFS(tblDaily[TransfersOut],tblDaily[EntryDate],DATE(2026,2,9),tblDaily[WardCode],"FW")),"")</f>
        <v/>
      </c>
      <c r="H54" s="29">
        <f>IFERROR(IF(SUMIFS(tblDaily[Remaining],tblDaily[EntryDate],DATE(2026,2,9),tblDaily[WardCode],"FW")=0,"",SUMIFS(tblDaily[Remaining],tblDaily[EntryDate],DATE(2026,2,9),tblDaily[WardCode],"FW")),"")</f>
        <v>19</v>
      </c>
    </row>
    <row r="55" spans="1:8" x14ac:dyDescent="0.25">
      <c r="A55" s="29">
        <v>10</v>
      </c>
      <c r="B55" s="29">
        <f>IFERROR(IF(SUMIFS(tblDaily[Admissions],tblDaily[EntryDate],DATE(2026,2,10),tblDaily[WardCode],"FW")=0,"",SUMIFS(tblDaily[Admissions],tblDaily[EntryDate],DATE(2026,2,10),tblDaily[WardCode],"FW")),"")</f>
        <v>3</v>
      </c>
      <c r="C55" s="29">
        <f>IFERROR(IF(SUMIFS(tblDaily[Discharges],tblDaily[EntryDate],DATE(2026,2,10),tblDaily[WardCode],"FW")=0,"",SUMIFS(tblDaily[Discharges],tblDaily[EntryDate],DATE(2026,2,10),tblDaily[WardCode],"FW")),"")</f>
        <v>3</v>
      </c>
      <c r="D55" s="29" t="str">
        <f>IFERROR(IF(SUMIFS(tblDaily[Deaths],tblDaily[EntryDate],DATE(2026,2,10),tblDaily[WardCode],"FW")=0,"",SUMIFS(tblDaily[Deaths],tblDaily[EntryDate],DATE(2026,2,10),tblDaily[WardCode],"FW")),"")</f>
        <v/>
      </c>
      <c r="E55" s="29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29">
        <f>IFERROR(IF(SUMIFS(tblDaily[TransfersIn],tblDaily[EntryDate],DATE(2026,2,10),tblDaily[WardCode],"FW")=0,"",SUMIFS(tblDaily[TransfersIn],tblDaily[EntryDate],DATE(2026,2,10),tblDaily[WardCode],"FW")),"")</f>
        <v>1</v>
      </c>
      <c r="G55" s="29" t="str">
        <f>IFERROR(IF(SUMIFS(tblDaily[TransfersOut],tblDaily[EntryDate],DATE(2026,2,10),tblDaily[WardCode],"FW")=0,"",SUMIFS(tblDaily[TransfersOut],tblDaily[EntryDate],DATE(2026,2,10),tblDaily[WardCode],"FW")),"")</f>
        <v/>
      </c>
      <c r="H55" s="29">
        <f>IFERROR(IF(SUMIFS(tblDaily[Remaining],tblDaily[EntryDate],DATE(2026,2,10),tblDaily[WardCode],"FW")=0,"",SUMIFS(tblDaily[Remaining],tblDaily[EntryDate],DATE(2026,2,10),tblDaily[WardCode],"FW")),"")</f>
        <v>20</v>
      </c>
    </row>
    <row r="56" spans="1:8" x14ac:dyDescent="0.25">
      <c r="A56" s="29">
        <v>11</v>
      </c>
      <c r="B56" s="29">
        <f>IFERROR(IF(SUMIFS(tblDaily[Admissions],tblDaily[EntryDate],DATE(2026,2,11),tblDaily[WardCode],"FW")=0,"",SUMIFS(tblDaily[Admissions],tblDaily[EntryDate],DATE(2026,2,11),tblDaily[WardCode],"FW")),"")</f>
        <v>1</v>
      </c>
      <c r="C56" s="29">
        <f>IFERROR(IF(SUMIFS(tblDaily[Discharges],tblDaily[EntryDate],DATE(2026,2,11),tblDaily[WardCode],"FW")=0,"",SUMIFS(tblDaily[Discharges],tblDaily[EntryDate],DATE(2026,2,11),tblDaily[WardCode],"FW")),"")</f>
        <v>2</v>
      </c>
      <c r="D56" s="29" t="str">
        <f>IFERROR(IF(SUMIFS(tblDaily[Deaths],tblDaily[EntryDate],DATE(2026,2,11),tblDaily[WardCode],"FW")=0,"",SUMIFS(tblDaily[Deaths],tblDaily[EntryDate],DATE(2026,2,11),tblDaily[WardCode],"FW")),"")</f>
        <v/>
      </c>
      <c r="E56" s="29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29">
        <f>IFERROR(IF(SUMIFS(tblDaily[TransfersIn],tblDaily[EntryDate],DATE(2026,2,11),tblDaily[WardCode],"FW")=0,"",SUMIFS(tblDaily[TransfersIn],tblDaily[EntryDate],DATE(2026,2,11),tblDaily[WardCode],"FW")),"")</f>
        <v>2</v>
      </c>
      <c r="G56" s="29" t="str">
        <f>IFERROR(IF(SUMIFS(tblDaily[TransfersOut],tblDaily[EntryDate],DATE(2026,2,11),tblDaily[WardCode],"FW")=0,"",SUMIFS(tblDaily[TransfersOut],tblDaily[EntryDate],DATE(2026,2,11),tblDaily[WardCode],"FW")),"")</f>
        <v/>
      </c>
      <c r="H56" s="29">
        <f>IFERROR(IF(SUMIFS(tblDaily[Remaining],tblDaily[EntryDate],DATE(2026,2,11),tblDaily[WardCode],"FW")=0,"",SUMIFS(tblDaily[Remaining],tblDaily[EntryDate],DATE(2026,2,11),tblDaily[WardCode],"FW")),"")</f>
        <v>21</v>
      </c>
    </row>
    <row r="57" spans="1:8" x14ac:dyDescent="0.25">
      <c r="A57" s="29">
        <v>12</v>
      </c>
      <c r="B57" s="29">
        <f>IFERROR(IF(SUMIFS(tblDaily[Admissions],tblDaily[EntryDate],DATE(2026,2,12),tblDaily[WardCode],"FW")=0,"",SUMIFS(tblDaily[Admissions],tblDaily[EntryDate],DATE(2026,2,12),tblDaily[WardCode],"FW")),"")</f>
        <v>3</v>
      </c>
      <c r="C57" s="29">
        <f>IFERROR(IF(SUMIFS(tblDaily[Discharges],tblDaily[EntryDate],DATE(2026,2,12),tblDaily[WardCode],"FW")=0,"",SUMIFS(tblDaily[Discharges],tblDaily[EntryDate],DATE(2026,2,12),tblDaily[WardCode],"FW")),"")</f>
        <v>2</v>
      </c>
      <c r="D57" s="29" t="str">
        <f>IFERROR(IF(SUMIFS(tblDaily[Deaths],tblDaily[EntryDate],DATE(2026,2,12),tblDaily[WardCode],"FW")=0,"",SUMIFS(tblDaily[Deaths],tblDaily[EntryDate],DATE(2026,2,12),tblDaily[WardCode],"FW")),"")</f>
        <v/>
      </c>
      <c r="E57" s="29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29" t="str">
        <f>IFERROR(IF(SUMIFS(tblDaily[TransfersIn],tblDaily[EntryDate],DATE(2026,2,12),tblDaily[WardCode],"FW")=0,"",SUMIFS(tblDaily[TransfersIn],tblDaily[EntryDate],DATE(2026,2,12),tblDaily[WardCode],"FW")),"")</f>
        <v/>
      </c>
      <c r="G57" s="29" t="str">
        <f>IFERROR(IF(SUMIFS(tblDaily[TransfersOut],tblDaily[EntryDate],DATE(2026,2,12),tblDaily[WardCode],"FW")=0,"",SUMIFS(tblDaily[TransfersOut],tblDaily[EntryDate],DATE(2026,2,12),tblDaily[WardCode],"FW")),"")</f>
        <v/>
      </c>
      <c r="H57" s="29">
        <f>IFERROR(IF(SUMIFS(tblDaily[Remaining],tblDaily[EntryDate],DATE(2026,2,12),tblDaily[WardCode],"FW")=0,"",SUMIFS(tblDaily[Remaining],tblDaily[EntryDate],DATE(2026,2,12),tblDaily[WardCode],"FW")),"")</f>
        <v>22</v>
      </c>
    </row>
    <row r="58" spans="1:8" x14ac:dyDescent="0.25">
      <c r="A58" s="29">
        <v>13</v>
      </c>
      <c r="B58" s="29">
        <f>IFERROR(IF(SUMIFS(tblDaily[Admissions],tblDaily[EntryDate],DATE(2026,2,13),tblDaily[WardCode],"FW")=0,"",SUMIFS(tblDaily[Admissions],tblDaily[EntryDate],DATE(2026,2,13),tblDaily[WardCode],"FW")),"")</f>
        <v>1</v>
      </c>
      <c r="C58" s="29">
        <f>IFERROR(IF(SUMIFS(tblDaily[Discharges],tblDaily[EntryDate],DATE(2026,2,13),tblDaily[WardCode],"FW")=0,"",SUMIFS(tblDaily[Discharges],tblDaily[EntryDate],DATE(2026,2,13),tblDaily[WardCode],"FW")),"")</f>
        <v>5</v>
      </c>
      <c r="D58" s="29">
        <f>IFERROR(IF(SUMIFS(tblDaily[Deaths],tblDaily[EntryDate],DATE(2026,2,13),tblDaily[WardCode],"FW")=0,"",SUMIFS(tblDaily[Deaths],tblDaily[EntryDate],DATE(2026,2,13),tblDaily[WardCode],"FW")),"")</f>
        <v>1</v>
      </c>
      <c r="E58" s="29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29">
        <f>IFERROR(IF(SUMIFS(tblDaily[TransfersIn],tblDaily[EntryDate],DATE(2026,2,13),tblDaily[WardCode],"FW")=0,"",SUMIFS(tblDaily[TransfersIn],tblDaily[EntryDate],DATE(2026,2,13),tblDaily[WardCode],"FW")),"")</f>
        <v>2</v>
      </c>
      <c r="G58" s="29" t="str">
        <f>IFERROR(IF(SUMIFS(tblDaily[TransfersOut],tblDaily[EntryDate],DATE(2026,2,13),tblDaily[WardCode],"FW")=0,"",SUMIFS(tblDaily[TransfersOut],tblDaily[EntryDate],DATE(2026,2,13),tblDaily[WardCode],"FW")),"")</f>
        <v/>
      </c>
      <c r="H58" s="29">
        <f>IFERROR(IF(SUMIFS(tblDaily[Remaining],tblDaily[EntryDate],DATE(2026,2,13),tblDaily[WardCode],"FW")=0,"",SUMIFS(tblDaily[Remaining],tblDaily[EntryDate],DATE(2026,2,13),tblDaily[WardCode],"FW")),"")</f>
        <v>19</v>
      </c>
    </row>
    <row r="59" spans="1:8" x14ac:dyDescent="0.25">
      <c r="A59" s="29">
        <v>14</v>
      </c>
      <c r="B59" s="29">
        <f>IFERROR(IF(SUMIFS(tblDaily[Admissions],tblDaily[EntryDate],DATE(2026,2,14),tblDaily[WardCode],"FW")=0,"",SUMIFS(tblDaily[Admissions],tblDaily[EntryDate],DATE(2026,2,14),tblDaily[WardCode],"FW")),"")</f>
        <v>4</v>
      </c>
      <c r="C59" s="29">
        <f>IFERROR(IF(SUMIFS(tblDaily[Discharges],tblDaily[EntryDate],DATE(2026,2,14),tblDaily[WardCode],"FW")=0,"",SUMIFS(tblDaily[Discharges],tblDaily[EntryDate],DATE(2026,2,14),tblDaily[WardCode],"FW")),"")</f>
        <v>3</v>
      </c>
      <c r="D59" s="29" t="str">
        <f>IFERROR(IF(SUMIFS(tblDaily[Deaths],tblDaily[EntryDate],DATE(2026,2,14),tblDaily[WardCode],"FW")=0,"",SUMIFS(tblDaily[Deaths],tblDaily[EntryDate],DATE(2026,2,14),tblDaily[WardCode],"FW")),"")</f>
        <v/>
      </c>
      <c r="E59" s="29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29">
        <f>IFERROR(IF(SUMIFS(tblDaily[TransfersIn],tblDaily[EntryDate],DATE(2026,2,14),tblDaily[WardCode],"FW")=0,"",SUMIFS(tblDaily[TransfersIn],tblDaily[EntryDate],DATE(2026,2,14),tblDaily[WardCode],"FW")),"")</f>
        <v>1</v>
      </c>
      <c r="G59" s="29" t="str">
        <f>IFERROR(IF(SUMIFS(tblDaily[TransfersOut],tblDaily[EntryDate],DATE(2026,2,14),tblDaily[WardCode],"FW")=0,"",SUMIFS(tblDaily[TransfersOut],tblDaily[EntryDate],DATE(2026,2,14),tblDaily[WardCode],"FW")),"")</f>
        <v/>
      </c>
      <c r="H59" s="29">
        <f>IFERROR(IF(SUMIFS(tblDaily[Remaining],tblDaily[EntryDate],DATE(2026,2,14),tblDaily[WardCode],"FW")=0,"",SUMIFS(tblDaily[Remaining],tblDaily[EntryDate],DATE(2026,2,14),tblDaily[WardCode],"FW")),"")</f>
        <v>21</v>
      </c>
    </row>
    <row r="60" spans="1:8" x14ac:dyDescent="0.25">
      <c r="A60" s="29">
        <v>15</v>
      </c>
      <c r="B60" s="29">
        <f>IFERROR(IF(SUMIFS(tblDaily[Admissions],tblDaily[EntryDate],DATE(2026,2,15),tblDaily[WardCode],"FW")=0,"",SUMIFS(tblDaily[Admissions],tblDaily[EntryDate],DATE(2026,2,15),tblDaily[WardCode],"FW")),"")</f>
        <v>2</v>
      </c>
      <c r="C60" s="29" t="str">
        <f>IFERROR(IF(SUMIFS(tblDaily[Discharges],tblDaily[EntryDate],DATE(2026,2,15),tblDaily[WardCode],"FW")=0,"",SUMIFS(tblDaily[Discharges],tblDaily[EntryDate],DATE(2026,2,15),tblDaily[WardCode],"FW")),"")</f>
        <v/>
      </c>
      <c r="D60" s="29" t="str">
        <f>IFERROR(IF(SUMIFS(tblDaily[Deaths],tblDaily[EntryDate],DATE(2026,2,15),tblDaily[WardCode],"FW")=0,"",SUMIFS(tblDaily[Deaths],tblDaily[EntryDate],DATE(2026,2,15),tblDaily[WardCode],"FW")),"")</f>
        <v/>
      </c>
      <c r="E60" s="29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29">
        <f>IFERROR(IF(SUMIFS(tblDaily[TransfersIn],tblDaily[EntryDate],DATE(2026,2,15),tblDaily[WardCode],"FW")=0,"",SUMIFS(tblDaily[TransfersIn],tblDaily[EntryDate],DATE(2026,2,15),tblDaily[WardCode],"FW")),"")</f>
        <v>1</v>
      </c>
      <c r="G60" s="29" t="str">
        <f>IFERROR(IF(SUMIFS(tblDaily[TransfersOut],tblDaily[EntryDate],DATE(2026,2,15),tblDaily[WardCode],"FW")=0,"",SUMIFS(tblDaily[TransfersOut],tblDaily[EntryDate],DATE(2026,2,15),tblDaily[WardCode],"FW")),"")</f>
        <v/>
      </c>
      <c r="H60" s="29">
        <f>IFERROR(IF(SUMIFS(tblDaily[Remaining],tblDaily[EntryDate],DATE(2026,2,15),tblDaily[WardCode],"FW")=0,"",SUMIFS(tblDaily[Remaining],tblDaily[EntryDate],DATE(2026,2,15),tblDaily[WardCode],"FW")),"")</f>
        <v>24</v>
      </c>
    </row>
    <row r="61" spans="1:8" x14ac:dyDescent="0.25">
      <c r="A61" s="29">
        <v>16</v>
      </c>
      <c r="B61" s="29">
        <f>IFERROR(IF(SUMIFS(tblDaily[Admissions],tblDaily[EntryDate],DATE(2026,2,16),tblDaily[WardCode],"FW")=0,"",SUMIFS(tblDaily[Admissions],tblDaily[EntryDate],DATE(2026,2,16),tblDaily[WardCode],"FW")),"")</f>
        <v>1</v>
      </c>
      <c r="C61" s="29">
        <f>IFERROR(IF(SUMIFS(tblDaily[Discharges],tblDaily[EntryDate],DATE(2026,2,16),tblDaily[WardCode],"FW")=0,"",SUMIFS(tblDaily[Discharges],tblDaily[EntryDate],DATE(2026,2,16),tblDaily[WardCode],"FW")),"")</f>
        <v>7</v>
      </c>
      <c r="D61" s="29" t="str">
        <f>IFERROR(IF(SUMIFS(tblDaily[Deaths],tblDaily[EntryDate],DATE(2026,2,16),tblDaily[WardCode],"FW")=0,"",SUMIFS(tblDaily[Deaths],tblDaily[EntryDate],DATE(2026,2,16),tblDaily[WardCode],"FW")),"")</f>
        <v/>
      </c>
      <c r="E61" s="29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29">
        <f>IFERROR(IF(SUMIFS(tblDaily[TransfersIn],tblDaily[EntryDate],DATE(2026,2,16),tblDaily[WardCode],"FW")=0,"",SUMIFS(tblDaily[TransfersIn],tblDaily[EntryDate],DATE(2026,2,16),tblDaily[WardCode],"FW")),"")</f>
        <v>2</v>
      </c>
      <c r="G61" s="29" t="str">
        <f>IFERROR(IF(SUMIFS(tblDaily[TransfersOut],tblDaily[EntryDate],DATE(2026,2,16),tblDaily[WardCode],"FW")=0,"",SUMIFS(tblDaily[TransfersOut],tblDaily[EntryDate],DATE(2026,2,16),tblDaily[WardCode],"FW")),"")</f>
        <v/>
      </c>
      <c r="H61" s="29">
        <f>IFERROR(IF(SUMIFS(tblDaily[Remaining],tblDaily[EntryDate],DATE(2026,2,16),tblDaily[WardCode],"FW")=0,"",SUMIFS(tblDaily[Remaining],tblDaily[EntryDate],DATE(2026,2,16),tblDaily[WardCode],"FW")),"")</f>
        <v>20</v>
      </c>
    </row>
    <row r="62" spans="1:8" x14ac:dyDescent="0.25">
      <c r="A62" s="29">
        <v>17</v>
      </c>
      <c r="B62" s="29">
        <f>IFERROR(IF(SUMIFS(tblDaily[Admissions],tblDaily[EntryDate],DATE(2026,2,17),tblDaily[WardCode],"FW")=0,"",SUMIFS(tblDaily[Admissions],tblDaily[EntryDate],DATE(2026,2,17),tblDaily[WardCode],"FW")),"")</f>
        <v>1</v>
      </c>
      <c r="C62" s="29">
        <f>IFERROR(IF(SUMIFS(tblDaily[Discharges],tblDaily[EntryDate],DATE(2026,2,17),tblDaily[WardCode],"FW")=0,"",SUMIFS(tblDaily[Discharges],tblDaily[EntryDate],DATE(2026,2,17),tblDaily[WardCode],"FW")),"")</f>
        <v>2</v>
      </c>
      <c r="D62" s="29" t="str">
        <f>IFERROR(IF(SUMIFS(tblDaily[Deaths],tblDaily[EntryDate],DATE(2026,2,17),tblDaily[WardCode],"FW")=0,"",SUMIFS(tblDaily[Deaths],tblDaily[EntryDate],DATE(2026,2,17),tblDaily[WardCode],"FW")),"")</f>
        <v/>
      </c>
      <c r="E62" s="29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29">
        <f>IFERROR(IF(SUMIFS(tblDaily[TransfersIn],tblDaily[EntryDate],DATE(2026,2,17),tblDaily[WardCode],"FW")=0,"",SUMIFS(tblDaily[TransfersIn],tblDaily[EntryDate],DATE(2026,2,17),tblDaily[WardCode],"FW")),"")</f>
        <v>1</v>
      </c>
      <c r="G62" s="29" t="str">
        <f>IFERROR(IF(SUMIFS(tblDaily[TransfersOut],tblDaily[EntryDate],DATE(2026,2,17),tblDaily[WardCode],"FW")=0,"",SUMIFS(tblDaily[TransfersOut],tblDaily[EntryDate],DATE(2026,2,17),tblDaily[WardCode],"FW")),"")</f>
        <v/>
      </c>
      <c r="H62" s="29">
        <f>IFERROR(IF(SUMIFS(tblDaily[Remaining],tblDaily[EntryDate],DATE(2026,2,17),tblDaily[WardCode],"FW")=0,"",SUMIFS(tblDaily[Remaining],tblDaily[EntryDate],DATE(2026,2,17),tblDaily[WardCode],"FW")),"")</f>
        <v>20</v>
      </c>
    </row>
    <row r="63" spans="1:8" x14ac:dyDescent="0.25">
      <c r="A63" s="29">
        <v>18</v>
      </c>
      <c r="B63" s="29">
        <f>IFERROR(IF(SUMIFS(tblDaily[Admissions],tblDaily[EntryDate],DATE(2026,2,18),tblDaily[WardCode],"FW")=0,"",SUMIFS(tblDaily[Admissions],tblDaily[EntryDate],DATE(2026,2,18),tblDaily[WardCode],"FW")),"")</f>
        <v>1</v>
      </c>
      <c r="C63" s="29">
        <f>IFERROR(IF(SUMIFS(tblDaily[Discharges],tblDaily[EntryDate],DATE(2026,2,18),tblDaily[WardCode],"FW")=0,"",SUMIFS(tblDaily[Discharges],tblDaily[EntryDate],DATE(2026,2,18),tblDaily[WardCode],"FW")),"")</f>
        <v>5</v>
      </c>
      <c r="D63" s="29" t="str">
        <f>IFERROR(IF(SUMIFS(tblDaily[Deaths],tblDaily[EntryDate],DATE(2026,2,18),tblDaily[WardCode],"FW")=0,"",SUMIFS(tblDaily[Deaths],tblDaily[EntryDate],DATE(2026,2,18),tblDaily[WardCode],"FW")),"")</f>
        <v/>
      </c>
      <c r="E63" s="29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29">
        <f>IFERROR(IF(SUMIFS(tblDaily[TransfersIn],tblDaily[EntryDate],DATE(2026,2,18),tblDaily[WardCode],"FW")=0,"",SUMIFS(tblDaily[TransfersIn],tblDaily[EntryDate],DATE(2026,2,18),tblDaily[WardCode],"FW")),"")</f>
        <v>1</v>
      </c>
      <c r="G63" s="29" t="str">
        <f>IFERROR(IF(SUMIFS(tblDaily[TransfersOut],tblDaily[EntryDate],DATE(2026,2,18),tblDaily[WardCode],"FW")=0,"",SUMIFS(tblDaily[TransfersOut],tblDaily[EntryDate],DATE(2026,2,18),tblDaily[WardCode],"FW")),"")</f>
        <v/>
      </c>
      <c r="H63" s="29">
        <f>IFERROR(IF(SUMIFS(tblDaily[Remaining],tblDaily[EntryDate],DATE(2026,2,18),tblDaily[WardCode],"FW")=0,"",SUMIFS(tblDaily[Remaining],tblDaily[EntryDate],DATE(2026,2,18),tblDaily[WardCode],"FW")),"")</f>
        <v>17</v>
      </c>
    </row>
    <row r="64" spans="1:8" x14ac:dyDescent="0.25">
      <c r="A64" s="29">
        <v>19</v>
      </c>
      <c r="B64" s="29">
        <f>IFERROR(IF(SUMIFS(tblDaily[Admissions],tblDaily[EntryDate],DATE(2026,2,19),tblDaily[WardCode],"FW")=0,"",SUMIFS(tblDaily[Admissions],tblDaily[EntryDate],DATE(2026,2,19),tblDaily[WardCode],"FW")),"")</f>
        <v>4</v>
      </c>
      <c r="C64" s="29">
        <f>IFERROR(IF(SUMIFS(tblDaily[Discharges],tblDaily[EntryDate],DATE(2026,2,19),tblDaily[WardCode],"FW")=0,"",SUMIFS(tblDaily[Discharges],tblDaily[EntryDate],DATE(2026,2,19),tblDaily[WardCode],"FW")),"")</f>
        <v>4</v>
      </c>
      <c r="D64" s="29" t="str">
        <f>IFERROR(IF(SUMIFS(tblDaily[Deaths],tblDaily[EntryDate],DATE(2026,2,19),tblDaily[WardCode],"FW")=0,"",SUMIFS(tblDaily[Deaths],tblDaily[EntryDate],DATE(2026,2,19),tblDaily[WardCode],"FW")),"")</f>
        <v/>
      </c>
      <c r="E64" s="29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29" t="str">
        <f>IFERROR(IF(SUMIFS(tblDaily[TransfersIn],tblDaily[EntryDate],DATE(2026,2,19),tblDaily[WardCode],"FW")=0,"",SUMIFS(tblDaily[TransfersIn],tblDaily[EntryDate],DATE(2026,2,19),tblDaily[WardCode],"FW")),"")</f>
        <v/>
      </c>
      <c r="G64" s="29" t="str">
        <f>IFERROR(IF(SUMIFS(tblDaily[TransfersOut],tblDaily[EntryDate],DATE(2026,2,19),tblDaily[WardCode],"FW")=0,"",SUMIFS(tblDaily[TransfersOut],tblDaily[EntryDate],DATE(2026,2,19),tblDaily[WardCode],"FW")),"")</f>
        <v/>
      </c>
      <c r="H64" s="29">
        <f>IFERROR(IF(SUMIFS(tblDaily[Remaining],tblDaily[EntryDate],DATE(2026,2,19),tblDaily[WardCode],"FW")=0,"",SUMIFS(tblDaily[Remaining],tblDaily[EntryDate],DATE(2026,2,19),tblDaily[WardCode],"FW")),"")</f>
        <v>17</v>
      </c>
    </row>
    <row r="65" spans="1:8" x14ac:dyDescent="0.25">
      <c r="A65" s="29">
        <v>20</v>
      </c>
      <c r="B65" s="29">
        <f>IFERROR(IF(SUMIFS(tblDaily[Admissions],tblDaily[EntryDate],DATE(2026,2,20),tblDaily[WardCode],"FW")=0,"",SUMIFS(tblDaily[Admissions],tblDaily[EntryDate],DATE(2026,2,20),tblDaily[WardCode],"FW")),"")</f>
        <v>2</v>
      </c>
      <c r="C65" s="29">
        <f>IFERROR(IF(SUMIFS(tblDaily[Discharges],tblDaily[EntryDate],DATE(2026,2,20),tblDaily[WardCode],"FW")=0,"",SUMIFS(tblDaily[Discharges],tblDaily[EntryDate],DATE(2026,2,20),tblDaily[WardCode],"FW")),"")</f>
        <v>1</v>
      </c>
      <c r="D65" s="29" t="str">
        <f>IFERROR(IF(SUMIFS(tblDaily[Deaths],tblDaily[EntryDate],DATE(2026,2,20),tblDaily[WardCode],"FW")=0,"",SUMIFS(tblDaily[Deaths],tblDaily[EntryDate],DATE(2026,2,20),tblDaily[WardCode],"FW")),"")</f>
        <v/>
      </c>
      <c r="E65" s="29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29">
        <f>IFERROR(IF(SUMIFS(tblDaily[TransfersIn],tblDaily[EntryDate],DATE(2026,2,20),tblDaily[WardCode],"FW")=0,"",SUMIFS(tblDaily[TransfersIn],tblDaily[EntryDate],DATE(2026,2,20),tblDaily[WardCode],"FW")),"")</f>
        <v>1</v>
      </c>
      <c r="G65" s="29" t="str">
        <f>IFERROR(IF(SUMIFS(tblDaily[TransfersOut],tblDaily[EntryDate],DATE(2026,2,20),tblDaily[WardCode],"FW")=0,"",SUMIFS(tblDaily[TransfersOut],tblDaily[EntryDate],DATE(2026,2,20),tblDaily[WardCode],"FW")),"")</f>
        <v/>
      </c>
      <c r="H65" s="29">
        <f>IFERROR(IF(SUMIFS(tblDaily[Remaining],tblDaily[EntryDate],DATE(2026,2,20),tblDaily[WardCode],"FW")=0,"",SUMIFS(tblDaily[Remaining],tblDaily[EntryDate],DATE(2026,2,20),tblDaily[WardCode],"FW")),"")</f>
        <v>19</v>
      </c>
    </row>
    <row r="66" spans="1:8" x14ac:dyDescent="0.25">
      <c r="A66" s="29">
        <v>21</v>
      </c>
      <c r="B66" s="29">
        <f>IFERROR(IF(SUMIFS(tblDaily[Admissions],tblDaily[EntryDate],DATE(2026,2,21),tblDaily[WardCode],"FW")=0,"",SUMIFS(tblDaily[Admissions],tblDaily[EntryDate],DATE(2026,2,21),tblDaily[WardCode],"FW")),"")</f>
        <v>1</v>
      </c>
      <c r="C66" s="29">
        <f>IFERROR(IF(SUMIFS(tblDaily[Discharges],tblDaily[EntryDate],DATE(2026,2,21),tblDaily[WardCode],"FW")=0,"",SUMIFS(tblDaily[Discharges],tblDaily[EntryDate],DATE(2026,2,21),tblDaily[WardCode],"FW")),"")</f>
        <v>4</v>
      </c>
      <c r="D66" s="29">
        <f>IFERROR(IF(SUMIFS(tblDaily[Deaths],tblDaily[EntryDate],DATE(2026,2,21),tblDaily[WardCode],"FW")=0,"",SUMIFS(tblDaily[Deaths],tblDaily[EntryDate],DATE(2026,2,21),tblDaily[WardCode],"FW")),"")</f>
        <v>1</v>
      </c>
      <c r="E66" s="29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29">
        <f>IFERROR(IF(SUMIFS(tblDaily[TransfersIn],tblDaily[EntryDate],DATE(2026,2,21),tblDaily[WardCode],"FW")=0,"",SUMIFS(tblDaily[TransfersIn],tblDaily[EntryDate],DATE(2026,2,21),tblDaily[WardCode],"FW")),"")</f>
        <v>1</v>
      </c>
      <c r="G66" s="29" t="str">
        <f>IFERROR(IF(SUMIFS(tblDaily[TransfersOut],tblDaily[EntryDate],DATE(2026,2,21),tblDaily[WardCode],"FW")=0,"",SUMIFS(tblDaily[TransfersOut],tblDaily[EntryDate],DATE(2026,2,21),tblDaily[WardCode],"FW")),"")</f>
        <v/>
      </c>
      <c r="H66" s="29">
        <f>IFERROR(IF(SUMIFS(tblDaily[Remaining],tblDaily[EntryDate],DATE(2026,2,21),tblDaily[WardCode],"FW")=0,"",SUMIFS(tblDaily[Remaining],tblDaily[EntryDate],DATE(2026,2,21),tblDaily[WardCode],"FW")),"")</f>
        <v>16</v>
      </c>
    </row>
    <row r="67" spans="1:8" x14ac:dyDescent="0.25">
      <c r="A67" s="29">
        <v>22</v>
      </c>
      <c r="B67" s="29">
        <f>IFERROR(IF(SUMIFS(tblDaily[Admissions],tblDaily[EntryDate],DATE(2026,2,22),tblDaily[WardCode],"FW")=0,"",SUMIFS(tblDaily[Admissions],tblDaily[EntryDate],DATE(2026,2,22),tblDaily[WardCode],"FW")),"")</f>
        <v>1</v>
      </c>
      <c r="C67" s="29">
        <f>IFERROR(IF(SUMIFS(tblDaily[Discharges],tblDaily[EntryDate],DATE(2026,2,22),tblDaily[WardCode],"FW")=0,"",SUMIFS(tblDaily[Discharges],tblDaily[EntryDate],DATE(2026,2,22),tblDaily[WardCode],"FW")),"")</f>
        <v>2</v>
      </c>
      <c r="D67" s="29" t="str">
        <f>IFERROR(IF(SUMIFS(tblDaily[Deaths],tblDaily[EntryDate],DATE(2026,2,22),tblDaily[WardCode],"FW")=0,"",SUMIFS(tblDaily[Deaths],tblDaily[EntryDate],DATE(2026,2,22),tblDaily[WardCode],"FW")),"")</f>
        <v/>
      </c>
      <c r="E67" s="29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29" t="str">
        <f>IFERROR(IF(SUMIFS(tblDaily[TransfersIn],tblDaily[EntryDate],DATE(2026,2,22),tblDaily[WardCode],"FW")=0,"",SUMIFS(tblDaily[TransfersIn],tblDaily[EntryDate],DATE(2026,2,22),tblDaily[WardCode],"FW")),"")</f>
        <v/>
      </c>
      <c r="G67" s="29" t="str">
        <f>IFERROR(IF(SUMIFS(tblDaily[TransfersOut],tblDaily[EntryDate],DATE(2026,2,22),tblDaily[WardCode],"FW")=0,"",SUMIFS(tblDaily[TransfersOut],tblDaily[EntryDate],DATE(2026,2,22),tblDaily[WardCode],"FW")),"")</f>
        <v/>
      </c>
      <c r="H67" s="29">
        <f>IFERROR(IF(SUMIFS(tblDaily[Remaining],tblDaily[EntryDate],DATE(2026,2,22),tblDaily[WardCode],"FW")=0,"",SUMIFS(tblDaily[Remaining],tblDaily[EntryDate],DATE(2026,2,22),tblDaily[WardCode],"FW")),"")</f>
        <v>15</v>
      </c>
    </row>
    <row r="68" spans="1:8" x14ac:dyDescent="0.25">
      <c r="A68" s="29">
        <v>23</v>
      </c>
      <c r="B68" s="29">
        <f>IFERROR(IF(SUMIFS(tblDaily[Admissions],tblDaily[EntryDate],DATE(2026,2,23),tblDaily[WardCode],"FW")=0,"",SUMIFS(tblDaily[Admissions],tblDaily[EntryDate],DATE(2026,2,23),tblDaily[WardCode],"FW")),"")</f>
        <v>2</v>
      </c>
      <c r="C68" s="29">
        <f>IFERROR(IF(SUMIFS(tblDaily[Discharges],tblDaily[EntryDate],DATE(2026,2,23),tblDaily[WardCode],"FW")=0,"",SUMIFS(tblDaily[Discharges],tblDaily[EntryDate],DATE(2026,2,23),tblDaily[WardCode],"FW")),"")</f>
        <v>3</v>
      </c>
      <c r="D68" s="29">
        <f>IFERROR(IF(SUMIFS(tblDaily[Deaths],tblDaily[EntryDate],DATE(2026,2,23),tblDaily[WardCode],"FW")=0,"",SUMIFS(tblDaily[Deaths],tblDaily[EntryDate],DATE(2026,2,23),tblDaily[WardCode],"FW")),"")</f>
        <v>1</v>
      </c>
      <c r="E68" s="29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29">
        <f>IFERROR(IF(SUMIFS(tblDaily[TransfersIn],tblDaily[EntryDate],DATE(2026,2,23),tblDaily[WardCode],"FW")=0,"",SUMIFS(tblDaily[TransfersIn],tblDaily[EntryDate],DATE(2026,2,23),tblDaily[WardCode],"FW")),"")</f>
        <v>3</v>
      </c>
      <c r="G68" s="29" t="str">
        <f>IFERROR(IF(SUMIFS(tblDaily[TransfersOut],tblDaily[EntryDate],DATE(2026,2,23),tblDaily[WardCode],"FW")=0,"",SUMIFS(tblDaily[TransfersOut],tblDaily[EntryDate],DATE(2026,2,23),tblDaily[WardCode],"FW")),"")</f>
        <v/>
      </c>
      <c r="H68" s="29">
        <f>IFERROR(IF(SUMIFS(tblDaily[Remaining],tblDaily[EntryDate],DATE(2026,2,23),tblDaily[WardCode],"FW")=0,"",SUMIFS(tblDaily[Remaining],tblDaily[EntryDate],DATE(2026,2,23),tblDaily[WardCode],"FW")),"")</f>
        <v>16</v>
      </c>
    </row>
    <row r="69" spans="1:8" x14ac:dyDescent="0.25">
      <c r="A69" s="29">
        <v>24</v>
      </c>
      <c r="B69" s="29">
        <f>IFERROR(IF(SUMIFS(tblDaily[Admissions],tblDaily[EntryDate],DATE(2026,2,24),tblDaily[WardCode],"FW")=0,"",SUMIFS(tblDaily[Admissions],tblDaily[EntryDate],DATE(2026,2,24),tblDaily[WardCode],"FW")),"")</f>
        <v>1</v>
      </c>
      <c r="C69" s="29">
        <f>IFERROR(IF(SUMIFS(tblDaily[Discharges],tblDaily[EntryDate],DATE(2026,2,24),tblDaily[WardCode],"FW")=0,"",SUMIFS(tblDaily[Discharges],tblDaily[EntryDate],DATE(2026,2,24),tblDaily[WardCode],"FW")),"")</f>
        <v>1</v>
      </c>
      <c r="D69" s="29" t="str">
        <f>IFERROR(IF(SUMIFS(tblDaily[Deaths],tblDaily[EntryDate],DATE(2026,2,24),tblDaily[WardCode],"FW")=0,"",SUMIFS(tblDaily[Deaths],tblDaily[EntryDate],DATE(2026,2,24),tblDaily[WardCode],"FW")),"")</f>
        <v/>
      </c>
      <c r="E69" s="29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29">
        <f>IFERROR(IF(SUMIFS(tblDaily[TransfersIn],tblDaily[EntryDate],DATE(2026,2,24),tblDaily[WardCode],"FW")=0,"",SUMIFS(tblDaily[TransfersIn],tblDaily[EntryDate],DATE(2026,2,24),tblDaily[WardCode],"FW")),"")</f>
        <v>3</v>
      </c>
      <c r="G69" s="29" t="str">
        <f>IFERROR(IF(SUMIFS(tblDaily[TransfersOut],tblDaily[EntryDate],DATE(2026,2,24),tblDaily[WardCode],"FW")=0,"",SUMIFS(tblDaily[TransfersOut],tblDaily[EntryDate],DATE(2026,2,24),tblDaily[WardCode],"FW")),"")</f>
        <v/>
      </c>
      <c r="H69" s="29">
        <f>IFERROR(IF(SUMIFS(tblDaily[Remaining],tblDaily[EntryDate],DATE(2026,2,24),tblDaily[WardCode],"FW")=0,"",SUMIFS(tblDaily[Remaining],tblDaily[EntryDate],DATE(2026,2,24),tblDaily[WardCode],"FW")),"")</f>
        <v>19</v>
      </c>
    </row>
    <row r="70" spans="1:8" x14ac:dyDescent="0.25">
      <c r="A70" s="29">
        <v>25</v>
      </c>
      <c r="B70" s="29">
        <f>IFERROR(IF(SUMIFS(tblDaily[Admissions],tblDaily[EntryDate],DATE(2026,2,25),tblDaily[WardCode],"FW")=0,"",SUMIFS(tblDaily[Admissions],tblDaily[EntryDate],DATE(2026,2,25),tblDaily[WardCode],"FW")),"")</f>
        <v>1</v>
      </c>
      <c r="C70" s="29">
        <f>IFERROR(IF(SUMIFS(tblDaily[Discharges],tblDaily[EntryDate],DATE(2026,2,25),tblDaily[WardCode],"FW")=0,"",SUMIFS(tblDaily[Discharges],tblDaily[EntryDate],DATE(2026,2,25),tblDaily[WardCode],"FW")),"")</f>
        <v>4</v>
      </c>
      <c r="D70" s="29" t="str">
        <f>IFERROR(IF(SUMIFS(tblDaily[Deaths],tblDaily[EntryDate],DATE(2026,2,25),tblDaily[WardCode],"FW")=0,"",SUMIFS(tblDaily[Deaths],tblDaily[EntryDate],DATE(2026,2,25),tblDaily[WardCode],"FW")),"")</f>
        <v/>
      </c>
      <c r="E70" s="29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29">
        <f>IFERROR(IF(SUMIFS(tblDaily[TransfersIn],tblDaily[EntryDate],DATE(2026,2,25),tblDaily[WardCode],"FW")=0,"",SUMIFS(tblDaily[TransfersIn],tblDaily[EntryDate],DATE(2026,2,25),tblDaily[WardCode],"FW")),"")</f>
        <v>1</v>
      </c>
      <c r="G70" s="29" t="str">
        <f>IFERROR(IF(SUMIFS(tblDaily[TransfersOut],tblDaily[EntryDate],DATE(2026,2,25),tblDaily[WardCode],"FW")=0,"",SUMIFS(tblDaily[TransfersOut],tblDaily[EntryDate],DATE(2026,2,25),tblDaily[WardCode],"FW")),"")</f>
        <v/>
      </c>
      <c r="H70" s="29">
        <f>IFERROR(IF(SUMIFS(tblDaily[Remaining],tblDaily[EntryDate],DATE(2026,2,25),tblDaily[WardCode],"FW")=0,"",SUMIFS(tblDaily[Remaining],tblDaily[EntryDate],DATE(2026,2,25),tblDaily[WardCode],"FW")),"")</f>
        <v>17</v>
      </c>
    </row>
    <row r="71" spans="1:8" x14ac:dyDescent="0.25">
      <c r="A71" s="29">
        <v>26</v>
      </c>
      <c r="B71" s="29">
        <f>IFERROR(IF(SUMIFS(tblDaily[Admissions],tblDaily[EntryDate],DATE(2026,2,26),tblDaily[WardCode],"FW")=0,"",SUMIFS(tblDaily[Admissions],tblDaily[EntryDate],DATE(2026,2,26),tblDaily[WardCode],"FW")),"")</f>
        <v>3</v>
      </c>
      <c r="C71" s="29">
        <f>IFERROR(IF(SUMIFS(tblDaily[Discharges],tblDaily[EntryDate],DATE(2026,2,26),tblDaily[WardCode],"FW")=0,"",SUMIFS(tblDaily[Discharges],tblDaily[EntryDate],DATE(2026,2,26),tblDaily[WardCode],"FW")),"")</f>
        <v>4</v>
      </c>
      <c r="D71" s="29">
        <f>IFERROR(IF(SUMIFS(tblDaily[Deaths],tblDaily[EntryDate],DATE(2026,2,26),tblDaily[WardCode],"FW")=0,"",SUMIFS(tblDaily[Deaths],tblDaily[EntryDate],DATE(2026,2,26),tblDaily[WardCode],"FW")),"")</f>
        <v>1</v>
      </c>
      <c r="E71" s="29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29">
        <f>IFERROR(IF(SUMIFS(tblDaily[TransfersIn],tblDaily[EntryDate],DATE(2026,2,26),tblDaily[WardCode],"FW")=0,"",SUMIFS(tblDaily[TransfersIn],tblDaily[EntryDate],DATE(2026,2,26),tblDaily[WardCode],"FW")),"")</f>
        <v>2</v>
      </c>
      <c r="G71" s="29" t="str">
        <f>IFERROR(IF(SUMIFS(tblDaily[TransfersOut],tblDaily[EntryDate],DATE(2026,2,26),tblDaily[WardCode],"FW")=0,"",SUMIFS(tblDaily[TransfersOut],tblDaily[EntryDate],DATE(2026,2,26),tblDaily[WardCode],"FW")),"")</f>
        <v/>
      </c>
      <c r="H71" s="29">
        <f>IFERROR(IF(SUMIFS(tblDaily[Remaining],tblDaily[EntryDate],DATE(2026,2,26),tblDaily[WardCode],"FW")=0,"",SUMIFS(tblDaily[Remaining],tblDaily[EntryDate],DATE(2026,2,26),tblDaily[WardCode],"FW")),"")</f>
        <v>17</v>
      </c>
    </row>
    <row r="72" spans="1:8" x14ac:dyDescent="0.25">
      <c r="A72" s="29">
        <v>27</v>
      </c>
      <c r="B72" s="29">
        <f>IFERROR(IF(SUMIFS(tblDaily[Admissions],tblDaily[EntryDate],DATE(2026,2,27),tblDaily[WardCode],"FW")=0,"",SUMIFS(tblDaily[Admissions],tblDaily[EntryDate],DATE(2026,2,27),tblDaily[WardCode],"FW")),"")</f>
        <v>2</v>
      </c>
      <c r="C72" s="29">
        <f>IFERROR(IF(SUMIFS(tblDaily[Discharges],tblDaily[EntryDate],DATE(2026,2,27),tblDaily[WardCode],"FW")=0,"",SUMIFS(tblDaily[Discharges],tblDaily[EntryDate],DATE(2026,2,27),tblDaily[WardCode],"FW")),"")</f>
        <v>3</v>
      </c>
      <c r="D72" s="29">
        <f>IFERROR(IF(SUMIFS(tblDaily[Deaths],tblDaily[EntryDate],DATE(2026,2,27),tblDaily[WardCode],"FW")=0,"",SUMIFS(tblDaily[Deaths],tblDaily[EntryDate],DATE(2026,2,27),tblDaily[WardCode],"FW")),"")</f>
        <v>1</v>
      </c>
      <c r="E72" s="29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29" t="str">
        <f>IFERROR(IF(SUMIFS(tblDaily[TransfersIn],tblDaily[EntryDate],DATE(2026,2,27),tblDaily[WardCode],"FW")=0,"",SUMIFS(tblDaily[TransfersIn],tblDaily[EntryDate],DATE(2026,2,27),tblDaily[WardCode],"FW")),"")</f>
        <v/>
      </c>
      <c r="G72" s="29" t="str">
        <f>IFERROR(IF(SUMIFS(tblDaily[TransfersOut],tblDaily[EntryDate],DATE(2026,2,27),tblDaily[WardCode],"FW")=0,"",SUMIFS(tblDaily[TransfersOut],tblDaily[EntryDate],DATE(2026,2,27),tblDaily[WardCode],"FW")),"")</f>
        <v/>
      </c>
      <c r="H72" s="29">
        <f>IFERROR(IF(SUMIFS(tblDaily[Remaining],tblDaily[EntryDate],DATE(2026,2,27),tblDaily[WardCode],"FW")=0,"",SUMIFS(tblDaily[Remaining],tblDaily[EntryDate],DATE(2026,2,27),tblDaily[WardCode],"FW")),"")</f>
        <v>15</v>
      </c>
    </row>
    <row r="73" spans="1:8" x14ac:dyDescent="0.25">
      <c r="A73" s="29">
        <v>28</v>
      </c>
      <c r="B73" s="29">
        <f>IFERROR(IF(SUMIFS(tblDaily[Admissions],tblDaily[EntryDate],DATE(2026,2,28),tblDaily[WardCode],"FW")=0,"",SUMIFS(tblDaily[Admissions],tblDaily[EntryDate],DATE(2026,2,28),tblDaily[WardCode],"FW")),"")</f>
        <v>2</v>
      </c>
      <c r="C73" s="29">
        <f>IFERROR(IF(SUMIFS(tblDaily[Discharges],tblDaily[EntryDate],DATE(2026,2,28),tblDaily[WardCode],"FW")=0,"",SUMIFS(tblDaily[Discharges],tblDaily[EntryDate],DATE(2026,2,28),tblDaily[WardCode],"FW")),"")</f>
        <v>4</v>
      </c>
      <c r="D73" s="29" t="str">
        <f>IFERROR(IF(SUMIFS(tblDaily[Deaths],tblDaily[EntryDate],DATE(2026,2,28),tblDaily[WardCode],"FW")=0,"",SUMIFS(tblDaily[Deaths],tblDaily[EntryDate],DATE(2026,2,28),tblDaily[WardCode],"FW")),"")</f>
        <v/>
      </c>
      <c r="E73" s="29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29">
        <f>IFERROR(IF(SUMIFS(tblDaily[TransfersIn],tblDaily[EntryDate],DATE(2026,2,28),tblDaily[WardCode],"FW")=0,"",SUMIFS(tblDaily[TransfersIn],tblDaily[EntryDate],DATE(2026,2,28),tblDaily[WardCode],"FW")),"")</f>
        <v>1</v>
      </c>
      <c r="G73" s="29" t="str">
        <f>IFERROR(IF(SUMIFS(tblDaily[TransfersOut],tblDaily[EntryDate],DATE(2026,2,28),tblDaily[WardCode],"FW")=0,"",SUMIFS(tblDaily[TransfersOut],tblDaily[EntryDate],DATE(2026,2,28),tblDaily[WardCode],"FW")),"")</f>
        <v/>
      </c>
      <c r="H73" s="29">
        <f>IFERROR(IF(SUMIFS(tblDaily[Remaining],tblDaily[EntryDate],DATE(2026,2,28),tblDaily[WardCode],"FW")=0,"",SUMIFS(tblDaily[Remaining],tblDaily[EntryDate],DATE(2026,2,28),tblDaily[WardCode],"FW")),"")</f>
        <v>14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SUMIFS(tblDaily[Admissions],tblDaily[Month],2,tblDaily[WardCode],"FW") - SUMIFS(tblDaily[DeathsUnder24Hrs],tblDaily[Month],2,tblDaily[WardCode],"FW")</f>
        <v>53</v>
      </c>
      <c r="C77" s="30">
        <f>SUMIFS(tblDaily[Discharges],tblDaily[Month],2,tblDaily[WardCode],"FW")</f>
        <v>75</v>
      </c>
      <c r="D77" s="30">
        <f>SUMIFS(tblDaily[Deaths],tblDaily[Month],2,tblDaily[WardCode],"FW")</f>
        <v>7</v>
      </c>
      <c r="E77" s="30">
        <f>SUMIFS(tblDaily[DeathsUnder24Hrs],tblDaily[Month],2,tblDaily[WardCode],"FW")</f>
        <v>0</v>
      </c>
      <c r="F77" s="30">
        <f>SUMIFS(tblDaily[TransfersIn],tblDaily[Month],2,tblDaily[WardCode],"FW")</f>
        <v>31</v>
      </c>
      <c r="G77" s="30">
        <f>SUMIFS(tblDaily[TransfersOut],tblDaily[Month],2,tblDaily[WardCode],"FW")</f>
        <v>0</v>
      </c>
      <c r="H77" s="30">
        <f>SUMIFS(tblDaily[Remaining],tblDaily[Month],2,tblDaily[WardCode],"FW")</f>
        <v>507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116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IFERROR(SUMIFS(tblDaily[Remaining],tblDaily[EntryDate],DATE(2026,2,28),tblDaily[WardCode],"FW"),0)</f>
        <v>14</v>
      </c>
    </row>
    <row r="83" spans="1:8" x14ac:dyDescent="0.25">
      <c r="A83" s="24" t="s">
        <v>109</v>
      </c>
      <c r="H83" s="27">
        <f>IFERROR(INDEX(tblWardConfig[BedComplement],MATCH("FW",tblWardConfig[WardCode],0)),0)</f>
        <v>28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>
        <f>IFERROR(IF(SUMIFS(tblDaily[Admissions],tblDaily[EntryDate],DATE(2026,3,1),tblDaily[WardCode],"FW")=0,"",SUMIFS(tblDaily[Admissions],tblDaily[EntryDate],DATE(2026,3,1),tblDaily[WardCode],"FW")),"")</f>
        <v>2</v>
      </c>
      <c r="C85" s="29" t="str">
        <f>IFERROR(IF(SUMIFS(tblDaily[Discharges],tblDaily[EntryDate],DATE(2026,3,1),tblDaily[WardCode],"FW")=0,"",SUMIFS(tblDaily[Discharges],tblDaily[EntryDate],DATE(2026,3,1),tblDaily[WardCode],"FW")),"")</f>
        <v/>
      </c>
      <c r="D85" s="29" t="str">
        <f>IFERROR(IF(SUMIFS(tblDaily[Deaths],tblDaily[EntryDate],DATE(2026,3,1),tblDaily[WardCode],"FW")=0,"",SUMIFS(tblDaily[Deaths],tblDaily[EntryDate],DATE(2026,3,1),tblDaily[WardCode],"FW")),"")</f>
        <v/>
      </c>
      <c r="E85" s="29" t="str">
        <f>IFERROR(IF(SUMIFS(tblDaily[DeathsUnder24Hrs],tblDaily[EntryDate],DATE(2026,3,1),tblDaily[WardCode],"FW")=0,"",SUMIFS(tblDaily[DeathsUnder24Hrs],tblDaily[EntryDate],DATE(2026,3,1),tblDaily[WardCode],"FW")),"")</f>
        <v/>
      </c>
      <c r="F85" s="29" t="str">
        <f>IFERROR(IF(SUMIFS(tblDaily[TransfersIn],tblDaily[EntryDate],DATE(2026,3,1),tblDaily[WardCode],"FW")=0,"",SUMIFS(tblDaily[TransfersIn],tblDaily[EntryDate],DATE(2026,3,1),tblDaily[WardCode],"FW")),"")</f>
        <v/>
      </c>
      <c r="G85" s="29" t="str">
        <f>IFERROR(IF(SUMIFS(tblDaily[TransfersOut],tblDaily[EntryDate],DATE(2026,3,1),tblDaily[WardCode],"FW")=0,"",SUMIFS(tblDaily[TransfersOut],tblDaily[EntryDate],DATE(2026,3,1),tblDaily[WardCode],"FW")),"")</f>
        <v/>
      </c>
      <c r="H85" s="29">
        <f>IFERROR(IF(SUMIFS(tblDaily[Remaining],tblDaily[EntryDate],DATE(2026,3,1),tblDaily[WardCode],"FW")=0,"",SUMIFS(tblDaily[Remaining],tblDaily[EntryDate],DATE(2026,3,1),tblDaily[WardCode],"FW")),"")</f>
        <v>16</v>
      </c>
    </row>
    <row r="86" spans="1:8" x14ac:dyDescent="0.25">
      <c r="A86" s="29">
        <v>2</v>
      </c>
      <c r="B86" s="29" t="str">
        <f>IFERROR(IF(SUMIFS(tblDaily[Admissions],tblDaily[EntryDate],DATE(2026,3,2),tblDaily[WardCode],"FW")=0,"",SUMIFS(tblDaily[Admissions],tblDaily[EntryDate],DATE(2026,3,2),tblDaily[WardCode],"FW")),"")</f>
        <v/>
      </c>
      <c r="C86" s="29">
        <f>IFERROR(IF(SUMIFS(tblDaily[Discharges],tblDaily[EntryDate],DATE(2026,3,2),tblDaily[WardCode],"FW")=0,"",SUMIFS(tblDaily[Discharges],tblDaily[EntryDate],DATE(2026,3,2),tblDaily[WardCode],"FW")),"")</f>
        <v>6</v>
      </c>
      <c r="D86" s="29" t="str">
        <f>IFERROR(IF(SUMIFS(tblDaily[Deaths],tblDaily[EntryDate],DATE(2026,3,2),tblDaily[WardCode],"FW")=0,"",SUMIFS(tblDaily[Deaths],tblDaily[EntryDate],DATE(2026,3,2),tblDaily[WardCode],"FW")),"")</f>
        <v/>
      </c>
      <c r="E86" s="29" t="str">
        <f>IFERROR(IF(SUMIFS(tblDaily[DeathsUnder24Hrs],tblDaily[EntryDate],DATE(2026,3,2),tblDaily[WardCode],"FW")=0,"",SUMIFS(tblDaily[DeathsUnder24Hrs],tblDaily[EntryDate],DATE(2026,3,2),tblDaily[WardCode],"FW")),"")</f>
        <v/>
      </c>
      <c r="F86" s="29">
        <f>IFERROR(IF(SUMIFS(tblDaily[TransfersIn],tblDaily[EntryDate],DATE(2026,3,2),tblDaily[WardCode],"FW")=0,"",SUMIFS(tblDaily[TransfersIn],tblDaily[EntryDate],DATE(2026,3,2),tblDaily[WardCode],"FW")),"")</f>
        <v>1</v>
      </c>
      <c r="G86" s="29" t="str">
        <f>IFERROR(IF(SUMIFS(tblDaily[TransfersOut],tblDaily[EntryDate],DATE(2026,3,2),tblDaily[WardCode],"FW")=0,"",SUMIFS(tblDaily[TransfersOut],tblDaily[EntryDate],DATE(2026,3,2),tblDaily[WardCode],"FW")),"")</f>
        <v/>
      </c>
      <c r="H86" s="29">
        <f>IFERROR(IF(SUMIFS(tblDaily[Remaining],tblDaily[EntryDate],DATE(2026,3,2),tblDaily[WardCode],"FW")=0,"",SUMIFS(tblDaily[Remaining],tblDaily[EntryDate],DATE(2026,3,2),tblDaily[WardCode],"FW")),"")</f>
        <v>11</v>
      </c>
    </row>
    <row r="87" spans="1:8" x14ac:dyDescent="0.25">
      <c r="A87" s="29">
        <v>3</v>
      </c>
      <c r="B87" s="29">
        <f>IFERROR(IF(SUMIFS(tblDaily[Admissions],tblDaily[EntryDate],DATE(2026,3,3),tblDaily[WardCode],"FW")=0,"",SUMIFS(tblDaily[Admissions],tblDaily[EntryDate],DATE(2026,3,3),tblDaily[WardCode],"FW")),"")</f>
        <v>2</v>
      </c>
      <c r="C87" s="29">
        <f>IFERROR(IF(SUMIFS(tblDaily[Discharges],tblDaily[EntryDate],DATE(2026,3,3),tblDaily[WardCode],"FW")=0,"",SUMIFS(tblDaily[Discharges],tblDaily[EntryDate],DATE(2026,3,3),tblDaily[WardCode],"FW")),"")</f>
        <v>2</v>
      </c>
      <c r="D87" s="29" t="str">
        <f>IFERROR(IF(SUMIFS(tblDaily[Deaths],tblDaily[EntryDate],DATE(2026,3,3),tblDaily[WardCode],"FW")=0,"",SUMIFS(tblDaily[Deaths],tblDaily[EntryDate],DATE(2026,3,3),tblDaily[WardCode],"FW")),"")</f>
        <v/>
      </c>
      <c r="E87" s="29" t="str">
        <f>IFERROR(IF(SUMIFS(tblDaily[DeathsUnder24Hrs],tblDaily[EntryDate],DATE(2026,3,3),tblDaily[WardCode],"FW")=0,"",SUMIFS(tblDaily[DeathsUnder24Hrs],tblDaily[EntryDate],DATE(2026,3,3),tblDaily[WardCode],"FW")),"")</f>
        <v/>
      </c>
      <c r="F87" s="29">
        <f>IFERROR(IF(SUMIFS(tblDaily[TransfersIn],tblDaily[EntryDate],DATE(2026,3,3),tblDaily[WardCode],"FW")=0,"",SUMIFS(tblDaily[TransfersIn],tblDaily[EntryDate],DATE(2026,3,3),tblDaily[WardCode],"FW")),"")</f>
        <v>2</v>
      </c>
      <c r="G87" s="29" t="str">
        <f>IFERROR(IF(SUMIFS(tblDaily[TransfersOut],tblDaily[EntryDate],DATE(2026,3,3),tblDaily[WardCode],"FW")=0,"",SUMIFS(tblDaily[TransfersOut],tblDaily[EntryDate],DATE(2026,3,3),tblDaily[WardCode],"FW")),"")</f>
        <v/>
      </c>
      <c r="H87" s="29">
        <f>IFERROR(IF(SUMIFS(tblDaily[Remaining],tblDaily[EntryDate],DATE(2026,3,3),tblDaily[WardCode],"FW")=0,"",SUMIFS(tblDaily[Remaining],tblDaily[EntryDate],DATE(2026,3,3),tblDaily[WardCode],"FW")),"")</f>
        <v>13</v>
      </c>
    </row>
    <row r="88" spans="1:8" x14ac:dyDescent="0.25">
      <c r="A88" s="29">
        <v>4</v>
      </c>
      <c r="B88" s="29">
        <f>IFERROR(IF(SUMIFS(tblDaily[Admissions],tblDaily[EntryDate],DATE(2026,3,4),tblDaily[WardCode],"FW")=0,"",SUMIFS(tblDaily[Admissions],tblDaily[EntryDate],DATE(2026,3,4),tblDaily[WardCode],"FW")),"")</f>
        <v>2</v>
      </c>
      <c r="C88" s="29">
        <f>IFERROR(IF(SUMIFS(tblDaily[Discharges],tblDaily[EntryDate],DATE(2026,3,4),tblDaily[WardCode],"FW")=0,"",SUMIFS(tblDaily[Discharges],tblDaily[EntryDate],DATE(2026,3,4),tblDaily[WardCode],"FW")),"")</f>
        <v>1</v>
      </c>
      <c r="D88" s="29" t="str">
        <f>IFERROR(IF(SUMIFS(tblDaily[Deaths],tblDaily[EntryDate],DATE(2026,3,4),tblDaily[WardCode],"FW")=0,"",SUMIFS(tblDaily[Deaths],tblDaily[EntryDate],DATE(2026,3,4),tblDaily[WardCode],"FW")),"")</f>
        <v/>
      </c>
      <c r="E88" s="29" t="str">
        <f>IFERROR(IF(SUMIFS(tblDaily[DeathsUnder24Hrs],tblDaily[EntryDate],DATE(2026,3,4),tblDaily[WardCode],"FW")=0,"",SUMIFS(tblDaily[DeathsUnder24Hrs],tblDaily[EntryDate],DATE(2026,3,4),tblDaily[WardCode],"FW")),"")</f>
        <v/>
      </c>
      <c r="F88" s="29" t="str">
        <f>IFERROR(IF(SUMIFS(tblDaily[TransfersIn],tblDaily[EntryDate],DATE(2026,3,4),tblDaily[WardCode],"FW")=0,"",SUMIFS(tblDaily[TransfersIn],tblDaily[EntryDate],DATE(2026,3,4),tblDaily[WardCode],"FW")),"")</f>
        <v/>
      </c>
      <c r="G88" s="29" t="str">
        <f>IFERROR(IF(SUMIFS(tblDaily[TransfersOut],tblDaily[EntryDate],DATE(2026,3,4),tblDaily[WardCode],"FW")=0,"",SUMIFS(tblDaily[TransfersOut],tblDaily[EntryDate],DATE(2026,3,4),tblDaily[WardCode],"FW")),"")</f>
        <v/>
      </c>
      <c r="H88" s="29">
        <f>IFERROR(IF(SUMIFS(tblDaily[Remaining],tblDaily[EntryDate],DATE(2026,3,4),tblDaily[WardCode],"FW")=0,"",SUMIFS(tblDaily[Remaining],tblDaily[EntryDate],DATE(2026,3,4),tblDaily[WardCode],"FW")),"")</f>
        <v>14</v>
      </c>
    </row>
    <row r="89" spans="1:8" x14ac:dyDescent="0.25">
      <c r="A89" s="29">
        <v>5</v>
      </c>
      <c r="B89" s="29">
        <f>IFERROR(IF(SUMIFS(tblDaily[Admissions],tblDaily[EntryDate],DATE(2026,3,5),tblDaily[WardCode],"FW")=0,"",SUMIFS(tblDaily[Admissions],tblDaily[EntryDate],DATE(2026,3,5),tblDaily[WardCode],"FW")),"")</f>
        <v>1</v>
      </c>
      <c r="C89" s="29">
        <f>IFERROR(IF(SUMIFS(tblDaily[Discharges],tblDaily[EntryDate],DATE(2026,3,5),tblDaily[WardCode],"FW")=0,"",SUMIFS(tblDaily[Discharges],tblDaily[EntryDate],DATE(2026,3,5),tblDaily[WardCode],"FW")),"")</f>
        <v>2</v>
      </c>
      <c r="D89" s="29" t="str">
        <f>IFERROR(IF(SUMIFS(tblDaily[Deaths],tblDaily[EntryDate],DATE(2026,3,5),tblDaily[WardCode],"FW")=0,"",SUMIFS(tblDaily[Deaths],tblDaily[EntryDate],DATE(2026,3,5),tblDaily[WardCode],"FW")),"")</f>
        <v/>
      </c>
      <c r="E89" s="29" t="str">
        <f>IFERROR(IF(SUMIFS(tblDaily[DeathsUnder24Hrs],tblDaily[EntryDate],DATE(2026,3,5),tblDaily[WardCode],"FW")=0,"",SUMIFS(tblDaily[DeathsUnder24Hrs],tblDaily[EntryDate],DATE(2026,3,5),tblDaily[WardCode],"FW")),"")</f>
        <v/>
      </c>
      <c r="F89" s="29" t="str">
        <f>IFERROR(IF(SUMIFS(tblDaily[TransfersIn],tblDaily[EntryDate],DATE(2026,3,5),tblDaily[WardCode],"FW")=0,"",SUMIFS(tblDaily[TransfersIn],tblDaily[EntryDate],DATE(2026,3,5),tblDaily[WardCode],"FW")),"")</f>
        <v/>
      </c>
      <c r="G89" s="29" t="str">
        <f>IFERROR(IF(SUMIFS(tblDaily[TransfersOut],tblDaily[EntryDate],DATE(2026,3,5),tblDaily[WardCode],"FW")=0,"",SUMIFS(tblDaily[TransfersOut],tblDaily[EntryDate],DATE(2026,3,5),tblDaily[WardCode],"FW")),"")</f>
        <v/>
      </c>
      <c r="H89" s="29">
        <f>IFERROR(IF(SUMIFS(tblDaily[Remaining],tblDaily[EntryDate],DATE(2026,3,5),tblDaily[WardCode],"FW")=0,"",SUMIFS(tblDaily[Remaining],tblDaily[EntryDate],DATE(2026,3,5),tblDaily[WardCode],"FW")),"")</f>
        <v>13</v>
      </c>
    </row>
    <row r="90" spans="1:8" x14ac:dyDescent="0.25">
      <c r="A90" s="29">
        <v>6</v>
      </c>
      <c r="B90" s="29">
        <f>IFERROR(IF(SUMIFS(tblDaily[Admissions],tblDaily[EntryDate],DATE(2026,3,6),tblDaily[WardCode],"FW")=0,"",SUMIFS(tblDaily[Admissions],tblDaily[EntryDate],DATE(2026,3,6),tblDaily[WardCode],"FW")),"")</f>
        <v>2</v>
      </c>
      <c r="C90" s="29">
        <f>IFERROR(IF(SUMIFS(tblDaily[Discharges],tblDaily[EntryDate],DATE(2026,3,6),tblDaily[WardCode],"FW")=0,"",SUMIFS(tblDaily[Discharges],tblDaily[EntryDate],DATE(2026,3,6),tblDaily[WardCode],"FW")),"")</f>
        <v>2</v>
      </c>
      <c r="D90" s="29" t="str">
        <f>IFERROR(IF(SUMIFS(tblDaily[Deaths],tblDaily[EntryDate],DATE(2026,3,6),tblDaily[WardCode],"FW")=0,"",SUMIFS(tblDaily[Deaths],tblDaily[EntryDate],DATE(2026,3,6),tblDaily[WardCode],"FW")),"")</f>
        <v/>
      </c>
      <c r="E90" s="29" t="str">
        <f>IFERROR(IF(SUMIFS(tblDaily[DeathsUnder24Hrs],tblDaily[EntryDate],DATE(2026,3,6),tblDaily[WardCode],"FW")=0,"",SUMIFS(tblDaily[DeathsUnder24Hrs],tblDaily[EntryDate],DATE(2026,3,6),tblDaily[WardCode],"FW")),"")</f>
        <v/>
      </c>
      <c r="F90" s="29">
        <f>IFERROR(IF(SUMIFS(tblDaily[TransfersIn],tblDaily[EntryDate],DATE(2026,3,6),tblDaily[WardCode],"FW")=0,"",SUMIFS(tblDaily[TransfersIn],tblDaily[EntryDate],DATE(2026,3,6),tblDaily[WardCode],"FW")),"")</f>
        <v>1</v>
      </c>
      <c r="G90" s="29" t="str">
        <f>IFERROR(IF(SUMIFS(tblDaily[TransfersOut],tblDaily[EntryDate],DATE(2026,3,6),tblDaily[WardCode],"FW")=0,"",SUMIFS(tblDaily[TransfersOut],tblDaily[EntryDate],DATE(2026,3,6),tblDaily[WardCode],"FW")),"")</f>
        <v/>
      </c>
      <c r="H90" s="29">
        <f>IFERROR(IF(SUMIFS(tblDaily[Remaining],tblDaily[EntryDate],DATE(2026,3,6),tblDaily[WardCode],"FW")=0,"",SUMIFS(tblDaily[Remaining],tblDaily[EntryDate],DATE(2026,3,6),tblDaily[WardCode],"FW")),"")</f>
        <v>14</v>
      </c>
    </row>
    <row r="91" spans="1:8" x14ac:dyDescent="0.25">
      <c r="A91" s="29">
        <v>7</v>
      </c>
      <c r="B91" s="29">
        <f>IFERROR(IF(SUMIFS(tblDaily[Admissions],tblDaily[EntryDate],DATE(2026,3,7),tblDaily[WardCode],"FW")=0,"",SUMIFS(tblDaily[Admissions],tblDaily[EntryDate],DATE(2026,3,7),tblDaily[WardCode],"FW")),"")</f>
        <v>3</v>
      </c>
      <c r="C91" s="29">
        <f>IFERROR(IF(SUMIFS(tblDaily[Discharges],tblDaily[EntryDate],DATE(2026,3,7),tblDaily[WardCode],"FW")=0,"",SUMIFS(tblDaily[Discharges],tblDaily[EntryDate],DATE(2026,3,7),tblDaily[WardCode],"FW")),"")</f>
        <v>2</v>
      </c>
      <c r="D91" s="29">
        <f>IFERROR(IF(SUMIFS(tblDaily[Deaths],tblDaily[EntryDate],DATE(2026,3,7),tblDaily[WardCode],"FW")=0,"",SUMIFS(tblDaily[Deaths],tblDaily[EntryDate],DATE(2026,3,7),tblDaily[WardCode],"FW")),"")</f>
        <v>1</v>
      </c>
      <c r="E91" s="29" t="str">
        <f>IFERROR(IF(SUMIFS(tblDaily[DeathsUnder24Hrs],tblDaily[EntryDate],DATE(2026,3,7),tblDaily[WardCode],"FW")=0,"",SUMIFS(tblDaily[DeathsUnder24Hrs],tblDaily[EntryDate],DATE(2026,3,7),tblDaily[WardCode],"FW")),"")</f>
        <v/>
      </c>
      <c r="F91" s="29" t="str">
        <f>IFERROR(IF(SUMIFS(tblDaily[TransfersIn],tblDaily[EntryDate],DATE(2026,3,7),tblDaily[WardCode],"FW")=0,"",SUMIFS(tblDaily[TransfersIn],tblDaily[EntryDate],DATE(2026,3,7),tblDaily[WardCode],"FW")),"")</f>
        <v/>
      </c>
      <c r="G91" s="29" t="str">
        <f>IFERROR(IF(SUMIFS(tblDaily[TransfersOut],tblDaily[EntryDate],DATE(2026,3,7),tblDaily[WardCode],"FW")=0,"",SUMIFS(tblDaily[TransfersOut],tblDaily[EntryDate],DATE(2026,3,7),tblDaily[WardCode],"FW")),"")</f>
        <v/>
      </c>
      <c r="H91" s="29">
        <f>IFERROR(IF(SUMIFS(tblDaily[Remaining],tblDaily[EntryDate],DATE(2026,3,7),tblDaily[WardCode],"FW")=0,"",SUMIFS(tblDaily[Remaining],tblDaily[EntryDate],DATE(2026,3,7),tblDaily[WardCode],"FW")),"")</f>
        <v>14</v>
      </c>
    </row>
    <row r="92" spans="1:8" x14ac:dyDescent="0.25">
      <c r="A92" s="29">
        <v>8</v>
      </c>
      <c r="B92" s="29">
        <f>IFERROR(IF(SUMIFS(tblDaily[Admissions],tblDaily[EntryDate],DATE(2026,3,8),tblDaily[WardCode],"FW")=0,"",SUMIFS(tblDaily[Admissions],tblDaily[EntryDate],DATE(2026,3,8),tblDaily[WardCode],"FW")),"")</f>
        <v>3</v>
      </c>
      <c r="C92" s="29">
        <f>IFERROR(IF(SUMIFS(tblDaily[Discharges],tblDaily[EntryDate],DATE(2026,3,8),tblDaily[WardCode],"FW")=0,"",SUMIFS(tblDaily[Discharges],tblDaily[EntryDate],DATE(2026,3,8),tblDaily[WardCode],"FW")),"")</f>
        <v>2</v>
      </c>
      <c r="D92" s="29" t="str">
        <f>IFERROR(IF(SUMIFS(tblDaily[Deaths],tblDaily[EntryDate],DATE(2026,3,8),tblDaily[WardCode],"FW")=0,"",SUMIFS(tblDaily[Deaths],tblDaily[EntryDate],DATE(2026,3,8),tblDaily[WardCode],"FW")),"")</f>
        <v/>
      </c>
      <c r="E92" s="29" t="str">
        <f>IFERROR(IF(SUMIFS(tblDaily[DeathsUnder24Hrs],tblDaily[EntryDate],DATE(2026,3,8),tblDaily[WardCode],"FW")=0,"",SUMIFS(tblDaily[DeathsUnder24Hrs],tblDaily[EntryDate],DATE(2026,3,8),tblDaily[WardCode],"FW")),"")</f>
        <v/>
      </c>
      <c r="F92" s="29" t="str">
        <f>IFERROR(IF(SUMIFS(tblDaily[TransfersIn],tblDaily[EntryDate],DATE(2026,3,8),tblDaily[WardCode],"FW")=0,"",SUMIFS(tblDaily[TransfersIn],tblDaily[EntryDate],DATE(2026,3,8),tblDaily[WardCode],"FW")),"")</f>
        <v/>
      </c>
      <c r="G92" s="29" t="str">
        <f>IFERROR(IF(SUMIFS(tblDaily[TransfersOut],tblDaily[EntryDate],DATE(2026,3,8),tblDaily[WardCode],"FW")=0,"",SUMIFS(tblDaily[TransfersOut],tblDaily[EntryDate],DATE(2026,3,8),tblDaily[WardCode],"FW")),"")</f>
        <v/>
      </c>
      <c r="H92" s="29">
        <f>IFERROR(IF(SUMIFS(tblDaily[Remaining],tblDaily[EntryDate],DATE(2026,3,8),tblDaily[WardCode],"FW")=0,"",SUMIFS(tblDaily[Remaining],tblDaily[EntryDate],DATE(2026,3,8),tblDaily[WardCode],"FW")),"")</f>
        <v>15</v>
      </c>
    </row>
    <row r="93" spans="1:8" x14ac:dyDescent="0.25">
      <c r="A93" s="29">
        <v>9</v>
      </c>
      <c r="B93" s="29">
        <f>IFERROR(IF(SUMIFS(tblDaily[Admissions],tblDaily[EntryDate],DATE(2026,3,9),tblDaily[WardCode],"FW")=0,"",SUMIFS(tblDaily[Admissions],tblDaily[EntryDate],DATE(2026,3,9),tblDaily[WardCode],"FW")),"")</f>
        <v>1</v>
      </c>
      <c r="C93" s="29">
        <f>IFERROR(IF(SUMIFS(tblDaily[Discharges],tblDaily[EntryDate],DATE(2026,3,9),tblDaily[WardCode],"FW")=0,"",SUMIFS(tblDaily[Discharges],tblDaily[EntryDate],DATE(2026,3,9),tblDaily[WardCode],"FW")),"")</f>
        <v>2</v>
      </c>
      <c r="D93" s="29" t="str">
        <f>IFERROR(IF(SUMIFS(tblDaily[Deaths],tblDaily[EntryDate],DATE(2026,3,9),tblDaily[WardCode],"FW")=0,"",SUMIFS(tblDaily[Deaths],tblDaily[EntryDate],DATE(2026,3,9),tblDaily[WardCode],"FW")),"")</f>
        <v/>
      </c>
      <c r="E93" s="29" t="str">
        <f>IFERROR(IF(SUMIFS(tblDaily[DeathsUnder24Hrs],tblDaily[EntryDate],DATE(2026,3,9),tblDaily[WardCode],"FW")=0,"",SUMIFS(tblDaily[DeathsUnder24Hrs],tblDaily[EntryDate],DATE(2026,3,9),tblDaily[WardCode],"FW")),"")</f>
        <v/>
      </c>
      <c r="F93" s="29">
        <f>IFERROR(IF(SUMIFS(tblDaily[TransfersIn],tblDaily[EntryDate],DATE(2026,3,9),tblDaily[WardCode],"FW")=0,"",SUMIFS(tblDaily[TransfersIn],tblDaily[EntryDate],DATE(2026,3,9),tblDaily[WardCode],"FW")),"")</f>
        <v>1</v>
      </c>
      <c r="G93" s="29" t="str">
        <f>IFERROR(IF(SUMIFS(tblDaily[TransfersOut],tblDaily[EntryDate],DATE(2026,3,9),tblDaily[WardCode],"FW")=0,"",SUMIFS(tblDaily[TransfersOut],tblDaily[EntryDate],DATE(2026,3,9),tblDaily[WardCode],"FW")),"")</f>
        <v/>
      </c>
      <c r="H93" s="29">
        <f>IFERROR(IF(SUMIFS(tblDaily[Remaining],tblDaily[EntryDate],DATE(2026,3,9),tblDaily[WardCode],"FW")=0,"",SUMIFS(tblDaily[Remaining],tblDaily[EntryDate],DATE(2026,3,9),tblDaily[WardCode],"FW")),"")</f>
        <v>15</v>
      </c>
    </row>
    <row r="94" spans="1:8" x14ac:dyDescent="0.25">
      <c r="A94" s="29">
        <v>10</v>
      </c>
      <c r="B94" s="29">
        <f>IFERROR(IF(SUMIFS(tblDaily[Admissions],tblDaily[EntryDate],DATE(2026,3,10),tblDaily[WardCode],"FW")=0,"",SUMIFS(tblDaily[Admissions],tblDaily[EntryDate],DATE(2026,3,10),tblDaily[WardCode],"FW")),"")</f>
        <v>3</v>
      </c>
      <c r="C94" s="29">
        <f>IFERROR(IF(SUMIFS(tblDaily[Discharges],tblDaily[EntryDate],DATE(2026,3,10),tblDaily[WardCode],"FW")=0,"",SUMIFS(tblDaily[Discharges],tblDaily[EntryDate],DATE(2026,3,10),tblDaily[WardCode],"FW")),"")</f>
        <v>1</v>
      </c>
      <c r="D94" s="29" t="str">
        <f>IFERROR(IF(SUMIFS(tblDaily[Deaths],tblDaily[EntryDate],DATE(2026,3,10),tblDaily[WardCode],"FW")=0,"",SUMIFS(tblDaily[Deaths],tblDaily[EntryDate],DATE(2026,3,10),tblDaily[WardCode],"FW")),"")</f>
        <v/>
      </c>
      <c r="E94" s="29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29">
        <f>IFERROR(IF(SUMIFS(tblDaily[TransfersIn],tblDaily[EntryDate],DATE(2026,3,10),tblDaily[WardCode],"FW")=0,"",SUMIFS(tblDaily[TransfersIn],tblDaily[EntryDate],DATE(2026,3,10),tblDaily[WardCode],"FW")),"")</f>
        <v>1</v>
      </c>
      <c r="G94" s="29" t="str">
        <f>IFERROR(IF(SUMIFS(tblDaily[TransfersOut],tblDaily[EntryDate],DATE(2026,3,10),tblDaily[WardCode],"FW")=0,"",SUMIFS(tblDaily[TransfersOut],tblDaily[EntryDate],DATE(2026,3,10),tblDaily[WardCode],"FW")),"")</f>
        <v/>
      </c>
      <c r="H94" s="29">
        <f>IFERROR(IF(SUMIFS(tblDaily[Remaining],tblDaily[EntryDate],DATE(2026,3,10),tblDaily[WardCode],"FW")=0,"",SUMIFS(tblDaily[Remaining],tblDaily[EntryDate],DATE(2026,3,10),tblDaily[WardCode],"FW")),"")</f>
        <v>18</v>
      </c>
    </row>
    <row r="95" spans="1:8" x14ac:dyDescent="0.25">
      <c r="A95" s="29">
        <v>11</v>
      </c>
      <c r="B95" s="29">
        <f>IFERROR(IF(SUMIFS(tblDaily[Admissions],tblDaily[EntryDate],DATE(2026,3,11),tblDaily[WardCode],"FW")=0,"",SUMIFS(tblDaily[Admissions],tblDaily[EntryDate],DATE(2026,3,11),tblDaily[WardCode],"FW")),"")</f>
        <v>1</v>
      </c>
      <c r="C95" s="29">
        <f>IFERROR(IF(SUMIFS(tblDaily[Discharges],tblDaily[EntryDate],DATE(2026,3,11),tblDaily[WardCode],"FW")=0,"",SUMIFS(tblDaily[Discharges],tblDaily[EntryDate],DATE(2026,3,11),tblDaily[WardCode],"FW")),"")</f>
        <v>1</v>
      </c>
      <c r="D95" s="29" t="str">
        <f>IFERROR(IF(SUMIFS(tblDaily[Deaths],tblDaily[EntryDate],DATE(2026,3,11),tblDaily[WardCode],"FW")=0,"",SUMIFS(tblDaily[Deaths],tblDaily[EntryDate],DATE(2026,3,11),tblDaily[WardCode],"FW")),"")</f>
        <v/>
      </c>
      <c r="E95" s="29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29">
        <f>IFERROR(IF(SUMIFS(tblDaily[TransfersIn],tblDaily[EntryDate],DATE(2026,3,11),tblDaily[WardCode],"FW")=0,"",SUMIFS(tblDaily[TransfersIn],tblDaily[EntryDate],DATE(2026,3,11),tblDaily[WardCode],"FW")),"")</f>
        <v>1</v>
      </c>
      <c r="G95" s="29" t="str">
        <f>IFERROR(IF(SUMIFS(tblDaily[TransfersOut],tblDaily[EntryDate],DATE(2026,3,11),tblDaily[WardCode],"FW")=0,"",SUMIFS(tblDaily[TransfersOut],tblDaily[EntryDate],DATE(2026,3,11),tblDaily[WardCode],"FW")),"")</f>
        <v/>
      </c>
      <c r="H95" s="29">
        <f>IFERROR(IF(SUMIFS(tblDaily[Remaining],tblDaily[EntryDate],DATE(2026,3,11),tblDaily[WardCode],"FW")=0,"",SUMIFS(tblDaily[Remaining],tblDaily[EntryDate],DATE(2026,3,11),tblDaily[WardCode],"FW")),"")</f>
        <v>19</v>
      </c>
    </row>
    <row r="96" spans="1:8" x14ac:dyDescent="0.25">
      <c r="A96" s="29">
        <v>12</v>
      </c>
      <c r="B96" s="29">
        <f>IFERROR(IF(SUMIFS(tblDaily[Admissions],tblDaily[EntryDate],DATE(2026,3,12),tblDaily[WardCode],"FW")=0,"",SUMIFS(tblDaily[Admissions],tblDaily[EntryDate],DATE(2026,3,12),tblDaily[WardCode],"FW")),"")</f>
        <v>1</v>
      </c>
      <c r="C96" s="29">
        <f>IFERROR(IF(SUMIFS(tblDaily[Discharges],tblDaily[EntryDate],DATE(2026,3,12),tblDaily[WardCode],"FW")=0,"",SUMIFS(tblDaily[Discharges],tblDaily[EntryDate],DATE(2026,3,12),tblDaily[WardCode],"FW")),"")</f>
        <v>4</v>
      </c>
      <c r="D96" s="29" t="str">
        <f>IFERROR(IF(SUMIFS(tblDaily[Deaths],tblDaily[EntryDate],DATE(2026,3,12),tblDaily[WardCode],"FW")=0,"",SUMIFS(tblDaily[Deaths],tblDaily[EntryDate],DATE(2026,3,12),tblDaily[WardCode],"FW")),"")</f>
        <v/>
      </c>
      <c r="E96" s="29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29" t="str">
        <f>IFERROR(IF(SUMIFS(tblDaily[TransfersIn],tblDaily[EntryDate],DATE(2026,3,12),tblDaily[WardCode],"FW")=0,"",SUMIFS(tblDaily[TransfersIn],tblDaily[EntryDate],DATE(2026,3,12),tblDaily[WardCode],"FW")),"")</f>
        <v/>
      </c>
      <c r="G96" s="29" t="str">
        <f>IFERROR(IF(SUMIFS(tblDaily[TransfersOut],tblDaily[EntryDate],DATE(2026,3,12),tblDaily[WardCode],"FW")=0,"",SUMIFS(tblDaily[TransfersOut],tblDaily[EntryDate],DATE(2026,3,12),tblDaily[WardCode],"FW")),"")</f>
        <v/>
      </c>
      <c r="H96" s="29">
        <f>IFERROR(IF(SUMIFS(tblDaily[Remaining],tblDaily[EntryDate],DATE(2026,3,12),tblDaily[WardCode],"FW")=0,"",SUMIFS(tblDaily[Remaining],tblDaily[EntryDate],DATE(2026,3,12),tblDaily[WardCode],"FW")),"")</f>
        <v>16</v>
      </c>
    </row>
    <row r="97" spans="1:8" x14ac:dyDescent="0.25">
      <c r="A97" s="29">
        <v>13</v>
      </c>
      <c r="B97" s="29">
        <f>IFERROR(IF(SUMIFS(tblDaily[Admissions],tblDaily[EntryDate],DATE(2026,3,13),tblDaily[WardCode],"FW")=0,"",SUMIFS(tblDaily[Admissions],tblDaily[EntryDate],DATE(2026,3,13),tblDaily[WardCode],"FW")),"")</f>
        <v>1</v>
      </c>
      <c r="C97" s="29">
        <f>IFERROR(IF(SUMIFS(tblDaily[Discharges],tblDaily[EntryDate],DATE(2026,3,13),tblDaily[WardCode],"FW")=0,"",SUMIFS(tblDaily[Discharges],tblDaily[EntryDate],DATE(2026,3,13),tblDaily[WardCode],"FW")),"")</f>
        <v>7</v>
      </c>
      <c r="D97" s="29" t="str">
        <f>IFERROR(IF(SUMIFS(tblDaily[Deaths],tblDaily[EntryDate],DATE(2026,3,13),tblDaily[WardCode],"FW")=0,"",SUMIFS(tblDaily[Deaths],tblDaily[EntryDate],DATE(2026,3,13),tblDaily[WardCode],"FW")),"")</f>
        <v/>
      </c>
      <c r="E97" s="29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29" t="str">
        <f>IFERROR(IF(SUMIFS(tblDaily[TransfersIn],tblDaily[EntryDate],DATE(2026,3,13),tblDaily[WardCode],"FW")=0,"",SUMIFS(tblDaily[TransfersIn],tblDaily[EntryDate],DATE(2026,3,13),tblDaily[WardCode],"FW")),"")</f>
        <v/>
      </c>
      <c r="G97" s="29" t="str">
        <f>IFERROR(IF(SUMIFS(tblDaily[TransfersOut],tblDaily[EntryDate],DATE(2026,3,13),tblDaily[WardCode],"FW")=0,"",SUMIFS(tblDaily[TransfersOut],tblDaily[EntryDate],DATE(2026,3,13),tblDaily[WardCode],"FW")),"")</f>
        <v/>
      </c>
      <c r="H97" s="29">
        <f>IFERROR(IF(SUMIFS(tblDaily[Remaining],tblDaily[EntryDate],DATE(2026,3,13),tblDaily[WardCode],"FW")=0,"",SUMIFS(tblDaily[Remaining],tblDaily[EntryDate],DATE(2026,3,13),tblDaily[WardCode],"FW")),"")</f>
        <v>10</v>
      </c>
    </row>
    <row r="98" spans="1:8" x14ac:dyDescent="0.25">
      <c r="A98" s="29">
        <v>14</v>
      </c>
      <c r="B98" s="29">
        <f>IFERROR(IF(SUMIFS(tblDaily[Admissions],tblDaily[EntryDate],DATE(2026,3,14),tblDaily[WardCode],"FW")=0,"",SUMIFS(tblDaily[Admissions],tblDaily[EntryDate],DATE(2026,3,14),tblDaily[WardCode],"FW")),"")</f>
        <v>7</v>
      </c>
      <c r="C98" s="29">
        <f>IFERROR(IF(SUMIFS(tblDaily[Discharges],tblDaily[EntryDate],DATE(2026,3,14),tblDaily[WardCode],"FW")=0,"",SUMIFS(tblDaily[Discharges],tblDaily[EntryDate],DATE(2026,3,14),tblDaily[WardCode],"FW")),"")</f>
        <v>2</v>
      </c>
      <c r="D98" s="29">
        <f>IFERROR(IF(SUMIFS(tblDaily[Deaths],tblDaily[EntryDate],DATE(2026,3,14),tblDaily[WardCode],"FW")=0,"",SUMIFS(tblDaily[Deaths],tblDaily[EntryDate],DATE(2026,3,14),tblDaily[WardCode],"FW")),"")</f>
        <v>1</v>
      </c>
      <c r="E98" s="29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29" t="str">
        <f>IFERROR(IF(SUMIFS(tblDaily[TransfersIn],tblDaily[EntryDate],DATE(2026,3,14),tblDaily[WardCode],"FW")=0,"",SUMIFS(tblDaily[TransfersIn],tblDaily[EntryDate],DATE(2026,3,14),tblDaily[WardCode],"FW")),"")</f>
        <v/>
      </c>
      <c r="G98" s="29" t="str">
        <f>IFERROR(IF(SUMIFS(tblDaily[TransfersOut],tblDaily[EntryDate],DATE(2026,3,14),tblDaily[WardCode],"FW")=0,"",SUMIFS(tblDaily[TransfersOut],tblDaily[EntryDate],DATE(2026,3,14),tblDaily[WardCode],"FW")),"")</f>
        <v/>
      </c>
      <c r="H98" s="29">
        <f>IFERROR(IF(SUMIFS(tblDaily[Remaining],tblDaily[EntryDate],DATE(2026,3,14),tblDaily[WardCode],"FW")=0,"",SUMIFS(tblDaily[Remaining],tblDaily[EntryDate],DATE(2026,3,14),tblDaily[WardCode],"FW")),"")</f>
        <v>14</v>
      </c>
    </row>
    <row r="99" spans="1:8" x14ac:dyDescent="0.25">
      <c r="A99" s="29">
        <v>15</v>
      </c>
      <c r="B99" s="29" t="str">
        <f>IFERROR(IF(SUMIFS(tblDaily[Admissions],tblDaily[EntryDate],DATE(2026,3,15),tblDaily[WardCode],"FW")=0,"",SUMIFS(tblDaily[Admissions],tblDaily[EntryDate],DATE(2026,3,15),tblDaily[WardCode],"FW")),"")</f>
        <v/>
      </c>
      <c r="C99" s="29">
        <f>IFERROR(IF(SUMIFS(tblDaily[Discharges],tblDaily[EntryDate],DATE(2026,3,15),tblDaily[WardCode],"FW")=0,"",SUMIFS(tblDaily[Discharges],tblDaily[EntryDate],DATE(2026,3,15),tblDaily[WardCode],"FW")),"")</f>
        <v>1</v>
      </c>
      <c r="D99" s="29" t="str">
        <f>IFERROR(IF(SUMIFS(tblDaily[Deaths],tblDaily[EntryDate],DATE(2026,3,15),tblDaily[WardCode],"FW")=0,"",SUMIFS(tblDaily[Deaths],tblDaily[EntryDate],DATE(2026,3,15),tblDaily[WardCode],"FW")),"")</f>
        <v/>
      </c>
      <c r="E99" s="29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29">
        <f>IFERROR(IF(SUMIFS(tblDaily[TransfersIn],tblDaily[EntryDate],DATE(2026,3,15),tblDaily[WardCode],"FW")=0,"",SUMIFS(tblDaily[TransfersIn],tblDaily[EntryDate],DATE(2026,3,15),tblDaily[WardCode],"FW")),"")</f>
        <v>2</v>
      </c>
      <c r="G99" s="29" t="str">
        <f>IFERROR(IF(SUMIFS(tblDaily[TransfersOut],tblDaily[EntryDate],DATE(2026,3,15),tblDaily[WardCode],"FW")=0,"",SUMIFS(tblDaily[TransfersOut],tblDaily[EntryDate],DATE(2026,3,15),tblDaily[WardCode],"FW")),"")</f>
        <v/>
      </c>
      <c r="H99" s="29">
        <f>IFERROR(IF(SUMIFS(tblDaily[Remaining],tblDaily[EntryDate],DATE(2026,3,15),tblDaily[WardCode],"FW")=0,"",SUMIFS(tblDaily[Remaining],tblDaily[EntryDate],DATE(2026,3,15),tblDaily[WardCode],"FW")),"")</f>
        <v>15</v>
      </c>
    </row>
    <row r="100" spans="1:8" x14ac:dyDescent="0.25">
      <c r="A100" s="29">
        <v>16</v>
      </c>
      <c r="B100" s="29">
        <f>IFERROR(IF(SUMIFS(tblDaily[Admissions],tblDaily[EntryDate],DATE(2026,3,16),tblDaily[WardCode],"FW")=0,"",SUMIFS(tblDaily[Admissions],tblDaily[EntryDate],DATE(2026,3,16),tblDaily[WardCode],"FW")),"")</f>
        <v>7</v>
      </c>
      <c r="C100" s="29">
        <f>IFERROR(IF(SUMIFS(tblDaily[Discharges],tblDaily[EntryDate],DATE(2026,3,16),tblDaily[WardCode],"FW")=0,"",SUMIFS(tblDaily[Discharges],tblDaily[EntryDate],DATE(2026,3,16),tblDaily[WardCode],"FW")),"")</f>
        <v>2</v>
      </c>
      <c r="D100" s="29" t="str">
        <f>IFERROR(IF(SUMIFS(tblDaily[Deaths],tblDaily[EntryDate],DATE(2026,3,16),tblDaily[WardCode],"FW")=0,"",SUMIFS(tblDaily[Deaths],tblDaily[EntryDate],DATE(2026,3,16),tblDaily[WardCode],"FW")),"")</f>
        <v/>
      </c>
      <c r="E100" s="29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29" t="str">
        <f>IFERROR(IF(SUMIFS(tblDaily[TransfersIn],tblDaily[EntryDate],DATE(2026,3,16),tblDaily[WardCode],"FW")=0,"",SUMIFS(tblDaily[TransfersIn],tblDaily[EntryDate],DATE(2026,3,16),tblDaily[WardCode],"FW")),"")</f>
        <v/>
      </c>
      <c r="G100" s="29" t="str">
        <f>IFERROR(IF(SUMIFS(tblDaily[TransfersOut],tblDaily[EntryDate],DATE(2026,3,16),tblDaily[WardCode],"FW")=0,"",SUMIFS(tblDaily[TransfersOut],tblDaily[EntryDate],DATE(2026,3,16),tblDaily[WardCode],"FW")),"")</f>
        <v/>
      </c>
      <c r="H100" s="29">
        <f>IFERROR(IF(SUMIFS(tblDaily[Remaining],tblDaily[EntryDate],DATE(2026,3,16),tblDaily[WardCode],"FW")=0,"",SUMIFS(tblDaily[Remaining],tblDaily[EntryDate],DATE(2026,3,16),tblDaily[WardCode],"FW")),"")</f>
        <v>20</v>
      </c>
    </row>
    <row r="101" spans="1:8" x14ac:dyDescent="0.25">
      <c r="A101" s="29">
        <v>17</v>
      </c>
      <c r="B101" s="29" t="str">
        <f>IFERROR(IF(SUMIFS(tblDaily[Admissions],tblDaily[EntryDate],DATE(2026,3,17),tblDaily[WardCode],"FW")=0,"",SUMIFS(tblDaily[Admissions],tblDaily[EntryDate],DATE(2026,3,17),tblDaily[WardCode],"FW")),"")</f>
        <v/>
      </c>
      <c r="C101" s="29">
        <f>IFERROR(IF(SUMIFS(tblDaily[Discharges],tblDaily[EntryDate],DATE(2026,3,17),tblDaily[WardCode],"FW")=0,"",SUMIFS(tblDaily[Discharges],tblDaily[EntryDate],DATE(2026,3,17),tblDaily[WardCode],"FW")),"")</f>
        <v>1</v>
      </c>
      <c r="D101" s="29">
        <f>IFERROR(IF(SUMIFS(tblDaily[Deaths],tblDaily[EntryDate],DATE(2026,3,17),tblDaily[WardCode],"FW")=0,"",SUMIFS(tblDaily[Deaths],tblDaily[EntryDate],DATE(2026,3,17),tblDaily[WardCode],"FW")),"")</f>
        <v>1</v>
      </c>
      <c r="E101" s="29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29" t="str">
        <f>IFERROR(IF(SUMIFS(tblDaily[TransfersIn],tblDaily[EntryDate],DATE(2026,3,17),tblDaily[WardCode],"FW")=0,"",SUMIFS(tblDaily[TransfersIn],tblDaily[EntryDate],DATE(2026,3,17),tblDaily[WardCode],"FW")),"")</f>
        <v/>
      </c>
      <c r="G101" s="29" t="str">
        <f>IFERROR(IF(SUMIFS(tblDaily[TransfersOut],tblDaily[EntryDate],DATE(2026,3,17),tblDaily[WardCode],"FW")=0,"",SUMIFS(tblDaily[TransfersOut],tblDaily[EntryDate],DATE(2026,3,17),tblDaily[WardCode],"FW")),"")</f>
        <v/>
      </c>
      <c r="H101" s="29">
        <f>IFERROR(IF(SUMIFS(tblDaily[Remaining],tblDaily[EntryDate],DATE(2026,3,17),tblDaily[WardCode],"FW")=0,"",SUMIFS(tblDaily[Remaining],tblDaily[EntryDate],DATE(2026,3,17),tblDaily[WardCode],"FW")),"")</f>
        <v>18</v>
      </c>
    </row>
    <row r="102" spans="1:8" x14ac:dyDescent="0.25">
      <c r="A102" s="29">
        <v>18</v>
      </c>
      <c r="B102" s="29" t="str">
        <f>IFERROR(IF(SUMIFS(tblDaily[Admissions],tblDaily[EntryDate],DATE(2026,3,18),tblDaily[WardCode],"FW")=0,"",SUMIFS(tblDaily[Admissions],tblDaily[EntryDate],DATE(2026,3,18),tblDaily[WardCode],"FW")),"")</f>
        <v/>
      </c>
      <c r="C102" s="29">
        <f>IFERROR(IF(SUMIFS(tblDaily[Discharges],tblDaily[EntryDate],DATE(2026,3,18),tblDaily[WardCode],"FW")=0,"",SUMIFS(tblDaily[Discharges],tblDaily[EntryDate],DATE(2026,3,18),tblDaily[WardCode],"FW")),"")</f>
        <v>8</v>
      </c>
      <c r="D102" s="29" t="str">
        <f>IFERROR(IF(SUMIFS(tblDaily[Deaths],tblDaily[EntryDate],DATE(2026,3,18),tblDaily[WardCode],"FW")=0,"",SUMIFS(tblDaily[Deaths],tblDaily[EntryDate],DATE(2026,3,18),tblDaily[WardCode],"FW")),"")</f>
        <v/>
      </c>
      <c r="E102" s="29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29">
        <f>IFERROR(IF(SUMIFS(tblDaily[TransfersIn],tblDaily[EntryDate],DATE(2026,3,18),tblDaily[WardCode],"FW")=0,"",SUMIFS(tblDaily[TransfersIn],tblDaily[EntryDate],DATE(2026,3,18),tblDaily[WardCode],"FW")),"")</f>
        <v>3</v>
      </c>
      <c r="G102" s="29" t="str">
        <f>IFERROR(IF(SUMIFS(tblDaily[TransfersOut],tblDaily[EntryDate],DATE(2026,3,18),tblDaily[WardCode],"FW")=0,"",SUMIFS(tblDaily[TransfersOut],tblDaily[EntryDate],DATE(2026,3,18),tblDaily[WardCode],"FW")),"")</f>
        <v/>
      </c>
      <c r="H102" s="29">
        <f>IFERROR(IF(SUMIFS(tblDaily[Remaining],tblDaily[EntryDate],DATE(2026,3,18),tblDaily[WardCode],"FW")=0,"",SUMIFS(tblDaily[Remaining],tblDaily[EntryDate],DATE(2026,3,18),tblDaily[WardCode],"FW")),"")</f>
        <v>13</v>
      </c>
    </row>
    <row r="103" spans="1:8" x14ac:dyDescent="0.25">
      <c r="A103" s="29">
        <v>19</v>
      </c>
      <c r="B103" s="29">
        <f>IFERROR(IF(SUMIFS(tblDaily[Admissions],tblDaily[EntryDate],DATE(2026,3,19),tblDaily[WardCode],"FW")=0,"",SUMIFS(tblDaily[Admissions],tblDaily[EntryDate],DATE(2026,3,19),tblDaily[WardCode],"FW")),"")</f>
        <v>3</v>
      </c>
      <c r="C103" s="29">
        <f>IFERROR(IF(SUMIFS(tblDaily[Discharges],tblDaily[EntryDate],DATE(2026,3,19),tblDaily[WardCode],"FW")=0,"",SUMIFS(tblDaily[Discharges],tblDaily[EntryDate],DATE(2026,3,19),tblDaily[WardCode],"FW")),"")</f>
        <v>5</v>
      </c>
      <c r="D103" s="29" t="str">
        <f>IFERROR(IF(SUMIFS(tblDaily[Deaths],tblDaily[EntryDate],DATE(2026,3,19),tblDaily[WardCode],"FW")=0,"",SUMIFS(tblDaily[Deaths],tblDaily[EntryDate],DATE(2026,3,19),tblDaily[WardCode],"FW")),"")</f>
        <v/>
      </c>
      <c r="E103" s="29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29">
        <f>IFERROR(IF(SUMIFS(tblDaily[TransfersIn],tblDaily[EntryDate],DATE(2026,3,19),tblDaily[WardCode],"FW")=0,"",SUMIFS(tblDaily[TransfersIn],tblDaily[EntryDate],DATE(2026,3,19),tblDaily[WardCode],"FW")),"")</f>
        <v>1</v>
      </c>
      <c r="G103" s="29" t="str">
        <f>IFERROR(IF(SUMIFS(tblDaily[TransfersOut],tblDaily[EntryDate],DATE(2026,3,19),tblDaily[WardCode],"FW")=0,"",SUMIFS(tblDaily[TransfersOut],tblDaily[EntryDate],DATE(2026,3,19),tblDaily[WardCode],"FW")),"")</f>
        <v/>
      </c>
      <c r="H103" s="29">
        <f>IFERROR(IF(SUMIFS(tblDaily[Remaining],tblDaily[EntryDate],DATE(2026,3,19),tblDaily[WardCode],"FW")=0,"",SUMIFS(tblDaily[Remaining],tblDaily[EntryDate],DATE(2026,3,19),tblDaily[WardCode],"FW")),"")</f>
        <v>12</v>
      </c>
    </row>
    <row r="104" spans="1:8" x14ac:dyDescent="0.25">
      <c r="A104" s="29">
        <v>20</v>
      </c>
      <c r="B104" s="29">
        <f>IFERROR(IF(SUMIFS(tblDaily[Admissions],tblDaily[EntryDate],DATE(2026,3,20),tblDaily[WardCode],"FW")=0,"",SUMIFS(tblDaily[Admissions],tblDaily[EntryDate],DATE(2026,3,20),tblDaily[WardCode],"FW")),"")</f>
        <v>3</v>
      </c>
      <c r="C104" s="29">
        <f>IFERROR(IF(SUMIFS(tblDaily[Discharges],tblDaily[EntryDate],DATE(2026,3,20),tblDaily[WardCode],"FW")=0,"",SUMIFS(tblDaily[Discharges],tblDaily[EntryDate],DATE(2026,3,20),tblDaily[WardCode],"FW")),"")</f>
        <v>3</v>
      </c>
      <c r="D104" s="29" t="str">
        <f>IFERROR(IF(SUMIFS(tblDaily[Deaths],tblDaily[EntryDate],DATE(2026,3,20),tblDaily[WardCode],"FW")=0,"",SUMIFS(tblDaily[Deaths],tblDaily[EntryDate],DATE(2026,3,20),tblDaily[WardCode],"FW")),"")</f>
        <v/>
      </c>
      <c r="E104" s="29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29">
        <f>IFERROR(IF(SUMIFS(tblDaily[TransfersIn],tblDaily[EntryDate],DATE(2026,3,20),tblDaily[WardCode],"FW")=0,"",SUMIFS(tblDaily[TransfersIn],tblDaily[EntryDate],DATE(2026,3,20),tblDaily[WardCode],"FW")),"")</f>
        <v>1</v>
      </c>
      <c r="G104" s="29" t="str">
        <f>IFERROR(IF(SUMIFS(tblDaily[TransfersOut],tblDaily[EntryDate],DATE(2026,3,20),tblDaily[WardCode],"FW")=0,"",SUMIFS(tblDaily[TransfersOut],tblDaily[EntryDate],DATE(2026,3,20),tblDaily[WardCode],"FW")),"")</f>
        <v/>
      </c>
      <c r="H104" s="29">
        <f>IFERROR(IF(SUMIFS(tblDaily[Remaining],tblDaily[EntryDate],DATE(2026,3,20),tblDaily[WardCode],"FW")=0,"",SUMIFS(tblDaily[Remaining],tblDaily[EntryDate],DATE(2026,3,20),tblDaily[WardCode],"FW")),"")</f>
        <v>13</v>
      </c>
    </row>
    <row r="105" spans="1:8" x14ac:dyDescent="0.25">
      <c r="A105" s="29">
        <v>21</v>
      </c>
      <c r="B105" s="29">
        <f>IFERROR(IF(SUMIFS(tblDaily[Admissions],tblDaily[EntryDate],DATE(2026,3,21),tblDaily[WardCode],"FW")=0,"",SUMIFS(tblDaily[Admissions],tblDaily[EntryDate],DATE(2026,3,21),tblDaily[WardCode],"FW")),"")</f>
        <v>3</v>
      </c>
      <c r="C105" s="29">
        <f>IFERROR(IF(SUMIFS(tblDaily[Discharges],tblDaily[EntryDate],DATE(2026,3,21),tblDaily[WardCode],"FW")=0,"",SUMIFS(tblDaily[Discharges],tblDaily[EntryDate],DATE(2026,3,21),tblDaily[WardCode],"FW")),"")</f>
        <v>2</v>
      </c>
      <c r="D105" s="29" t="str">
        <f>IFERROR(IF(SUMIFS(tblDaily[Deaths],tblDaily[EntryDate],DATE(2026,3,21),tblDaily[WardCode],"FW")=0,"",SUMIFS(tblDaily[Deaths],tblDaily[EntryDate],DATE(2026,3,21),tblDaily[WardCode],"FW")),"")</f>
        <v/>
      </c>
      <c r="E105" s="29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29">
        <f>IFERROR(IF(SUMIFS(tblDaily[TransfersIn],tblDaily[EntryDate],DATE(2026,3,21),tblDaily[WardCode],"FW")=0,"",SUMIFS(tblDaily[TransfersIn],tblDaily[EntryDate],DATE(2026,3,21),tblDaily[WardCode],"FW")),"")</f>
        <v>1</v>
      </c>
      <c r="G105" s="29" t="str">
        <f>IFERROR(IF(SUMIFS(tblDaily[TransfersOut],tblDaily[EntryDate],DATE(2026,3,21),tblDaily[WardCode],"FW")=0,"",SUMIFS(tblDaily[TransfersOut],tblDaily[EntryDate],DATE(2026,3,21),tblDaily[WardCode],"FW")),"")</f>
        <v/>
      </c>
      <c r="H105" s="29">
        <f>IFERROR(IF(SUMIFS(tblDaily[Remaining],tblDaily[EntryDate],DATE(2026,3,21),tblDaily[WardCode],"FW")=0,"",SUMIFS(tblDaily[Remaining],tblDaily[EntryDate],DATE(2026,3,21),tblDaily[WardCode],"FW")),"")</f>
        <v>15</v>
      </c>
    </row>
    <row r="106" spans="1:8" x14ac:dyDescent="0.25">
      <c r="A106" s="29">
        <v>22</v>
      </c>
      <c r="B106" s="29">
        <f>IFERROR(IF(SUMIFS(tblDaily[Admissions],tblDaily[EntryDate],DATE(2026,3,22),tblDaily[WardCode],"FW")=0,"",SUMIFS(tblDaily[Admissions],tblDaily[EntryDate],DATE(2026,3,22),tblDaily[WardCode],"FW")),"")</f>
        <v>3</v>
      </c>
      <c r="C106" s="29">
        <f>IFERROR(IF(SUMIFS(tblDaily[Discharges],tblDaily[EntryDate],DATE(2026,3,22),tblDaily[WardCode],"FW")=0,"",SUMIFS(tblDaily[Discharges],tblDaily[EntryDate],DATE(2026,3,22),tblDaily[WardCode],"FW")),"")</f>
        <v>4</v>
      </c>
      <c r="D106" s="29" t="str">
        <f>IFERROR(IF(SUMIFS(tblDaily[Deaths],tblDaily[EntryDate],DATE(2026,3,22),tblDaily[WardCode],"FW")=0,"",SUMIFS(tblDaily[Deaths],tblDaily[EntryDate],DATE(2026,3,22),tblDaily[WardCode],"FW")),"")</f>
        <v/>
      </c>
      <c r="E106" s="29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29" t="str">
        <f>IFERROR(IF(SUMIFS(tblDaily[TransfersIn],tblDaily[EntryDate],DATE(2026,3,22),tblDaily[WardCode],"FW")=0,"",SUMIFS(tblDaily[TransfersIn],tblDaily[EntryDate],DATE(2026,3,22),tblDaily[WardCode],"FW")),"")</f>
        <v/>
      </c>
      <c r="G106" s="29" t="str">
        <f>IFERROR(IF(SUMIFS(tblDaily[TransfersOut],tblDaily[EntryDate],DATE(2026,3,22),tblDaily[WardCode],"FW")=0,"",SUMIFS(tblDaily[TransfersOut],tblDaily[EntryDate],DATE(2026,3,22),tblDaily[WardCode],"FW")),"")</f>
        <v/>
      </c>
      <c r="H106" s="29">
        <f>IFERROR(IF(SUMIFS(tblDaily[Remaining],tblDaily[EntryDate],DATE(2026,3,22),tblDaily[WardCode],"FW")=0,"",SUMIFS(tblDaily[Remaining],tblDaily[EntryDate],DATE(2026,3,22),tblDaily[WardCode],"FW")),"")</f>
        <v>14</v>
      </c>
    </row>
    <row r="107" spans="1:8" x14ac:dyDescent="0.25">
      <c r="A107" s="29">
        <v>23</v>
      </c>
      <c r="B107" s="29">
        <f>IFERROR(IF(SUMIFS(tblDaily[Admissions],tblDaily[EntryDate],DATE(2026,3,23),tblDaily[WardCode],"FW")=0,"",SUMIFS(tblDaily[Admissions],tblDaily[EntryDate],DATE(2026,3,23),tblDaily[WardCode],"FW")),"")</f>
        <v>3</v>
      </c>
      <c r="C107" s="29">
        <f>IFERROR(IF(SUMIFS(tblDaily[Discharges],tblDaily[EntryDate],DATE(2026,3,23),tblDaily[WardCode],"FW")=0,"",SUMIFS(tblDaily[Discharges],tblDaily[EntryDate],DATE(2026,3,23),tblDaily[WardCode],"FW")),"")</f>
        <v>2</v>
      </c>
      <c r="D107" s="29" t="str">
        <f>IFERROR(IF(SUMIFS(tblDaily[Deaths],tblDaily[EntryDate],DATE(2026,3,23),tblDaily[WardCode],"FW")=0,"",SUMIFS(tblDaily[Deaths],tblDaily[EntryDate],DATE(2026,3,23),tblDaily[WardCode],"FW")),"")</f>
        <v/>
      </c>
      <c r="E107" s="29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29">
        <f>IFERROR(IF(SUMIFS(tblDaily[TransfersIn],tblDaily[EntryDate],DATE(2026,3,23),tblDaily[WardCode],"FW")=0,"",SUMIFS(tblDaily[TransfersIn],tblDaily[EntryDate],DATE(2026,3,23),tblDaily[WardCode],"FW")),"")</f>
        <v>1</v>
      </c>
      <c r="G107" s="29" t="str">
        <f>IFERROR(IF(SUMIFS(tblDaily[TransfersOut],tblDaily[EntryDate],DATE(2026,3,23),tblDaily[WardCode],"FW")=0,"",SUMIFS(tblDaily[TransfersOut],tblDaily[EntryDate],DATE(2026,3,23),tblDaily[WardCode],"FW")),"")</f>
        <v/>
      </c>
      <c r="H107" s="29">
        <f>IFERROR(IF(SUMIFS(tblDaily[Remaining],tblDaily[EntryDate],DATE(2026,3,23),tblDaily[WardCode],"FW")=0,"",SUMIFS(tblDaily[Remaining],tblDaily[EntryDate],DATE(2026,3,23),tblDaily[WardCode],"FW")),"")</f>
        <v>16</v>
      </c>
    </row>
    <row r="108" spans="1:8" x14ac:dyDescent="0.25">
      <c r="A108" s="29">
        <v>24</v>
      </c>
      <c r="B108" s="29">
        <f>IFERROR(IF(SUMIFS(tblDaily[Admissions],tblDaily[EntryDate],DATE(2026,3,24),tblDaily[WardCode],"FW")=0,"",SUMIFS(tblDaily[Admissions],tblDaily[EntryDate],DATE(2026,3,24),tblDaily[WardCode],"FW")),"")</f>
        <v>7</v>
      </c>
      <c r="C108" s="29">
        <f>IFERROR(IF(SUMIFS(tblDaily[Discharges],tblDaily[EntryDate],DATE(2026,3,24),tblDaily[WardCode],"FW")=0,"",SUMIFS(tblDaily[Discharges],tblDaily[EntryDate],DATE(2026,3,24),tblDaily[WardCode],"FW")),"")</f>
        <v>6</v>
      </c>
      <c r="D108" s="29" t="str">
        <f>IFERROR(IF(SUMIFS(tblDaily[Deaths],tblDaily[EntryDate],DATE(2026,3,24),tblDaily[WardCode],"FW")=0,"",SUMIFS(tblDaily[Deaths],tblDaily[EntryDate],DATE(2026,3,24),tblDaily[WardCode],"FW")),"")</f>
        <v/>
      </c>
      <c r="E108" s="29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29">
        <f>IFERROR(IF(SUMIFS(tblDaily[TransfersIn],tblDaily[EntryDate],DATE(2026,3,24),tblDaily[WardCode],"FW")=0,"",SUMIFS(tblDaily[TransfersIn],tblDaily[EntryDate],DATE(2026,3,24),tblDaily[WardCode],"FW")),"")</f>
        <v>2</v>
      </c>
      <c r="G108" s="29" t="str">
        <f>IFERROR(IF(SUMIFS(tblDaily[TransfersOut],tblDaily[EntryDate],DATE(2026,3,24),tblDaily[WardCode],"FW")=0,"",SUMIFS(tblDaily[TransfersOut],tblDaily[EntryDate],DATE(2026,3,24),tblDaily[WardCode],"FW")),"")</f>
        <v/>
      </c>
      <c r="H108" s="29">
        <f>IFERROR(IF(SUMIFS(tblDaily[Remaining],tblDaily[EntryDate],DATE(2026,3,24),tblDaily[WardCode],"FW")=0,"",SUMIFS(tblDaily[Remaining],tblDaily[EntryDate],DATE(2026,3,24),tblDaily[WardCode],"FW")),"")</f>
        <v>19</v>
      </c>
    </row>
    <row r="109" spans="1:8" x14ac:dyDescent="0.25">
      <c r="A109" s="29">
        <v>25</v>
      </c>
      <c r="B109" s="29">
        <f>IFERROR(IF(SUMIFS(tblDaily[Admissions],tblDaily[EntryDate],DATE(2026,3,25),tblDaily[WardCode],"FW")=0,"",SUMIFS(tblDaily[Admissions],tblDaily[EntryDate],DATE(2026,3,25),tblDaily[WardCode],"FW")),"")</f>
        <v>3</v>
      </c>
      <c r="C109" s="29">
        <f>IFERROR(IF(SUMIFS(tblDaily[Discharges],tblDaily[EntryDate],DATE(2026,3,25),tblDaily[WardCode],"FW")=0,"",SUMIFS(tblDaily[Discharges],tblDaily[EntryDate],DATE(2026,3,25),tblDaily[WardCode],"FW")),"")</f>
        <v>2</v>
      </c>
      <c r="D109" s="29">
        <f>IFERROR(IF(SUMIFS(tblDaily[Deaths],tblDaily[EntryDate],DATE(2026,3,25),tblDaily[WardCode],"FW")=0,"",SUMIFS(tblDaily[Deaths],tblDaily[EntryDate],DATE(2026,3,25),tblDaily[WardCode],"FW")),"")</f>
        <v>1</v>
      </c>
      <c r="E109" s="29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29" t="str">
        <f>IFERROR(IF(SUMIFS(tblDaily[TransfersIn],tblDaily[EntryDate],DATE(2026,3,25),tblDaily[WardCode],"FW")=0,"",SUMIFS(tblDaily[TransfersIn],tblDaily[EntryDate],DATE(2026,3,25),tblDaily[WardCode],"FW")),"")</f>
        <v/>
      </c>
      <c r="G109" s="29" t="str">
        <f>IFERROR(IF(SUMIFS(tblDaily[TransfersOut],tblDaily[EntryDate],DATE(2026,3,25),tblDaily[WardCode],"FW")=0,"",SUMIFS(tblDaily[TransfersOut],tblDaily[EntryDate],DATE(2026,3,25),tblDaily[WardCode],"FW")),"")</f>
        <v/>
      </c>
      <c r="H109" s="29">
        <f>IFERROR(IF(SUMIFS(tblDaily[Remaining],tblDaily[EntryDate],DATE(2026,3,25),tblDaily[WardCode],"FW")=0,"",SUMIFS(tblDaily[Remaining],tblDaily[EntryDate],DATE(2026,3,25),tblDaily[WardCode],"FW")),"")</f>
        <v>19</v>
      </c>
    </row>
    <row r="110" spans="1:8" x14ac:dyDescent="0.25">
      <c r="A110" s="29">
        <v>26</v>
      </c>
      <c r="B110" s="29">
        <f>IFERROR(IF(SUMIFS(tblDaily[Admissions],tblDaily[EntryDate],DATE(2026,3,26),tblDaily[WardCode],"FW")=0,"",SUMIFS(tblDaily[Admissions],tblDaily[EntryDate],DATE(2026,3,26),tblDaily[WardCode],"FW")),"")</f>
        <v>3</v>
      </c>
      <c r="C110" s="29">
        <f>IFERROR(IF(SUMIFS(tblDaily[Discharges],tblDaily[EntryDate],DATE(2026,3,26),tblDaily[WardCode],"FW")=0,"",SUMIFS(tblDaily[Discharges],tblDaily[EntryDate],DATE(2026,3,26),tblDaily[WardCode],"FW")),"")</f>
        <v>5</v>
      </c>
      <c r="D110" s="29" t="str">
        <f>IFERROR(IF(SUMIFS(tblDaily[Deaths],tblDaily[EntryDate],DATE(2026,3,26),tblDaily[WardCode],"FW")=0,"",SUMIFS(tblDaily[Deaths],tblDaily[EntryDate],DATE(2026,3,26),tblDaily[WardCode],"FW")),"")</f>
        <v/>
      </c>
      <c r="E110" s="29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29">
        <f>IFERROR(IF(SUMIFS(tblDaily[TransfersIn],tblDaily[EntryDate],DATE(2026,3,26),tblDaily[WardCode],"FW")=0,"",SUMIFS(tblDaily[TransfersIn],tblDaily[EntryDate],DATE(2026,3,26),tblDaily[WardCode],"FW")),"")</f>
        <v>1</v>
      </c>
      <c r="G110" s="29" t="str">
        <f>IFERROR(IF(SUMIFS(tblDaily[TransfersOut],tblDaily[EntryDate],DATE(2026,3,26),tblDaily[WardCode],"FW")=0,"",SUMIFS(tblDaily[TransfersOut],tblDaily[EntryDate],DATE(2026,3,26),tblDaily[WardCode],"FW")),"")</f>
        <v/>
      </c>
      <c r="H110" s="29">
        <f>IFERROR(IF(SUMIFS(tblDaily[Remaining],tblDaily[EntryDate],DATE(2026,3,26),tblDaily[WardCode],"FW")=0,"",SUMIFS(tblDaily[Remaining],tblDaily[EntryDate],DATE(2026,3,26),tblDaily[WardCode],"FW")),"")</f>
        <v>18</v>
      </c>
    </row>
    <row r="111" spans="1:8" x14ac:dyDescent="0.25">
      <c r="A111" s="29">
        <v>27</v>
      </c>
      <c r="B111" s="29">
        <f>IFERROR(IF(SUMIFS(tblDaily[Admissions],tblDaily[EntryDate],DATE(2026,3,27),tblDaily[WardCode],"FW")=0,"",SUMIFS(tblDaily[Admissions],tblDaily[EntryDate],DATE(2026,3,27),tblDaily[WardCode],"FW")),"")</f>
        <v>1</v>
      </c>
      <c r="C111" s="29">
        <f>IFERROR(IF(SUMIFS(tblDaily[Discharges],tblDaily[EntryDate],DATE(2026,3,27),tblDaily[WardCode],"FW")=0,"",SUMIFS(tblDaily[Discharges],tblDaily[EntryDate],DATE(2026,3,27),tblDaily[WardCode],"FW")),"")</f>
        <v>5</v>
      </c>
      <c r="D111" s="29" t="str">
        <f>IFERROR(IF(SUMIFS(tblDaily[Deaths],tblDaily[EntryDate],DATE(2026,3,27),tblDaily[WardCode],"FW")=0,"",SUMIFS(tblDaily[Deaths],tblDaily[EntryDate],DATE(2026,3,27),tblDaily[WardCode],"FW")),"")</f>
        <v/>
      </c>
      <c r="E111" s="29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29">
        <f>IFERROR(IF(SUMIFS(tblDaily[TransfersIn],tblDaily[EntryDate],DATE(2026,3,27),tblDaily[WardCode],"FW")=0,"",SUMIFS(tblDaily[TransfersIn],tblDaily[EntryDate],DATE(2026,3,27),tblDaily[WardCode],"FW")),"")</f>
        <v>2</v>
      </c>
      <c r="G111" s="29" t="str">
        <f>IFERROR(IF(SUMIFS(tblDaily[TransfersOut],tblDaily[EntryDate],DATE(2026,3,27),tblDaily[WardCode],"FW")=0,"",SUMIFS(tblDaily[TransfersOut],tblDaily[EntryDate],DATE(2026,3,27),tblDaily[WardCode],"FW")),"")</f>
        <v/>
      </c>
      <c r="H111" s="29">
        <f>IFERROR(IF(SUMIFS(tblDaily[Remaining],tblDaily[EntryDate],DATE(2026,3,27),tblDaily[WardCode],"FW")=0,"",SUMIFS(tblDaily[Remaining],tblDaily[EntryDate],DATE(2026,3,27),tblDaily[WardCode],"FW")),"")</f>
        <v>16</v>
      </c>
    </row>
    <row r="112" spans="1:8" x14ac:dyDescent="0.25">
      <c r="A112" s="29">
        <v>28</v>
      </c>
      <c r="B112" s="29">
        <f>IFERROR(IF(SUMIFS(tblDaily[Admissions],tblDaily[EntryDate],DATE(2026,3,28),tblDaily[WardCode],"FW")=0,"",SUMIFS(tblDaily[Admissions],tblDaily[EntryDate],DATE(2026,3,28),tblDaily[WardCode],"FW")),"")</f>
        <v>3</v>
      </c>
      <c r="C112" s="29">
        <f>IFERROR(IF(SUMIFS(tblDaily[Discharges],tblDaily[EntryDate],DATE(2026,3,28),tblDaily[WardCode],"FW")=0,"",SUMIFS(tblDaily[Discharges],tblDaily[EntryDate],DATE(2026,3,28),tblDaily[WardCode],"FW")),"")</f>
        <v>2</v>
      </c>
      <c r="D112" s="29" t="str">
        <f>IFERROR(IF(SUMIFS(tblDaily[Deaths],tblDaily[EntryDate],DATE(2026,3,28),tblDaily[WardCode],"FW")=0,"",SUMIFS(tblDaily[Deaths],tblDaily[EntryDate],DATE(2026,3,28),tblDaily[WardCode],"FW")),"")</f>
        <v/>
      </c>
      <c r="E112" s="29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29" t="str">
        <f>IFERROR(IF(SUMIFS(tblDaily[TransfersIn],tblDaily[EntryDate],DATE(2026,3,28),tblDaily[WardCode],"FW")=0,"",SUMIFS(tblDaily[TransfersIn],tblDaily[EntryDate],DATE(2026,3,28),tblDaily[WardCode],"FW")),"")</f>
        <v/>
      </c>
      <c r="G112" s="29" t="str">
        <f>IFERROR(IF(SUMIFS(tblDaily[TransfersOut],tblDaily[EntryDate],DATE(2026,3,28),tblDaily[WardCode],"FW")=0,"",SUMIFS(tblDaily[TransfersOut],tblDaily[EntryDate],DATE(2026,3,28),tblDaily[WardCode],"FW")),"")</f>
        <v/>
      </c>
      <c r="H112" s="29">
        <f>IFERROR(IF(SUMIFS(tblDaily[Remaining],tblDaily[EntryDate],DATE(2026,3,28),tblDaily[WardCode],"FW")=0,"",SUMIFS(tblDaily[Remaining],tblDaily[EntryDate],DATE(2026,3,28),tblDaily[WardCode],"FW")),"")</f>
        <v>17</v>
      </c>
    </row>
    <row r="113" spans="1:8" x14ac:dyDescent="0.25">
      <c r="A113" s="29">
        <v>29</v>
      </c>
      <c r="B113" s="29">
        <f>IFERROR(IF(SUMIFS(tblDaily[Admissions],tblDaily[EntryDate],DATE(2026,3,29),tblDaily[WardCode],"FW")=0,"",SUMIFS(tblDaily[Admissions],tblDaily[EntryDate],DATE(2026,3,29),tblDaily[WardCode],"FW")),"")</f>
        <v>2</v>
      </c>
      <c r="C113" s="29">
        <f>IFERROR(IF(SUMIFS(tblDaily[Discharges],tblDaily[EntryDate],DATE(2026,3,29),tblDaily[WardCode],"FW")=0,"",SUMIFS(tblDaily[Discharges],tblDaily[EntryDate],DATE(2026,3,29),tblDaily[WardCode],"FW")),"")</f>
        <v>6</v>
      </c>
      <c r="D113" s="29" t="str">
        <f>IFERROR(IF(SUMIFS(tblDaily[Deaths],tblDaily[EntryDate],DATE(2026,3,29),tblDaily[WardCode],"FW")=0,"",SUMIFS(tblDaily[Deaths],tblDaily[EntryDate],DATE(2026,3,29),tblDaily[WardCode],"FW")),"")</f>
        <v/>
      </c>
      <c r="E113" s="29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29" t="str">
        <f>IFERROR(IF(SUMIFS(tblDaily[TransfersIn],tblDaily[EntryDate],DATE(2026,3,29),tblDaily[WardCode],"FW")=0,"",SUMIFS(tblDaily[TransfersIn],tblDaily[EntryDate],DATE(2026,3,29),tblDaily[WardCode],"FW")),"")</f>
        <v/>
      </c>
      <c r="G113" s="29" t="str">
        <f>IFERROR(IF(SUMIFS(tblDaily[TransfersOut],tblDaily[EntryDate],DATE(2026,3,29),tblDaily[WardCode],"FW")=0,"",SUMIFS(tblDaily[TransfersOut],tblDaily[EntryDate],DATE(2026,3,29),tblDaily[WardCode],"FW")),"")</f>
        <v/>
      </c>
      <c r="H113" s="29">
        <f>IFERROR(IF(SUMIFS(tblDaily[Remaining],tblDaily[EntryDate],DATE(2026,3,29),tblDaily[WardCode],"FW")=0,"",SUMIFS(tblDaily[Remaining],tblDaily[EntryDate],DATE(2026,3,29),tblDaily[WardCode],"FW")),"")</f>
        <v>13</v>
      </c>
    </row>
    <row r="114" spans="1:8" x14ac:dyDescent="0.25">
      <c r="A114" s="29">
        <v>30</v>
      </c>
      <c r="B114" s="29">
        <f>IFERROR(IF(SUMIFS(tblDaily[Admissions],tblDaily[EntryDate],DATE(2026,3,30),tblDaily[WardCode],"FW")=0,"",SUMIFS(tblDaily[Admissions],tblDaily[EntryDate],DATE(2026,3,30),tblDaily[WardCode],"FW")),"")</f>
        <v>2</v>
      </c>
      <c r="C114" s="29">
        <f>IFERROR(IF(SUMIFS(tblDaily[Discharges],tblDaily[EntryDate],DATE(2026,3,30),tblDaily[WardCode],"FW")=0,"",SUMIFS(tblDaily[Discharges],tblDaily[EntryDate],DATE(2026,3,30),tblDaily[WardCode],"FW")),"")</f>
        <v>3</v>
      </c>
      <c r="D114" s="29" t="str">
        <f>IFERROR(IF(SUMIFS(tblDaily[Deaths],tblDaily[EntryDate],DATE(2026,3,30),tblDaily[WardCode],"FW")=0,"",SUMIFS(tblDaily[Deaths],tblDaily[EntryDate],DATE(2026,3,30),tblDaily[WardCode],"FW")),"")</f>
        <v/>
      </c>
      <c r="E114" s="29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29" t="str">
        <f>IFERROR(IF(SUMIFS(tblDaily[TransfersIn],tblDaily[EntryDate],DATE(2026,3,30),tblDaily[WardCode],"FW")=0,"",SUMIFS(tblDaily[TransfersIn],tblDaily[EntryDate],DATE(2026,3,30),tblDaily[WardCode],"FW")),"")</f>
        <v/>
      </c>
      <c r="G114" s="29" t="str">
        <f>IFERROR(IF(SUMIFS(tblDaily[TransfersOut],tblDaily[EntryDate],DATE(2026,3,30),tblDaily[WardCode],"FW")=0,"",SUMIFS(tblDaily[TransfersOut],tblDaily[EntryDate],DATE(2026,3,30),tblDaily[WardCode],"FW")),"")</f>
        <v/>
      </c>
      <c r="H114" s="29">
        <f>IFERROR(IF(SUMIFS(tblDaily[Remaining],tblDaily[EntryDate],DATE(2026,3,30),tblDaily[WardCode],"FW")=0,"",SUMIFS(tblDaily[Remaining],tblDaily[EntryDate],DATE(2026,3,30),tblDaily[WardCode],"FW")),"")</f>
        <v>12</v>
      </c>
    </row>
    <row r="115" spans="1:8" x14ac:dyDescent="0.25">
      <c r="A115" s="29">
        <v>31</v>
      </c>
      <c r="B115" s="29">
        <f>IFERROR(IF(SUMIFS(tblDaily[Admissions],tblDaily[EntryDate],DATE(2026,3,31),tblDaily[WardCode],"FW")=0,"",SUMIFS(tblDaily[Admissions],tblDaily[EntryDate],DATE(2026,3,31),tblDaily[WardCode],"FW")),"")</f>
        <v>5</v>
      </c>
      <c r="C115" s="29">
        <f>IFERROR(IF(SUMIFS(tblDaily[Discharges],tblDaily[EntryDate],DATE(2026,3,31),tblDaily[WardCode],"FW")=0,"",SUMIFS(tblDaily[Discharges],tblDaily[EntryDate],DATE(2026,3,31),tblDaily[WardCode],"FW")),"")</f>
        <v>4</v>
      </c>
      <c r="D115" s="29" t="str">
        <f>IFERROR(IF(SUMIFS(tblDaily[Deaths],tblDaily[EntryDate],DATE(2026,3,31),tblDaily[WardCode],"FW")=0,"",SUMIFS(tblDaily[Deaths],tblDaily[EntryDate],DATE(2026,3,31),tblDaily[WardCode],"FW")),"")</f>
        <v/>
      </c>
      <c r="E115" s="29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29">
        <f>IFERROR(IF(SUMIFS(tblDaily[TransfersIn],tblDaily[EntryDate],DATE(2026,3,31),tblDaily[WardCode],"FW")=0,"",SUMIFS(tblDaily[TransfersIn],tblDaily[EntryDate],DATE(2026,3,31),tblDaily[WardCode],"FW")),"")</f>
        <v>1</v>
      </c>
      <c r="G115" s="29" t="str">
        <f>IFERROR(IF(SUMIFS(tblDaily[TransfersOut],tblDaily[EntryDate],DATE(2026,3,31),tblDaily[WardCode],"FW")=0,"",SUMIFS(tblDaily[TransfersOut],tblDaily[EntryDate],DATE(2026,3,31),tblDaily[WardCode],"FW")),"")</f>
        <v/>
      </c>
      <c r="H115" s="29">
        <f>IFERROR(IF(SUMIFS(tblDaily[Remaining],tblDaily[EntryDate],DATE(2026,3,31),tblDaily[WardCode],"FW")=0,"",SUMIFS(tblDaily[Remaining],tblDaily[EntryDate],DATE(2026,3,31),tblDaily[WardCode],"FW")),"")</f>
        <v>14</v>
      </c>
    </row>
    <row r="116" spans="1:8" x14ac:dyDescent="0.25">
      <c r="A116" s="30" t="s">
        <v>115</v>
      </c>
      <c r="B116" s="30">
        <f>SUMIFS(tblDaily[Admissions],tblDaily[Month],3,tblDaily[WardCode],"FW") - SUMIFS(tblDaily[DeathsUnder24Hrs],tblDaily[Month],3,tblDaily[WardCode],"FW")</f>
        <v>77</v>
      </c>
      <c r="C116" s="30">
        <f>SUMIFS(tblDaily[Discharges],tblDaily[Month],3,tblDaily[WardCode],"FW")</f>
        <v>95</v>
      </c>
      <c r="D116" s="30">
        <f>SUMIFS(tblDaily[Deaths],tblDaily[Month],3,tblDaily[WardCode],"FW")</f>
        <v>4</v>
      </c>
      <c r="E116" s="30">
        <f>SUMIFS(tblDaily[DeathsUnder24Hrs],tblDaily[Month],3,tblDaily[WardCode],"FW")</f>
        <v>0</v>
      </c>
      <c r="F116" s="30">
        <f>SUMIFS(tblDaily[TransfersIn],tblDaily[Month],3,tblDaily[WardCode],"FW")</f>
        <v>22</v>
      </c>
      <c r="G116" s="30">
        <f>SUMIFS(tblDaily[TransfersOut],tblDaily[Month],3,tblDaily[WardCode],"FW")</f>
        <v>0</v>
      </c>
      <c r="H116" s="30">
        <f>SUMIFS(tblDaily[Remaining],tblDaily[Month],3,tblDaily[WardCode],"FW")</f>
        <v>466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116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IFERROR(SUMIFS(tblDaily[Remaining],tblDaily[EntryDate],DATE(2026,3,31),tblDaily[WardCode],"FW"),0)</f>
        <v>14</v>
      </c>
    </row>
    <row r="122" spans="1:8" x14ac:dyDescent="0.25">
      <c r="A122" s="24" t="s">
        <v>109</v>
      </c>
      <c r="H122" s="27">
        <f>IFERROR(INDEX(tblWardConfig[BedComplement],MATCH("FW",tblWardConfig[WardCode],0)),0)</f>
        <v>28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IFERROR(IF(SUMIFS(tblDaily[Admissions],tblDaily[EntryDate],DATE(2026,4,1),tblDaily[WardCode],"FW")=0,"",SUMIFS(tblDaily[Admissions],tblDaily[EntryDate],DATE(2026,4,1),tblDaily[WardCode],"FW")),"")</f>
        <v>7</v>
      </c>
      <c r="C124" s="29">
        <f>IFERROR(IF(SUMIFS(tblDaily[Discharges],tblDaily[EntryDate],DATE(2026,4,1),tblDaily[WardCode],"FW")=0,"",SUMIFS(tblDaily[Discharges],tblDaily[EntryDate],DATE(2026,4,1),tblDaily[WardCode],"FW")),"")</f>
        <v>4</v>
      </c>
      <c r="D124" s="29">
        <f>IFERROR(IF(SUMIFS(tblDaily[Deaths],tblDaily[EntryDate],DATE(2026,4,1),tblDaily[WardCode],"FW")=0,"",SUMIFS(tblDaily[Deaths],tblDaily[EntryDate],DATE(2026,4,1),tblDaily[WardCode],"FW")),"")</f>
        <v>1</v>
      </c>
      <c r="E124" s="29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29" t="str">
        <f>IFERROR(IF(SUMIFS(tblDaily[TransfersIn],tblDaily[EntryDate],DATE(2026,4,1),tblDaily[WardCode],"FW")=0,"",SUMIFS(tblDaily[TransfersIn],tblDaily[EntryDate],DATE(2026,4,1),tblDaily[WardCode],"FW")),"")</f>
        <v/>
      </c>
      <c r="G124" s="29" t="str">
        <f>IFERROR(IF(SUMIFS(tblDaily[TransfersOut],tblDaily[EntryDate],DATE(2026,4,1),tblDaily[WardCode],"FW")=0,"",SUMIFS(tblDaily[TransfersOut],tblDaily[EntryDate],DATE(2026,4,1),tblDaily[WardCode],"FW")),"")</f>
        <v/>
      </c>
      <c r="H124" s="29">
        <f>IFERROR(IF(SUMIFS(tblDaily[Remaining],tblDaily[EntryDate],DATE(2026,4,1),tblDaily[WardCode],"FW")=0,"",SUMIFS(tblDaily[Remaining],tblDaily[EntryDate],DATE(2026,4,1),tblDaily[WardCode],"FW")),"")</f>
        <v>16</v>
      </c>
    </row>
    <row r="125" spans="1:8" x14ac:dyDescent="0.25">
      <c r="A125" s="29">
        <v>2</v>
      </c>
      <c r="B125" s="29">
        <f>IFERROR(IF(SUMIFS(tblDaily[Admissions],tblDaily[EntryDate],DATE(2026,4,2),tblDaily[WardCode],"FW")=0,"",SUMIFS(tblDaily[Admissions],tblDaily[EntryDate],DATE(2026,4,2),tblDaily[WardCode],"FW")),"")</f>
        <v>3</v>
      </c>
      <c r="C125" s="29">
        <f>IFERROR(IF(SUMIFS(tblDaily[Discharges],tblDaily[EntryDate],DATE(2026,4,2),tblDaily[WardCode],"FW")=0,"",SUMIFS(tblDaily[Discharges],tblDaily[EntryDate],DATE(2026,4,2),tblDaily[WardCode],"FW")),"")</f>
        <v>3</v>
      </c>
      <c r="D125" s="29" t="str">
        <f>IFERROR(IF(SUMIFS(tblDaily[Deaths],tblDaily[EntryDate],DATE(2026,4,2),tblDaily[WardCode],"FW")=0,"",SUMIFS(tblDaily[Deaths],tblDaily[EntryDate],DATE(2026,4,2),tblDaily[WardCode],"FW")),"")</f>
        <v/>
      </c>
      <c r="E125" s="29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29">
        <f>IFERROR(IF(SUMIFS(tblDaily[TransfersIn],tblDaily[EntryDate],DATE(2026,4,2),tblDaily[WardCode],"FW")=0,"",SUMIFS(tblDaily[TransfersIn],tblDaily[EntryDate],DATE(2026,4,2),tblDaily[WardCode],"FW")),"")</f>
        <v>2</v>
      </c>
      <c r="G125" s="29" t="str">
        <f>IFERROR(IF(SUMIFS(tblDaily[TransfersOut],tblDaily[EntryDate],DATE(2026,4,2),tblDaily[WardCode],"FW")=0,"",SUMIFS(tblDaily[TransfersOut],tblDaily[EntryDate],DATE(2026,4,2),tblDaily[WardCode],"FW")),"")</f>
        <v/>
      </c>
      <c r="H125" s="29">
        <f>IFERROR(IF(SUMIFS(tblDaily[Remaining],tblDaily[EntryDate],DATE(2026,4,2),tblDaily[WardCode],"FW")=0,"",SUMIFS(tblDaily[Remaining],tblDaily[EntryDate],DATE(2026,4,2),tblDaily[WardCode],"FW")),"")</f>
        <v>18</v>
      </c>
    </row>
    <row r="126" spans="1:8" x14ac:dyDescent="0.25">
      <c r="A126" s="29">
        <v>3</v>
      </c>
      <c r="B126" s="29">
        <f>IFERROR(IF(SUMIFS(tblDaily[Admissions],tblDaily[EntryDate],DATE(2026,4,3),tblDaily[WardCode],"FW")=0,"",SUMIFS(tblDaily[Admissions],tblDaily[EntryDate],DATE(2026,4,3),tblDaily[WardCode],"FW")),"")</f>
        <v>1</v>
      </c>
      <c r="C126" s="29">
        <f>IFERROR(IF(SUMIFS(tblDaily[Discharges],tblDaily[EntryDate],DATE(2026,4,3),tblDaily[WardCode],"FW")=0,"",SUMIFS(tblDaily[Discharges],tblDaily[EntryDate],DATE(2026,4,3),tblDaily[WardCode],"FW")),"")</f>
        <v>2</v>
      </c>
      <c r="D126" s="29">
        <f>IFERROR(IF(SUMIFS(tblDaily[Deaths],tblDaily[EntryDate],DATE(2026,4,3),tblDaily[WardCode],"FW")=0,"",SUMIFS(tblDaily[Deaths],tblDaily[EntryDate],DATE(2026,4,3),tblDaily[WardCode],"FW")),"")</f>
        <v>1</v>
      </c>
      <c r="E126" s="29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29" t="str">
        <f>IFERROR(IF(SUMIFS(tblDaily[TransfersIn],tblDaily[EntryDate],DATE(2026,4,3),tblDaily[WardCode],"FW")=0,"",SUMIFS(tblDaily[TransfersIn],tblDaily[EntryDate],DATE(2026,4,3),tblDaily[WardCode],"FW")),"")</f>
        <v/>
      </c>
      <c r="G126" s="29" t="str">
        <f>IFERROR(IF(SUMIFS(tblDaily[TransfersOut],tblDaily[EntryDate],DATE(2026,4,3),tblDaily[WardCode],"FW")=0,"",SUMIFS(tblDaily[TransfersOut],tblDaily[EntryDate],DATE(2026,4,3),tblDaily[WardCode],"FW")),"")</f>
        <v/>
      </c>
      <c r="H126" s="29">
        <f>IFERROR(IF(SUMIFS(tblDaily[Remaining],tblDaily[EntryDate],DATE(2026,4,3),tblDaily[WardCode],"FW")=0,"",SUMIFS(tblDaily[Remaining],tblDaily[EntryDate],DATE(2026,4,3),tblDaily[WardCode],"FW")),"")</f>
        <v>16</v>
      </c>
    </row>
    <row r="127" spans="1:8" x14ac:dyDescent="0.25">
      <c r="A127" s="29">
        <v>4</v>
      </c>
      <c r="B127" s="29">
        <f>IFERROR(IF(SUMIFS(tblDaily[Admissions],tblDaily[EntryDate],DATE(2026,4,4),tblDaily[WardCode],"FW")=0,"",SUMIFS(tblDaily[Admissions],tblDaily[EntryDate],DATE(2026,4,4),tblDaily[WardCode],"FW")),"")</f>
        <v>2</v>
      </c>
      <c r="C127" s="29">
        <f>IFERROR(IF(SUMIFS(tblDaily[Discharges],tblDaily[EntryDate],DATE(2026,4,4),tblDaily[WardCode],"FW")=0,"",SUMIFS(tblDaily[Discharges],tblDaily[EntryDate],DATE(2026,4,4),tblDaily[WardCode],"FW")),"")</f>
        <v>4</v>
      </c>
      <c r="D127" s="29">
        <f>IFERROR(IF(SUMIFS(tblDaily[Deaths],tblDaily[EntryDate],DATE(2026,4,4),tblDaily[WardCode],"FW")=0,"",SUMIFS(tblDaily[Deaths],tblDaily[EntryDate],DATE(2026,4,4),tblDaily[WardCode],"FW")),"")</f>
        <v>1</v>
      </c>
      <c r="E127" s="29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29" t="str">
        <f>IFERROR(IF(SUMIFS(tblDaily[TransfersIn],tblDaily[EntryDate],DATE(2026,4,4),tblDaily[WardCode],"FW")=0,"",SUMIFS(tblDaily[TransfersIn],tblDaily[EntryDate],DATE(2026,4,4),tblDaily[WardCode],"FW")),"")</f>
        <v/>
      </c>
      <c r="G127" s="29" t="str">
        <f>IFERROR(IF(SUMIFS(tblDaily[TransfersOut],tblDaily[EntryDate],DATE(2026,4,4),tblDaily[WardCode],"FW")=0,"",SUMIFS(tblDaily[TransfersOut],tblDaily[EntryDate],DATE(2026,4,4),tblDaily[WardCode],"FW")),"")</f>
        <v/>
      </c>
      <c r="H127" s="29">
        <f>IFERROR(IF(SUMIFS(tblDaily[Remaining],tblDaily[EntryDate],DATE(2026,4,4),tblDaily[WardCode],"FW")=0,"",SUMIFS(tblDaily[Remaining],tblDaily[EntryDate],DATE(2026,4,4),tblDaily[WardCode],"FW")),"")</f>
        <v>13</v>
      </c>
    </row>
    <row r="128" spans="1:8" x14ac:dyDescent="0.25">
      <c r="A128" s="29">
        <v>5</v>
      </c>
      <c r="B128" s="29">
        <f>IFERROR(IF(SUMIFS(tblDaily[Admissions],tblDaily[EntryDate],DATE(2026,4,5),tblDaily[WardCode],"FW")=0,"",SUMIFS(tblDaily[Admissions],tblDaily[EntryDate],DATE(2026,4,5),tblDaily[WardCode],"FW")),"")</f>
        <v>3</v>
      </c>
      <c r="C128" s="29" t="str">
        <f>IFERROR(IF(SUMIFS(tblDaily[Discharges],tblDaily[EntryDate],DATE(2026,4,5),tblDaily[WardCode],"FW")=0,"",SUMIFS(tblDaily[Discharges],tblDaily[EntryDate],DATE(2026,4,5),tblDaily[WardCode],"FW")),"")</f>
        <v/>
      </c>
      <c r="D128" s="29" t="str">
        <f>IFERROR(IF(SUMIFS(tblDaily[Deaths],tblDaily[EntryDate],DATE(2026,4,5),tblDaily[WardCode],"FW")=0,"",SUMIFS(tblDaily[Deaths],tblDaily[EntryDate],DATE(2026,4,5),tblDaily[WardCode],"FW")),"")</f>
        <v/>
      </c>
      <c r="E128" s="29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29" t="str">
        <f>IFERROR(IF(SUMIFS(tblDaily[TransfersIn],tblDaily[EntryDate],DATE(2026,4,5),tblDaily[WardCode],"FW")=0,"",SUMIFS(tblDaily[TransfersIn],tblDaily[EntryDate],DATE(2026,4,5),tblDaily[WardCode],"FW")),"")</f>
        <v/>
      </c>
      <c r="G128" s="29" t="str">
        <f>IFERROR(IF(SUMIFS(tblDaily[TransfersOut],tblDaily[EntryDate],DATE(2026,4,5),tblDaily[WardCode],"FW")=0,"",SUMIFS(tblDaily[TransfersOut],tblDaily[EntryDate],DATE(2026,4,5),tblDaily[WardCode],"FW")),"")</f>
        <v/>
      </c>
      <c r="H128" s="29">
        <f>IFERROR(IF(SUMIFS(tblDaily[Remaining],tblDaily[EntryDate],DATE(2026,4,5),tblDaily[WardCode],"FW")=0,"",SUMIFS(tblDaily[Remaining],tblDaily[EntryDate],DATE(2026,4,5),tblDaily[WardCode],"FW")),"")</f>
        <v>16</v>
      </c>
    </row>
    <row r="129" spans="1:8" x14ac:dyDescent="0.25">
      <c r="A129" s="29">
        <v>6</v>
      </c>
      <c r="B129" s="29">
        <f>IFERROR(IF(SUMIFS(tblDaily[Admissions],tblDaily[EntryDate],DATE(2026,4,6),tblDaily[WardCode],"FW")=0,"",SUMIFS(tblDaily[Admissions],tblDaily[EntryDate],DATE(2026,4,6),tblDaily[WardCode],"FW")),"")</f>
        <v>3</v>
      </c>
      <c r="C129" s="29">
        <f>IFERROR(IF(SUMIFS(tblDaily[Discharges],tblDaily[EntryDate],DATE(2026,4,6),tblDaily[WardCode],"FW")=0,"",SUMIFS(tblDaily[Discharges],tblDaily[EntryDate],DATE(2026,4,6),tblDaily[WardCode],"FW")),"")</f>
        <v>4</v>
      </c>
      <c r="D129" s="29" t="str">
        <f>IFERROR(IF(SUMIFS(tblDaily[Deaths],tblDaily[EntryDate],DATE(2026,4,6),tblDaily[WardCode],"FW")=0,"",SUMIFS(tblDaily[Deaths],tblDaily[EntryDate],DATE(2026,4,6),tblDaily[WardCode],"FW")),"")</f>
        <v/>
      </c>
      <c r="E129" s="29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29">
        <f>IFERROR(IF(SUMIFS(tblDaily[TransfersIn],tblDaily[EntryDate],DATE(2026,4,6),tblDaily[WardCode],"FW")=0,"",SUMIFS(tblDaily[TransfersIn],tblDaily[EntryDate],DATE(2026,4,6),tblDaily[WardCode],"FW")),"")</f>
        <v>1</v>
      </c>
      <c r="G129" s="29" t="str">
        <f>IFERROR(IF(SUMIFS(tblDaily[TransfersOut],tblDaily[EntryDate],DATE(2026,4,6),tblDaily[WardCode],"FW")=0,"",SUMIFS(tblDaily[TransfersOut],tblDaily[EntryDate],DATE(2026,4,6),tblDaily[WardCode],"FW")),"")</f>
        <v/>
      </c>
      <c r="H129" s="29">
        <f>IFERROR(IF(SUMIFS(tblDaily[Remaining],tblDaily[EntryDate],DATE(2026,4,6),tblDaily[WardCode],"FW")=0,"",SUMIFS(tblDaily[Remaining],tblDaily[EntryDate],DATE(2026,4,6),tblDaily[WardCode],"FW")),"")</f>
        <v>16</v>
      </c>
    </row>
    <row r="130" spans="1:8" x14ac:dyDescent="0.25">
      <c r="A130" s="29">
        <v>7</v>
      </c>
      <c r="B130" s="29" t="str">
        <f>IFERROR(IF(SUMIFS(tblDaily[Admissions],tblDaily[EntryDate],DATE(2026,4,7),tblDaily[WardCode],"FW")=0,"",SUMIFS(tblDaily[Admissions],tblDaily[EntryDate],DATE(2026,4,7),tblDaily[WardCode],"FW")),"")</f>
        <v/>
      </c>
      <c r="C130" s="29" t="str">
        <f>IFERROR(IF(SUMIFS(tblDaily[Discharges],tblDaily[EntryDate],DATE(2026,4,7),tblDaily[WardCode],"FW")=0,"",SUMIFS(tblDaily[Discharges],tblDaily[EntryDate],DATE(2026,4,7),tblDaily[WardCode],"FW")),"")</f>
        <v/>
      </c>
      <c r="D130" s="29" t="str">
        <f>IFERROR(IF(SUMIFS(tblDaily[Deaths],tblDaily[EntryDate],DATE(2026,4,7),tblDaily[WardCode],"FW")=0,"",SUMIFS(tblDaily[Deaths],tblDaily[EntryDate],DATE(2026,4,7),tblDaily[WardCode],"FW")),"")</f>
        <v/>
      </c>
      <c r="E130" s="29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29" t="str">
        <f>IFERROR(IF(SUMIFS(tblDaily[TransfersIn],tblDaily[EntryDate],DATE(2026,4,7),tblDaily[WardCode],"FW")=0,"",SUMIFS(tblDaily[TransfersIn],tblDaily[EntryDate],DATE(2026,4,7),tblDaily[WardCode],"FW")),"")</f>
        <v/>
      </c>
      <c r="G130" s="29" t="str">
        <f>IFERROR(IF(SUMIFS(tblDaily[TransfersOut],tblDaily[EntryDate],DATE(2026,4,7),tblDaily[WardCode],"FW")=0,"",SUMIFS(tblDaily[TransfersOut],tblDaily[EntryDate],DATE(2026,4,7),tblDaily[WardCode],"FW")),"")</f>
        <v/>
      </c>
      <c r="H130" s="29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IFERROR(IF(SUMIFS(tblDaily[Admissions],tblDaily[EntryDate],DATE(2026,4,8),tblDaily[WardCode],"FW")=0,"",SUMIFS(tblDaily[Admissions],tblDaily[EntryDate],DATE(2026,4,8),tblDaily[WardCode],"FW")),"")</f>
        <v/>
      </c>
      <c r="C131" s="29" t="str">
        <f>IFERROR(IF(SUMIFS(tblDaily[Discharges],tblDaily[EntryDate],DATE(2026,4,8),tblDaily[WardCode],"FW")=0,"",SUMIFS(tblDaily[Discharges],tblDaily[EntryDate],DATE(2026,4,8),tblDaily[WardCode],"FW")),"")</f>
        <v/>
      </c>
      <c r="D131" s="29" t="str">
        <f>IFERROR(IF(SUMIFS(tblDaily[Deaths],tblDaily[EntryDate],DATE(2026,4,8),tblDaily[WardCode],"FW")=0,"",SUMIFS(tblDaily[Deaths],tblDaily[EntryDate],DATE(2026,4,8),tblDaily[WardCode],"FW")),"")</f>
        <v/>
      </c>
      <c r="E131" s="29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29" t="str">
        <f>IFERROR(IF(SUMIFS(tblDaily[TransfersIn],tblDaily[EntryDate],DATE(2026,4,8),tblDaily[WardCode],"FW")=0,"",SUMIFS(tblDaily[TransfersIn],tblDaily[EntryDate],DATE(2026,4,8),tblDaily[WardCode],"FW")),"")</f>
        <v/>
      </c>
      <c r="G131" s="29" t="str">
        <f>IFERROR(IF(SUMIFS(tblDaily[TransfersOut],tblDaily[EntryDate],DATE(2026,4,8),tblDaily[WardCode],"FW")=0,"",SUMIFS(tblDaily[TransfersOut],tblDaily[EntryDate],DATE(2026,4,8),tblDaily[WardCode],"FW")),"")</f>
        <v/>
      </c>
      <c r="H131" s="29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IFERROR(IF(SUMIFS(tblDaily[Admissions],tblDaily[EntryDate],DATE(2026,4,9),tblDaily[WardCode],"FW")=0,"",SUMIFS(tblDaily[Admissions],tblDaily[EntryDate],DATE(2026,4,9),tblDaily[WardCode],"FW")),"")</f>
        <v/>
      </c>
      <c r="C132" s="29" t="str">
        <f>IFERROR(IF(SUMIFS(tblDaily[Discharges],tblDaily[EntryDate],DATE(2026,4,9),tblDaily[WardCode],"FW")=0,"",SUMIFS(tblDaily[Discharges],tblDaily[EntryDate],DATE(2026,4,9),tblDaily[WardCode],"FW")),"")</f>
        <v/>
      </c>
      <c r="D132" s="29" t="str">
        <f>IFERROR(IF(SUMIFS(tblDaily[Deaths],tblDaily[EntryDate],DATE(2026,4,9),tblDaily[WardCode],"FW")=0,"",SUMIFS(tblDaily[Deaths],tblDaily[EntryDate],DATE(2026,4,9),tblDaily[WardCode],"FW")),"")</f>
        <v/>
      </c>
      <c r="E132" s="29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29" t="str">
        <f>IFERROR(IF(SUMIFS(tblDaily[TransfersIn],tblDaily[EntryDate],DATE(2026,4,9),tblDaily[WardCode],"FW")=0,"",SUMIFS(tblDaily[TransfersIn],tblDaily[EntryDate],DATE(2026,4,9),tblDaily[WardCode],"FW")),"")</f>
        <v/>
      </c>
      <c r="G132" s="29" t="str">
        <f>IFERROR(IF(SUMIFS(tblDaily[TransfersOut],tblDaily[EntryDate],DATE(2026,4,9),tblDaily[WardCode],"FW")=0,"",SUMIFS(tblDaily[TransfersOut],tblDaily[EntryDate],DATE(2026,4,9),tblDaily[WardCode],"FW")),"")</f>
        <v/>
      </c>
      <c r="H132" s="29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IFERROR(IF(SUMIFS(tblDaily[Admissions],tblDaily[EntryDate],DATE(2026,4,10),tblDaily[WardCode],"FW")=0,"",SUMIFS(tblDaily[Admissions],tblDaily[EntryDate],DATE(2026,4,10),tblDaily[WardCode],"FW")),"")</f>
        <v/>
      </c>
      <c r="C133" s="29" t="str">
        <f>IFERROR(IF(SUMIFS(tblDaily[Discharges],tblDaily[EntryDate],DATE(2026,4,10),tblDaily[WardCode],"FW")=0,"",SUMIFS(tblDaily[Discharges],tblDaily[EntryDate],DATE(2026,4,10),tblDaily[WardCode],"FW")),"")</f>
        <v/>
      </c>
      <c r="D133" s="29" t="str">
        <f>IFERROR(IF(SUMIFS(tblDaily[Deaths],tblDaily[EntryDate],DATE(2026,4,10),tblDaily[WardCode],"FW")=0,"",SUMIFS(tblDaily[Deaths],tblDaily[EntryDate],DATE(2026,4,10),tblDaily[WardCode],"FW")),"")</f>
        <v/>
      </c>
      <c r="E133" s="29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29" t="str">
        <f>IFERROR(IF(SUMIFS(tblDaily[TransfersIn],tblDaily[EntryDate],DATE(2026,4,10),tblDaily[WardCode],"FW")=0,"",SUMIFS(tblDaily[TransfersIn],tblDaily[EntryDate],DATE(2026,4,10),tblDaily[WardCode],"FW")),"")</f>
        <v/>
      </c>
      <c r="G133" s="29" t="str">
        <f>IFERROR(IF(SUMIFS(tblDaily[TransfersOut],tblDaily[EntryDate],DATE(2026,4,10),tblDaily[WardCode],"FW")=0,"",SUMIFS(tblDaily[TransfersOut],tblDaily[EntryDate],DATE(2026,4,10),tblDaily[WardCode],"FW")),"")</f>
        <v/>
      </c>
      <c r="H133" s="29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IFERROR(IF(SUMIFS(tblDaily[Admissions],tblDaily[EntryDate],DATE(2026,4,11),tblDaily[WardCode],"FW")=0,"",SUMIFS(tblDaily[Admissions],tblDaily[EntryDate],DATE(2026,4,11),tblDaily[WardCode],"FW")),"")</f>
        <v/>
      </c>
      <c r="C134" s="29" t="str">
        <f>IFERROR(IF(SUMIFS(tblDaily[Discharges],tblDaily[EntryDate],DATE(2026,4,11),tblDaily[WardCode],"FW")=0,"",SUMIFS(tblDaily[Discharges],tblDaily[EntryDate],DATE(2026,4,11),tblDaily[WardCode],"FW")),"")</f>
        <v/>
      </c>
      <c r="D134" s="29" t="str">
        <f>IFERROR(IF(SUMIFS(tblDaily[Deaths],tblDaily[EntryDate],DATE(2026,4,11),tblDaily[WardCode],"FW")=0,"",SUMIFS(tblDaily[Deaths],tblDaily[EntryDate],DATE(2026,4,11),tblDaily[WardCode],"FW")),"")</f>
        <v/>
      </c>
      <c r="E134" s="29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29" t="str">
        <f>IFERROR(IF(SUMIFS(tblDaily[TransfersIn],tblDaily[EntryDate],DATE(2026,4,11),tblDaily[WardCode],"FW")=0,"",SUMIFS(tblDaily[TransfersIn],tblDaily[EntryDate],DATE(2026,4,11),tblDaily[WardCode],"FW")),"")</f>
        <v/>
      </c>
      <c r="G134" s="29" t="str">
        <f>IFERROR(IF(SUMIFS(tblDaily[TransfersOut],tblDaily[EntryDate],DATE(2026,4,11),tblDaily[WardCode],"FW")=0,"",SUMIFS(tblDaily[TransfersOut],tblDaily[EntryDate],DATE(2026,4,11),tblDaily[WardCode],"FW")),"")</f>
        <v/>
      </c>
      <c r="H134" s="29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IFERROR(IF(SUMIFS(tblDaily[Admissions],tblDaily[EntryDate],DATE(2026,4,12),tblDaily[WardCode],"FW")=0,"",SUMIFS(tblDaily[Admissions],tblDaily[EntryDate],DATE(2026,4,12),tblDaily[WardCode],"FW")),"")</f>
        <v/>
      </c>
      <c r="C135" s="29" t="str">
        <f>IFERROR(IF(SUMIFS(tblDaily[Discharges],tblDaily[EntryDate],DATE(2026,4,12),tblDaily[WardCode],"FW")=0,"",SUMIFS(tblDaily[Discharges],tblDaily[EntryDate],DATE(2026,4,12),tblDaily[WardCode],"FW")),"")</f>
        <v/>
      </c>
      <c r="D135" s="29" t="str">
        <f>IFERROR(IF(SUMIFS(tblDaily[Deaths],tblDaily[EntryDate],DATE(2026,4,12),tblDaily[WardCode],"FW")=0,"",SUMIFS(tblDaily[Deaths],tblDaily[EntryDate],DATE(2026,4,12),tblDaily[WardCode],"FW")),"")</f>
        <v/>
      </c>
      <c r="E135" s="29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29" t="str">
        <f>IFERROR(IF(SUMIFS(tblDaily[TransfersIn],tblDaily[EntryDate],DATE(2026,4,12),tblDaily[WardCode],"FW")=0,"",SUMIFS(tblDaily[TransfersIn],tblDaily[EntryDate],DATE(2026,4,12),tblDaily[WardCode],"FW")),"")</f>
        <v/>
      </c>
      <c r="G135" s="29" t="str">
        <f>IFERROR(IF(SUMIFS(tblDaily[TransfersOut],tblDaily[EntryDate],DATE(2026,4,12),tblDaily[WardCode],"FW")=0,"",SUMIFS(tblDaily[TransfersOut],tblDaily[EntryDate],DATE(2026,4,12),tblDaily[WardCode],"FW")),"")</f>
        <v/>
      </c>
      <c r="H135" s="29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IFERROR(IF(SUMIFS(tblDaily[Admissions],tblDaily[EntryDate],DATE(2026,4,13),tblDaily[WardCode],"FW")=0,"",SUMIFS(tblDaily[Admissions],tblDaily[EntryDate],DATE(2026,4,13),tblDaily[WardCode],"FW")),"")</f>
        <v/>
      </c>
      <c r="C136" s="29" t="str">
        <f>IFERROR(IF(SUMIFS(tblDaily[Discharges],tblDaily[EntryDate],DATE(2026,4,13),tblDaily[WardCode],"FW")=0,"",SUMIFS(tblDaily[Discharges],tblDaily[EntryDate],DATE(2026,4,13),tblDaily[WardCode],"FW")),"")</f>
        <v/>
      </c>
      <c r="D136" s="29" t="str">
        <f>IFERROR(IF(SUMIFS(tblDaily[Deaths],tblDaily[EntryDate],DATE(2026,4,13),tblDaily[WardCode],"FW")=0,"",SUMIFS(tblDaily[Deaths],tblDaily[EntryDate],DATE(2026,4,13),tblDaily[WardCode],"FW")),"")</f>
        <v/>
      </c>
      <c r="E136" s="29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29" t="str">
        <f>IFERROR(IF(SUMIFS(tblDaily[TransfersIn],tblDaily[EntryDate],DATE(2026,4,13),tblDaily[WardCode],"FW")=0,"",SUMIFS(tblDaily[TransfersIn],tblDaily[EntryDate],DATE(2026,4,13),tblDaily[WardCode],"FW")),"")</f>
        <v/>
      </c>
      <c r="G136" s="29" t="str">
        <f>IFERROR(IF(SUMIFS(tblDaily[TransfersOut],tblDaily[EntryDate],DATE(2026,4,13),tblDaily[WardCode],"FW")=0,"",SUMIFS(tblDaily[TransfersOut],tblDaily[EntryDate],DATE(2026,4,13),tblDaily[WardCode],"FW")),"")</f>
        <v/>
      </c>
      <c r="H136" s="29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IFERROR(IF(SUMIFS(tblDaily[Admissions],tblDaily[EntryDate],DATE(2026,4,14),tblDaily[WardCode],"FW")=0,"",SUMIFS(tblDaily[Admissions],tblDaily[EntryDate],DATE(2026,4,14),tblDaily[WardCode],"FW")),"")</f>
        <v/>
      </c>
      <c r="C137" s="29" t="str">
        <f>IFERROR(IF(SUMIFS(tblDaily[Discharges],tblDaily[EntryDate],DATE(2026,4,14),tblDaily[WardCode],"FW")=0,"",SUMIFS(tblDaily[Discharges],tblDaily[EntryDate],DATE(2026,4,14),tblDaily[WardCode],"FW")),"")</f>
        <v/>
      </c>
      <c r="D137" s="29" t="str">
        <f>IFERROR(IF(SUMIFS(tblDaily[Deaths],tblDaily[EntryDate],DATE(2026,4,14),tblDaily[WardCode],"FW")=0,"",SUMIFS(tblDaily[Deaths],tblDaily[EntryDate],DATE(2026,4,14),tblDaily[WardCode],"FW")),"")</f>
        <v/>
      </c>
      <c r="E137" s="29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29" t="str">
        <f>IFERROR(IF(SUMIFS(tblDaily[TransfersIn],tblDaily[EntryDate],DATE(2026,4,14),tblDaily[WardCode],"FW")=0,"",SUMIFS(tblDaily[TransfersIn],tblDaily[EntryDate],DATE(2026,4,14),tblDaily[WardCode],"FW")),"")</f>
        <v/>
      </c>
      <c r="G137" s="29" t="str">
        <f>IFERROR(IF(SUMIFS(tblDaily[TransfersOut],tblDaily[EntryDate],DATE(2026,4,14),tblDaily[WardCode],"FW")=0,"",SUMIFS(tblDaily[TransfersOut],tblDaily[EntryDate],DATE(2026,4,14),tblDaily[WardCode],"FW")),"")</f>
        <v/>
      </c>
      <c r="H137" s="29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IFERROR(IF(SUMIFS(tblDaily[Admissions],tblDaily[EntryDate],DATE(2026,4,15),tblDaily[WardCode],"FW")=0,"",SUMIFS(tblDaily[Admissions],tblDaily[EntryDate],DATE(2026,4,15),tblDaily[WardCode],"FW")),"")</f>
        <v/>
      </c>
      <c r="C138" s="29" t="str">
        <f>IFERROR(IF(SUMIFS(tblDaily[Discharges],tblDaily[EntryDate],DATE(2026,4,15),tblDaily[WardCode],"FW")=0,"",SUMIFS(tblDaily[Discharges],tblDaily[EntryDate],DATE(2026,4,15),tblDaily[WardCode],"FW")),"")</f>
        <v/>
      </c>
      <c r="D138" s="29" t="str">
        <f>IFERROR(IF(SUMIFS(tblDaily[Deaths],tblDaily[EntryDate],DATE(2026,4,15),tblDaily[WardCode],"FW")=0,"",SUMIFS(tblDaily[Deaths],tblDaily[EntryDate],DATE(2026,4,15),tblDaily[WardCode],"FW")),"")</f>
        <v/>
      </c>
      <c r="E138" s="29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29" t="str">
        <f>IFERROR(IF(SUMIFS(tblDaily[TransfersIn],tblDaily[EntryDate],DATE(2026,4,15),tblDaily[WardCode],"FW")=0,"",SUMIFS(tblDaily[TransfersIn],tblDaily[EntryDate],DATE(2026,4,15),tblDaily[WardCode],"FW")),"")</f>
        <v/>
      </c>
      <c r="G138" s="29" t="str">
        <f>IFERROR(IF(SUMIFS(tblDaily[TransfersOut],tblDaily[EntryDate],DATE(2026,4,15),tblDaily[WardCode],"FW")=0,"",SUMIFS(tblDaily[TransfersOut],tblDaily[EntryDate],DATE(2026,4,15),tblDaily[WardCode],"FW")),"")</f>
        <v/>
      </c>
      <c r="H138" s="29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IFERROR(IF(SUMIFS(tblDaily[Admissions],tblDaily[EntryDate],DATE(2026,4,16),tblDaily[WardCode],"FW")=0,"",SUMIFS(tblDaily[Admissions],tblDaily[EntryDate],DATE(2026,4,16),tblDaily[WardCode],"FW")),"")</f>
        <v/>
      </c>
      <c r="C139" s="29" t="str">
        <f>IFERROR(IF(SUMIFS(tblDaily[Discharges],tblDaily[EntryDate],DATE(2026,4,16),tblDaily[WardCode],"FW")=0,"",SUMIFS(tblDaily[Discharges],tblDaily[EntryDate],DATE(2026,4,16),tblDaily[WardCode],"FW")),"")</f>
        <v/>
      </c>
      <c r="D139" s="29" t="str">
        <f>IFERROR(IF(SUMIFS(tblDaily[Deaths],tblDaily[EntryDate],DATE(2026,4,16),tblDaily[WardCode],"FW")=0,"",SUMIFS(tblDaily[Deaths],tblDaily[EntryDate],DATE(2026,4,16),tblDaily[WardCode],"FW")),"")</f>
        <v/>
      </c>
      <c r="E139" s="29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29" t="str">
        <f>IFERROR(IF(SUMIFS(tblDaily[TransfersIn],tblDaily[EntryDate],DATE(2026,4,16),tblDaily[WardCode],"FW")=0,"",SUMIFS(tblDaily[TransfersIn],tblDaily[EntryDate],DATE(2026,4,16),tblDaily[WardCode],"FW")),"")</f>
        <v/>
      </c>
      <c r="G139" s="29" t="str">
        <f>IFERROR(IF(SUMIFS(tblDaily[TransfersOut],tblDaily[EntryDate],DATE(2026,4,16),tblDaily[WardCode],"FW")=0,"",SUMIFS(tblDaily[TransfersOut],tblDaily[EntryDate],DATE(2026,4,16),tblDaily[WardCode],"FW")),"")</f>
        <v/>
      </c>
      <c r="H139" s="29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IFERROR(IF(SUMIFS(tblDaily[Admissions],tblDaily[EntryDate],DATE(2026,4,17),tblDaily[WardCode],"FW")=0,"",SUMIFS(tblDaily[Admissions],tblDaily[EntryDate],DATE(2026,4,17),tblDaily[WardCode],"FW")),"")</f>
        <v/>
      </c>
      <c r="C140" s="29" t="str">
        <f>IFERROR(IF(SUMIFS(tblDaily[Discharges],tblDaily[EntryDate],DATE(2026,4,17),tblDaily[WardCode],"FW")=0,"",SUMIFS(tblDaily[Discharges],tblDaily[EntryDate],DATE(2026,4,17),tblDaily[WardCode],"FW")),"")</f>
        <v/>
      </c>
      <c r="D140" s="29" t="str">
        <f>IFERROR(IF(SUMIFS(tblDaily[Deaths],tblDaily[EntryDate],DATE(2026,4,17),tblDaily[WardCode],"FW")=0,"",SUMIFS(tblDaily[Deaths],tblDaily[EntryDate],DATE(2026,4,17),tblDaily[WardCode],"FW")),"")</f>
        <v/>
      </c>
      <c r="E140" s="29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29" t="str">
        <f>IFERROR(IF(SUMIFS(tblDaily[TransfersIn],tblDaily[EntryDate],DATE(2026,4,17),tblDaily[WardCode],"FW")=0,"",SUMIFS(tblDaily[TransfersIn],tblDaily[EntryDate],DATE(2026,4,17),tblDaily[WardCode],"FW")),"")</f>
        <v/>
      </c>
      <c r="G140" s="29" t="str">
        <f>IFERROR(IF(SUMIFS(tblDaily[TransfersOut],tblDaily[EntryDate],DATE(2026,4,17),tblDaily[WardCode],"FW")=0,"",SUMIFS(tblDaily[TransfersOut],tblDaily[EntryDate],DATE(2026,4,17),tblDaily[WardCode],"FW")),"")</f>
        <v/>
      </c>
      <c r="H140" s="29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IFERROR(IF(SUMIFS(tblDaily[Admissions],tblDaily[EntryDate],DATE(2026,4,18),tblDaily[WardCode],"FW")=0,"",SUMIFS(tblDaily[Admissions],tblDaily[EntryDate],DATE(2026,4,18),tblDaily[WardCode],"FW")),"")</f>
        <v/>
      </c>
      <c r="C141" s="29" t="str">
        <f>IFERROR(IF(SUMIFS(tblDaily[Discharges],tblDaily[EntryDate],DATE(2026,4,18),tblDaily[WardCode],"FW")=0,"",SUMIFS(tblDaily[Discharges],tblDaily[EntryDate],DATE(2026,4,18),tblDaily[WardCode],"FW")),"")</f>
        <v/>
      </c>
      <c r="D141" s="29" t="str">
        <f>IFERROR(IF(SUMIFS(tblDaily[Deaths],tblDaily[EntryDate],DATE(2026,4,18),tblDaily[WardCode],"FW")=0,"",SUMIFS(tblDaily[Deaths],tblDaily[EntryDate],DATE(2026,4,18),tblDaily[WardCode],"FW")),"")</f>
        <v/>
      </c>
      <c r="E141" s="29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29" t="str">
        <f>IFERROR(IF(SUMIFS(tblDaily[TransfersIn],tblDaily[EntryDate],DATE(2026,4,18),tblDaily[WardCode],"FW")=0,"",SUMIFS(tblDaily[TransfersIn],tblDaily[EntryDate],DATE(2026,4,18),tblDaily[WardCode],"FW")),"")</f>
        <v/>
      </c>
      <c r="G141" s="29" t="str">
        <f>IFERROR(IF(SUMIFS(tblDaily[TransfersOut],tblDaily[EntryDate],DATE(2026,4,18),tblDaily[WardCode],"FW")=0,"",SUMIFS(tblDaily[TransfersOut],tblDaily[EntryDate],DATE(2026,4,18),tblDaily[WardCode],"FW")),"")</f>
        <v/>
      </c>
      <c r="H141" s="29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IFERROR(IF(SUMIFS(tblDaily[Admissions],tblDaily[EntryDate],DATE(2026,4,19),tblDaily[WardCode],"FW")=0,"",SUMIFS(tblDaily[Admissions],tblDaily[EntryDate],DATE(2026,4,19),tblDaily[WardCode],"FW")),"")</f>
        <v/>
      </c>
      <c r="C142" s="29" t="str">
        <f>IFERROR(IF(SUMIFS(tblDaily[Discharges],tblDaily[EntryDate],DATE(2026,4,19),tblDaily[WardCode],"FW")=0,"",SUMIFS(tblDaily[Discharges],tblDaily[EntryDate],DATE(2026,4,19),tblDaily[WardCode],"FW")),"")</f>
        <v/>
      </c>
      <c r="D142" s="29" t="str">
        <f>IFERROR(IF(SUMIFS(tblDaily[Deaths],tblDaily[EntryDate],DATE(2026,4,19),tblDaily[WardCode],"FW")=0,"",SUMIFS(tblDaily[Deaths],tblDaily[EntryDate],DATE(2026,4,19),tblDaily[WardCode],"FW")),"")</f>
        <v/>
      </c>
      <c r="E142" s="29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29" t="str">
        <f>IFERROR(IF(SUMIFS(tblDaily[TransfersIn],tblDaily[EntryDate],DATE(2026,4,19),tblDaily[WardCode],"FW")=0,"",SUMIFS(tblDaily[TransfersIn],tblDaily[EntryDate],DATE(2026,4,19),tblDaily[WardCode],"FW")),"")</f>
        <v/>
      </c>
      <c r="G142" s="29" t="str">
        <f>IFERROR(IF(SUMIFS(tblDaily[TransfersOut],tblDaily[EntryDate],DATE(2026,4,19),tblDaily[WardCode],"FW")=0,"",SUMIFS(tblDaily[TransfersOut],tblDaily[EntryDate],DATE(2026,4,19),tblDaily[WardCode],"FW")),"")</f>
        <v/>
      </c>
      <c r="H142" s="29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IFERROR(IF(SUMIFS(tblDaily[Admissions],tblDaily[EntryDate],DATE(2026,4,20),tblDaily[WardCode],"FW")=0,"",SUMIFS(tblDaily[Admissions],tblDaily[EntryDate],DATE(2026,4,20),tblDaily[WardCode],"FW")),"")</f>
        <v/>
      </c>
      <c r="C143" s="29" t="str">
        <f>IFERROR(IF(SUMIFS(tblDaily[Discharges],tblDaily[EntryDate],DATE(2026,4,20),tblDaily[WardCode],"FW")=0,"",SUMIFS(tblDaily[Discharges],tblDaily[EntryDate],DATE(2026,4,20),tblDaily[WardCode],"FW")),"")</f>
        <v/>
      </c>
      <c r="D143" s="29" t="str">
        <f>IFERROR(IF(SUMIFS(tblDaily[Deaths],tblDaily[EntryDate],DATE(2026,4,20),tblDaily[WardCode],"FW")=0,"",SUMIFS(tblDaily[Deaths],tblDaily[EntryDate],DATE(2026,4,20),tblDaily[WardCode],"FW")),"")</f>
        <v/>
      </c>
      <c r="E143" s="29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29" t="str">
        <f>IFERROR(IF(SUMIFS(tblDaily[TransfersIn],tblDaily[EntryDate],DATE(2026,4,20),tblDaily[WardCode],"FW")=0,"",SUMIFS(tblDaily[TransfersIn],tblDaily[EntryDate],DATE(2026,4,20),tblDaily[WardCode],"FW")),"")</f>
        <v/>
      </c>
      <c r="G143" s="29" t="str">
        <f>IFERROR(IF(SUMIFS(tblDaily[TransfersOut],tblDaily[EntryDate],DATE(2026,4,20),tblDaily[WardCode],"FW")=0,"",SUMIFS(tblDaily[TransfersOut],tblDaily[EntryDate],DATE(2026,4,20),tblDaily[WardCode],"FW")),"")</f>
        <v/>
      </c>
      <c r="H143" s="29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IFERROR(IF(SUMIFS(tblDaily[Admissions],tblDaily[EntryDate],DATE(2026,4,21),tblDaily[WardCode],"FW")=0,"",SUMIFS(tblDaily[Admissions],tblDaily[EntryDate],DATE(2026,4,21),tblDaily[WardCode],"FW")),"")</f>
        <v/>
      </c>
      <c r="C144" s="29" t="str">
        <f>IFERROR(IF(SUMIFS(tblDaily[Discharges],tblDaily[EntryDate],DATE(2026,4,21),tblDaily[WardCode],"FW")=0,"",SUMIFS(tblDaily[Discharges],tblDaily[EntryDate],DATE(2026,4,21),tblDaily[WardCode],"FW")),"")</f>
        <v/>
      </c>
      <c r="D144" s="29" t="str">
        <f>IFERROR(IF(SUMIFS(tblDaily[Deaths],tblDaily[EntryDate],DATE(2026,4,21),tblDaily[WardCode],"FW")=0,"",SUMIFS(tblDaily[Deaths],tblDaily[EntryDate],DATE(2026,4,21),tblDaily[WardCode],"FW")),"")</f>
        <v/>
      </c>
      <c r="E144" s="29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29" t="str">
        <f>IFERROR(IF(SUMIFS(tblDaily[TransfersIn],tblDaily[EntryDate],DATE(2026,4,21),tblDaily[WardCode],"FW")=0,"",SUMIFS(tblDaily[TransfersIn],tblDaily[EntryDate],DATE(2026,4,21),tblDaily[WardCode],"FW")),"")</f>
        <v/>
      </c>
      <c r="G144" s="29" t="str">
        <f>IFERROR(IF(SUMIFS(tblDaily[TransfersOut],tblDaily[EntryDate],DATE(2026,4,21),tblDaily[WardCode],"FW")=0,"",SUMIFS(tblDaily[TransfersOut],tblDaily[EntryDate],DATE(2026,4,21),tblDaily[WardCode],"FW")),"")</f>
        <v/>
      </c>
      <c r="H144" s="29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IFERROR(IF(SUMIFS(tblDaily[Admissions],tblDaily[EntryDate],DATE(2026,4,22),tblDaily[WardCode],"FW")=0,"",SUMIFS(tblDaily[Admissions],tblDaily[EntryDate],DATE(2026,4,22),tblDaily[WardCode],"FW")),"")</f>
        <v/>
      </c>
      <c r="C145" s="29" t="str">
        <f>IFERROR(IF(SUMIFS(tblDaily[Discharges],tblDaily[EntryDate],DATE(2026,4,22),tblDaily[WardCode],"FW")=0,"",SUMIFS(tblDaily[Discharges],tblDaily[EntryDate],DATE(2026,4,22),tblDaily[WardCode],"FW")),"")</f>
        <v/>
      </c>
      <c r="D145" s="29" t="str">
        <f>IFERROR(IF(SUMIFS(tblDaily[Deaths],tblDaily[EntryDate],DATE(2026,4,22),tblDaily[WardCode],"FW")=0,"",SUMIFS(tblDaily[Deaths],tblDaily[EntryDate],DATE(2026,4,22),tblDaily[WardCode],"FW")),"")</f>
        <v/>
      </c>
      <c r="E145" s="29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29" t="str">
        <f>IFERROR(IF(SUMIFS(tblDaily[TransfersIn],tblDaily[EntryDate],DATE(2026,4,22),tblDaily[WardCode],"FW")=0,"",SUMIFS(tblDaily[TransfersIn],tblDaily[EntryDate],DATE(2026,4,22),tblDaily[WardCode],"FW")),"")</f>
        <v/>
      </c>
      <c r="G145" s="29" t="str">
        <f>IFERROR(IF(SUMIFS(tblDaily[TransfersOut],tblDaily[EntryDate],DATE(2026,4,22),tblDaily[WardCode],"FW")=0,"",SUMIFS(tblDaily[TransfersOut],tblDaily[EntryDate],DATE(2026,4,22),tblDaily[WardCode],"FW")),"")</f>
        <v/>
      </c>
      <c r="H145" s="29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IFERROR(IF(SUMIFS(tblDaily[Admissions],tblDaily[EntryDate],DATE(2026,4,23),tblDaily[WardCode],"FW")=0,"",SUMIFS(tblDaily[Admissions],tblDaily[EntryDate],DATE(2026,4,23),tblDaily[WardCode],"FW")),"")</f>
        <v/>
      </c>
      <c r="C146" s="29" t="str">
        <f>IFERROR(IF(SUMIFS(tblDaily[Discharges],tblDaily[EntryDate],DATE(2026,4,23),tblDaily[WardCode],"FW")=0,"",SUMIFS(tblDaily[Discharges],tblDaily[EntryDate],DATE(2026,4,23),tblDaily[WardCode],"FW")),"")</f>
        <v/>
      </c>
      <c r="D146" s="29" t="str">
        <f>IFERROR(IF(SUMIFS(tblDaily[Deaths],tblDaily[EntryDate],DATE(2026,4,23),tblDaily[WardCode],"FW")=0,"",SUMIFS(tblDaily[Deaths],tblDaily[EntryDate],DATE(2026,4,23),tblDaily[WardCode],"FW")),"")</f>
        <v/>
      </c>
      <c r="E146" s="29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29" t="str">
        <f>IFERROR(IF(SUMIFS(tblDaily[TransfersIn],tblDaily[EntryDate],DATE(2026,4,23),tblDaily[WardCode],"FW")=0,"",SUMIFS(tblDaily[TransfersIn],tblDaily[EntryDate],DATE(2026,4,23),tblDaily[WardCode],"FW")),"")</f>
        <v/>
      </c>
      <c r="G146" s="29" t="str">
        <f>IFERROR(IF(SUMIFS(tblDaily[TransfersOut],tblDaily[EntryDate],DATE(2026,4,23),tblDaily[WardCode],"FW")=0,"",SUMIFS(tblDaily[TransfersOut],tblDaily[EntryDate],DATE(2026,4,23),tblDaily[WardCode],"FW")),"")</f>
        <v/>
      </c>
      <c r="H146" s="29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IFERROR(IF(SUMIFS(tblDaily[Admissions],tblDaily[EntryDate],DATE(2026,4,24),tblDaily[WardCode],"FW")=0,"",SUMIFS(tblDaily[Admissions],tblDaily[EntryDate],DATE(2026,4,24),tblDaily[WardCode],"FW")),"")</f>
        <v/>
      </c>
      <c r="C147" s="29" t="str">
        <f>IFERROR(IF(SUMIFS(tblDaily[Discharges],tblDaily[EntryDate],DATE(2026,4,24),tblDaily[WardCode],"FW")=0,"",SUMIFS(tblDaily[Discharges],tblDaily[EntryDate],DATE(2026,4,24),tblDaily[WardCode],"FW")),"")</f>
        <v/>
      </c>
      <c r="D147" s="29" t="str">
        <f>IFERROR(IF(SUMIFS(tblDaily[Deaths],tblDaily[EntryDate],DATE(2026,4,24),tblDaily[WardCode],"FW")=0,"",SUMIFS(tblDaily[Deaths],tblDaily[EntryDate],DATE(2026,4,24),tblDaily[WardCode],"FW")),"")</f>
        <v/>
      </c>
      <c r="E147" s="29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29" t="str">
        <f>IFERROR(IF(SUMIFS(tblDaily[TransfersIn],tblDaily[EntryDate],DATE(2026,4,24),tblDaily[WardCode],"FW")=0,"",SUMIFS(tblDaily[TransfersIn],tblDaily[EntryDate],DATE(2026,4,24),tblDaily[WardCode],"FW")),"")</f>
        <v/>
      </c>
      <c r="G147" s="29" t="str">
        <f>IFERROR(IF(SUMIFS(tblDaily[TransfersOut],tblDaily[EntryDate],DATE(2026,4,24),tblDaily[WardCode],"FW")=0,"",SUMIFS(tblDaily[TransfersOut],tblDaily[EntryDate],DATE(2026,4,24),tblDaily[WardCode],"FW")),"")</f>
        <v/>
      </c>
      <c r="H147" s="29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IFERROR(IF(SUMIFS(tblDaily[Admissions],tblDaily[EntryDate],DATE(2026,4,25),tblDaily[WardCode],"FW")=0,"",SUMIFS(tblDaily[Admissions],tblDaily[EntryDate],DATE(2026,4,25),tblDaily[WardCode],"FW")),"")</f>
        <v/>
      </c>
      <c r="C148" s="29" t="str">
        <f>IFERROR(IF(SUMIFS(tblDaily[Discharges],tblDaily[EntryDate],DATE(2026,4,25),tblDaily[WardCode],"FW")=0,"",SUMIFS(tblDaily[Discharges],tblDaily[EntryDate],DATE(2026,4,25),tblDaily[WardCode],"FW")),"")</f>
        <v/>
      </c>
      <c r="D148" s="29" t="str">
        <f>IFERROR(IF(SUMIFS(tblDaily[Deaths],tblDaily[EntryDate],DATE(2026,4,25),tblDaily[WardCode],"FW")=0,"",SUMIFS(tblDaily[Deaths],tblDaily[EntryDate],DATE(2026,4,25),tblDaily[WardCode],"FW")),"")</f>
        <v/>
      </c>
      <c r="E148" s="29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29" t="str">
        <f>IFERROR(IF(SUMIFS(tblDaily[TransfersIn],tblDaily[EntryDate],DATE(2026,4,25),tblDaily[WardCode],"FW")=0,"",SUMIFS(tblDaily[TransfersIn],tblDaily[EntryDate],DATE(2026,4,25),tblDaily[WardCode],"FW")),"")</f>
        <v/>
      </c>
      <c r="G148" s="29" t="str">
        <f>IFERROR(IF(SUMIFS(tblDaily[TransfersOut],tblDaily[EntryDate],DATE(2026,4,25),tblDaily[WardCode],"FW")=0,"",SUMIFS(tblDaily[TransfersOut],tblDaily[EntryDate],DATE(2026,4,25),tblDaily[WardCode],"FW")),"")</f>
        <v/>
      </c>
      <c r="H148" s="29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IFERROR(IF(SUMIFS(tblDaily[Admissions],tblDaily[EntryDate],DATE(2026,4,26),tblDaily[WardCode],"FW")=0,"",SUMIFS(tblDaily[Admissions],tblDaily[EntryDate],DATE(2026,4,26),tblDaily[WardCode],"FW")),"")</f>
        <v/>
      </c>
      <c r="C149" s="29" t="str">
        <f>IFERROR(IF(SUMIFS(tblDaily[Discharges],tblDaily[EntryDate],DATE(2026,4,26),tblDaily[WardCode],"FW")=0,"",SUMIFS(tblDaily[Discharges],tblDaily[EntryDate],DATE(2026,4,26),tblDaily[WardCode],"FW")),"")</f>
        <v/>
      </c>
      <c r="D149" s="29" t="str">
        <f>IFERROR(IF(SUMIFS(tblDaily[Deaths],tblDaily[EntryDate],DATE(2026,4,26),tblDaily[WardCode],"FW")=0,"",SUMIFS(tblDaily[Deaths],tblDaily[EntryDate],DATE(2026,4,26),tblDaily[WardCode],"FW")),"")</f>
        <v/>
      </c>
      <c r="E149" s="29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29" t="str">
        <f>IFERROR(IF(SUMIFS(tblDaily[TransfersIn],tblDaily[EntryDate],DATE(2026,4,26),tblDaily[WardCode],"FW")=0,"",SUMIFS(tblDaily[TransfersIn],tblDaily[EntryDate],DATE(2026,4,26),tblDaily[WardCode],"FW")),"")</f>
        <v/>
      </c>
      <c r="G149" s="29" t="str">
        <f>IFERROR(IF(SUMIFS(tblDaily[TransfersOut],tblDaily[EntryDate],DATE(2026,4,26),tblDaily[WardCode],"FW")=0,"",SUMIFS(tblDaily[TransfersOut],tblDaily[EntryDate],DATE(2026,4,26),tblDaily[WardCode],"FW")),"")</f>
        <v/>
      </c>
      <c r="H149" s="29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IFERROR(IF(SUMIFS(tblDaily[Admissions],tblDaily[EntryDate],DATE(2026,4,27),tblDaily[WardCode],"FW")=0,"",SUMIFS(tblDaily[Admissions],tblDaily[EntryDate],DATE(2026,4,27),tblDaily[WardCode],"FW")),"")</f>
        <v/>
      </c>
      <c r="C150" s="29" t="str">
        <f>IFERROR(IF(SUMIFS(tblDaily[Discharges],tblDaily[EntryDate],DATE(2026,4,27),tblDaily[WardCode],"FW")=0,"",SUMIFS(tblDaily[Discharges],tblDaily[EntryDate],DATE(2026,4,27),tblDaily[WardCode],"FW")),"")</f>
        <v/>
      </c>
      <c r="D150" s="29" t="str">
        <f>IFERROR(IF(SUMIFS(tblDaily[Deaths],tblDaily[EntryDate],DATE(2026,4,27),tblDaily[WardCode],"FW")=0,"",SUMIFS(tblDaily[Deaths],tblDaily[EntryDate],DATE(2026,4,27),tblDaily[WardCode],"FW")),"")</f>
        <v/>
      </c>
      <c r="E150" s="29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29" t="str">
        <f>IFERROR(IF(SUMIFS(tblDaily[TransfersIn],tblDaily[EntryDate],DATE(2026,4,27),tblDaily[WardCode],"FW")=0,"",SUMIFS(tblDaily[TransfersIn],tblDaily[EntryDate],DATE(2026,4,27),tblDaily[WardCode],"FW")),"")</f>
        <v/>
      </c>
      <c r="G150" s="29" t="str">
        <f>IFERROR(IF(SUMIFS(tblDaily[TransfersOut],tblDaily[EntryDate],DATE(2026,4,27),tblDaily[WardCode],"FW")=0,"",SUMIFS(tblDaily[TransfersOut],tblDaily[EntryDate],DATE(2026,4,27),tblDaily[WardCode],"FW")),"")</f>
        <v/>
      </c>
      <c r="H150" s="29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IFERROR(IF(SUMIFS(tblDaily[Admissions],tblDaily[EntryDate],DATE(2026,4,28),tblDaily[WardCode],"FW")=0,"",SUMIFS(tblDaily[Admissions],tblDaily[EntryDate],DATE(2026,4,28),tblDaily[WardCode],"FW")),"")</f>
        <v/>
      </c>
      <c r="C151" s="29" t="str">
        <f>IFERROR(IF(SUMIFS(tblDaily[Discharges],tblDaily[EntryDate],DATE(2026,4,28),tblDaily[WardCode],"FW")=0,"",SUMIFS(tblDaily[Discharges],tblDaily[EntryDate],DATE(2026,4,28),tblDaily[WardCode],"FW")),"")</f>
        <v/>
      </c>
      <c r="D151" s="29" t="str">
        <f>IFERROR(IF(SUMIFS(tblDaily[Deaths],tblDaily[EntryDate],DATE(2026,4,28),tblDaily[WardCode],"FW")=0,"",SUMIFS(tblDaily[Deaths],tblDaily[EntryDate],DATE(2026,4,28),tblDaily[WardCode],"FW")),"")</f>
        <v/>
      </c>
      <c r="E151" s="29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29" t="str">
        <f>IFERROR(IF(SUMIFS(tblDaily[TransfersIn],tblDaily[EntryDate],DATE(2026,4,28),tblDaily[WardCode],"FW")=0,"",SUMIFS(tblDaily[TransfersIn],tblDaily[EntryDate],DATE(2026,4,28),tblDaily[WardCode],"FW")),"")</f>
        <v/>
      </c>
      <c r="G151" s="29" t="str">
        <f>IFERROR(IF(SUMIFS(tblDaily[TransfersOut],tblDaily[EntryDate],DATE(2026,4,28),tblDaily[WardCode],"FW")=0,"",SUMIFS(tblDaily[TransfersOut],tblDaily[EntryDate],DATE(2026,4,28),tblDaily[WardCode],"FW")),"")</f>
        <v/>
      </c>
      <c r="H151" s="29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IFERROR(IF(SUMIFS(tblDaily[Admissions],tblDaily[EntryDate],DATE(2026,4,29),tblDaily[WardCode],"FW")=0,"",SUMIFS(tblDaily[Admissions],tblDaily[EntryDate],DATE(2026,4,29),tblDaily[WardCode],"FW")),"")</f>
        <v/>
      </c>
      <c r="C152" s="29" t="str">
        <f>IFERROR(IF(SUMIFS(tblDaily[Discharges],tblDaily[EntryDate],DATE(2026,4,29),tblDaily[WardCode],"FW")=0,"",SUMIFS(tblDaily[Discharges],tblDaily[EntryDate],DATE(2026,4,29),tblDaily[WardCode],"FW")),"")</f>
        <v/>
      </c>
      <c r="D152" s="29" t="str">
        <f>IFERROR(IF(SUMIFS(tblDaily[Deaths],tblDaily[EntryDate],DATE(2026,4,29),tblDaily[WardCode],"FW")=0,"",SUMIFS(tblDaily[Deaths],tblDaily[EntryDate],DATE(2026,4,29),tblDaily[WardCode],"FW")),"")</f>
        <v/>
      </c>
      <c r="E152" s="29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29" t="str">
        <f>IFERROR(IF(SUMIFS(tblDaily[TransfersIn],tblDaily[EntryDate],DATE(2026,4,29),tblDaily[WardCode],"FW")=0,"",SUMIFS(tblDaily[TransfersIn],tblDaily[EntryDate],DATE(2026,4,29),tblDaily[WardCode],"FW")),"")</f>
        <v/>
      </c>
      <c r="G152" s="29" t="str">
        <f>IFERROR(IF(SUMIFS(tblDaily[TransfersOut],tblDaily[EntryDate],DATE(2026,4,29),tblDaily[WardCode],"FW")=0,"",SUMIFS(tblDaily[TransfersOut],tblDaily[EntryDate],DATE(2026,4,29),tblDaily[WardCode],"FW")),"")</f>
        <v/>
      </c>
      <c r="H152" s="29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IFERROR(IF(SUMIFS(tblDaily[Admissions],tblDaily[EntryDate],DATE(2026,4,30),tblDaily[WardCode],"FW")=0,"",SUMIFS(tblDaily[Admissions],tblDaily[EntryDate],DATE(2026,4,30),tblDaily[WardCode],"FW")),"")</f>
        <v/>
      </c>
      <c r="C153" s="29" t="str">
        <f>IFERROR(IF(SUMIFS(tblDaily[Discharges],tblDaily[EntryDate],DATE(2026,4,30),tblDaily[WardCode],"FW")=0,"",SUMIFS(tblDaily[Discharges],tblDaily[EntryDate],DATE(2026,4,30),tblDaily[WardCode],"FW")),"")</f>
        <v/>
      </c>
      <c r="D153" s="29" t="str">
        <f>IFERROR(IF(SUMIFS(tblDaily[Deaths],tblDaily[EntryDate],DATE(2026,4,30),tblDaily[WardCode],"FW")=0,"",SUMIFS(tblDaily[Deaths],tblDaily[EntryDate],DATE(2026,4,30),tblDaily[WardCode],"FW")),"")</f>
        <v/>
      </c>
      <c r="E153" s="29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29" t="str">
        <f>IFERROR(IF(SUMIFS(tblDaily[TransfersIn],tblDaily[EntryDate],DATE(2026,4,30),tblDaily[WardCode],"FW")=0,"",SUMIFS(tblDaily[TransfersIn],tblDaily[EntryDate],DATE(2026,4,30),tblDaily[WardCode],"FW")),"")</f>
        <v/>
      </c>
      <c r="G153" s="29" t="str">
        <f>IFERROR(IF(SUMIFS(tblDaily[TransfersOut],tblDaily[EntryDate],DATE(2026,4,30),tblDaily[WardCode],"FW")=0,"",SUMIFS(tblDaily[TransfersOut],tblDaily[EntryDate],DATE(2026,4,30),tblDaily[WardCode],"FW")),"")</f>
        <v/>
      </c>
      <c r="H153" s="29">
        <f>IFERROR(IF(SUMIFS(tblDaily[Remaining],tblDaily[EntryDate],DATE(2026,4,30),tblDaily[WardCode],"FW")=0,"",SUMIFS(tblDaily[Remaining],tblDaily[EntryDate],DATE(2026,4,30),tblDaily[WardCode],"FW")),"")</f>
        <v>16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SUMIFS(tblDaily[Admissions],tblDaily[Month],4,tblDaily[WardCode],"FW") - SUMIFS(tblDaily[DeathsUnder24Hrs],tblDaily[Month],4,tblDaily[WardCode],"FW")</f>
        <v>19</v>
      </c>
      <c r="C155" s="30">
        <f>SUMIFS(tblDaily[Discharges],tblDaily[Month],4,tblDaily[WardCode],"FW")</f>
        <v>17</v>
      </c>
      <c r="D155" s="30">
        <f>SUMIFS(tblDaily[Deaths],tblDaily[Month],4,tblDaily[WardCode],"FW")</f>
        <v>3</v>
      </c>
      <c r="E155" s="30">
        <f>SUMIFS(tblDaily[DeathsUnder24Hrs],tblDaily[Month],4,tblDaily[WardCode],"FW")</f>
        <v>0</v>
      </c>
      <c r="F155" s="30">
        <f>SUMIFS(tblDaily[TransfersIn],tblDaily[Month],4,tblDaily[WardCode],"FW")</f>
        <v>3</v>
      </c>
      <c r="G155" s="30">
        <f>SUMIFS(tblDaily[TransfersOut],tblDaily[Month],4,tblDaily[WardCode],"FW")</f>
        <v>0</v>
      </c>
      <c r="H155" s="30">
        <f>SUMIFS(tblDaily[Remaining],tblDaily[Month],4,tblDaily[WardCode],"FW")</f>
        <v>111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116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IFERROR(SUMIFS(tblDaily[Remaining],tblDaily[EntryDate],DATE(2026,4,30),tblDaily[WardCode],"FW"),0)</f>
        <v>16</v>
      </c>
    </row>
    <row r="161" spans="1:8" x14ac:dyDescent="0.25">
      <c r="A161" s="24" t="s">
        <v>109</v>
      </c>
      <c r="H161" s="27">
        <f>IFERROR(INDEX(tblWardConfig[BedComplement],MATCH("FW",tblWardConfig[WardCode],0)),0)</f>
        <v>28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IFERROR(IF(SUMIFS(tblDaily[Admissions],tblDaily[EntryDate],DATE(2026,5,1),tblDaily[WardCode],"FW")=0,"",SUMIFS(tblDaily[Admissions],tblDaily[EntryDate],DATE(2026,5,1),tblDaily[WardCode],"FW")),"")</f>
        <v/>
      </c>
      <c r="C163" s="29" t="str">
        <f>IFERROR(IF(SUMIFS(tblDaily[Discharges],tblDaily[EntryDate],DATE(2026,5,1),tblDaily[WardCode],"FW")=0,"",SUMIFS(tblDaily[Discharges],tblDaily[EntryDate],DATE(2026,5,1),tblDaily[WardCode],"FW")),"")</f>
        <v/>
      </c>
      <c r="D163" s="29" t="str">
        <f>IFERROR(IF(SUMIFS(tblDaily[Deaths],tblDaily[EntryDate],DATE(2026,5,1),tblDaily[WardCode],"FW")=0,"",SUMIFS(tblDaily[Deaths],tblDaily[EntryDate],DATE(2026,5,1),tblDaily[WardCode],"FW")),"")</f>
        <v/>
      </c>
      <c r="E163" s="29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29" t="str">
        <f>IFERROR(IF(SUMIFS(tblDaily[TransfersIn],tblDaily[EntryDate],DATE(2026,5,1),tblDaily[WardCode],"FW")=0,"",SUMIFS(tblDaily[TransfersIn],tblDaily[EntryDate],DATE(2026,5,1),tblDaily[WardCode],"FW")),"")</f>
        <v/>
      </c>
      <c r="G163" s="29" t="str">
        <f>IFERROR(IF(SUMIFS(tblDaily[TransfersOut],tblDaily[EntryDate],DATE(2026,5,1),tblDaily[WardCode],"FW")=0,"",SUMIFS(tblDaily[TransfersOut],tblDaily[EntryDate],DATE(2026,5,1),tblDaily[WardCode],"FW")),"")</f>
        <v/>
      </c>
      <c r="H163" s="29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IFERROR(IF(SUMIFS(tblDaily[Admissions],tblDaily[EntryDate],DATE(2026,5,2),tblDaily[WardCode],"FW")=0,"",SUMIFS(tblDaily[Admissions],tblDaily[EntryDate],DATE(2026,5,2),tblDaily[WardCode],"FW")),"")</f>
        <v/>
      </c>
      <c r="C164" s="29" t="str">
        <f>IFERROR(IF(SUMIFS(tblDaily[Discharges],tblDaily[EntryDate],DATE(2026,5,2),tblDaily[WardCode],"FW")=0,"",SUMIFS(tblDaily[Discharges],tblDaily[EntryDate],DATE(2026,5,2),tblDaily[WardCode],"FW")),"")</f>
        <v/>
      </c>
      <c r="D164" s="29" t="str">
        <f>IFERROR(IF(SUMIFS(tblDaily[Deaths],tblDaily[EntryDate],DATE(2026,5,2),tblDaily[WardCode],"FW")=0,"",SUMIFS(tblDaily[Deaths],tblDaily[EntryDate],DATE(2026,5,2),tblDaily[WardCode],"FW")),"")</f>
        <v/>
      </c>
      <c r="E164" s="29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29" t="str">
        <f>IFERROR(IF(SUMIFS(tblDaily[TransfersIn],tblDaily[EntryDate],DATE(2026,5,2),tblDaily[WardCode],"FW")=0,"",SUMIFS(tblDaily[TransfersIn],tblDaily[EntryDate],DATE(2026,5,2),tblDaily[WardCode],"FW")),"")</f>
        <v/>
      </c>
      <c r="G164" s="29" t="str">
        <f>IFERROR(IF(SUMIFS(tblDaily[TransfersOut],tblDaily[EntryDate],DATE(2026,5,2),tblDaily[WardCode],"FW")=0,"",SUMIFS(tblDaily[TransfersOut],tblDaily[EntryDate],DATE(2026,5,2),tblDaily[WardCode],"FW")),"")</f>
        <v/>
      </c>
      <c r="H164" s="29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IFERROR(IF(SUMIFS(tblDaily[Admissions],tblDaily[EntryDate],DATE(2026,5,3),tblDaily[WardCode],"FW")=0,"",SUMIFS(tblDaily[Admissions],tblDaily[EntryDate],DATE(2026,5,3),tblDaily[WardCode],"FW")),"")</f>
        <v/>
      </c>
      <c r="C165" s="29" t="str">
        <f>IFERROR(IF(SUMIFS(tblDaily[Discharges],tblDaily[EntryDate],DATE(2026,5,3),tblDaily[WardCode],"FW")=0,"",SUMIFS(tblDaily[Discharges],tblDaily[EntryDate],DATE(2026,5,3),tblDaily[WardCode],"FW")),"")</f>
        <v/>
      </c>
      <c r="D165" s="29" t="str">
        <f>IFERROR(IF(SUMIFS(tblDaily[Deaths],tblDaily[EntryDate],DATE(2026,5,3),tblDaily[WardCode],"FW")=0,"",SUMIFS(tblDaily[Deaths],tblDaily[EntryDate],DATE(2026,5,3),tblDaily[WardCode],"FW")),"")</f>
        <v/>
      </c>
      <c r="E165" s="29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29" t="str">
        <f>IFERROR(IF(SUMIFS(tblDaily[TransfersIn],tblDaily[EntryDate],DATE(2026,5,3),tblDaily[WardCode],"FW")=0,"",SUMIFS(tblDaily[TransfersIn],tblDaily[EntryDate],DATE(2026,5,3),tblDaily[WardCode],"FW")),"")</f>
        <v/>
      </c>
      <c r="G165" s="29" t="str">
        <f>IFERROR(IF(SUMIFS(tblDaily[TransfersOut],tblDaily[EntryDate],DATE(2026,5,3),tblDaily[WardCode],"FW")=0,"",SUMIFS(tblDaily[TransfersOut],tblDaily[EntryDate],DATE(2026,5,3),tblDaily[WardCode],"FW")),"")</f>
        <v/>
      </c>
      <c r="H165" s="29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IFERROR(IF(SUMIFS(tblDaily[Admissions],tblDaily[EntryDate],DATE(2026,5,4),tblDaily[WardCode],"FW")=0,"",SUMIFS(tblDaily[Admissions],tblDaily[EntryDate],DATE(2026,5,4),tblDaily[WardCode],"FW")),"")</f>
        <v/>
      </c>
      <c r="C166" s="29" t="str">
        <f>IFERROR(IF(SUMIFS(tblDaily[Discharges],tblDaily[EntryDate],DATE(2026,5,4),tblDaily[WardCode],"FW")=0,"",SUMIFS(tblDaily[Discharges],tblDaily[EntryDate],DATE(2026,5,4),tblDaily[WardCode],"FW")),"")</f>
        <v/>
      </c>
      <c r="D166" s="29" t="str">
        <f>IFERROR(IF(SUMIFS(tblDaily[Deaths],tblDaily[EntryDate],DATE(2026,5,4),tblDaily[WardCode],"FW")=0,"",SUMIFS(tblDaily[Deaths],tblDaily[EntryDate],DATE(2026,5,4),tblDaily[WardCode],"FW")),"")</f>
        <v/>
      </c>
      <c r="E166" s="29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29" t="str">
        <f>IFERROR(IF(SUMIFS(tblDaily[TransfersIn],tblDaily[EntryDate],DATE(2026,5,4),tblDaily[WardCode],"FW")=0,"",SUMIFS(tblDaily[TransfersIn],tblDaily[EntryDate],DATE(2026,5,4),tblDaily[WardCode],"FW")),"")</f>
        <v/>
      </c>
      <c r="G166" s="29" t="str">
        <f>IFERROR(IF(SUMIFS(tblDaily[TransfersOut],tblDaily[EntryDate],DATE(2026,5,4),tblDaily[WardCode],"FW")=0,"",SUMIFS(tblDaily[TransfersOut],tblDaily[EntryDate],DATE(2026,5,4),tblDaily[WardCode],"FW")),"")</f>
        <v/>
      </c>
      <c r="H166" s="29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IFERROR(IF(SUMIFS(tblDaily[Admissions],tblDaily[EntryDate],DATE(2026,5,5),tblDaily[WardCode],"FW")=0,"",SUMIFS(tblDaily[Admissions],tblDaily[EntryDate],DATE(2026,5,5),tblDaily[WardCode],"FW")),"")</f>
        <v/>
      </c>
      <c r="C167" s="29" t="str">
        <f>IFERROR(IF(SUMIFS(tblDaily[Discharges],tblDaily[EntryDate],DATE(2026,5,5),tblDaily[WardCode],"FW")=0,"",SUMIFS(tblDaily[Discharges],tblDaily[EntryDate],DATE(2026,5,5),tblDaily[WardCode],"FW")),"")</f>
        <v/>
      </c>
      <c r="D167" s="29" t="str">
        <f>IFERROR(IF(SUMIFS(tblDaily[Deaths],tblDaily[EntryDate],DATE(2026,5,5),tblDaily[WardCode],"FW")=0,"",SUMIFS(tblDaily[Deaths],tblDaily[EntryDate],DATE(2026,5,5),tblDaily[WardCode],"FW")),"")</f>
        <v/>
      </c>
      <c r="E167" s="29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29" t="str">
        <f>IFERROR(IF(SUMIFS(tblDaily[TransfersIn],tblDaily[EntryDate],DATE(2026,5,5),tblDaily[WardCode],"FW")=0,"",SUMIFS(tblDaily[TransfersIn],tblDaily[EntryDate],DATE(2026,5,5),tblDaily[WardCode],"FW")),"")</f>
        <v/>
      </c>
      <c r="G167" s="29" t="str">
        <f>IFERROR(IF(SUMIFS(tblDaily[TransfersOut],tblDaily[EntryDate],DATE(2026,5,5),tblDaily[WardCode],"FW")=0,"",SUMIFS(tblDaily[TransfersOut],tblDaily[EntryDate],DATE(2026,5,5),tblDaily[WardCode],"FW")),"")</f>
        <v/>
      </c>
      <c r="H167" s="29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IFERROR(IF(SUMIFS(tblDaily[Admissions],tblDaily[EntryDate],DATE(2026,5,6),tblDaily[WardCode],"FW")=0,"",SUMIFS(tblDaily[Admissions],tblDaily[EntryDate],DATE(2026,5,6),tblDaily[WardCode],"FW")),"")</f>
        <v/>
      </c>
      <c r="C168" s="29" t="str">
        <f>IFERROR(IF(SUMIFS(tblDaily[Discharges],tblDaily[EntryDate],DATE(2026,5,6),tblDaily[WardCode],"FW")=0,"",SUMIFS(tblDaily[Discharges],tblDaily[EntryDate],DATE(2026,5,6),tblDaily[WardCode],"FW")),"")</f>
        <v/>
      </c>
      <c r="D168" s="29" t="str">
        <f>IFERROR(IF(SUMIFS(tblDaily[Deaths],tblDaily[EntryDate],DATE(2026,5,6),tblDaily[WardCode],"FW")=0,"",SUMIFS(tblDaily[Deaths],tblDaily[EntryDate],DATE(2026,5,6),tblDaily[WardCode],"FW")),"")</f>
        <v/>
      </c>
      <c r="E168" s="29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29" t="str">
        <f>IFERROR(IF(SUMIFS(tblDaily[TransfersIn],tblDaily[EntryDate],DATE(2026,5,6),tblDaily[WardCode],"FW")=0,"",SUMIFS(tblDaily[TransfersIn],tblDaily[EntryDate],DATE(2026,5,6),tblDaily[WardCode],"FW")),"")</f>
        <v/>
      </c>
      <c r="G168" s="29" t="str">
        <f>IFERROR(IF(SUMIFS(tblDaily[TransfersOut],tblDaily[EntryDate],DATE(2026,5,6),tblDaily[WardCode],"FW")=0,"",SUMIFS(tblDaily[TransfersOut],tblDaily[EntryDate],DATE(2026,5,6),tblDaily[WardCode],"FW")),"")</f>
        <v/>
      </c>
      <c r="H168" s="29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IFERROR(IF(SUMIFS(tblDaily[Admissions],tblDaily[EntryDate],DATE(2026,5,7),tblDaily[WardCode],"FW")=0,"",SUMIFS(tblDaily[Admissions],tblDaily[EntryDate],DATE(2026,5,7),tblDaily[WardCode],"FW")),"")</f>
        <v/>
      </c>
      <c r="C169" s="29" t="str">
        <f>IFERROR(IF(SUMIFS(tblDaily[Discharges],tblDaily[EntryDate],DATE(2026,5,7),tblDaily[WardCode],"FW")=0,"",SUMIFS(tblDaily[Discharges],tblDaily[EntryDate],DATE(2026,5,7),tblDaily[WardCode],"FW")),"")</f>
        <v/>
      </c>
      <c r="D169" s="29" t="str">
        <f>IFERROR(IF(SUMIFS(tblDaily[Deaths],tblDaily[EntryDate],DATE(2026,5,7),tblDaily[WardCode],"FW")=0,"",SUMIFS(tblDaily[Deaths],tblDaily[EntryDate],DATE(2026,5,7),tblDaily[WardCode],"FW")),"")</f>
        <v/>
      </c>
      <c r="E169" s="29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29" t="str">
        <f>IFERROR(IF(SUMIFS(tblDaily[TransfersIn],tblDaily[EntryDate],DATE(2026,5,7),tblDaily[WardCode],"FW")=0,"",SUMIFS(tblDaily[TransfersIn],tblDaily[EntryDate],DATE(2026,5,7),tblDaily[WardCode],"FW")),"")</f>
        <v/>
      </c>
      <c r="G169" s="29" t="str">
        <f>IFERROR(IF(SUMIFS(tblDaily[TransfersOut],tblDaily[EntryDate],DATE(2026,5,7),tblDaily[WardCode],"FW")=0,"",SUMIFS(tblDaily[TransfersOut],tblDaily[EntryDate],DATE(2026,5,7),tblDaily[WardCode],"FW")),"")</f>
        <v/>
      </c>
      <c r="H169" s="29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IFERROR(IF(SUMIFS(tblDaily[Admissions],tblDaily[EntryDate],DATE(2026,5,8),tblDaily[WardCode],"FW")=0,"",SUMIFS(tblDaily[Admissions],tblDaily[EntryDate],DATE(2026,5,8),tblDaily[WardCode],"FW")),"")</f>
        <v/>
      </c>
      <c r="C170" s="29" t="str">
        <f>IFERROR(IF(SUMIFS(tblDaily[Discharges],tblDaily[EntryDate],DATE(2026,5,8),tblDaily[WardCode],"FW")=0,"",SUMIFS(tblDaily[Discharges],tblDaily[EntryDate],DATE(2026,5,8),tblDaily[WardCode],"FW")),"")</f>
        <v/>
      </c>
      <c r="D170" s="29" t="str">
        <f>IFERROR(IF(SUMIFS(tblDaily[Deaths],tblDaily[EntryDate],DATE(2026,5,8),tblDaily[WardCode],"FW")=0,"",SUMIFS(tblDaily[Deaths],tblDaily[EntryDate],DATE(2026,5,8),tblDaily[WardCode],"FW")),"")</f>
        <v/>
      </c>
      <c r="E170" s="29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29" t="str">
        <f>IFERROR(IF(SUMIFS(tblDaily[TransfersIn],tblDaily[EntryDate],DATE(2026,5,8),tblDaily[WardCode],"FW")=0,"",SUMIFS(tblDaily[TransfersIn],tblDaily[EntryDate],DATE(2026,5,8),tblDaily[WardCode],"FW")),"")</f>
        <v/>
      </c>
      <c r="G170" s="29" t="str">
        <f>IFERROR(IF(SUMIFS(tblDaily[TransfersOut],tblDaily[EntryDate],DATE(2026,5,8),tblDaily[WardCode],"FW")=0,"",SUMIFS(tblDaily[TransfersOut],tblDaily[EntryDate],DATE(2026,5,8),tblDaily[WardCode],"FW")),"")</f>
        <v/>
      </c>
      <c r="H170" s="29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IFERROR(IF(SUMIFS(tblDaily[Admissions],tblDaily[EntryDate],DATE(2026,5,9),tblDaily[WardCode],"FW")=0,"",SUMIFS(tblDaily[Admissions],tblDaily[EntryDate],DATE(2026,5,9),tblDaily[WardCode],"FW")),"")</f>
        <v/>
      </c>
      <c r="C171" s="29" t="str">
        <f>IFERROR(IF(SUMIFS(tblDaily[Discharges],tblDaily[EntryDate],DATE(2026,5,9),tblDaily[WardCode],"FW")=0,"",SUMIFS(tblDaily[Discharges],tblDaily[EntryDate],DATE(2026,5,9),tblDaily[WardCode],"FW")),"")</f>
        <v/>
      </c>
      <c r="D171" s="29" t="str">
        <f>IFERROR(IF(SUMIFS(tblDaily[Deaths],tblDaily[EntryDate],DATE(2026,5,9),tblDaily[WardCode],"FW")=0,"",SUMIFS(tblDaily[Deaths],tblDaily[EntryDate],DATE(2026,5,9),tblDaily[WardCode],"FW")),"")</f>
        <v/>
      </c>
      <c r="E171" s="29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29" t="str">
        <f>IFERROR(IF(SUMIFS(tblDaily[TransfersIn],tblDaily[EntryDate],DATE(2026,5,9),tblDaily[WardCode],"FW")=0,"",SUMIFS(tblDaily[TransfersIn],tblDaily[EntryDate],DATE(2026,5,9),tblDaily[WardCode],"FW")),"")</f>
        <v/>
      </c>
      <c r="G171" s="29" t="str">
        <f>IFERROR(IF(SUMIFS(tblDaily[TransfersOut],tblDaily[EntryDate],DATE(2026,5,9),tblDaily[WardCode],"FW")=0,"",SUMIFS(tblDaily[TransfersOut],tblDaily[EntryDate],DATE(2026,5,9),tblDaily[WardCode],"FW")),"")</f>
        <v/>
      </c>
      <c r="H171" s="29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IFERROR(IF(SUMIFS(tblDaily[Admissions],tblDaily[EntryDate],DATE(2026,5,10),tblDaily[WardCode],"FW")=0,"",SUMIFS(tblDaily[Admissions],tblDaily[EntryDate],DATE(2026,5,10),tblDaily[WardCode],"FW")),"")</f>
        <v/>
      </c>
      <c r="C172" s="29" t="str">
        <f>IFERROR(IF(SUMIFS(tblDaily[Discharges],tblDaily[EntryDate],DATE(2026,5,10),tblDaily[WardCode],"FW")=0,"",SUMIFS(tblDaily[Discharges],tblDaily[EntryDate],DATE(2026,5,10),tblDaily[WardCode],"FW")),"")</f>
        <v/>
      </c>
      <c r="D172" s="29" t="str">
        <f>IFERROR(IF(SUMIFS(tblDaily[Deaths],tblDaily[EntryDate],DATE(2026,5,10),tblDaily[WardCode],"FW")=0,"",SUMIFS(tblDaily[Deaths],tblDaily[EntryDate],DATE(2026,5,10),tblDaily[WardCode],"FW")),"")</f>
        <v/>
      </c>
      <c r="E172" s="29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29" t="str">
        <f>IFERROR(IF(SUMIFS(tblDaily[TransfersIn],tblDaily[EntryDate],DATE(2026,5,10),tblDaily[WardCode],"FW")=0,"",SUMIFS(tblDaily[TransfersIn],tblDaily[EntryDate],DATE(2026,5,10),tblDaily[WardCode],"FW")),"")</f>
        <v/>
      </c>
      <c r="G172" s="29" t="str">
        <f>IFERROR(IF(SUMIFS(tblDaily[TransfersOut],tblDaily[EntryDate],DATE(2026,5,10),tblDaily[WardCode],"FW")=0,"",SUMIFS(tblDaily[TransfersOut],tblDaily[EntryDate],DATE(2026,5,10),tblDaily[WardCode],"FW")),"")</f>
        <v/>
      </c>
      <c r="H172" s="29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IFERROR(IF(SUMIFS(tblDaily[Admissions],tblDaily[EntryDate],DATE(2026,5,11),tblDaily[WardCode],"FW")=0,"",SUMIFS(tblDaily[Admissions],tblDaily[EntryDate],DATE(2026,5,11),tblDaily[WardCode],"FW")),"")</f>
        <v/>
      </c>
      <c r="C173" s="29" t="str">
        <f>IFERROR(IF(SUMIFS(tblDaily[Discharges],tblDaily[EntryDate],DATE(2026,5,11),tblDaily[WardCode],"FW")=0,"",SUMIFS(tblDaily[Discharges],tblDaily[EntryDate],DATE(2026,5,11),tblDaily[WardCode],"FW")),"")</f>
        <v/>
      </c>
      <c r="D173" s="29" t="str">
        <f>IFERROR(IF(SUMIFS(tblDaily[Deaths],tblDaily[EntryDate],DATE(2026,5,11),tblDaily[WardCode],"FW")=0,"",SUMIFS(tblDaily[Deaths],tblDaily[EntryDate],DATE(2026,5,11),tblDaily[WardCode],"FW")),"")</f>
        <v/>
      </c>
      <c r="E173" s="29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29" t="str">
        <f>IFERROR(IF(SUMIFS(tblDaily[TransfersIn],tblDaily[EntryDate],DATE(2026,5,11),tblDaily[WardCode],"FW")=0,"",SUMIFS(tblDaily[TransfersIn],tblDaily[EntryDate],DATE(2026,5,11),tblDaily[WardCode],"FW")),"")</f>
        <v/>
      </c>
      <c r="G173" s="29" t="str">
        <f>IFERROR(IF(SUMIFS(tblDaily[TransfersOut],tblDaily[EntryDate],DATE(2026,5,11),tblDaily[WardCode],"FW")=0,"",SUMIFS(tblDaily[TransfersOut],tblDaily[EntryDate],DATE(2026,5,11),tblDaily[WardCode],"FW")),"")</f>
        <v/>
      </c>
      <c r="H173" s="29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IFERROR(IF(SUMIFS(tblDaily[Admissions],tblDaily[EntryDate],DATE(2026,5,12),tblDaily[WardCode],"FW")=0,"",SUMIFS(tblDaily[Admissions],tblDaily[EntryDate],DATE(2026,5,12),tblDaily[WardCode],"FW")),"")</f>
        <v/>
      </c>
      <c r="C174" s="29" t="str">
        <f>IFERROR(IF(SUMIFS(tblDaily[Discharges],tblDaily[EntryDate],DATE(2026,5,12),tblDaily[WardCode],"FW")=0,"",SUMIFS(tblDaily[Discharges],tblDaily[EntryDate],DATE(2026,5,12),tblDaily[WardCode],"FW")),"")</f>
        <v/>
      </c>
      <c r="D174" s="29" t="str">
        <f>IFERROR(IF(SUMIFS(tblDaily[Deaths],tblDaily[EntryDate],DATE(2026,5,12),tblDaily[WardCode],"FW")=0,"",SUMIFS(tblDaily[Deaths],tblDaily[EntryDate],DATE(2026,5,12),tblDaily[WardCode],"FW")),"")</f>
        <v/>
      </c>
      <c r="E174" s="29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29" t="str">
        <f>IFERROR(IF(SUMIFS(tblDaily[TransfersIn],tblDaily[EntryDate],DATE(2026,5,12),tblDaily[WardCode],"FW")=0,"",SUMIFS(tblDaily[TransfersIn],tblDaily[EntryDate],DATE(2026,5,12),tblDaily[WardCode],"FW")),"")</f>
        <v/>
      </c>
      <c r="G174" s="29" t="str">
        <f>IFERROR(IF(SUMIFS(tblDaily[TransfersOut],tblDaily[EntryDate],DATE(2026,5,12),tblDaily[WardCode],"FW")=0,"",SUMIFS(tblDaily[TransfersOut],tblDaily[EntryDate],DATE(2026,5,12),tblDaily[WardCode],"FW")),"")</f>
        <v/>
      </c>
      <c r="H174" s="29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IFERROR(IF(SUMIFS(tblDaily[Admissions],tblDaily[EntryDate],DATE(2026,5,13),tblDaily[WardCode],"FW")=0,"",SUMIFS(tblDaily[Admissions],tblDaily[EntryDate],DATE(2026,5,13),tblDaily[WardCode],"FW")),"")</f>
        <v/>
      </c>
      <c r="C175" s="29" t="str">
        <f>IFERROR(IF(SUMIFS(tblDaily[Discharges],tblDaily[EntryDate],DATE(2026,5,13),tblDaily[WardCode],"FW")=0,"",SUMIFS(tblDaily[Discharges],tblDaily[EntryDate],DATE(2026,5,13),tblDaily[WardCode],"FW")),"")</f>
        <v/>
      </c>
      <c r="D175" s="29" t="str">
        <f>IFERROR(IF(SUMIFS(tblDaily[Deaths],tblDaily[EntryDate],DATE(2026,5,13),tblDaily[WardCode],"FW")=0,"",SUMIFS(tblDaily[Deaths],tblDaily[EntryDate],DATE(2026,5,13),tblDaily[WardCode],"FW")),"")</f>
        <v/>
      </c>
      <c r="E175" s="29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29" t="str">
        <f>IFERROR(IF(SUMIFS(tblDaily[TransfersIn],tblDaily[EntryDate],DATE(2026,5,13),tblDaily[WardCode],"FW")=0,"",SUMIFS(tblDaily[TransfersIn],tblDaily[EntryDate],DATE(2026,5,13),tblDaily[WardCode],"FW")),"")</f>
        <v/>
      </c>
      <c r="G175" s="29" t="str">
        <f>IFERROR(IF(SUMIFS(tblDaily[TransfersOut],tblDaily[EntryDate],DATE(2026,5,13),tblDaily[WardCode],"FW")=0,"",SUMIFS(tblDaily[TransfersOut],tblDaily[EntryDate],DATE(2026,5,13),tblDaily[WardCode],"FW")),"")</f>
        <v/>
      </c>
      <c r="H175" s="29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IFERROR(IF(SUMIFS(tblDaily[Admissions],tblDaily[EntryDate],DATE(2026,5,14),tblDaily[WardCode],"FW")=0,"",SUMIFS(tblDaily[Admissions],tblDaily[EntryDate],DATE(2026,5,14),tblDaily[WardCode],"FW")),"")</f>
        <v/>
      </c>
      <c r="C176" s="29" t="str">
        <f>IFERROR(IF(SUMIFS(tblDaily[Discharges],tblDaily[EntryDate],DATE(2026,5,14),tblDaily[WardCode],"FW")=0,"",SUMIFS(tblDaily[Discharges],tblDaily[EntryDate],DATE(2026,5,14),tblDaily[WardCode],"FW")),"")</f>
        <v/>
      </c>
      <c r="D176" s="29" t="str">
        <f>IFERROR(IF(SUMIFS(tblDaily[Deaths],tblDaily[EntryDate],DATE(2026,5,14),tblDaily[WardCode],"FW")=0,"",SUMIFS(tblDaily[Deaths],tblDaily[EntryDate],DATE(2026,5,14),tblDaily[WardCode],"FW")),"")</f>
        <v/>
      </c>
      <c r="E176" s="29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29" t="str">
        <f>IFERROR(IF(SUMIFS(tblDaily[TransfersIn],tblDaily[EntryDate],DATE(2026,5,14),tblDaily[WardCode],"FW")=0,"",SUMIFS(tblDaily[TransfersIn],tblDaily[EntryDate],DATE(2026,5,14),tblDaily[WardCode],"FW")),"")</f>
        <v/>
      </c>
      <c r="G176" s="29" t="str">
        <f>IFERROR(IF(SUMIFS(tblDaily[TransfersOut],tblDaily[EntryDate],DATE(2026,5,14),tblDaily[WardCode],"FW")=0,"",SUMIFS(tblDaily[TransfersOut],tblDaily[EntryDate],DATE(2026,5,14),tblDaily[WardCode],"FW")),"")</f>
        <v/>
      </c>
      <c r="H176" s="29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IFERROR(IF(SUMIFS(tblDaily[Admissions],tblDaily[EntryDate],DATE(2026,5,15),tblDaily[WardCode],"FW")=0,"",SUMIFS(tblDaily[Admissions],tblDaily[EntryDate],DATE(2026,5,15),tblDaily[WardCode],"FW")),"")</f>
        <v/>
      </c>
      <c r="C177" s="29" t="str">
        <f>IFERROR(IF(SUMIFS(tblDaily[Discharges],tblDaily[EntryDate],DATE(2026,5,15),tblDaily[WardCode],"FW")=0,"",SUMIFS(tblDaily[Discharges],tblDaily[EntryDate],DATE(2026,5,15),tblDaily[WardCode],"FW")),"")</f>
        <v/>
      </c>
      <c r="D177" s="29" t="str">
        <f>IFERROR(IF(SUMIFS(tblDaily[Deaths],tblDaily[EntryDate],DATE(2026,5,15),tblDaily[WardCode],"FW")=0,"",SUMIFS(tblDaily[Deaths],tblDaily[EntryDate],DATE(2026,5,15),tblDaily[WardCode],"FW")),"")</f>
        <v/>
      </c>
      <c r="E177" s="29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29" t="str">
        <f>IFERROR(IF(SUMIFS(tblDaily[TransfersIn],tblDaily[EntryDate],DATE(2026,5,15),tblDaily[WardCode],"FW")=0,"",SUMIFS(tblDaily[TransfersIn],tblDaily[EntryDate],DATE(2026,5,15),tblDaily[WardCode],"FW")),"")</f>
        <v/>
      </c>
      <c r="G177" s="29" t="str">
        <f>IFERROR(IF(SUMIFS(tblDaily[TransfersOut],tblDaily[EntryDate],DATE(2026,5,15),tblDaily[WardCode],"FW")=0,"",SUMIFS(tblDaily[TransfersOut],tblDaily[EntryDate],DATE(2026,5,15),tblDaily[WardCode],"FW")),"")</f>
        <v/>
      </c>
      <c r="H177" s="29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IFERROR(IF(SUMIFS(tblDaily[Admissions],tblDaily[EntryDate],DATE(2026,5,16),tblDaily[WardCode],"FW")=0,"",SUMIFS(tblDaily[Admissions],tblDaily[EntryDate],DATE(2026,5,16),tblDaily[WardCode],"FW")),"")</f>
        <v/>
      </c>
      <c r="C178" s="29" t="str">
        <f>IFERROR(IF(SUMIFS(tblDaily[Discharges],tblDaily[EntryDate],DATE(2026,5,16),tblDaily[WardCode],"FW")=0,"",SUMIFS(tblDaily[Discharges],tblDaily[EntryDate],DATE(2026,5,16),tblDaily[WardCode],"FW")),"")</f>
        <v/>
      </c>
      <c r="D178" s="29" t="str">
        <f>IFERROR(IF(SUMIFS(tblDaily[Deaths],tblDaily[EntryDate],DATE(2026,5,16),tblDaily[WardCode],"FW")=0,"",SUMIFS(tblDaily[Deaths],tblDaily[EntryDate],DATE(2026,5,16),tblDaily[WardCode],"FW")),"")</f>
        <v/>
      </c>
      <c r="E178" s="29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29" t="str">
        <f>IFERROR(IF(SUMIFS(tblDaily[TransfersIn],tblDaily[EntryDate],DATE(2026,5,16),tblDaily[WardCode],"FW")=0,"",SUMIFS(tblDaily[TransfersIn],tblDaily[EntryDate],DATE(2026,5,16),tblDaily[WardCode],"FW")),"")</f>
        <v/>
      </c>
      <c r="G178" s="29" t="str">
        <f>IFERROR(IF(SUMIFS(tblDaily[TransfersOut],tblDaily[EntryDate],DATE(2026,5,16),tblDaily[WardCode],"FW")=0,"",SUMIFS(tblDaily[TransfersOut],tblDaily[EntryDate],DATE(2026,5,16),tblDaily[WardCode],"FW")),"")</f>
        <v/>
      </c>
      <c r="H178" s="29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IFERROR(IF(SUMIFS(tblDaily[Admissions],tblDaily[EntryDate],DATE(2026,5,17),tblDaily[WardCode],"FW")=0,"",SUMIFS(tblDaily[Admissions],tblDaily[EntryDate],DATE(2026,5,17),tblDaily[WardCode],"FW")),"")</f>
        <v/>
      </c>
      <c r="C179" s="29" t="str">
        <f>IFERROR(IF(SUMIFS(tblDaily[Discharges],tblDaily[EntryDate],DATE(2026,5,17),tblDaily[WardCode],"FW")=0,"",SUMIFS(tblDaily[Discharges],tblDaily[EntryDate],DATE(2026,5,17),tblDaily[WardCode],"FW")),"")</f>
        <v/>
      </c>
      <c r="D179" s="29" t="str">
        <f>IFERROR(IF(SUMIFS(tblDaily[Deaths],tblDaily[EntryDate],DATE(2026,5,17),tblDaily[WardCode],"FW")=0,"",SUMIFS(tblDaily[Deaths],tblDaily[EntryDate],DATE(2026,5,17),tblDaily[WardCode],"FW")),"")</f>
        <v/>
      </c>
      <c r="E179" s="29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29" t="str">
        <f>IFERROR(IF(SUMIFS(tblDaily[TransfersIn],tblDaily[EntryDate],DATE(2026,5,17),tblDaily[WardCode],"FW")=0,"",SUMIFS(tblDaily[TransfersIn],tblDaily[EntryDate],DATE(2026,5,17),tblDaily[WardCode],"FW")),"")</f>
        <v/>
      </c>
      <c r="G179" s="29" t="str">
        <f>IFERROR(IF(SUMIFS(tblDaily[TransfersOut],tblDaily[EntryDate],DATE(2026,5,17),tblDaily[WardCode],"FW")=0,"",SUMIFS(tblDaily[TransfersOut],tblDaily[EntryDate],DATE(2026,5,17),tblDaily[WardCode],"FW")),"")</f>
        <v/>
      </c>
      <c r="H179" s="29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IFERROR(IF(SUMIFS(tblDaily[Admissions],tblDaily[EntryDate],DATE(2026,5,18),tblDaily[WardCode],"FW")=0,"",SUMIFS(tblDaily[Admissions],tblDaily[EntryDate],DATE(2026,5,18),tblDaily[WardCode],"FW")),"")</f>
        <v/>
      </c>
      <c r="C180" s="29" t="str">
        <f>IFERROR(IF(SUMIFS(tblDaily[Discharges],tblDaily[EntryDate],DATE(2026,5,18),tblDaily[WardCode],"FW")=0,"",SUMIFS(tblDaily[Discharges],tblDaily[EntryDate],DATE(2026,5,18),tblDaily[WardCode],"FW")),"")</f>
        <v/>
      </c>
      <c r="D180" s="29" t="str">
        <f>IFERROR(IF(SUMIFS(tblDaily[Deaths],tblDaily[EntryDate],DATE(2026,5,18),tblDaily[WardCode],"FW")=0,"",SUMIFS(tblDaily[Deaths],tblDaily[EntryDate],DATE(2026,5,18),tblDaily[WardCode],"FW")),"")</f>
        <v/>
      </c>
      <c r="E180" s="29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29" t="str">
        <f>IFERROR(IF(SUMIFS(tblDaily[TransfersIn],tblDaily[EntryDate],DATE(2026,5,18),tblDaily[WardCode],"FW")=0,"",SUMIFS(tblDaily[TransfersIn],tblDaily[EntryDate],DATE(2026,5,18),tblDaily[WardCode],"FW")),"")</f>
        <v/>
      </c>
      <c r="G180" s="29" t="str">
        <f>IFERROR(IF(SUMIFS(tblDaily[TransfersOut],tblDaily[EntryDate],DATE(2026,5,18),tblDaily[WardCode],"FW")=0,"",SUMIFS(tblDaily[TransfersOut],tblDaily[EntryDate],DATE(2026,5,18),tblDaily[WardCode],"FW")),"")</f>
        <v/>
      </c>
      <c r="H180" s="29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IFERROR(IF(SUMIFS(tblDaily[Admissions],tblDaily[EntryDate],DATE(2026,5,19),tblDaily[WardCode],"FW")=0,"",SUMIFS(tblDaily[Admissions],tblDaily[EntryDate],DATE(2026,5,19),tblDaily[WardCode],"FW")),"")</f>
        <v/>
      </c>
      <c r="C181" s="29" t="str">
        <f>IFERROR(IF(SUMIFS(tblDaily[Discharges],tblDaily[EntryDate],DATE(2026,5,19),tblDaily[WardCode],"FW")=0,"",SUMIFS(tblDaily[Discharges],tblDaily[EntryDate],DATE(2026,5,19),tblDaily[WardCode],"FW")),"")</f>
        <v/>
      </c>
      <c r="D181" s="29" t="str">
        <f>IFERROR(IF(SUMIFS(tblDaily[Deaths],tblDaily[EntryDate],DATE(2026,5,19),tblDaily[WardCode],"FW")=0,"",SUMIFS(tblDaily[Deaths],tblDaily[EntryDate],DATE(2026,5,19),tblDaily[WardCode],"FW")),"")</f>
        <v/>
      </c>
      <c r="E181" s="29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29" t="str">
        <f>IFERROR(IF(SUMIFS(tblDaily[TransfersIn],tblDaily[EntryDate],DATE(2026,5,19),tblDaily[WardCode],"FW")=0,"",SUMIFS(tblDaily[TransfersIn],tblDaily[EntryDate],DATE(2026,5,19),tblDaily[WardCode],"FW")),"")</f>
        <v/>
      </c>
      <c r="G181" s="29" t="str">
        <f>IFERROR(IF(SUMIFS(tblDaily[TransfersOut],tblDaily[EntryDate],DATE(2026,5,19),tblDaily[WardCode],"FW")=0,"",SUMIFS(tblDaily[TransfersOut],tblDaily[EntryDate],DATE(2026,5,19),tblDaily[WardCode],"FW")),"")</f>
        <v/>
      </c>
      <c r="H181" s="29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IFERROR(IF(SUMIFS(tblDaily[Admissions],tblDaily[EntryDate],DATE(2026,5,20),tblDaily[WardCode],"FW")=0,"",SUMIFS(tblDaily[Admissions],tblDaily[EntryDate],DATE(2026,5,20),tblDaily[WardCode],"FW")),"")</f>
        <v/>
      </c>
      <c r="C182" s="29" t="str">
        <f>IFERROR(IF(SUMIFS(tblDaily[Discharges],tblDaily[EntryDate],DATE(2026,5,20),tblDaily[WardCode],"FW")=0,"",SUMIFS(tblDaily[Discharges],tblDaily[EntryDate],DATE(2026,5,20),tblDaily[WardCode],"FW")),"")</f>
        <v/>
      </c>
      <c r="D182" s="29" t="str">
        <f>IFERROR(IF(SUMIFS(tblDaily[Deaths],tblDaily[EntryDate],DATE(2026,5,20),tblDaily[WardCode],"FW")=0,"",SUMIFS(tblDaily[Deaths],tblDaily[EntryDate],DATE(2026,5,20),tblDaily[WardCode],"FW")),"")</f>
        <v/>
      </c>
      <c r="E182" s="29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29" t="str">
        <f>IFERROR(IF(SUMIFS(tblDaily[TransfersIn],tblDaily[EntryDate],DATE(2026,5,20),tblDaily[WardCode],"FW")=0,"",SUMIFS(tblDaily[TransfersIn],tblDaily[EntryDate],DATE(2026,5,20),tblDaily[WardCode],"FW")),"")</f>
        <v/>
      </c>
      <c r="G182" s="29" t="str">
        <f>IFERROR(IF(SUMIFS(tblDaily[TransfersOut],tblDaily[EntryDate],DATE(2026,5,20),tblDaily[WardCode],"FW")=0,"",SUMIFS(tblDaily[TransfersOut],tblDaily[EntryDate],DATE(2026,5,20),tblDaily[WardCode],"FW")),"")</f>
        <v/>
      </c>
      <c r="H182" s="29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IFERROR(IF(SUMIFS(tblDaily[Admissions],tblDaily[EntryDate],DATE(2026,5,21),tblDaily[WardCode],"FW")=0,"",SUMIFS(tblDaily[Admissions],tblDaily[EntryDate],DATE(2026,5,21),tblDaily[WardCode],"FW")),"")</f>
        <v/>
      </c>
      <c r="C183" s="29" t="str">
        <f>IFERROR(IF(SUMIFS(tblDaily[Discharges],tblDaily[EntryDate],DATE(2026,5,21),tblDaily[WardCode],"FW")=0,"",SUMIFS(tblDaily[Discharges],tblDaily[EntryDate],DATE(2026,5,21),tblDaily[WardCode],"FW")),"")</f>
        <v/>
      </c>
      <c r="D183" s="29" t="str">
        <f>IFERROR(IF(SUMIFS(tblDaily[Deaths],tblDaily[EntryDate],DATE(2026,5,21),tblDaily[WardCode],"FW")=0,"",SUMIFS(tblDaily[Deaths],tblDaily[EntryDate],DATE(2026,5,21),tblDaily[WardCode],"FW")),"")</f>
        <v/>
      </c>
      <c r="E183" s="29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29" t="str">
        <f>IFERROR(IF(SUMIFS(tblDaily[TransfersIn],tblDaily[EntryDate],DATE(2026,5,21),tblDaily[WardCode],"FW")=0,"",SUMIFS(tblDaily[TransfersIn],tblDaily[EntryDate],DATE(2026,5,21),tblDaily[WardCode],"FW")),"")</f>
        <v/>
      </c>
      <c r="G183" s="29" t="str">
        <f>IFERROR(IF(SUMIFS(tblDaily[TransfersOut],tblDaily[EntryDate],DATE(2026,5,21),tblDaily[WardCode],"FW")=0,"",SUMIFS(tblDaily[TransfersOut],tblDaily[EntryDate],DATE(2026,5,21),tblDaily[WardCode],"FW")),"")</f>
        <v/>
      </c>
      <c r="H183" s="29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IFERROR(IF(SUMIFS(tblDaily[Admissions],tblDaily[EntryDate],DATE(2026,5,22),tblDaily[WardCode],"FW")=0,"",SUMIFS(tblDaily[Admissions],tblDaily[EntryDate],DATE(2026,5,22),tblDaily[WardCode],"FW")),"")</f>
        <v/>
      </c>
      <c r="C184" s="29" t="str">
        <f>IFERROR(IF(SUMIFS(tblDaily[Discharges],tblDaily[EntryDate],DATE(2026,5,22),tblDaily[WardCode],"FW")=0,"",SUMIFS(tblDaily[Discharges],tblDaily[EntryDate],DATE(2026,5,22),tblDaily[WardCode],"FW")),"")</f>
        <v/>
      </c>
      <c r="D184" s="29" t="str">
        <f>IFERROR(IF(SUMIFS(tblDaily[Deaths],tblDaily[EntryDate],DATE(2026,5,22),tblDaily[WardCode],"FW")=0,"",SUMIFS(tblDaily[Deaths],tblDaily[EntryDate],DATE(2026,5,22),tblDaily[WardCode],"FW")),"")</f>
        <v/>
      </c>
      <c r="E184" s="29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29" t="str">
        <f>IFERROR(IF(SUMIFS(tblDaily[TransfersIn],tblDaily[EntryDate],DATE(2026,5,22),tblDaily[WardCode],"FW")=0,"",SUMIFS(tblDaily[TransfersIn],tblDaily[EntryDate],DATE(2026,5,22),tblDaily[WardCode],"FW")),"")</f>
        <v/>
      </c>
      <c r="G184" s="29" t="str">
        <f>IFERROR(IF(SUMIFS(tblDaily[TransfersOut],tblDaily[EntryDate],DATE(2026,5,22),tblDaily[WardCode],"FW")=0,"",SUMIFS(tblDaily[TransfersOut],tblDaily[EntryDate],DATE(2026,5,22),tblDaily[WardCode],"FW")),"")</f>
        <v/>
      </c>
      <c r="H184" s="29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IFERROR(IF(SUMIFS(tblDaily[Admissions],tblDaily[EntryDate],DATE(2026,5,23),tblDaily[WardCode],"FW")=0,"",SUMIFS(tblDaily[Admissions],tblDaily[EntryDate],DATE(2026,5,23),tblDaily[WardCode],"FW")),"")</f>
        <v/>
      </c>
      <c r="C185" s="29" t="str">
        <f>IFERROR(IF(SUMIFS(tblDaily[Discharges],tblDaily[EntryDate],DATE(2026,5,23),tblDaily[WardCode],"FW")=0,"",SUMIFS(tblDaily[Discharges],tblDaily[EntryDate],DATE(2026,5,23),tblDaily[WardCode],"FW")),"")</f>
        <v/>
      </c>
      <c r="D185" s="29" t="str">
        <f>IFERROR(IF(SUMIFS(tblDaily[Deaths],tblDaily[EntryDate],DATE(2026,5,23),tblDaily[WardCode],"FW")=0,"",SUMIFS(tblDaily[Deaths],tblDaily[EntryDate],DATE(2026,5,23),tblDaily[WardCode],"FW")),"")</f>
        <v/>
      </c>
      <c r="E185" s="29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29" t="str">
        <f>IFERROR(IF(SUMIFS(tblDaily[TransfersIn],tblDaily[EntryDate],DATE(2026,5,23),tblDaily[WardCode],"FW")=0,"",SUMIFS(tblDaily[TransfersIn],tblDaily[EntryDate],DATE(2026,5,23),tblDaily[WardCode],"FW")),"")</f>
        <v/>
      </c>
      <c r="G185" s="29" t="str">
        <f>IFERROR(IF(SUMIFS(tblDaily[TransfersOut],tblDaily[EntryDate],DATE(2026,5,23),tblDaily[WardCode],"FW")=0,"",SUMIFS(tblDaily[TransfersOut],tblDaily[EntryDate],DATE(2026,5,23),tblDaily[WardCode],"FW")),"")</f>
        <v/>
      </c>
      <c r="H185" s="29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IFERROR(IF(SUMIFS(tblDaily[Admissions],tblDaily[EntryDate],DATE(2026,5,24),tblDaily[WardCode],"FW")=0,"",SUMIFS(tblDaily[Admissions],tblDaily[EntryDate],DATE(2026,5,24),tblDaily[WardCode],"FW")),"")</f>
        <v/>
      </c>
      <c r="C186" s="29" t="str">
        <f>IFERROR(IF(SUMIFS(tblDaily[Discharges],tblDaily[EntryDate],DATE(2026,5,24),tblDaily[WardCode],"FW")=0,"",SUMIFS(tblDaily[Discharges],tblDaily[EntryDate],DATE(2026,5,24),tblDaily[WardCode],"FW")),"")</f>
        <v/>
      </c>
      <c r="D186" s="29" t="str">
        <f>IFERROR(IF(SUMIFS(tblDaily[Deaths],tblDaily[EntryDate],DATE(2026,5,24),tblDaily[WardCode],"FW")=0,"",SUMIFS(tblDaily[Deaths],tblDaily[EntryDate],DATE(2026,5,24),tblDaily[WardCode],"FW")),"")</f>
        <v/>
      </c>
      <c r="E186" s="29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29" t="str">
        <f>IFERROR(IF(SUMIFS(tblDaily[TransfersIn],tblDaily[EntryDate],DATE(2026,5,24),tblDaily[WardCode],"FW")=0,"",SUMIFS(tblDaily[TransfersIn],tblDaily[EntryDate],DATE(2026,5,24),tblDaily[WardCode],"FW")),"")</f>
        <v/>
      </c>
      <c r="G186" s="29" t="str">
        <f>IFERROR(IF(SUMIFS(tblDaily[TransfersOut],tblDaily[EntryDate],DATE(2026,5,24),tblDaily[WardCode],"FW")=0,"",SUMIFS(tblDaily[TransfersOut],tblDaily[EntryDate],DATE(2026,5,24),tblDaily[WardCode],"FW")),"")</f>
        <v/>
      </c>
      <c r="H186" s="29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IFERROR(IF(SUMIFS(tblDaily[Admissions],tblDaily[EntryDate],DATE(2026,5,25),tblDaily[WardCode],"FW")=0,"",SUMIFS(tblDaily[Admissions],tblDaily[EntryDate],DATE(2026,5,25),tblDaily[WardCode],"FW")),"")</f>
        <v/>
      </c>
      <c r="C187" s="29" t="str">
        <f>IFERROR(IF(SUMIFS(tblDaily[Discharges],tblDaily[EntryDate],DATE(2026,5,25),tblDaily[WardCode],"FW")=0,"",SUMIFS(tblDaily[Discharges],tblDaily[EntryDate],DATE(2026,5,25),tblDaily[WardCode],"FW")),"")</f>
        <v/>
      </c>
      <c r="D187" s="29" t="str">
        <f>IFERROR(IF(SUMIFS(tblDaily[Deaths],tblDaily[EntryDate],DATE(2026,5,25),tblDaily[WardCode],"FW")=0,"",SUMIFS(tblDaily[Deaths],tblDaily[EntryDate],DATE(2026,5,25),tblDaily[WardCode],"FW")),"")</f>
        <v/>
      </c>
      <c r="E187" s="29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29" t="str">
        <f>IFERROR(IF(SUMIFS(tblDaily[TransfersIn],tblDaily[EntryDate],DATE(2026,5,25),tblDaily[WardCode],"FW")=0,"",SUMIFS(tblDaily[TransfersIn],tblDaily[EntryDate],DATE(2026,5,25),tblDaily[WardCode],"FW")),"")</f>
        <v/>
      </c>
      <c r="G187" s="29" t="str">
        <f>IFERROR(IF(SUMIFS(tblDaily[TransfersOut],tblDaily[EntryDate],DATE(2026,5,25),tblDaily[WardCode],"FW")=0,"",SUMIFS(tblDaily[TransfersOut],tblDaily[EntryDate],DATE(2026,5,25),tblDaily[WardCode],"FW")),"")</f>
        <v/>
      </c>
      <c r="H187" s="29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IFERROR(IF(SUMIFS(tblDaily[Admissions],tblDaily[EntryDate],DATE(2026,5,26),tblDaily[WardCode],"FW")=0,"",SUMIFS(tblDaily[Admissions],tblDaily[EntryDate],DATE(2026,5,26),tblDaily[WardCode],"FW")),"")</f>
        <v/>
      </c>
      <c r="C188" s="29" t="str">
        <f>IFERROR(IF(SUMIFS(tblDaily[Discharges],tblDaily[EntryDate],DATE(2026,5,26),tblDaily[WardCode],"FW")=0,"",SUMIFS(tblDaily[Discharges],tblDaily[EntryDate],DATE(2026,5,26),tblDaily[WardCode],"FW")),"")</f>
        <v/>
      </c>
      <c r="D188" s="29" t="str">
        <f>IFERROR(IF(SUMIFS(tblDaily[Deaths],tblDaily[EntryDate],DATE(2026,5,26),tblDaily[WardCode],"FW")=0,"",SUMIFS(tblDaily[Deaths],tblDaily[EntryDate],DATE(2026,5,26),tblDaily[WardCode],"FW")),"")</f>
        <v/>
      </c>
      <c r="E188" s="29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29" t="str">
        <f>IFERROR(IF(SUMIFS(tblDaily[TransfersIn],tblDaily[EntryDate],DATE(2026,5,26),tblDaily[WardCode],"FW")=0,"",SUMIFS(tblDaily[TransfersIn],tblDaily[EntryDate],DATE(2026,5,26),tblDaily[WardCode],"FW")),"")</f>
        <v/>
      </c>
      <c r="G188" s="29" t="str">
        <f>IFERROR(IF(SUMIFS(tblDaily[TransfersOut],tblDaily[EntryDate],DATE(2026,5,26),tblDaily[WardCode],"FW")=0,"",SUMIFS(tblDaily[TransfersOut],tblDaily[EntryDate],DATE(2026,5,26),tblDaily[WardCode],"FW")),"")</f>
        <v/>
      </c>
      <c r="H188" s="29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IFERROR(IF(SUMIFS(tblDaily[Admissions],tblDaily[EntryDate],DATE(2026,5,27),tblDaily[WardCode],"FW")=0,"",SUMIFS(tblDaily[Admissions],tblDaily[EntryDate],DATE(2026,5,27),tblDaily[WardCode],"FW")),"")</f>
        <v/>
      </c>
      <c r="C189" s="29" t="str">
        <f>IFERROR(IF(SUMIFS(tblDaily[Discharges],tblDaily[EntryDate],DATE(2026,5,27),tblDaily[WardCode],"FW")=0,"",SUMIFS(tblDaily[Discharges],tblDaily[EntryDate],DATE(2026,5,27),tblDaily[WardCode],"FW")),"")</f>
        <v/>
      </c>
      <c r="D189" s="29" t="str">
        <f>IFERROR(IF(SUMIFS(tblDaily[Deaths],tblDaily[EntryDate],DATE(2026,5,27),tblDaily[WardCode],"FW")=0,"",SUMIFS(tblDaily[Deaths],tblDaily[EntryDate],DATE(2026,5,27),tblDaily[WardCode],"FW")),"")</f>
        <v/>
      </c>
      <c r="E189" s="29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29" t="str">
        <f>IFERROR(IF(SUMIFS(tblDaily[TransfersIn],tblDaily[EntryDate],DATE(2026,5,27),tblDaily[WardCode],"FW")=0,"",SUMIFS(tblDaily[TransfersIn],tblDaily[EntryDate],DATE(2026,5,27),tblDaily[WardCode],"FW")),"")</f>
        <v/>
      </c>
      <c r="G189" s="29" t="str">
        <f>IFERROR(IF(SUMIFS(tblDaily[TransfersOut],tblDaily[EntryDate],DATE(2026,5,27),tblDaily[WardCode],"FW")=0,"",SUMIFS(tblDaily[TransfersOut],tblDaily[EntryDate],DATE(2026,5,27),tblDaily[WardCode],"FW")),"")</f>
        <v/>
      </c>
      <c r="H189" s="29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IFERROR(IF(SUMIFS(tblDaily[Admissions],tblDaily[EntryDate],DATE(2026,5,28),tblDaily[WardCode],"FW")=0,"",SUMIFS(tblDaily[Admissions],tblDaily[EntryDate],DATE(2026,5,28),tblDaily[WardCode],"FW")),"")</f>
        <v/>
      </c>
      <c r="C190" s="29" t="str">
        <f>IFERROR(IF(SUMIFS(tblDaily[Discharges],tblDaily[EntryDate],DATE(2026,5,28),tblDaily[WardCode],"FW")=0,"",SUMIFS(tblDaily[Discharges],tblDaily[EntryDate],DATE(2026,5,28),tblDaily[WardCode],"FW")),"")</f>
        <v/>
      </c>
      <c r="D190" s="29" t="str">
        <f>IFERROR(IF(SUMIFS(tblDaily[Deaths],tblDaily[EntryDate],DATE(2026,5,28),tblDaily[WardCode],"FW")=0,"",SUMIFS(tblDaily[Deaths],tblDaily[EntryDate],DATE(2026,5,28),tblDaily[WardCode],"FW")),"")</f>
        <v/>
      </c>
      <c r="E190" s="29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29" t="str">
        <f>IFERROR(IF(SUMIFS(tblDaily[TransfersIn],tblDaily[EntryDate],DATE(2026,5,28),tblDaily[WardCode],"FW")=0,"",SUMIFS(tblDaily[TransfersIn],tblDaily[EntryDate],DATE(2026,5,28),tblDaily[WardCode],"FW")),"")</f>
        <v/>
      </c>
      <c r="G190" s="29" t="str">
        <f>IFERROR(IF(SUMIFS(tblDaily[TransfersOut],tblDaily[EntryDate],DATE(2026,5,28),tblDaily[WardCode],"FW")=0,"",SUMIFS(tblDaily[TransfersOut],tblDaily[EntryDate],DATE(2026,5,28),tblDaily[WardCode],"FW")),"")</f>
        <v/>
      </c>
      <c r="H190" s="29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IFERROR(IF(SUMIFS(tblDaily[Admissions],tblDaily[EntryDate],DATE(2026,5,29),tblDaily[WardCode],"FW")=0,"",SUMIFS(tblDaily[Admissions],tblDaily[EntryDate],DATE(2026,5,29),tblDaily[WardCode],"FW")),"")</f>
        <v/>
      </c>
      <c r="C191" s="29" t="str">
        <f>IFERROR(IF(SUMIFS(tblDaily[Discharges],tblDaily[EntryDate],DATE(2026,5,29),tblDaily[WardCode],"FW")=0,"",SUMIFS(tblDaily[Discharges],tblDaily[EntryDate],DATE(2026,5,29),tblDaily[WardCode],"FW")),"")</f>
        <v/>
      </c>
      <c r="D191" s="29" t="str">
        <f>IFERROR(IF(SUMIFS(tblDaily[Deaths],tblDaily[EntryDate],DATE(2026,5,29),tblDaily[WardCode],"FW")=0,"",SUMIFS(tblDaily[Deaths],tblDaily[EntryDate],DATE(2026,5,29),tblDaily[WardCode],"FW")),"")</f>
        <v/>
      </c>
      <c r="E191" s="29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29" t="str">
        <f>IFERROR(IF(SUMIFS(tblDaily[TransfersIn],tblDaily[EntryDate],DATE(2026,5,29),tblDaily[WardCode],"FW")=0,"",SUMIFS(tblDaily[TransfersIn],tblDaily[EntryDate],DATE(2026,5,29),tblDaily[WardCode],"FW")),"")</f>
        <v/>
      </c>
      <c r="G191" s="29" t="str">
        <f>IFERROR(IF(SUMIFS(tblDaily[TransfersOut],tblDaily[EntryDate],DATE(2026,5,29),tblDaily[WardCode],"FW")=0,"",SUMIFS(tblDaily[TransfersOut],tblDaily[EntryDate],DATE(2026,5,29),tblDaily[WardCode],"FW")),"")</f>
        <v/>
      </c>
      <c r="H191" s="29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IFERROR(IF(SUMIFS(tblDaily[Admissions],tblDaily[EntryDate],DATE(2026,5,30),tblDaily[WardCode],"FW")=0,"",SUMIFS(tblDaily[Admissions],tblDaily[EntryDate],DATE(2026,5,30),tblDaily[WardCode],"FW")),"")</f>
        <v/>
      </c>
      <c r="C192" s="29" t="str">
        <f>IFERROR(IF(SUMIFS(tblDaily[Discharges],tblDaily[EntryDate],DATE(2026,5,30),tblDaily[WardCode],"FW")=0,"",SUMIFS(tblDaily[Discharges],tblDaily[EntryDate],DATE(2026,5,30),tblDaily[WardCode],"FW")),"")</f>
        <v/>
      </c>
      <c r="D192" s="29" t="str">
        <f>IFERROR(IF(SUMIFS(tblDaily[Deaths],tblDaily[EntryDate],DATE(2026,5,30),tblDaily[WardCode],"FW")=0,"",SUMIFS(tblDaily[Deaths],tblDaily[EntryDate],DATE(2026,5,30),tblDaily[WardCode],"FW")),"")</f>
        <v/>
      </c>
      <c r="E192" s="29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29" t="str">
        <f>IFERROR(IF(SUMIFS(tblDaily[TransfersIn],tblDaily[EntryDate],DATE(2026,5,30),tblDaily[WardCode],"FW")=0,"",SUMIFS(tblDaily[TransfersIn],tblDaily[EntryDate],DATE(2026,5,30),tblDaily[WardCode],"FW")),"")</f>
        <v/>
      </c>
      <c r="G192" s="29" t="str">
        <f>IFERROR(IF(SUMIFS(tblDaily[TransfersOut],tblDaily[EntryDate],DATE(2026,5,30),tblDaily[WardCode],"FW")=0,"",SUMIFS(tblDaily[TransfersOut],tblDaily[EntryDate],DATE(2026,5,30),tblDaily[WardCode],"FW")),"")</f>
        <v/>
      </c>
      <c r="H192" s="29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IFERROR(IF(SUMIFS(tblDaily[Admissions],tblDaily[EntryDate],DATE(2026,5,31),tblDaily[WardCode],"FW")=0,"",SUMIFS(tblDaily[Admissions],tblDaily[EntryDate],DATE(2026,5,31),tblDaily[WardCode],"FW")),"")</f>
        <v/>
      </c>
      <c r="C193" s="29" t="str">
        <f>IFERROR(IF(SUMIFS(tblDaily[Discharges],tblDaily[EntryDate],DATE(2026,5,31),tblDaily[WardCode],"FW")=0,"",SUMIFS(tblDaily[Discharges],tblDaily[EntryDate],DATE(2026,5,31),tblDaily[WardCode],"FW")),"")</f>
        <v/>
      </c>
      <c r="D193" s="29" t="str">
        <f>IFERROR(IF(SUMIFS(tblDaily[Deaths],tblDaily[EntryDate],DATE(2026,5,31),tblDaily[WardCode],"FW")=0,"",SUMIFS(tblDaily[Deaths],tblDaily[EntryDate],DATE(2026,5,31),tblDaily[WardCode],"FW")),"")</f>
        <v/>
      </c>
      <c r="E193" s="29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29" t="str">
        <f>IFERROR(IF(SUMIFS(tblDaily[TransfersIn],tblDaily[EntryDate],DATE(2026,5,31),tblDaily[WardCode],"FW")=0,"",SUMIFS(tblDaily[TransfersIn],tblDaily[EntryDate],DATE(2026,5,31),tblDaily[WardCode],"FW")),"")</f>
        <v/>
      </c>
      <c r="G193" s="29" t="str">
        <f>IFERROR(IF(SUMIFS(tblDaily[TransfersOut],tblDaily[EntryDate],DATE(2026,5,31),tblDaily[WardCode],"FW")=0,"",SUMIFS(tblDaily[TransfersOut],tblDaily[EntryDate],DATE(2026,5,31),tblDaily[WardCode],"FW")),"")</f>
        <v/>
      </c>
      <c r="H193" s="29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30" t="s">
        <v>115</v>
      </c>
      <c r="B194" s="30">
        <f>SUMIFS(tblDaily[Admissions],tblDaily[Month],5,tblDaily[WardCode],"FW") - SUMIFS(tblDaily[DeathsUnder24Hrs],tblDaily[Month],5,tblDaily[WardCode],"FW")</f>
        <v>0</v>
      </c>
      <c r="C194" s="30">
        <f>SUMIFS(tblDaily[Discharges],tblDaily[Month],5,tblDaily[WardCode],"FW")</f>
        <v>0</v>
      </c>
      <c r="D194" s="30">
        <f>SUMIFS(tblDaily[Deaths],tblDaily[Month],5,tblDaily[WardCode],"FW")</f>
        <v>0</v>
      </c>
      <c r="E194" s="30">
        <f>SUMIFS(tblDaily[DeathsUnder24Hrs],tblDaily[Month],5,tblDaily[WardCode],"FW")</f>
        <v>0</v>
      </c>
      <c r="F194" s="30">
        <f>SUMIFS(tblDaily[TransfersIn],tblDaily[Month],5,tblDaily[WardCode],"FW")</f>
        <v>0</v>
      </c>
      <c r="G194" s="30">
        <f>SUMIFS(tblDaily[TransfersOut],tblDaily[Month],5,tblDaily[WardCode],"FW")</f>
        <v>0</v>
      </c>
      <c r="H194" s="30">
        <f>SUMIFS(tblDaily[Remaining],tblDaily[Month],5,tblDaily[WardCode],"FW")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116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IFERROR(SUMIFS(tblDaily[Remaining],tblDaily[EntryDate],DATE(2026,5,31),tblDaily[WardCode],"FW"),0)</f>
        <v>0</v>
      </c>
    </row>
    <row r="200" spans="1:8" x14ac:dyDescent="0.25">
      <c r="A200" s="24" t="s">
        <v>109</v>
      </c>
      <c r="H200" s="27">
        <f>IFERROR(INDEX(tblWardConfig[BedComplement],MATCH("FW",tblWardConfig[WardCode],0)),0)</f>
        <v>28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IFERROR(IF(SUMIFS(tblDaily[Admissions],tblDaily[EntryDate],DATE(2026,6,1),tblDaily[WardCode],"FW")=0,"",SUMIFS(tblDaily[Admissions],tblDaily[EntryDate],DATE(2026,6,1),tblDaily[WardCode],"FW")),"")</f>
        <v/>
      </c>
      <c r="C202" s="29" t="str">
        <f>IFERROR(IF(SUMIFS(tblDaily[Discharges],tblDaily[EntryDate],DATE(2026,6,1),tblDaily[WardCode],"FW")=0,"",SUMIFS(tblDaily[Discharges],tblDaily[EntryDate],DATE(2026,6,1),tblDaily[WardCode],"FW")),"")</f>
        <v/>
      </c>
      <c r="D202" s="29" t="str">
        <f>IFERROR(IF(SUMIFS(tblDaily[Deaths],tblDaily[EntryDate],DATE(2026,6,1),tblDaily[WardCode],"FW")=0,"",SUMIFS(tblDaily[Deaths],tblDaily[EntryDate],DATE(2026,6,1),tblDaily[WardCode],"FW")),"")</f>
        <v/>
      </c>
      <c r="E202" s="29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29" t="str">
        <f>IFERROR(IF(SUMIFS(tblDaily[TransfersIn],tblDaily[EntryDate],DATE(2026,6,1),tblDaily[WardCode],"FW")=0,"",SUMIFS(tblDaily[TransfersIn],tblDaily[EntryDate],DATE(2026,6,1),tblDaily[WardCode],"FW")),"")</f>
        <v/>
      </c>
      <c r="G202" s="29" t="str">
        <f>IFERROR(IF(SUMIFS(tblDaily[TransfersOut],tblDaily[EntryDate],DATE(2026,6,1),tblDaily[WardCode],"FW")=0,"",SUMIFS(tblDaily[TransfersOut],tblDaily[EntryDate],DATE(2026,6,1),tblDaily[WardCode],"FW")),"")</f>
        <v/>
      </c>
      <c r="H202" s="29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IFERROR(IF(SUMIFS(tblDaily[Admissions],tblDaily[EntryDate],DATE(2026,6,2),tblDaily[WardCode],"FW")=0,"",SUMIFS(tblDaily[Admissions],tblDaily[EntryDate],DATE(2026,6,2),tblDaily[WardCode],"FW")),"")</f>
        <v/>
      </c>
      <c r="C203" s="29" t="str">
        <f>IFERROR(IF(SUMIFS(tblDaily[Discharges],tblDaily[EntryDate],DATE(2026,6,2),tblDaily[WardCode],"FW")=0,"",SUMIFS(tblDaily[Discharges],tblDaily[EntryDate],DATE(2026,6,2),tblDaily[WardCode],"FW")),"")</f>
        <v/>
      </c>
      <c r="D203" s="29" t="str">
        <f>IFERROR(IF(SUMIFS(tblDaily[Deaths],tblDaily[EntryDate],DATE(2026,6,2),tblDaily[WardCode],"FW")=0,"",SUMIFS(tblDaily[Deaths],tblDaily[EntryDate],DATE(2026,6,2),tblDaily[WardCode],"FW")),"")</f>
        <v/>
      </c>
      <c r="E203" s="29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29" t="str">
        <f>IFERROR(IF(SUMIFS(tblDaily[TransfersIn],tblDaily[EntryDate],DATE(2026,6,2),tblDaily[WardCode],"FW")=0,"",SUMIFS(tblDaily[TransfersIn],tblDaily[EntryDate],DATE(2026,6,2),tblDaily[WardCode],"FW")),"")</f>
        <v/>
      </c>
      <c r="G203" s="29" t="str">
        <f>IFERROR(IF(SUMIFS(tblDaily[TransfersOut],tblDaily[EntryDate],DATE(2026,6,2),tblDaily[WardCode],"FW")=0,"",SUMIFS(tblDaily[TransfersOut],tblDaily[EntryDate],DATE(2026,6,2),tblDaily[WardCode],"FW")),"")</f>
        <v/>
      </c>
      <c r="H203" s="29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IFERROR(IF(SUMIFS(tblDaily[Admissions],tblDaily[EntryDate],DATE(2026,6,3),tblDaily[WardCode],"FW")=0,"",SUMIFS(tblDaily[Admissions],tblDaily[EntryDate],DATE(2026,6,3),tblDaily[WardCode],"FW")),"")</f>
        <v/>
      </c>
      <c r="C204" s="29" t="str">
        <f>IFERROR(IF(SUMIFS(tblDaily[Discharges],tblDaily[EntryDate],DATE(2026,6,3),tblDaily[WardCode],"FW")=0,"",SUMIFS(tblDaily[Discharges],tblDaily[EntryDate],DATE(2026,6,3),tblDaily[WardCode],"FW")),"")</f>
        <v/>
      </c>
      <c r="D204" s="29" t="str">
        <f>IFERROR(IF(SUMIFS(tblDaily[Deaths],tblDaily[EntryDate],DATE(2026,6,3),tblDaily[WardCode],"FW")=0,"",SUMIFS(tblDaily[Deaths],tblDaily[EntryDate],DATE(2026,6,3),tblDaily[WardCode],"FW")),"")</f>
        <v/>
      </c>
      <c r="E204" s="29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29" t="str">
        <f>IFERROR(IF(SUMIFS(tblDaily[TransfersIn],tblDaily[EntryDate],DATE(2026,6,3),tblDaily[WardCode],"FW")=0,"",SUMIFS(tblDaily[TransfersIn],tblDaily[EntryDate],DATE(2026,6,3),tblDaily[WardCode],"FW")),"")</f>
        <v/>
      </c>
      <c r="G204" s="29" t="str">
        <f>IFERROR(IF(SUMIFS(tblDaily[TransfersOut],tblDaily[EntryDate],DATE(2026,6,3),tblDaily[WardCode],"FW")=0,"",SUMIFS(tblDaily[TransfersOut],tblDaily[EntryDate],DATE(2026,6,3),tblDaily[WardCode],"FW")),"")</f>
        <v/>
      </c>
      <c r="H204" s="29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IFERROR(IF(SUMIFS(tblDaily[Admissions],tblDaily[EntryDate],DATE(2026,6,4),tblDaily[WardCode],"FW")=0,"",SUMIFS(tblDaily[Admissions],tblDaily[EntryDate],DATE(2026,6,4),tblDaily[WardCode],"FW")),"")</f>
        <v/>
      </c>
      <c r="C205" s="29" t="str">
        <f>IFERROR(IF(SUMIFS(tblDaily[Discharges],tblDaily[EntryDate],DATE(2026,6,4),tblDaily[WardCode],"FW")=0,"",SUMIFS(tblDaily[Discharges],tblDaily[EntryDate],DATE(2026,6,4),tblDaily[WardCode],"FW")),"")</f>
        <v/>
      </c>
      <c r="D205" s="29" t="str">
        <f>IFERROR(IF(SUMIFS(tblDaily[Deaths],tblDaily[EntryDate],DATE(2026,6,4),tblDaily[WardCode],"FW")=0,"",SUMIFS(tblDaily[Deaths],tblDaily[EntryDate],DATE(2026,6,4),tblDaily[WardCode],"FW")),"")</f>
        <v/>
      </c>
      <c r="E205" s="29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29" t="str">
        <f>IFERROR(IF(SUMIFS(tblDaily[TransfersIn],tblDaily[EntryDate],DATE(2026,6,4),tblDaily[WardCode],"FW")=0,"",SUMIFS(tblDaily[TransfersIn],tblDaily[EntryDate],DATE(2026,6,4),tblDaily[WardCode],"FW")),"")</f>
        <v/>
      </c>
      <c r="G205" s="29" t="str">
        <f>IFERROR(IF(SUMIFS(tblDaily[TransfersOut],tblDaily[EntryDate],DATE(2026,6,4),tblDaily[WardCode],"FW")=0,"",SUMIFS(tblDaily[TransfersOut],tblDaily[EntryDate],DATE(2026,6,4),tblDaily[WardCode],"FW")),"")</f>
        <v/>
      </c>
      <c r="H205" s="29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IFERROR(IF(SUMIFS(tblDaily[Admissions],tblDaily[EntryDate],DATE(2026,6,5),tblDaily[WardCode],"FW")=0,"",SUMIFS(tblDaily[Admissions],tblDaily[EntryDate],DATE(2026,6,5),tblDaily[WardCode],"FW")),"")</f>
        <v/>
      </c>
      <c r="C206" s="29" t="str">
        <f>IFERROR(IF(SUMIFS(tblDaily[Discharges],tblDaily[EntryDate],DATE(2026,6,5),tblDaily[WardCode],"FW")=0,"",SUMIFS(tblDaily[Discharges],tblDaily[EntryDate],DATE(2026,6,5),tblDaily[WardCode],"FW")),"")</f>
        <v/>
      </c>
      <c r="D206" s="29" t="str">
        <f>IFERROR(IF(SUMIFS(tblDaily[Deaths],tblDaily[EntryDate],DATE(2026,6,5),tblDaily[WardCode],"FW")=0,"",SUMIFS(tblDaily[Deaths],tblDaily[EntryDate],DATE(2026,6,5),tblDaily[WardCode],"FW")),"")</f>
        <v/>
      </c>
      <c r="E206" s="29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29" t="str">
        <f>IFERROR(IF(SUMIFS(tblDaily[TransfersIn],tblDaily[EntryDate],DATE(2026,6,5),tblDaily[WardCode],"FW")=0,"",SUMIFS(tblDaily[TransfersIn],tblDaily[EntryDate],DATE(2026,6,5),tblDaily[WardCode],"FW")),"")</f>
        <v/>
      </c>
      <c r="G206" s="29" t="str">
        <f>IFERROR(IF(SUMIFS(tblDaily[TransfersOut],tblDaily[EntryDate],DATE(2026,6,5),tblDaily[WardCode],"FW")=0,"",SUMIFS(tblDaily[TransfersOut],tblDaily[EntryDate],DATE(2026,6,5),tblDaily[WardCode],"FW")),"")</f>
        <v/>
      </c>
      <c r="H206" s="29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IFERROR(IF(SUMIFS(tblDaily[Admissions],tblDaily[EntryDate],DATE(2026,6,6),tblDaily[WardCode],"FW")=0,"",SUMIFS(tblDaily[Admissions],tblDaily[EntryDate],DATE(2026,6,6),tblDaily[WardCode],"FW")),"")</f>
        <v/>
      </c>
      <c r="C207" s="29" t="str">
        <f>IFERROR(IF(SUMIFS(tblDaily[Discharges],tblDaily[EntryDate],DATE(2026,6,6),tblDaily[WardCode],"FW")=0,"",SUMIFS(tblDaily[Discharges],tblDaily[EntryDate],DATE(2026,6,6),tblDaily[WardCode],"FW")),"")</f>
        <v/>
      </c>
      <c r="D207" s="29" t="str">
        <f>IFERROR(IF(SUMIFS(tblDaily[Deaths],tblDaily[EntryDate],DATE(2026,6,6),tblDaily[WardCode],"FW")=0,"",SUMIFS(tblDaily[Deaths],tblDaily[EntryDate],DATE(2026,6,6),tblDaily[WardCode],"FW")),"")</f>
        <v/>
      </c>
      <c r="E207" s="29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29" t="str">
        <f>IFERROR(IF(SUMIFS(tblDaily[TransfersIn],tblDaily[EntryDate],DATE(2026,6,6),tblDaily[WardCode],"FW")=0,"",SUMIFS(tblDaily[TransfersIn],tblDaily[EntryDate],DATE(2026,6,6),tblDaily[WardCode],"FW")),"")</f>
        <v/>
      </c>
      <c r="G207" s="29" t="str">
        <f>IFERROR(IF(SUMIFS(tblDaily[TransfersOut],tblDaily[EntryDate],DATE(2026,6,6),tblDaily[WardCode],"FW")=0,"",SUMIFS(tblDaily[TransfersOut],tblDaily[EntryDate],DATE(2026,6,6),tblDaily[WardCode],"FW")),"")</f>
        <v/>
      </c>
      <c r="H207" s="29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IFERROR(IF(SUMIFS(tblDaily[Admissions],tblDaily[EntryDate],DATE(2026,6,7),tblDaily[WardCode],"FW")=0,"",SUMIFS(tblDaily[Admissions],tblDaily[EntryDate],DATE(2026,6,7),tblDaily[WardCode],"FW")),"")</f>
        <v/>
      </c>
      <c r="C208" s="29" t="str">
        <f>IFERROR(IF(SUMIFS(tblDaily[Discharges],tblDaily[EntryDate],DATE(2026,6,7),tblDaily[WardCode],"FW")=0,"",SUMIFS(tblDaily[Discharges],tblDaily[EntryDate],DATE(2026,6,7),tblDaily[WardCode],"FW")),"")</f>
        <v/>
      </c>
      <c r="D208" s="29" t="str">
        <f>IFERROR(IF(SUMIFS(tblDaily[Deaths],tblDaily[EntryDate],DATE(2026,6,7),tblDaily[WardCode],"FW")=0,"",SUMIFS(tblDaily[Deaths],tblDaily[EntryDate],DATE(2026,6,7),tblDaily[WardCode],"FW")),"")</f>
        <v/>
      </c>
      <c r="E208" s="29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29" t="str">
        <f>IFERROR(IF(SUMIFS(tblDaily[TransfersIn],tblDaily[EntryDate],DATE(2026,6,7),tblDaily[WardCode],"FW")=0,"",SUMIFS(tblDaily[TransfersIn],tblDaily[EntryDate],DATE(2026,6,7),tblDaily[WardCode],"FW")),"")</f>
        <v/>
      </c>
      <c r="G208" s="29" t="str">
        <f>IFERROR(IF(SUMIFS(tblDaily[TransfersOut],tblDaily[EntryDate],DATE(2026,6,7),tblDaily[WardCode],"FW")=0,"",SUMIFS(tblDaily[TransfersOut],tblDaily[EntryDate],DATE(2026,6,7),tblDaily[WardCode],"FW")),"")</f>
        <v/>
      </c>
      <c r="H208" s="29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IFERROR(IF(SUMIFS(tblDaily[Admissions],tblDaily[EntryDate],DATE(2026,6,8),tblDaily[WardCode],"FW")=0,"",SUMIFS(tblDaily[Admissions],tblDaily[EntryDate],DATE(2026,6,8),tblDaily[WardCode],"FW")),"")</f>
        <v/>
      </c>
      <c r="C209" s="29" t="str">
        <f>IFERROR(IF(SUMIFS(tblDaily[Discharges],tblDaily[EntryDate],DATE(2026,6,8),tblDaily[WardCode],"FW")=0,"",SUMIFS(tblDaily[Discharges],tblDaily[EntryDate],DATE(2026,6,8),tblDaily[WardCode],"FW")),"")</f>
        <v/>
      </c>
      <c r="D209" s="29" t="str">
        <f>IFERROR(IF(SUMIFS(tblDaily[Deaths],tblDaily[EntryDate],DATE(2026,6,8),tblDaily[WardCode],"FW")=0,"",SUMIFS(tblDaily[Deaths],tblDaily[EntryDate],DATE(2026,6,8),tblDaily[WardCode],"FW")),"")</f>
        <v/>
      </c>
      <c r="E209" s="29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29" t="str">
        <f>IFERROR(IF(SUMIFS(tblDaily[TransfersIn],tblDaily[EntryDate],DATE(2026,6,8),tblDaily[WardCode],"FW")=0,"",SUMIFS(tblDaily[TransfersIn],tblDaily[EntryDate],DATE(2026,6,8),tblDaily[WardCode],"FW")),"")</f>
        <v/>
      </c>
      <c r="G209" s="29" t="str">
        <f>IFERROR(IF(SUMIFS(tblDaily[TransfersOut],tblDaily[EntryDate],DATE(2026,6,8),tblDaily[WardCode],"FW")=0,"",SUMIFS(tblDaily[TransfersOut],tblDaily[EntryDate],DATE(2026,6,8),tblDaily[WardCode],"FW")),"")</f>
        <v/>
      </c>
      <c r="H209" s="29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IFERROR(IF(SUMIFS(tblDaily[Admissions],tblDaily[EntryDate],DATE(2026,6,9),tblDaily[WardCode],"FW")=0,"",SUMIFS(tblDaily[Admissions],tblDaily[EntryDate],DATE(2026,6,9),tblDaily[WardCode],"FW")),"")</f>
        <v/>
      </c>
      <c r="C210" s="29" t="str">
        <f>IFERROR(IF(SUMIFS(tblDaily[Discharges],tblDaily[EntryDate],DATE(2026,6,9),tblDaily[WardCode],"FW")=0,"",SUMIFS(tblDaily[Discharges],tblDaily[EntryDate],DATE(2026,6,9),tblDaily[WardCode],"FW")),"")</f>
        <v/>
      </c>
      <c r="D210" s="29" t="str">
        <f>IFERROR(IF(SUMIFS(tblDaily[Deaths],tblDaily[EntryDate],DATE(2026,6,9),tblDaily[WardCode],"FW")=0,"",SUMIFS(tblDaily[Deaths],tblDaily[EntryDate],DATE(2026,6,9),tblDaily[WardCode],"FW")),"")</f>
        <v/>
      </c>
      <c r="E210" s="29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29" t="str">
        <f>IFERROR(IF(SUMIFS(tblDaily[TransfersIn],tblDaily[EntryDate],DATE(2026,6,9),tblDaily[WardCode],"FW")=0,"",SUMIFS(tblDaily[TransfersIn],tblDaily[EntryDate],DATE(2026,6,9),tblDaily[WardCode],"FW")),"")</f>
        <v/>
      </c>
      <c r="G210" s="29" t="str">
        <f>IFERROR(IF(SUMIFS(tblDaily[TransfersOut],tblDaily[EntryDate],DATE(2026,6,9),tblDaily[WardCode],"FW")=0,"",SUMIFS(tblDaily[TransfersOut],tblDaily[EntryDate],DATE(2026,6,9),tblDaily[WardCode],"FW")),"")</f>
        <v/>
      </c>
      <c r="H210" s="29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IFERROR(IF(SUMIFS(tblDaily[Admissions],tblDaily[EntryDate],DATE(2026,6,10),tblDaily[WardCode],"FW")=0,"",SUMIFS(tblDaily[Admissions],tblDaily[EntryDate],DATE(2026,6,10),tblDaily[WardCode],"FW")),"")</f>
        <v/>
      </c>
      <c r="C211" s="29" t="str">
        <f>IFERROR(IF(SUMIFS(tblDaily[Discharges],tblDaily[EntryDate],DATE(2026,6,10),tblDaily[WardCode],"FW")=0,"",SUMIFS(tblDaily[Discharges],tblDaily[EntryDate],DATE(2026,6,10),tblDaily[WardCode],"FW")),"")</f>
        <v/>
      </c>
      <c r="D211" s="29" t="str">
        <f>IFERROR(IF(SUMIFS(tblDaily[Deaths],tblDaily[EntryDate],DATE(2026,6,10),tblDaily[WardCode],"FW")=0,"",SUMIFS(tblDaily[Deaths],tblDaily[EntryDate],DATE(2026,6,10),tblDaily[WardCode],"FW")),"")</f>
        <v/>
      </c>
      <c r="E211" s="29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29" t="str">
        <f>IFERROR(IF(SUMIFS(tblDaily[TransfersIn],tblDaily[EntryDate],DATE(2026,6,10),tblDaily[WardCode],"FW")=0,"",SUMIFS(tblDaily[TransfersIn],tblDaily[EntryDate],DATE(2026,6,10),tblDaily[WardCode],"FW")),"")</f>
        <v/>
      </c>
      <c r="G211" s="29" t="str">
        <f>IFERROR(IF(SUMIFS(tblDaily[TransfersOut],tblDaily[EntryDate],DATE(2026,6,10),tblDaily[WardCode],"FW")=0,"",SUMIFS(tblDaily[TransfersOut],tblDaily[EntryDate],DATE(2026,6,10),tblDaily[WardCode],"FW")),"")</f>
        <v/>
      </c>
      <c r="H211" s="29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IFERROR(IF(SUMIFS(tblDaily[Admissions],tblDaily[EntryDate],DATE(2026,6,11),tblDaily[WardCode],"FW")=0,"",SUMIFS(tblDaily[Admissions],tblDaily[EntryDate],DATE(2026,6,11),tblDaily[WardCode],"FW")),"")</f>
        <v/>
      </c>
      <c r="C212" s="29" t="str">
        <f>IFERROR(IF(SUMIFS(tblDaily[Discharges],tblDaily[EntryDate],DATE(2026,6,11),tblDaily[WardCode],"FW")=0,"",SUMIFS(tblDaily[Discharges],tblDaily[EntryDate],DATE(2026,6,11),tblDaily[WardCode],"FW")),"")</f>
        <v/>
      </c>
      <c r="D212" s="29" t="str">
        <f>IFERROR(IF(SUMIFS(tblDaily[Deaths],tblDaily[EntryDate],DATE(2026,6,11),tblDaily[WardCode],"FW")=0,"",SUMIFS(tblDaily[Deaths],tblDaily[EntryDate],DATE(2026,6,11),tblDaily[WardCode],"FW")),"")</f>
        <v/>
      </c>
      <c r="E212" s="29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29" t="str">
        <f>IFERROR(IF(SUMIFS(tblDaily[TransfersIn],tblDaily[EntryDate],DATE(2026,6,11),tblDaily[WardCode],"FW")=0,"",SUMIFS(tblDaily[TransfersIn],tblDaily[EntryDate],DATE(2026,6,11),tblDaily[WardCode],"FW")),"")</f>
        <v/>
      </c>
      <c r="G212" s="29" t="str">
        <f>IFERROR(IF(SUMIFS(tblDaily[TransfersOut],tblDaily[EntryDate],DATE(2026,6,11),tblDaily[WardCode],"FW")=0,"",SUMIFS(tblDaily[TransfersOut],tblDaily[EntryDate],DATE(2026,6,11),tblDaily[WardCode],"FW")),"")</f>
        <v/>
      </c>
      <c r="H212" s="29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IFERROR(IF(SUMIFS(tblDaily[Admissions],tblDaily[EntryDate],DATE(2026,6,12),tblDaily[WardCode],"FW")=0,"",SUMIFS(tblDaily[Admissions],tblDaily[EntryDate],DATE(2026,6,12),tblDaily[WardCode],"FW")),"")</f>
        <v/>
      </c>
      <c r="C213" s="29" t="str">
        <f>IFERROR(IF(SUMIFS(tblDaily[Discharges],tblDaily[EntryDate],DATE(2026,6,12),tblDaily[WardCode],"FW")=0,"",SUMIFS(tblDaily[Discharges],tblDaily[EntryDate],DATE(2026,6,12),tblDaily[WardCode],"FW")),"")</f>
        <v/>
      </c>
      <c r="D213" s="29" t="str">
        <f>IFERROR(IF(SUMIFS(tblDaily[Deaths],tblDaily[EntryDate],DATE(2026,6,12),tblDaily[WardCode],"FW")=0,"",SUMIFS(tblDaily[Deaths],tblDaily[EntryDate],DATE(2026,6,12),tblDaily[WardCode],"FW")),"")</f>
        <v/>
      </c>
      <c r="E213" s="29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29" t="str">
        <f>IFERROR(IF(SUMIFS(tblDaily[TransfersIn],tblDaily[EntryDate],DATE(2026,6,12),tblDaily[WardCode],"FW")=0,"",SUMIFS(tblDaily[TransfersIn],tblDaily[EntryDate],DATE(2026,6,12),tblDaily[WardCode],"FW")),"")</f>
        <v/>
      </c>
      <c r="G213" s="29" t="str">
        <f>IFERROR(IF(SUMIFS(tblDaily[TransfersOut],tblDaily[EntryDate],DATE(2026,6,12),tblDaily[WardCode],"FW")=0,"",SUMIFS(tblDaily[TransfersOut],tblDaily[EntryDate],DATE(2026,6,12),tblDaily[WardCode],"FW")),"")</f>
        <v/>
      </c>
      <c r="H213" s="29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IFERROR(IF(SUMIFS(tblDaily[Admissions],tblDaily[EntryDate],DATE(2026,6,13),tblDaily[WardCode],"FW")=0,"",SUMIFS(tblDaily[Admissions],tblDaily[EntryDate],DATE(2026,6,13),tblDaily[WardCode],"FW")),"")</f>
        <v/>
      </c>
      <c r="C214" s="29" t="str">
        <f>IFERROR(IF(SUMIFS(tblDaily[Discharges],tblDaily[EntryDate],DATE(2026,6,13),tblDaily[WardCode],"FW")=0,"",SUMIFS(tblDaily[Discharges],tblDaily[EntryDate],DATE(2026,6,13),tblDaily[WardCode],"FW")),"")</f>
        <v/>
      </c>
      <c r="D214" s="29" t="str">
        <f>IFERROR(IF(SUMIFS(tblDaily[Deaths],tblDaily[EntryDate],DATE(2026,6,13),tblDaily[WardCode],"FW")=0,"",SUMIFS(tblDaily[Deaths],tblDaily[EntryDate],DATE(2026,6,13),tblDaily[WardCode],"FW")),"")</f>
        <v/>
      </c>
      <c r="E214" s="29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29" t="str">
        <f>IFERROR(IF(SUMIFS(tblDaily[TransfersIn],tblDaily[EntryDate],DATE(2026,6,13),tblDaily[WardCode],"FW")=0,"",SUMIFS(tblDaily[TransfersIn],tblDaily[EntryDate],DATE(2026,6,13),tblDaily[WardCode],"FW")),"")</f>
        <v/>
      </c>
      <c r="G214" s="29" t="str">
        <f>IFERROR(IF(SUMIFS(tblDaily[TransfersOut],tblDaily[EntryDate],DATE(2026,6,13),tblDaily[WardCode],"FW")=0,"",SUMIFS(tblDaily[TransfersOut],tblDaily[EntryDate],DATE(2026,6,13),tblDaily[WardCode],"FW")),"")</f>
        <v/>
      </c>
      <c r="H214" s="29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IFERROR(IF(SUMIFS(tblDaily[Admissions],tblDaily[EntryDate],DATE(2026,6,14),tblDaily[WardCode],"FW")=0,"",SUMIFS(tblDaily[Admissions],tblDaily[EntryDate],DATE(2026,6,14),tblDaily[WardCode],"FW")),"")</f>
        <v/>
      </c>
      <c r="C215" s="29" t="str">
        <f>IFERROR(IF(SUMIFS(tblDaily[Discharges],tblDaily[EntryDate],DATE(2026,6,14),tblDaily[WardCode],"FW")=0,"",SUMIFS(tblDaily[Discharges],tblDaily[EntryDate],DATE(2026,6,14),tblDaily[WardCode],"FW")),"")</f>
        <v/>
      </c>
      <c r="D215" s="29" t="str">
        <f>IFERROR(IF(SUMIFS(tblDaily[Deaths],tblDaily[EntryDate],DATE(2026,6,14),tblDaily[WardCode],"FW")=0,"",SUMIFS(tblDaily[Deaths],tblDaily[EntryDate],DATE(2026,6,14),tblDaily[WardCode],"FW")),"")</f>
        <v/>
      </c>
      <c r="E215" s="29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29" t="str">
        <f>IFERROR(IF(SUMIFS(tblDaily[TransfersIn],tblDaily[EntryDate],DATE(2026,6,14),tblDaily[WardCode],"FW")=0,"",SUMIFS(tblDaily[TransfersIn],tblDaily[EntryDate],DATE(2026,6,14),tblDaily[WardCode],"FW")),"")</f>
        <v/>
      </c>
      <c r="G215" s="29" t="str">
        <f>IFERROR(IF(SUMIFS(tblDaily[TransfersOut],tblDaily[EntryDate],DATE(2026,6,14),tblDaily[WardCode],"FW")=0,"",SUMIFS(tblDaily[TransfersOut],tblDaily[EntryDate],DATE(2026,6,14),tblDaily[WardCode],"FW")),"")</f>
        <v/>
      </c>
      <c r="H215" s="29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IFERROR(IF(SUMIFS(tblDaily[Admissions],tblDaily[EntryDate],DATE(2026,6,15),tblDaily[WardCode],"FW")=0,"",SUMIFS(tblDaily[Admissions],tblDaily[EntryDate],DATE(2026,6,15),tblDaily[WardCode],"FW")),"")</f>
        <v/>
      </c>
      <c r="C216" s="29" t="str">
        <f>IFERROR(IF(SUMIFS(tblDaily[Discharges],tblDaily[EntryDate],DATE(2026,6,15),tblDaily[WardCode],"FW")=0,"",SUMIFS(tblDaily[Discharges],tblDaily[EntryDate],DATE(2026,6,15),tblDaily[WardCode],"FW")),"")</f>
        <v/>
      </c>
      <c r="D216" s="29" t="str">
        <f>IFERROR(IF(SUMIFS(tblDaily[Deaths],tblDaily[EntryDate],DATE(2026,6,15),tblDaily[WardCode],"FW")=0,"",SUMIFS(tblDaily[Deaths],tblDaily[EntryDate],DATE(2026,6,15),tblDaily[WardCode],"FW")),"")</f>
        <v/>
      </c>
      <c r="E216" s="29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29" t="str">
        <f>IFERROR(IF(SUMIFS(tblDaily[TransfersIn],tblDaily[EntryDate],DATE(2026,6,15),tblDaily[WardCode],"FW")=0,"",SUMIFS(tblDaily[TransfersIn],tblDaily[EntryDate],DATE(2026,6,15),tblDaily[WardCode],"FW")),"")</f>
        <v/>
      </c>
      <c r="G216" s="29" t="str">
        <f>IFERROR(IF(SUMIFS(tblDaily[TransfersOut],tblDaily[EntryDate],DATE(2026,6,15),tblDaily[WardCode],"FW")=0,"",SUMIFS(tblDaily[TransfersOut],tblDaily[EntryDate],DATE(2026,6,15),tblDaily[WardCode],"FW")),"")</f>
        <v/>
      </c>
      <c r="H216" s="29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IFERROR(IF(SUMIFS(tblDaily[Admissions],tblDaily[EntryDate],DATE(2026,6,16),tblDaily[WardCode],"FW")=0,"",SUMIFS(tblDaily[Admissions],tblDaily[EntryDate],DATE(2026,6,16),tblDaily[WardCode],"FW")),"")</f>
        <v/>
      </c>
      <c r="C217" s="29" t="str">
        <f>IFERROR(IF(SUMIFS(tblDaily[Discharges],tblDaily[EntryDate],DATE(2026,6,16),tblDaily[WardCode],"FW")=0,"",SUMIFS(tblDaily[Discharges],tblDaily[EntryDate],DATE(2026,6,16),tblDaily[WardCode],"FW")),"")</f>
        <v/>
      </c>
      <c r="D217" s="29" t="str">
        <f>IFERROR(IF(SUMIFS(tblDaily[Deaths],tblDaily[EntryDate],DATE(2026,6,16),tblDaily[WardCode],"FW")=0,"",SUMIFS(tblDaily[Deaths],tblDaily[EntryDate],DATE(2026,6,16),tblDaily[WardCode],"FW")),"")</f>
        <v/>
      </c>
      <c r="E217" s="29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29" t="str">
        <f>IFERROR(IF(SUMIFS(tblDaily[TransfersIn],tblDaily[EntryDate],DATE(2026,6,16),tblDaily[WardCode],"FW")=0,"",SUMIFS(tblDaily[TransfersIn],tblDaily[EntryDate],DATE(2026,6,16),tblDaily[WardCode],"FW")),"")</f>
        <v/>
      </c>
      <c r="G217" s="29" t="str">
        <f>IFERROR(IF(SUMIFS(tblDaily[TransfersOut],tblDaily[EntryDate],DATE(2026,6,16),tblDaily[WardCode],"FW")=0,"",SUMIFS(tblDaily[TransfersOut],tblDaily[EntryDate],DATE(2026,6,16),tblDaily[WardCode],"FW")),"")</f>
        <v/>
      </c>
      <c r="H217" s="29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IFERROR(IF(SUMIFS(tblDaily[Admissions],tblDaily[EntryDate],DATE(2026,6,17),tblDaily[WardCode],"FW")=0,"",SUMIFS(tblDaily[Admissions],tblDaily[EntryDate],DATE(2026,6,17),tblDaily[WardCode],"FW")),"")</f>
        <v/>
      </c>
      <c r="C218" s="29" t="str">
        <f>IFERROR(IF(SUMIFS(tblDaily[Discharges],tblDaily[EntryDate],DATE(2026,6,17),tblDaily[WardCode],"FW")=0,"",SUMIFS(tblDaily[Discharges],tblDaily[EntryDate],DATE(2026,6,17),tblDaily[WardCode],"FW")),"")</f>
        <v/>
      </c>
      <c r="D218" s="29" t="str">
        <f>IFERROR(IF(SUMIFS(tblDaily[Deaths],tblDaily[EntryDate],DATE(2026,6,17),tblDaily[WardCode],"FW")=0,"",SUMIFS(tblDaily[Deaths],tblDaily[EntryDate],DATE(2026,6,17),tblDaily[WardCode],"FW")),"")</f>
        <v/>
      </c>
      <c r="E218" s="29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29" t="str">
        <f>IFERROR(IF(SUMIFS(tblDaily[TransfersIn],tblDaily[EntryDate],DATE(2026,6,17),tblDaily[WardCode],"FW")=0,"",SUMIFS(tblDaily[TransfersIn],tblDaily[EntryDate],DATE(2026,6,17),tblDaily[WardCode],"FW")),"")</f>
        <v/>
      </c>
      <c r="G218" s="29" t="str">
        <f>IFERROR(IF(SUMIFS(tblDaily[TransfersOut],tblDaily[EntryDate],DATE(2026,6,17),tblDaily[WardCode],"FW")=0,"",SUMIFS(tblDaily[TransfersOut],tblDaily[EntryDate],DATE(2026,6,17),tblDaily[WardCode],"FW")),"")</f>
        <v/>
      </c>
      <c r="H218" s="29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IFERROR(IF(SUMIFS(tblDaily[Admissions],tblDaily[EntryDate],DATE(2026,6,18),tblDaily[WardCode],"FW")=0,"",SUMIFS(tblDaily[Admissions],tblDaily[EntryDate],DATE(2026,6,18),tblDaily[WardCode],"FW")),"")</f>
        <v/>
      </c>
      <c r="C219" s="29" t="str">
        <f>IFERROR(IF(SUMIFS(tblDaily[Discharges],tblDaily[EntryDate],DATE(2026,6,18),tblDaily[WardCode],"FW")=0,"",SUMIFS(tblDaily[Discharges],tblDaily[EntryDate],DATE(2026,6,18),tblDaily[WardCode],"FW")),"")</f>
        <v/>
      </c>
      <c r="D219" s="29" t="str">
        <f>IFERROR(IF(SUMIFS(tblDaily[Deaths],tblDaily[EntryDate],DATE(2026,6,18),tblDaily[WardCode],"FW")=0,"",SUMIFS(tblDaily[Deaths],tblDaily[EntryDate],DATE(2026,6,18),tblDaily[WardCode],"FW")),"")</f>
        <v/>
      </c>
      <c r="E219" s="29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29" t="str">
        <f>IFERROR(IF(SUMIFS(tblDaily[TransfersIn],tblDaily[EntryDate],DATE(2026,6,18),tblDaily[WardCode],"FW")=0,"",SUMIFS(tblDaily[TransfersIn],tblDaily[EntryDate],DATE(2026,6,18),tblDaily[WardCode],"FW")),"")</f>
        <v/>
      </c>
      <c r="G219" s="29" t="str">
        <f>IFERROR(IF(SUMIFS(tblDaily[TransfersOut],tblDaily[EntryDate],DATE(2026,6,18),tblDaily[WardCode],"FW")=0,"",SUMIFS(tblDaily[TransfersOut],tblDaily[EntryDate],DATE(2026,6,18),tblDaily[WardCode],"FW")),"")</f>
        <v/>
      </c>
      <c r="H219" s="29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IFERROR(IF(SUMIFS(tblDaily[Admissions],tblDaily[EntryDate],DATE(2026,6,19),tblDaily[WardCode],"FW")=0,"",SUMIFS(tblDaily[Admissions],tblDaily[EntryDate],DATE(2026,6,19),tblDaily[WardCode],"FW")),"")</f>
        <v/>
      </c>
      <c r="C220" s="29" t="str">
        <f>IFERROR(IF(SUMIFS(tblDaily[Discharges],tblDaily[EntryDate],DATE(2026,6,19),tblDaily[WardCode],"FW")=0,"",SUMIFS(tblDaily[Discharges],tblDaily[EntryDate],DATE(2026,6,19),tblDaily[WardCode],"FW")),"")</f>
        <v/>
      </c>
      <c r="D220" s="29" t="str">
        <f>IFERROR(IF(SUMIFS(tblDaily[Deaths],tblDaily[EntryDate],DATE(2026,6,19),tblDaily[WardCode],"FW")=0,"",SUMIFS(tblDaily[Deaths],tblDaily[EntryDate],DATE(2026,6,19),tblDaily[WardCode],"FW")),"")</f>
        <v/>
      </c>
      <c r="E220" s="29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29" t="str">
        <f>IFERROR(IF(SUMIFS(tblDaily[TransfersIn],tblDaily[EntryDate],DATE(2026,6,19),tblDaily[WardCode],"FW")=0,"",SUMIFS(tblDaily[TransfersIn],tblDaily[EntryDate],DATE(2026,6,19),tblDaily[WardCode],"FW")),"")</f>
        <v/>
      </c>
      <c r="G220" s="29" t="str">
        <f>IFERROR(IF(SUMIFS(tblDaily[TransfersOut],tblDaily[EntryDate],DATE(2026,6,19),tblDaily[WardCode],"FW")=0,"",SUMIFS(tblDaily[TransfersOut],tblDaily[EntryDate],DATE(2026,6,19),tblDaily[WardCode],"FW")),"")</f>
        <v/>
      </c>
      <c r="H220" s="29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IFERROR(IF(SUMIFS(tblDaily[Admissions],tblDaily[EntryDate],DATE(2026,6,20),tblDaily[WardCode],"FW")=0,"",SUMIFS(tblDaily[Admissions],tblDaily[EntryDate],DATE(2026,6,20),tblDaily[WardCode],"FW")),"")</f>
        <v/>
      </c>
      <c r="C221" s="29" t="str">
        <f>IFERROR(IF(SUMIFS(tblDaily[Discharges],tblDaily[EntryDate],DATE(2026,6,20),tblDaily[WardCode],"FW")=0,"",SUMIFS(tblDaily[Discharges],tblDaily[EntryDate],DATE(2026,6,20),tblDaily[WardCode],"FW")),"")</f>
        <v/>
      </c>
      <c r="D221" s="29" t="str">
        <f>IFERROR(IF(SUMIFS(tblDaily[Deaths],tblDaily[EntryDate],DATE(2026,6,20),tblDaily[WardCode],"FW")=0,"",SUMIFS(tblDaily[Deaths],tblDaily[EntryDate],DATE(2026,6,20),tblDaily[WardCode],"FW")),"")</f>
        <v/>
      </c>
      <c r="E221" s="29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29" t="str">
        <f>IFERROR(IF(SUMIFS(tblDaily[TransfersIn],tblDaily[EntryDate],DATE(2026,6,20),tblDaily[WardCode],"FW")=0,"",SUMIFS(tblDaily[TransfersIn],tblDaily[EntryDate],DATE(2026,6,20),tblDaily[WardCode],"FW")),"")</f>
        <v/>
      </c>
      <c r="G221" s="29" t="str">
        <f>IFERROR(IF(SUMIFS(tblDaily[TransfersOut],tblDaily[EntryDate],DATE(2026,6,20),tblDaily[WardCode],"FW")=0,"",SUMIFS(tblDaily[TransfersOut],tblDaily[EntryDate],DATE(2026,6,20),tblDaily[WardCode],"FW")),"")</f>
        <v/>
      </c>
      <c r="H221" s="29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IFERROR(IF(SUMIFS(tblDaily[Admissions],tblDaily[EntryDate],DATE(2026,6,21),tblDaily[WardCode],"FW")=0,"",SUMIFS(tblDaily[Admissions],tblDaily[EntryDate],DATE(2026,6,21),tblDaily[WardCode],"FW")),"")</f>
        <v/>
      </c>
      <c r="C222" s="29" t="str">
        <f>IFERROR(IF(SUMIFS(tblDaily[Discharges],tblDaily[EntryDate],DATE(2026,6,21),tblDaily[WardCode],"FW")=0,"",SUMIFS(tblDaily[Discharges],tblDaily[EntryDate],DATE(2026,6,21),tblDaily[WardCode],"FW")),"")</f>
        <v/>
      </c>
      <c r="D222" s="29" t="str">
        <f>IFERROR(IF(SUMIFS(tblDaily[Deaths],tblDaily[EntryDate],DATE(2026,6,21),tblDaily[WardCode],"FW")=0,"",SUMIFS(tblDaily[Deaths],tblDaily[EntryDate],DATE(2026,6,21),tblDaily[WardCode],"FW")),"")</f>
        <v/>
      </c>
      <c r="E222" s="29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29" t="str">
        <f>IFERROR(IF(SUMIFS(tblDaily[TransfersIn],tblDaily[EntryDate],DATE(2026,6,21),tblDaily[WardCode],"FW")=0,"",SUMIFS(tblDaily[TransfersIn],tblDaily[EntryDate],DATE(2026,6,21),tblDaily[WardCode],"FW")),"")</f>
        <v/>
      </c>
      <c r="G222" s="29" t="str">
        <f>IFERROR(IF(SUMIFS(tblDaily[TransfersOut],tblDaily[EntryDate],DATE(2026,6,21),tblDaily[WardCode],"FW")=0,"",SUMIFS(tblDaily[TransfersOut],tblDaily[EntryDate],DATE(2026,6,21),tblDaily[WardCode],"FW")),"")</f>
        <v/>
      </c>
      <c r="H222" s="29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IFERROR(IF(SUMIFS(tblDaily[Admissions],tblDaily[EntryDate],DATE(2026,6,22),tblDaily[WardCode],"FW")=0,"",SUMIFS(tblDaily[Admissions],tblDaily[EntryDate],DATE(2026,6,22),tblDaily[WardCode],"FW")),"")</f>
        <v/>
      </c>
      <c r="C223" s="29" t="str">
        <f>IFERROR(IF(SUMIFS(tblDaily[Discharges],tblDaily[EntryDate],DATE(2026,6,22),tblDaily[WardCode],"FW")=0,"",SUMIFS(tblDaily[Discharges],tblDaily[EntryDate],DATE(2026,6,22),tblDaily[WardCode],"FW")),"")</f>
        <v/>
      </c>
      <c r="D223" s="29" t="str">
        <f>IFERROR(IF(SUMIFS(tblDaily[Deaths],tblDaily[EntryDate],DATE(2026,6,22),tblDaily[WardCode],"FW")=0,"",SUMIFS(tblDaily[Deaths],tblDaily[EntryDate],DATE(2026,6,22),tblDaily[WardCode],"FW")),"")</f>
        <v/>
      </c>
      <c r="E223" s="29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29" t="str">
        <f>IFERROR(IF(SUMIFS(tblDaily[TransfersIn],tblDaily[EntryDate],DATE(2026,6,22),tblDaily[WardCode],"FW")=0,"",SUMIFS(tblDaily[TransfersIn],tblDaily[EntryDate],DATE(2026,6,22),tblDaily[WardCode],"FW")),"")</f>
        <v/>
      </c>
      <c r="G223" s="29" t="str">
        <f>IFERROR(IF(SUMIFS(tblDaily[TransfersOut],tblDaily[EntryDate],DATE(2026,6,22),tblDaily[WardCode],"FW")=0,"",SUMIFS(tblDaily[TransfersOut],tblDaily[EntryDate],DATE(2026,6,22),tblDaily[WardCode],"FW")),"")</f>
        <v/>
      </c>
      <c r="H223" s="29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IFERROR(IF(SUMIFS(tblDaily[Admissions],tblDaily[EntryDate],DATE(2026,6,23),tblDaily[WardCode],"FW")=0,"",SUMIFS(tblDaily[Admissions],tblDaily[EntryDate],DATE(2026,6,23),tblDaily[WardCode],"FW")),"")</f>
        <v/>
      </c>
      <c r="C224" s="29" t="str">
        <f>IFERROR(IF(SUMIFS(tblDaily[Discharges],tblDaily[EntryDate],DATE(2026,6,23),tblDaily[WardCode],"FW")=0,"",SUMIFS(tblDaily[Discharges],tblDaily[EntryDate],DATE(2026,6,23),tblDaily[WardCode],"FW")),"")</f>
        <v/>
      </c>
      <c r="D224" s="29" t="str">
        <f>IFERROR(IF(SUMIFS(tblDaily[Deaths],tblDaily[EntryDate],DATE(2026,6,23),tblDaily[WardCode],"FW")=0,"",SUMIFS(tblDaily[Deaths],tblDaily[EntryDate],DATE(2026,6,23),tblDaily[WardCode],"FW")),"")</f>
        <v/>
      </c>
      <c r="E224" s="29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29" t="str">
        <f>IFERROR(IF(SUMIFS(tblDaily[TransfersIn],tblDaily[EntryDate],DATE(2026,6,23),tblDaily[WardCode],"FW")=0,"",SUMIFS(tblDaily[TransfersIn],tblDaily[EntryDate],DATE(2026,6,23),tblDaily[WardCode],"FW")),"")</f>
        <v/>
      </c>
      <c r="G224" s="29" t="str">
        <f>IFERROR(IF(SUMIFS(tblDaily[TransfersOut],tblDaily[EntryDate],DATE(2026,6,23),tblDaily[WardCode],"FW")=0,"",SUMIFS(tblDaily[TransfersOut],tblDaily[EntryDate],DATE(2026,6,23),tblDaily[WardCode],"FW")),"")</f>
        <v/>
      </c>
      <c r="H224" s="29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IFERROR(IF(SUMIFS(tblDaily[Admissions],tblDaily[EntryDate],DATE(2026,6,24),tblDaily[WardCode],"FW")=0,"",SUMIFS(tblDaily[Admissions],tblDaily[EntryDate],DATE(2026,6,24),tblDaily[WardCode],"FW")),"")</f>
        <v/>
      </c>
      <c r="C225" s="29" t="str">
        <f>IFERROR(IF(SUMIFS(tblDaily[Discharges],tblDaily[EntryDate],DATE(2026,6,24),tblDaily[WardCode],"FW")=0,"",SUMIFS(tblDaily[Discharges],tblDaily[EntryDate],DATE(2026,6,24),tblDaily[WardCode],"FW")),"")</f>
        <v/>
      </c>
      <c r="D225" s="29" t="str">
        <f>IFERROR(IF(SUMIFS(tblDaily[Deaths],tblDaily[EntryDate],DATE(2026,6,24),tblDaily[WardCode],"FW")=0,"",SUMIFS(tblDaily[Deaths],tblDaily[EntryDate],DATE(2026,6,24),tblDaily[WardCode],"FW")),"")</f>
        <v/>
      </c>
      <c r="E225" s="29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29" t="str">
        <f>IFERROR(IF(SUMIFS(tblDaily[TransfersIn],tblDaily[EntryDate],DATE(2026,6,24),tblDaily[WardCode],"FW")=0,"",SUMIFS(tblDaily[TransfersIn],tblDaily[EntryDate],DATE(2026,6,24),tblDaily[WardCode],"FW")),"")</f>
        <v/>
      </c>
      <c r="G225" s="29" t="str">
        <f>IFERROR(IF(SUMIFS(tblDaily[TransfersOut],tblDaily[EntryDate],DATE(2026,6,24),tblDaily[WardCode],"FW")=0,"",SUMIFS(tblDaily[TransfersOut],tblDaily[EntryDate],DATE(2026,6,24),tblDaily[WardCode],"FW")),"")</f>
        <v/>
      </c>
      <c r="H225" s="29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IFERROR(IF(SUMIFS(tblDaily[Admissions],tblDaily[EntryDate],DATE(2026,6,25),tblDaily[WardCode],"FW")=0,"",SUMIFS(tblDaily[Admissions],tblDaily[EntryDate],DATE(2026,6,25),tblDaily[WardCode],"FW")),"")</f>
        <v/>
      </c>
      <c r="C226" s="29" t="str">
        <f>IFERROR(IF(SUMIFS(tblDaily[Discharges],tblDaily[EntryDate],DATE(2026,6,25),tblDaily[WardCode],"FW")=0,"",SUMIFS(tblDaily[Discharges],tblDaily[EntryDate],DATE(2026,6,25),tblDaily[WardCode],"FW")),"")</f>
        <v/>
      </c>
      <c r="D226" s="29" t="str">
        <f>IFERROR(IF(SUMIFS(tblDaily[Deaths],tblDaily[EntryDate],DATE(2026,6,25),tblDaily[WardCode],"FW")=0,"",SUMIFS(tblDaily[Deaths],tblDaily[EntryDate],DATE(2026,6,25),tblDaily[WardCode],"FW")),"")</f>
        <v/>
      </c>
      <c r="E226" s="29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29" t="str">
        <f>IFERROR(IF(SUMIFS(tblDaily[TransfersIn],tblDaily[EntryDate],DATE(2026,6,25),tblDaily[WardCode],"FW")=0,"",SUMIFS(tblDaily[TransfersIn],tblDaily[EntryDate],DATE(2026,6,25),tblDaily[WardCode],"FW")),"")</f>
        <v/>
      </c>
      <c r="G226" s="29" t="str">
        <f>IFERROR(IF(SUMIFS(tblDaily[TransfersOut],tblDaily[EntryDate],DATE(2026,6,25),tblDaily[WardCode],"FW")=0,"",SUMIFS(tblDaily[TransfersOut],tblDaily[EntryDate],DATE(2026,6,25),tblDaily[WardCode],"FW")),"")</f>
        <v/>
      </c>
      <c r="H226" s="29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IFERROR(IF(SUMIFS(tblDaily[Admissions],tblDaily[EntryDate],DATE(2026,6,26),tblDaily[WardCode],"FW")=0,"",SUMIFS(tblDaily[Admissions],tblDaily[EntryDate],DATE(2026,6,26),tblDaily[WardCode],"FW")),"")</f>
        <v/>
      </c>
      <c r="C227" s="29" t="str">
        <f>IFERROR(IF(SUMIFS(tblDaily[Discharges],tblDaily[EntryDate],DATE(2026,6,26),tblDaily[WardCode],"FW")=0,"",SUMIFS(tblDaily[Discharges],tblDaily[EntryDate],DATE(2026,6,26),tblDaily[WardCode],"FW")),"")</f>
        <v/>
      </c>
      <c r="D227" s="29" t="str">
        <f>IFERROR(IF(SUMIFS(tblDaily[Deaths],tblDaily[EntryDate],DATE(2026,6,26),tblDaily[WardCode],"FW")=0,"",SUMIFS(tblDaily[Deaths],tblDaily[EntryDate],DATE(2026,6,26),tblDaily[WardCode],"FW")),"")</f>
        <v/>
      </c>
      <c r="E227" s="29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29" t="str">
        <f>IFERROR(IF(SUMIFS(tblDaily[TransfersIn],tblDaily[EntryDate],DATE(2026,6,26),tblDaily[WardCode],"FW")=0,"",SUMIFS(tblDaily[TransfersIn],tblDaily[EntryDate],DATE(2026,6,26),tblDaily[WardCode],"FW")),"")</f>
        <v/>
      </c>
      <c r="G227" s="29" t="str">
        <f>IFERROR(IF(SUMIFS(tblDaily[TransfersOut],tblDaily[EntryDate],DATE(2026,6,26),tblDaily[WardCode],"FW")=0,"",SUMIFS(tblDaily[TransfersOut],tblDaily[EntryDate],DATE(2026,6,26),tblDaily[WardCode],"FW")),"")</f>
        <v/>
      </c>
      <c r="H227" s="29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IFERROR(IF(SUMIFS(tblDaily[Admissions],tblDaily[EntryDate],DATE(2026,6,27),tblDaily[WardCode],"FW")=0,"",SUMIFS(tblDaily[Admissions],tblDaily[EntryDate],DATE(2026,6,27),tblDaily[WardCode],"FW")),"")</f>
        <v/>
      </c>
      <c r="C228" s="29" t="str">
        <f>IFERROR(IF(SUMIFS(tblDaily[Discharges],tblDaily[EntryDate],DATE(2026,6,27),tblDaily[WardCode],"FW")=0,"",SUMIFS(tblDaily[Discharges],tblDaily[EntryDate],DATE(2026,6,27),tblDaily[WardCode],"FW")),"")</f>
        <v/>
      </c>
      <c r="D228" s="29" t="str">
        <f>IFERROR(IF(SUMIFS(tblDaily[Deaths],tblDaily[EntryDate],DATE(2026,6,27),tblDaily[WardCode],"FW")=0,"",SUMIFS(tblDaily[Deaths],tblDaily[EntryDate],DATE(2026,6,27),tblDaily[WardCode],"FW")),"")</f>
        <v/>
      </c>
      <c r="E228" s="29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29" t="str">
        <f>IFERROR(IF(SUMIFS(tblDaily[TransfersIn],tblDaily[EntryDate],DATE(2026,6,27),tblDaily[WardCode],"FW")=0,"",SUMIFS(tblDaily[TransfersIn],tblDaily[EntryDate],DATE(2026,6,27),tblDaily[WardCode],"FW")),"")</f>
        <v/>
      </c>
      <c r="G228" s="29" t="str">
        <f>IFERROR(IF(SUMIFS(tblDaily[TransfersOut],tblDaily[EntryDate],DATE(2026,6,27),tblDaily[WardCode],"FW")=0,"",SUMIFS(tblDaily[TransfersOut],tblDaily[EntryDate],DATE(2026,6,27),tblDaily[WardCode],"FW")),"")</f>
        <v/>
      </c>
      <c r="H228" s="29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IFERROR(IF(SUMIFS(tblDaily[Admissions],tblDaily[EntryDate],DATE(2026,6,28),tblDaily[WardCode],"FW")=0,"",SUMIFS(tblDaily[Admissions],tblDaily[EntryDate],DATE(2026,6,28),tblDaily[WardCode],"FW")),"")</f>
        <v/>
      </c>
      <c r="C229" s="29" t="str">
        <f>IFERROR(IF(SUMIFS(tblDaily[Discharges],tblDaily[EntryDate],DATE(2026,6,28),tblDaily[WardCode],"FW")=0,"",SUMIFS(tblDaily[Discharges],tblDaily[EntryDate],DATE(2026,6,28),tblDaily[WardCode],"FW")),"")</f>
        <v/>
      </c>
      <c r="D229" s="29" t="str">
        <f>IFERROR(IF(SUMIFS(tblDaily[Deaths],tblDaily[EntryDate],DATE(2026,6,28),tblDaily[WardCode],"FW")=0,"",SUMIFS(tblDaily[Deaths],tblDaily[EntryDate],DATE(2026,6,28),tblDaily[WardCode],"FW")),"")</f>
        <v/>
      </c>
      <c r="E229" s="29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29" t="str">
        <f>IFERROR(IF(SUMIFS(tblDaily[TransfersIn],tblDaily[EntryDate],DATE(2026,6,28),tblDaily[WardCode],"FW")=0,"",SUMIFS(tblDaily[TransfersIn],tblDaily[EntryDate],DATE(2026,6,28),tblDaily[WardCode],"FW")),"")</f>
        <v/>
      </c>
      <c r="G229" s="29" t="str">
        <f>IFERROR(IF(SUMIFS(tblDaily[TransfersOut],tblDaily[EntryDate],DATE(2026,6,28),tblDaily[WardCode],"FW")=0,"",SUMIFS(tblDaily[TransfersOut],tblDaily[EntryDate],DATE(2026,6,28),tblDaily[WardCode],"FW")),"")</f>
        <v/>
      </c>
      <c r="H229" s="29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IFERROR(IF(SUMIFS(tblDaily[Admissions],tblDaily[EntryDate],DATE(2026,6,29),tblDaily[WardCode],"FW")=0,"",SUMIFS(tblDaily[Admissions],tblDaily[EntryDate],DATE(2026,6,29),tblDaily[WardCode],"FW")),"")</f>
        <v/>
      </c>
      <c r="C230" s="29" t="str">
        <f>IFERROR(IF(SUMIFS(tblDaily[Discharges],tblDaily[EntryDate],DATE(2026,6,29),tblDaily[WardCode],"FW")=0,"",SUMIFS(tblDaily[Discharges],tblDaily[EntryDate],DATE(2026,6,29),tblDaily[WardCode],"FW")),"")</f>
        <v/>
      </c>
      <c r="D230" s="29" t="str">
        <f>IFERROR(IF(SUMIFS(tblDaily[Deaths],tblDaily[EntryDate],DATE(2026,6,29),tblDaily[WardCode],"FW")=0,"",SUMIFS(tblDaily[Deaths],tblDaily[EntryDate],DATE(2026,6,29),tblDaily[WardCode],"FW")),"")</f>
        <v/>
      </c>
      <c r="E230" s="29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29" t="str">
        <f>IFERROR(IF(SUMIFS(tblDaily[TransfersIn],tblDaily[EntryDate],DATE(2026,6,29),tblDaily[WardCode],"FW")=0,"",SUMIFS(tblDaily[TransfersIn],tblDaily[EntryDate],DATE(2026,6,29),tblDaily[WardCode],"FW")),"")</f>
        <v/>
      </c>
      <c r="G230" s="29" t="str">
        <f>IFERROR(IF(SUMIFS(tblDaily[TransfersOut],tblDaily[EntryDate],DATE(2026,6,29),tblDaily[WardCode],"FW")=0,"",SUMIFS(tblDaily[TransfersOut],tblDaily[EntryDate],DATE(2026,6,29),tblDaily[WardCode],"FW")),"")</f>
        <v/>
      </c>
      <c r="H230" s="29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IFERROR(IF(SUMIFS(tblDaily[Admissions],tblDaily[EntryDate],DATE(2026,6,30),tblDaily[WardCode],"FW")=0,"",SUMIFS(tblDaily[Admissions],tblDaily[EntryDate],DATE(2026,6,30),tblDaily[WardCode],"FW")),"")</f>
        <v/>
      </c>
      <c r="C231" s="29" t="str">
        <f>IFERROR(IF(SUMIFS(tblDaily[Discharges],tblDaily[EntryDate],DATE(2026,6,30),tblDaily[WardCode],"FW")=0,"",SUMIFS(tblDaily[Discharges],tblDaily[EntryDate],DATE(2026,6,30),tblDaily[WardCode],"FW")),"")</f>
        <v/>
      </c>
      <c r="D231" s="29" t="str">
        <f>IFERROR(IF(SUMIFS(tblDaily[Deaths],tblDaily[EntryDate],DATE(2026,6,30),tblDaily[WardCode],"FW")=0,"",SUMIFS(tblDaily[Deaths],tblDaily[EntryDate],DATE(2026,6,30),tblDaily[WardCode],"FW")),"")</f>
        <v/>
      </c>
      <c r="E231" s="29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29" t="str">
        <f>IFERROR(IF(SUMIFS(tblDaily[TransfersIn],tblDaily[EntryDate],DATE(2026,6,30),tblDaily[WardCode],"FW")=0,"",SUMIFS(tblDaily[TransfersIn],tblDaily[EntryDate],DATE(2026,6,30),tblDaily[WardCode],"FW")),"")</f>
        <v/>
      </c>
      <c r="G231" s="29" t="str">
        <f>IFERROR(IF(SUMIFS(tblDaily[TransfersOut],tblDaily[EntryDate],DATE(2026,6,30),tblDaily[WardCode],"FW")=0,"",SUMIFS(tblDaily[TransfersOut],tblDaily[EntryDate],DATE(2026,6,30),tblDaily[WardCode],"FW")),"")</f>
        <v/>
      </c>
      <c r="H231" s="29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SUMIFS(tblDaily[Admissions],tblDaily[Month],6,tblDaily[WardCode],"FW") - SUMIFS(tblDaily[DeathsUnder24Hrs],tblDaily[Month],6,tblDaily[WardCode],"FW")</f>
        <v>0</v>
      </c>
      <c r="C233" s="30">
        <f>SUMIFS(tblDaily[Discharges],tblDaily[Month],6,tblDaily[WardCode],"FW")</f>
        <v>0</v>
      </c>
      <c r="D233" s="30">
        <f>SUMIFS(tblDaily[Deaths],tblDaily[Month],6,tblDaily[WardCode],"FW")</f>
        <v>0</v>
      </c>
      <c r="E233" s="30">
        <f>SUMIFS(tblDaily[DeathsUnder24Hrs],tblDaily[Month],6,tblDaily[WardCode],"FW")</f>
        <v>0</v>
      </c>
      <c r="F233" s="30">
        <f>SUMIFS(tblDaily[TransfersIn],tblDaily[Month],6,tblDaily[WardCode],"FW")</f>
        <v>0</v>
      </c>
      <c r="G233" s="30">
        <f>SUMIFS(tblDaily[TransfersOut],tblDaily[Month],6,tblDaily[WardCode],"FW")</f>
        <v>0</v>
      </c>
      <c r="H233" s="30">
        <f>SUMIFS(tblDaily[Remaining],tblDaily[Month],6,tblDaily[WardCode],"FW")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116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IFERROR(SUMIFS(tblDaily[Remaining],tblDaily[EntryDate],DATE(2026,6,30),tblDaily[WardCode],"FW"),0)</f>
        <v>0</v>
      </c>
    </row>
    <row r="239" spans="1:8" x14ac:dyDescent="0.25">
      <c r="A239" s="24" t="s">
        <v>109</v>
      </c>
      <c r="H239" s="27">
        <f>IFERROR(INDEX(tblWardConfig[BedComplement],MATCH("FW",tblWardConfig[WardCode],0)),0)</f>
        <v>28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IFERROR(IF(SUMIFS(tblDaily[Admissions],tblDaily[EntryDate],DATE(2026,7,1),tblDaily[WardCode],"FW")=0,"",SUMIFS(tblDaily[Admissions],tblDaily[EntryDate],DATE(2026,7,1),tblDaily[WardCode],"FW")),"")</f>
        <v/>
      </c>
      <c r="C241" s="29" t="str">
        <f>IFERROR(IF(SUMIFS(tblDaily[Discharges],tblDaily[EntryDate],DATE(2026,7,1),tblDaily[WardCode],"FW")=0,"",SUMIFS(tblDaily[Discharges],tblDaily[EntryDate],DATE(2026,7,1),tblDaily[WardCode],"FW")),"")</f>
        <v/>
      </c>
      <c r="D241" s="29" t="str">
        <f>IFERROR(IF(SUMIFS(tblDaily[Deaths],tblDaily[EntryDate],DATE(2026,7,1),tblDaily[WardCode],"FW")=0,"",SUMIFS(tblDaily[Deaths],tblDaily[EntryDate],DATE(2026,7,1),tblDaily[WardCode],"FW")),"")</f>
        <v/>
      </c>
      <c r="E241" s="29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29" t="str">
        <f>IFERROR(IF(SUMIFS(tblDaily[TransfersIn],tblDaily[EntryDate],DATE(2026,7,1),tblDaily[WardCode],"FW")=0,"",SUMIFS(tblDaily[TransfersIn],tblDaily[EntryDate],DATE(2026,7,1),tblDaily[WardCode],"FW")),"")</f>
        <v/>
      </c>
      <c r="G241" s="29" t="str">
        <f>IFERROR(IF(SUMIFS(tblDaily[TransfersOut],tblDaily[EntryDate],DATE(2026,7,1),tblDaily[WardCode],"FW")=0,"",SUMIFS(tblDaily[TransfersOut],tblDaily[EntryDate],DATE(2026,7,1),tblDaily[WardCode],"FW")),"")</f>
        <v/>
      </c>
      <c r="H241" s="29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IFERROR(IF(SUMIFS(tblDaily[Admissions],tblDaily[EntryDate],DATE(2026,7,2),tblDaily[WardCode],"FW")=0,"",SUMIFS(tblDaily[Admissions],tblDaily[EntryDate],DATE(2026,7,2),tblDaily[WardCode],"FW")),"")</f>
        <v/>
      </c>
      <c r="C242" s="29" t="str">
        <f>IFERROR(IF(SUMIFS(tblDaily[Discharges],tblDaily[EntryDate],DATE(2026,7,2),tblDaily[WardCode],"FW")=0,"",SUMIFS(tblDaily[Discharges],tblDaily[EntryDate],DATE(2026,7,2),tblDaily[WardCode],"FW")),"")</f>
        <v/>
      </c>
      <c r="D242" s="29" t="str">
        <f>IFERROR(IF(SUMIFS(tblDaily[Deaths],tblDaily[EntryDate],DATE(2026,7,2),tblDaily[WardCode],"FW")=0,"",SUMIFS(tblDaily[Deaths],tblDaily[EntryDate],DATE(2026,7,2),tblDaily[WardCode],"FW")),"")</f>
        <v/>
      </c>
      <c r="E242" s="29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29" t="str">
        <f>IFERROR(IF(SUMIFS(tblDaily[TransfersIn],tblDaily[EntryDate],DATE(2026,7,2),tblDaily[WardCode],"FW")=0,"",SUMIFS(tblDaily[TransfersIn],tblDaily[EntryDate],DATE(2026,7,2),tblDaily[WardCode],"FW")),"")</f>
        <v/>
      </c>
      <c r="G242" s="29" t="str">
        <f>IFERROR(IF(SUMIFS(tblDaily[TransfersOut],tblDaily[EntryDate],DATE(2026,7,2),tblDaily[WardCode],"FW")=0,"",SUMIFS(tblDaily[TransfersOut],tblDaily[EntryDate],DATE(2026,7,2),tblDaily[WardCode],"FW")),"")</f>
        <v/>
      </c>
      <c r="H242" s="29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IFERROR(IF(SUMIFS(tblDaily[Admissions],tblDaily[EntryDate],DATE(2026,7,3),tblDaily[WardCode],"FW")=0,"",SUMIFS(tblDaily[Admissions],tblDaily[EntryDate],DATE(2026,7,3),tblDaily[WardCode],"FW")),"")</f>
        <v/>
      </c>
      <c r="C243" s="29" t="str">
        <f>IFERROR(IF(SUMIFS(tblDaily[Discharges],tblDaily[EntryDate],DATE(2026,7,3),tblDaily[WardCode],"FW")=0,"",SUMIFS(tblDaily[Discharges],tblDaily[EntryDate],DATE(2026,7,3),tblDaily[WardCode],"FW")),"")</f>
        <v/>
      </c>
      <c r="D243" s="29" t="str">
        <f>IFERROR(IF(SUMIFS(tblDaily[Deaths],tblDaily[EntryDate],DATE(2026,7,3),tblDaily[WardCode],"FW")=0,"",SUMIFS(tblDaily[Deaths],tblDaily[EntryDate],DATE(2026,7,3),tblDaily[WardCode],"FW")),"")</f>
        <v/>
      </c>
      <c r="E243" s="29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29" t="str">
        <f>IFERROR(IF(SUMIFS(tblDaily[TransfersIn],tblDaily[EntryDate],DATE(2026,7,3),tblDaily[WardCode],"FW")=0,"",SUMIFS(tblDaily[TransfersIn],tblDaily[EntryDate],DATE(2026,7,3),tblDaily[WardCode],"FW")),"")</f>
        <v/>
      </c>
      <c r="G243" s="29" t="str">
        <f>IFERROR(IF(SUMIFS(tblDaily[TransfersOut],tblDaily[EntryDate],DATE(2026,7,3),tblDaily[WardCode],"FW")=0,"",SUMIFS(tblDaily[TransfersOut],tblDaily[EntryDate],DATE(2026,7,3),tblDaily[WardCode],"FW")),"")</f>
        <v/>
      </c>
      <c r="H243" s="29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IFERROR(IF(SUMIFS(tblDaily[Admissions],tblDaily[EntryDate],DATE(2026,7,4),tblDaily[WardCode],"FW")=0,"",SUMIFS(tblDaily[Admissions],tblDaily[EntryDate],DATE(2026,7,4),tblDaily[WardCode],"FW")),"")</f>
        <v/>
      </c>
      <c r="C244" s="29" t="str">
        <f>IFERROR(IF(SUMIFS(tblDaily[Discharges],tblDaily[EntryDate],DATE(2026,7,4),tblDaily[WardCode],"FW")=0,"",SUMIFS(tblDaily[Discharges],tblDaily[EntryDate],DATE(2026,7,4),tblDaily[WardCode],"FW")),"")</f>
        <v/>
      </c>
      <c r="D244" s="29" t="str">
        <f>IFERROR(IF(SUMIFS(tblDaily[Deaths],tblDaily[EntryDate],DATE(2026,7,4),tblDaily[WardCode],"FW")=0,"",SUMIFS(tblDaily[Deaths],tblDaily[EntryDate],DATE(2026,7,4),tblDaily[WardCode],"FW")),"")</f>
        <v/>
      </c>
      <c r="E244" s="29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29" t="str">
        <f>IFERROR(IF(SUMIFS(tblDaily[TransfersIn],tblDaily[EntryDate],DATE(2026,7,4),tblDaily[WardCode],"FW")=0,"",SUMIFS(tblDaily[TransfersIn],tblDaily[EntryDate],DATE(2026,7,4),tblDaily[WardCode],"FW")),"")</f>
        <v/>
      </c>
      <c r="G244" s="29" t="str">
        <f>IFERROR(IF(SUMIFS(tblDaily[TransfersOut],tblDaily[EntryDate],DATE(2026,7,4),tblDaily[WardCode],"FW")=0,"",SUMIFS(tblDaily[TransfersOut],tblDaily[EntryDate],DATE(2026,7,4),tblDaily[WardCode],"FW")),"")</f>
        <v/>
      </c>
      <c r="H244" s="29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IFERROR(IF(SUMIFS(tblDaily[Admissions],tblDaily[EntryDate],DATE(2026,7,5),tblDaily[WardCode],"FW")=0,"",SUMIFS(tblDaily[Admissions],tblDaily[EntryDate],DATE(2026,7,5),tblDaily[WardCode],"FW")),"")</f>
        <v/>
      </c>
      <c r="C245" s="29" t="str">
        <f>IFERROR(IF(SUMIFS(tblDaily[Discharges],tblDaily[EntryDate],DATE(2026,7,5),tblDaily[WardCode],"FW")=0,"",SUMIFS(tblDaily[Discharges],tblDaily[EntryDate],DATE(2026,7,5),tblDaily[WardCode],"FW")),"")</f>
        <v/>
      </c>
      <c r="D245" s="29" t="str">
        <f>IFERROR(IF(SUMIFS(tblDaily[Deaths],tblDaily[EntryDate],DATE(2026,7,5),tblDaily[WardCode],"FW")=0,"",SUMIFS(tblDaily[Deaths],tblDaily[EntryDate],DATE(2026,7,5),tblDaily[WardCode],"FW")),"")</f>
        <v/>
      </c>
      <c r="E245" s="29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29" t="str">
        <f>IFERROR(IF(SUMIFS(tblDaily[TransfersIn],tblDaily[EntryDate],DATE(2026,7,5),tblDaily[WardCode],"FW")=0,"",SUMIFS(tblDaily[TransfersIn],tblDaily[EntryDate],DATE(2026,7,5),tblDaily[WardCode],"FW")),"")</f>
        <v/>
      </c>
      <c r="G245" s="29" t="str">
        <f>IFERROR(IF(SUMIFS(tblDaily[TransfersOut],tblDaily[EntryDate],DATE(2026,7,5),tblDaily[WardCode],"FW")=0,"",SUMIFS(tblDaily[TransfersOut],tblDaily[EntryDate],DATE(2026,7,5),tblDaily[WardCode],"FW")),"")</f>
        <v/>
      </c>
      <c r="H245" s="29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IFERROR(IF(SUMIFS(tblDaily[Admissions],tblDaily[EntryDate],DATE(2026,7,6),tblDaily[WardCode],"FW")=0,"",SUMIFS(tblDaily[Admissions],tblDaily[EntryDate],DATE(2026,7,6),tblDaily[WardCode],"FW")),"")</f>
        <v/>
      </c>
      <c r="C246" s="29" t="str">
        <f>IFERROR(IF(SUMIFS(tblDaily[Discharges],tblDaily[EntryDate],DATE(2026,7,6),tblDaily[WardCode],"FW")=0,"",SUMIFS(tblDaily[Discharges],tblDaily[EntryDate],DATE(2026,7,6),tblDaily[WardCode],"FW")),"")</f>
        <v/>
      </c>
      <c r="D246" s="29" t="str">
        <f>IFERROR(IF(SUMIFS(tblDaily[Deaths],tblDaily[EntryDate],DATE(2026,7,6),tblDaily[WardCode],"FW")=0,"",SUMIFS(tblDaily[Deaths],tblDaily[EntryDate],DATE(2026,7,6),tblDaily[WardCode],"FW")),"")</f>
        <v/>
      </c>
      <c r="E246" s="29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29" t="str">
        <f>IFERROR(IF(SUMIFS(tblDaily[TransfersIn],tblDaily[EntryDate],DATE(2026,7,6),tblDaily[WardCode],"FW")=0,"",SUMIFS(tblDaily[TransfersIn],tblDaily[EntryDate],DATE(2026,7,6),tblDaily[WardCode],"FW")),"")</f>
        <v/>
      </c>
      <c r="G246" s="29" t="str">
        <f>IFERROR(IF(SUMIFS(tblDaily[TransfersOut],tblDaily[EntryDate],DATE(2026,7,6),tblDaily[WardCode],"FW")=0,"",SUMIFS(tblDaily[TransfersOut],tblDaily[EntryDate],DATE(2026,7,6),tblDaily[WardCode],"FW")),"")</f>
        <v/>
      </c>
      <c r="H246" s="29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IFERROR(IF(SUMIFS(tblDaily[Admissions],tblDaily[EntryDate],DATE(2026,7,7),tblDaily[WardCode],"FW")=0,"",SUMIFS(tblDaily[Admissions],tblDaily[EntryDate],DATE(2026,7,7),tblDaily[WardCode],"FW")),"")</f>
        <v/>
      </c>
      <c r="C247" s="29" t="str">
        <f>IFERROR(IF(SUMIFS(tblDaily[Discharges],tblDaily[EntryDate],DATE(2026,7,7),tblDaily[WardCode],"FW")=0,"",SUMIFS(tblDaily[Discharges],tblDaily[EntryDate],DATE(2026,7,7),tblDaily[WardCode],"FW")),"")</f>
        <v/>
      </c>
      <c r="D247" s="29" t="str">
        <f>IFERROR(IF(SUMIFS(tblDaily[Deaths],tblDaily[EntryDate],DATE(2026,7,7),tblDaily[WardCode],"FW")=0,"",SUMIFS(tblDaily[Deaths],tblDaily[EntryDate],DATE(2026,7,7),tblDaily[WardCode],"FW")),"")</f>
        <v/>
      </c>
      <c r="E247" s="29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29" t="str">
        <f>IFERROR(IF(SUMIFS(tblDaily[TransfersIn],tblDaily[EntryDate],DATE(2026,7,7),tblDaily[WardCode],"FW")=0,"",SUMIFS(tblDaily[TransfersIn],tblDaily[EntryDate],DATE(2026,7,7),tblDaily[WardCode],"FW")),"")</f>
        <v/>
      </c>
      <c r="G247" s="29" t="str">
        <f>IFERROR(IF(SUMIFS(tblDaily[TransfersOut],tblDaily[EntryDate],DATE(2026,7,7),tblDaily[WardCode],"FW")=0,"",SUMIFS(tblDaily[TransfersOut],tblDaily[EntryDate],DATE(2026,7,7),tblDaily[WardCode],"FW")),"")</f>
        <v/>
      </c>
      <c r="H247" s="29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IFERROR(IF(SUMIFS(tblDaily[Admissions],tblDaily[EntryDate],DATE(2026,7,8),tblDaily[WardCode],"FW")=0,"",SUMIFS(tblDaily[Admissions],tblDaily[EntryDate],DATE(2026,7,8),tblDaily[WardCode],"FW")),"")</f>
        <v/>
      </c>
      <c r="C248" s="29" t="str">
        <f>IFERROR(IF(SUMIFS(tblDaily[Discharges],tblDaily[EntryDate],DATE(2026,7,8),tblDaily[WardCode],"FW")=0,"",SUMIFS(tblDaily[Discharges],tblDaily[EntryDate],DATE(2026,7,8),tblDaily[WardCode],"FW")),"")</f>
        <v/>
      </c>
      <c r="D248" s="29" t="str">
        <f>IFERROR(IF(SUMIFS(tblDaily[Deaths],tblDaily[EntryDate],DATE(2026,7,8),tblDaily[WardCode],"FW")=0,"",SUMIFS(tblDaily[Deaths],tblDaily[EntryDate],DATE(2026,7,8),tblDaily[WardCode],"FW")),"")</f>
        <v/>
      </c>
      <c r="E248" s="29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29" t="str">
        <f>IFERROR(IF(SUMIFS(tblDaily[TransfersIn],tblDaily[EntryDate],DATE(2026,7,8),tblDaily[WardCode],"FW")=0,"",SUMIFS(tblDaily[TransfersIn],tblDaily[EntryDate],DATE(2026,7,8),tblDaily[WardCode],"FW")),"")</f>
        <v/>
      </c>
      <c r="G248" s="29" t="str">
        <f>IFERROR(IF(SUMIFS(tblDaily[TransfersOut],tblDaily[EntryDate],DATE(2026,7,8),tblDaily[WardCode],"FW")=0,"",SUMIFS(tblDaily[TransfersOut],tblDaily[EntryDate],DATE(2026,7,8),tblDaily[WardCode],"FW")),"")</f>
        <v/>
      </c>
      <c r="H248" s="29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IFERROR(IF(SUMIFS(tblDaily[Admissions],tblDaily[EntryDate],DATE(2026,7,9),tblDaily[WardCode],"FW")=0,"",SUMIFS(tblDaily[Admissions],tblDaily[EntryDate],DATE(2026,7,9),tblDaily[WardCode],"FW")),"")</f>
        <v/>
      </c>
      <c r="C249" s="29" t="str">
        <f>IFERROR(IF(SUMIFS(tblDaily[Discharges],tblDaily[EntryDate],DATE(2026,7,9),tblDaily[WardCode],"FW")=0,"",SUMIFS(tblDaily[Discharges],tblDaily[EntryDate],DATE(2026,7,9),tblDaily[WardCode],"FW")),"")</f>
        <v/>
      </c>
      <c r="D249" s="29" t="str">
        <f>IFERROR(IF(SUMIFS(tblDaily[Deaths],tblDaily[EntryDate],DATE(2026,7,9),tblDaily[WardCode],"FW")=0,"",SUMIFS(tblDaily[Deaths],tblDaily[EntryDate],DATE(2026,7,9),tblDaily[WardCode],"FW")),"")</f>
        <v/>
      </c>
      <c r="E249" s="29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29" t="str">
        <f>IFERROR(IF(SUMIFS(tblDaily[TransfersIn],tblDaily[EntryDate],DATE(2026,7,9),tblDaily[WardCode],"FW")=0,"",SUMIFS(tblDaily[TransfersIn],tblDaily[EntryDate],DATE(2026,7,9),tblDaily[WardCode],"FW")),"")</f>
        <v/>
      </c>
      <c r="G249" s="29" t="str">
        <f>IFERROR(IF(SUMIFS(tblDaily[TransfersOut],tblDaily[EntryDate],DATE(2026,7,9),tblDaily[WardCode],"FW")=0,"",SUMIFS(tblDaily[TransfersOut],tblDaily[EntryDate],DATE(2026,7,9),tblDaily[WardCode],"FW")),"")</f>
        <v/>
      </c>
      <c r="H249" s="29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IFERROR(IF(SUMIFS(tblDaily[Admissions],tblDaily[EntryDate],DATE(2026,7,10),tblDaily[WardCode],"FW")=0,"",SUMIFS(tblDaily[Admissions],tblDaily[EntryDate],DATE(2026,7,10),tblDaily[WardCode],"FW")),"")</f>
        <v/>
      </c>
      <c r="C250" s="29" t="str">
        <f>IFERROR(IF(SUMIFS(tblDaily[Discharges],tblDaily[EntryDate],DATE(2026,7,10),tblDaily[WardCode],"FW")=0,"",SUMIFS(tblDaily[Discharges],tblDaily[EntryDate],DATE(2026,7,10),tblDaily[WardCode],"FW")),"")</f>
        <v/>
      </c>
      <c r="D250" s="29" t="str">
        <f>IFERROR(IF(SUMIFS(tblDaily[Deaths],tblDaily[EntryDate],DATE(2026,7,10),tblDaily[WardCode],"FW")=0,"",SUMIFS(tblDaily[Deaths],tblDaily[EntryDate],DATE(2026,7,10),tblDaily[WardCode],"FW")),"")</f>
        <v/>
      </c>
      <c r="E250" s="29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29" t="str">
        <f>IFERROR(IF(SUMIFS(tblDaily[TransfersIn],tblDaily[EntryDate],DATE(2026,7,10),tblDaily[WardCode],"FW")=0,"",SUMIFS(tblDaily[TransfersIn],tblDaily[EntryDate],DATE(2026,7,10),tblDaily[WardCode],"FW")),"")</f>
        <v/>
      </c>
      <c r="G250" s="29" t="str">
        <f>IFERROR(IF(SUMIFS(tblDaily[TransfersOut],tblDaily[EntryDate],DATE(2026,7,10),tblDaily[WardCode],"FW")=0,"",SUMIFS(tblDaily[TransfersOut],tblDaily[EntryDate],DATE(2026,7,10),tblDaily[WardCode],"FW")),"")</f>
        <v/>
      </c>
      <c r="H250" s="29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IFERROR(IF(SUMIFS(tblDaily[Admissions],tblDaily[EntryDate],DATE(2026,7,11),tblDaily[WardCode],"FW")=0,"",SUMIFS(tblDaily[Admissions],tblDaily[EntryDate],DATE(2026,7,11),tblDaily[WardCode],"FW")),"")</f>
        <v/>
      </c>
      <c r="C251" s="29" t="str">
        <f>IFERROR(IF(SUMIFS(tblDaily[Discharges],tblDaily[EntryDate],DATE(2026,7,11),tblDaily[WardCode],"FW")=0,"",SUMIFS(tblDaily[Discharges],tblDaily[EntryDate],DATE(2026,7,11),tblDaily[WardCode],"FW")),"")</f>
        <v/>
      </c>
      <c r="D251" s="29" t="str">
        <f>IFERROR(IF(SUMIFS(tblDaily[Deaths],tblDaily[EntryDate],DATE(2026,7,11),tblDaily[WardCode],"FW")=0,"",SUMIFS(tblDaily[Deaths],tblDaily[EntryDate],DATE(2026,7,11),tblDaily[WardCode],"FW")),"")</f>
        <v/>
      </c>
      <c r="E251" s="29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29" t="str">
        <f>IFERROR(IF(SUMIFS(tblDaily[TransfersIn],tblDaily[EntryDate],DATE(2026,7,11),tblDaily[WardCode],"FW")=0,"",SUMIFS(tblDaily[TransfersIn],tblDaily[EntryDate],DATE(2026,7,11),tblDaily[WardCode],"FW")),"")</f>
        <v/>
      </c>
      <c r="G251" s="29" t="str">
        <f>IFERROR(IF(SUMIFS(tblDaily[TransfersOut],tblDaily[EntryDate],DATE(2026,7,11),tblDaily[WardCode],"FW")=0,"",SUMIFS(tblDaily[TransfersOut],tblDaily[EntryDate],DATE(2026,7,11),tblDaily[WardCode],"FW")),"")</f>
        <v/>
      </c>
      <c r="H251" s="29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IFERROR(IF(SUMIFS(tblDaily[Admissions],tblDaily[EntryDate],DATE(2026,7,12),tblDaily[WardCode],"FW")=0,"",SUMIFS(tblDaily[Admissions],tblDaily[EntryDate],DATE(2026,7,12),tblDaily[WardCode],"FW")),"")</f>
        <v/>
      </c>
      <c r="C252" s="29" t="str">
        <f>IFERROR(IF(SUMIFS(tblDaily[Discharges],tblDaily[EntryDate],DATE(2026,7,12),tblDaily[WardCode],"FW")=0,"",SUMIFS(tblDaily[Discharges],tblDaily[EntryDate],DATE(2026,7,12),tblDaily[WardCode],"FW")),"")</f>
        <v/>
      </c>
      <c r="D252" s="29" t="str">
        <f>IFERROR(IF(SUMIFS(tblDaily[Deaths],tblDaily[EntryDate],DATE(2026,7,12),tblDaily[WardCode],"FW")=0,"",SUMIFS(tblDaily[Deaths],tblDaily[EntryDate],DATE(2026,7,12),tblDaily[WardCode],"FW")),"")</f>
        <v/>
      </c>
      <c r="E252" s="29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29" t="str">
        <f>IFERROR(IF(SUMIFS(tblDaily[TransfersIn],tblDaily[EntryDate],DATE(2026,7,12),tblDaily[WardCode],"FW")=0,"",SUMIFS(tblDaily[TransfersIn],tblDaily[EntryDate],DATE(2026,7,12),tblDaily[WardCode],"FW")),"")</f>
        <v/>
      </c>
      <c r="G252" s="29" t="str">
        <f>IFERROR(IF(SUMIFS(tblDaily[TransfersOut],tblDaily[EntryDate],DATE(2026,7,12),tblDaily[WardCode],"FW")=0,"",SUMIFS(tblDaily[TransfersOut],tblDaily[EntryDate],DATE(2026,7,12),tblDaily[WardCode],"FW")),"")</f>
        <v/>
      </c>
      <c r="H252" s="29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IFERROR(IF(SUMIFS(tblDaily[Admissions],tblDaily[EntryDate],DATE(2026,7,13),tblDaily[WardCode],"FW")=0,"",SUMIFS(tblDaily[Admissions],tblDaily[EntryDate],DATE(2026,7,13),tblDaily[WardCode],"FW")),"")</f>
        <v/>
      </c>
      <c r="C253" s="29" t="str">
        <f>IFERROR(IF(SUMIFS(tblDaily[Discharges],tblDaily[EntryDate],DATE(2026,7,13),tblDaily[WardCode],"FW")=0,"",SUMIFS(tblDaily[Discharges],tblDaily[EntryDate],DATE(2026,7,13),tblDaily[WardCode],"FW")),"")</f>
        <v/>
      </c>
      <c r="D253" s="29" t="str">
        <f>IFERROR(IF(SUMIFS(tblDaily[Deaths],tblDaily[EntryDate],DATE(2026,7,13),tblDaily[WardCode],"FW")=0,"",SUMIFS(tblDaily[Deaths],tblDaily[EntryDate],DATE(2026,7,13),tblDaily[WardCode],"FW")),"")</f>
        <v/>
      </c>
      <c r="E253" s="29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29" t="str">
        <f>IFERROR(IF(SUMIFS(tblDaily[TransfersIn],tblDaily[EntryDate],DATE(2026,7,13),tblDaily[WardCode],"FW")=0,"",SUMIFS(tblDaily[TransfersIn],tblDaily[EntryDate],DATE(2026,7,13),tblDaily[WardCode],"FW")),"")</f>
        <v/>
      </c>
      <c r="G253" s="29" t="str">
        <f>IFERROR(IF(SUMIFS(tblDaily[TransfersOut],tblDaily[EntryDate],DATE(2026,7,13),tblDaily[WardCode],"FW")=0,"",SUMIFS(tblDaily[TransfersOut],tblDaily[EntryDate],DATE(2026,7,13),tblDaily[WardCode],"FW")),"")</f>
        <v/>
      </c>
      <c r="H253" s="29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IFERROR(IF(SUMIFS(tblDaily[Admissions],tblDaily[EntryDate],DATE(2026,7,14),tblDaily[WardCode],"FW")=0,"",SUMIFS(tblDaily[Admissions],tblDaily[EntryDate],DATE(2026,7,14),tblDaily[WardCode],"FW")),"")</f>
        <v/>
      </c>
      <c r="C254" s="29" t="str">
        <f>IFERROR(IF(SUMIFS(tblDaily[Discharges],tblDaily[EntryDate],DATE(2026,7,14),tblDaily[WardCode],"FW")=0,"",SUMIFS(tblDaily[Discharges],tblDaily[EntryDate],DATE(2026,7,14),tblDaily[WardCode],"FW")),"")</f>
        <v/>
      </c>
      <c r="D254" s="29" t="str">
        <f>IFERROR(IF(SUMIFS(tblDaily[Deaths],tblDaily[EntryDate],DATE(2026,7,14),tblDaily[WardCode],"FW")=0,"",SUMIFS(tblDaily[Deaths],tblDaily[EntryDate],DATE(2026,7,14),tblDaily[WardCode],"FW")),"")</f>
        <v/>
      </c>
      <c r="E254" s="29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29" t="str">
        <f>IFERROR(IF(SUMIFS(tblDaily[TransfersIn],tblDaily[EntryDate],DATE(2026,7,14),tblDaily[WardCode],"FW")=0,"",SUMIFS(tblDaily[TransfersIn],tblDaily[EntryDate],DATE(2026,7,14),tblDaily[WardCode],"FW")),"")</f>
        <v/>
      </c>
      <c r="G254" s="29" t="str">
        <f>IFERROR(IF(SUMIFS(tblDaily[TransfersOut],tblDaily[EntryDate],DATE(2026,7,14),tblDaily[WardCode],"FW")=0,"",SUMIFS(tblDaily[TransfersOut],tblDaily[EntryDate],DATE(2026,7,14),tblDaily[WardCode],"FW")),"")</f>
        <v/>
      </c>
      <c r="H254" s="29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IFERROR(IF(SUMIFS(tblDaily[Admissions],tblDaily[EntryDate],DATE(2026,7,15),tblDaily[WardCode],"FW")=0,"",SUMIFS(tblDaily[Admissions],tblDaily[EntryDate],DATE(2026,7,15),tblDaily[WardCode],"FW")),"")</f>
        <v/>
      </c>
      <c r="C255" s="29" t="str">
        <f>IFERROR(IF(SUMIFS(tblDaily[Discharges],tblDaily[EntryDate],DATE(2026,7,15),tblDaily[WardCode],"FW")=0,"",SUMIFS(tblDaily[Discharges],tblDaily[EntryDate],DATE(2026,7,15),tblDaily[WardCode],"FW")),"")</f>
        <v/>
      </c>
      <c r="D255" s="29" t="str">
        <f>IFERROR(IF(SUMIFS(tblDaily[Deaths],tblDaily[EntryDate],DATE(2026,7,15),tblDaily[WardCode],"FW")=0,"",SUMIFS(tblDaily[Deaths],tblDaily[EntryDate],DATE(2026,7,15),tblDaily[WardCode],"FW")),"")</f>
        <v/>
      </c>
      <c r="E255" s="29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29" t="str">
        <f>IFERROR(IF(SUMIFS(tblDaily[TransfersIn],tblDaily[EntryDate],DATE(2026,7,15),tblDaily[WardCode],"FW")=0,"",SUMIFS(tblDaily[TransfersIn],tblDaily[EntryDate],DATE(2026,7,15),tblDaily[WardCode],"FW")),"")</f>
        <v/>
      </c>
      <c r="G255" s="29" t="str">
        <f>IFERROR(IF(SUMIFS(tblDaily[TransfersOut],tblDaily[EntryDate],DATE(2026,7,15),tblDaily[WardCode],"FW")=0,"",SUMIFS(tblDaily[TransfersOut],tblDaily[EntryDate],DATE(2026,7,15),tblDaily[WardCode],"FW")),"")</f>
        <v/>
      </c>
      <c r="H255" s="29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IFERROR(IF(SUMIFS(tblDaily[Admissions],tblDaily[EntryDate],DATE(2026,7,16),tblDaily[WardCode],"FW")=0,"",SUMIFS(tblDaily[Admissions],tblDaily[EntryDate],DATE(2026,7,16),tblDaily[WardCode],"FW")),"")</f>
        <v/>
      </c>
      <c r="C256" s="29" t="str">
        <f>IFERROR(IF(SUMIFS(tblDaily[Discharges],tblDaily[EntryDate],DATE(2026,7,16),tblDaily[WardCode],"FW")=0,"",SUMIFS(tblDaily[Discharges],tblDaily[EntryDate],DATE(2026,7,16),tblDaily[WardCode],"FW")),"")</f>
        <v/>
      </c>
      <c r="D256" s="29" t="str">
        <f>IFERROR(IF(SUMIFS(tblDaily[Deaths],tblDaily[EntryDate],DATE(2026,7,16),tblDaily[WardCode],"FW")=0,"",SUMIFS(tblDaily[Deaths],tblDaily[EntryDate],DATE(2026,7,16),tblDaily[WardCode],"FW")),"")</f>
        <v/>
      </c>
      <c r="E256" s="29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29" t="str">
        <f>IFERROR(IF(SUMIFS(tblDaily[TransfersIn],tblDaily[EntryDate],DATE(2026,7,16),tblDaily[WardCode],"FW")=0,"",SUMIFS(tblDaily[TransfersIn],tblDaily[EntryDate],DATE(2026,7,16),tblDaily[WardCode],"FW")),"")</f>
        <v/>
      </c>
      <c r="G256" s="29" t="str">
        <f>IFERROR(IF(SUMIFS(tblDaily[TransfersOut],tblDaily[EntryDate],DATE(2026,7,16),tblDaily[WardCode],"FW")=0,"",SUMIFS(tblDaily[TransfersOut],tblDaily[EntryDate],DATE(2026,7,16),tblDaily[WardCode],"FW")),"")</f>
        <v/>
      </c>
      <c r="H256" s="29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IFERROR(IF(SUMIFS(tblDaily[Admissions],tblDaily[EntryDate],DATE(2026,7,17),tblDaily[WardCode],"FW")=0,"",SUMIFS(tblDaily[Admissions],tblDaily[EntryDate],DATE(2026,7,17),tblDaily[WardCode],"FW")),"")</f>
        <v/>
      </c>
      <c r="C257" s="29" t="str">
        <f>IFERROR(IF(SUMIFS(tblDaily[Discharges],tblDaily[EntryDate],DATE(2026,7,17),tblDaily[WardCode],"FW")=0,"",SUMIFS(tblDaily[Discharges],tblDaily[EntryDate],DATE(2026,7,17),tblDaily[WardCode],"FW")),"")</f>
        <v/>
      </c>
      <c r="D257" s="29" t="str">
        <f>IFERROR(IF(SUMIFS(tblDaily[Deaths],tblDaily[EntryDate],DATE(2026,7,17),tblDaily[WardCode],"FW")=0,"",SUMIFS(tblDaily[Deaths],tblDaily[EntryDate],DATE(2026,7,17),tblDaily[WardCode],"FW")),"")</f>
        <v/>
      </c>
      <c r="E257" s="29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29" t="str">
        <f>IFERROR(IF(SUMIFS(tblDaily[TransfersIn],tblDaily[EntryDate],DATE(2026,7,17),tblDaily[WardCode],"FW")=0,"",SUMIFS(tblDaily[TransfersIn],tblDaily[EntryDate],DATE(2026,7,17),tblDaily[WardCode],"FW")),"")</f>
        <v/>
      </c>
      <c r="G257" s="29" t="str">
        <f>IFERROR(IF(SUMIFS(tblDaily[TransfersOut],tblDaily[EntryDate],DATE(2026,7,17),tblDaily[WardCode],"FW")=0,"",SUMIFS(tblDaily[TransfersOut],tblDaily[EntryDate],DATE(2026,7,17),tblDaily[WardCode],"FW")),"")</f>
        <v/>
      </c>
      <c r="H257" s="29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IFERROR(IF(SUMIFS(tblDaily[Admissions],tblDaily[EntryDate],DATE(2026,7,18),tblDaily[WardCode],"FW")=0,"",SUMIFS(tblDaily[Admissions],tblDaily[EntryDate],DATE(2026,7,18),tblDaily[WardCode],"FW")),"")</f>
        <v/>
      </c>
      <c r="C258" s="29" t="str">
        <f>IFERROR(IF(SUMIFS(tblDaily[Discharges],tblDaily[EntryDate],DATE(2026,7,18),tblDaily[WardCode],"FW")=0,"",SUMIFS(tblDaily[Discharges],tblDaily[EntryDate],DATE(2026,7,18),tblDaily[WardCode],"FW")),"")</f>
        <v/>
      </c>
      <c r="D258" s="29" t="str">
        <f>IFERROR(IF(SUMIFS(tblDaily[Deaths],tblDaily[EntryDate],DATE(2026,7,18),tblDaily[WardCode],"FW")=0,"",SUMIFS(tblDaily[Deaths],tblDaily[EntryDate],DATE(2026,7,18),tblDaily[WardCode],"FW")),"")</f>
        <v/>
      </c>
      <c r="E258" s="29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29" t="str">
        <f>IFERROR(IF(SUMIFS(tblDaily[TransfersIn],tblDaily[EntryDate],DATE(2026,7,18),tblDaily[WardCode],"FW")=0,"",SUMIFS(tblDaily[TransfersIn],tblDaily[EntryDate],DATE(2026,7,18),tblDaily[WardCode],"FW")),"")</f>
        <v/>
      </c>
      <c r="G258" s="29" t="str">
        <f>IFERROR(IF(SUMIFS(tblDaily[TransfersOut],tblDaily[EntryDate],DATE(2026,7,18),tblDaily[WardCode],"FW")=0,"",SUMIFS(tblDaily[TransfersOut],tblDaily[EntryDate],DATE(2026,7,18),tblDaily[WardCode],"FW")),"")</f>
        <v/>
      </c>
      <c r="H258" s="29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IFERROR(IF(SUMIFS(tblDaily[Admissions],tblDaily[EntryDate],DATE(2026,7,19),tblDaily[WardCode],"FW")=0,"",SUMIFS(tblDaily[Admissions],tblDaily[EntryDate],DATE(2026,7,19),tblDaily[WardCode],"FW")),"")</f>
        <v/>
      </c>
      <c r="C259" s="29" t="str">
        <f>IFERROR(IF(SUMIFS(tblDaily[Discharges],tblDaily[EntryDate],DATE(2026,7,19),tblDaily[WardCode],"FW")=0,"",SUMIFS(tblDaily[Discharges],tblDaily[EntryDate],DATE(2026,7,19),tblDaily[WardCode],"FW")),"")</f>
        <v/>
      </c>
      <c r="D259" s="29" t="str">
        <f>IFERROR(IF(SUMIFS(tblDaily[Deaths],tblDaily[EntryDate],DATE(2026,7,19),tblDaily[WardCode],"FW")=0,"",SUMIFS(tblDaily[Deaths],tblDaily[EntryDate],DATE(2026,7,19),tblDaily[WardCode],"FW")),"")</f>
        <v/>
      </c>
      <c r="E259" s="29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29" t="str">
        <f>IFERROR(IF(SUMIFS(tblDaily[TransfersIn],tblDaily[EntryDate],DATE(2026,7,19),tblDaily[WardCode],"FW")=0,"",SUMIFS(tblDaily[TransfersIn],tblDaily[EntryDate],DATE(2026,7,19),tblDaily[WardCode],"FW")),"")</f>
        <v/>
      </c>
      <c r="G259" s="29" t="str">
        <f>IFERROR(IF(SUMIFS(tblDaily[TransfersOut],tblDaily[EntryDate],DATE(2026,7,19),tblDaily[WardCode],"FW")=0,"",SUMIFS(tblDaily[TransfersOut],tblDaily[EntryDate],DATE(2026,7,19),tblDaily[WardCode],"FW")),"")</f>
        <v/>
      </c>
      <c r="H259" s="29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IFERROR(IF(SUMIFS(tblDaily[Admissions],tblDaily[EntryDate],DATE(2026,7,20),tblDaily[WardCode],"FW")=0,"",SUMIFS(tblDaily[Admissions],tblDaily[EntryDate],DATE(2026,7,20),tblDaily[WardCode],"FW")),"")</f>
        <v/>
      </c>
      <c r="C260" s="29" t="str">
        <f>IFERROR(IF(SUMIFS(tblDaily[Discharges],tblDaily[EntryDate],DATE(2026,7,20),tblDaily[WardCode],"FW")=0,"",SUMIFS(tblDaily[Discharges],tblDaily[EntryDate],DATE(2026,7,20),tblDaily[WardCode],"FW")),"")</f>
        <v/>
      </c>
      <c r="D260" s="29" t="str">
        <f>IFERROR(IF(SUMIFS(tblDaily[Deaths],tblDaily[EntryDate],DATE(2026,7,20),tblDaily[WardCode],"FW")=0,"",SUMIFS(tblDaily[Deaths],tblDaily[EntryDate],DATE(2026,7,20),tblDaily[WardCode],"FW")),"")</f>
        <v/>
      </c>
      <c r="E260" s="29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29" t="str">
        <f>IFERROR(IF(SUMIFS(tblDaily[TransfersIn],tblDaily[EntryDate],DATE(2026,7,20),tblDaily[WardCode],"FW")=0,"",SUMIFS(tblDaily[TransfersIn],tblDaily[EntryDate],DATE(2026,7,20),tblDaily[WardCode],"FW")),"")</f>
        <v/>
      </c>
      <c r="G260" s="29" t="str">
        <f>IFERROR(IF(SUMIFS(tblDaily[TransfersOut],tblDaily[EntryDate],DATE(2026,7,20),tblDaily[WardCode],"FW")=0,"",SUMIFS(tblDaily[TransfersOut],tblDaily[EntryDate],DATE(2026,7,20),tblDaily[WardCode],"FW")),"")</f>
        <v/>
      </c>
      <c r="H260" s="29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IFERROR(IF(SUMIFS(tblDaily[Admissions],tblDaily[EntryDate],DATE(2026,7,21),tblDaily[WardCode],"FW")=0,"",SUMIFS(tblDaily[Admissions],tblDaily[EntryDate],DATE(2026,7,21),tblDaily[WardCode],"FW")),"")</f>
        <v/>
      </c>
      <c r="C261" s="29" t="str">
        <f>IFERROR(IF(SUMIFS(tblDaily[Discharges],tblDaily[EntryDate],DATE(2026,7,21),tblDaily[WardCode],"FW")=0,"",SUMIFS(tblDaily[Discharges],tblDaily[EntryDate],DATE(2026,7,21),tblDaily[WardCode],"FW")),"")</f>
        <v/>
      </c>
      <c r="D261" s="29" t="str">
        <f>IFERROR(IF(SUMIFS(tblDaily[Deaths],tblDaily[EntryDate],DATE(2026,7,21),tblDaily[WardCode],"FW")=0,"",SUMIFS(tblDaily[Deaths],tblDaily[EntryDate],DATE(2026,7,21),tblDaily[WardCode],"FW")),"")</f>
        <v/>
      </c>
      <c r="E261" s="29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29" t="str">
        <f>IFERROR(IF(SUMIFS(tblDaily[TransfersIn],tblDaily[EntryDate],DATE(2026,7,21),tblDaily[WardCode],"FW")=0,"",SUMIFS(tblDaily[TransfersIn],tblDaily[EntryDate],DATE(2026,7,21),tblDaily[WardCode],"FW")),"")</f>
        <v/>
      </c>
      <c r="G261" s="29" t="str">
        <f>IFERROR(IF(SUMIFS(tblDaily[TransfersOut],tblDaily[EntryDate],DATE(2026,7,21),tblDaily[WardCode],"FW")=0,"",SUMIFS(tblDaily[TransfersOut],tblDaily[EntryDate],DATE(2026,7,21),tblDaily[WardCode],"FW")),"")</f>
        <v/>
      </c>
      <c r="H261" s="29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IFERROR(IF(SUMIFS(tblDaily[Admissions],tblDaily[EntryDate],DATE(2026,7,22),tblDaily[WardCode],"FW")=0,"",SUMIFS(tblDaily[Admissions],tblDaily[EntryDate],DATE(2026,7,22),tblDaily[WardCode],"FW")),"")</f>
        <v/>
      </c>
      <c r="C262" s="29" t="str">
        <f>IFERROR(IF(SUMIFS(tblDaily[Discharges],tblDaily[EntryDate],DATE(2026,7,22),tblDaily[WardCode],"FW")=0,"",SUMIFS(tblDaily[Discharges],tblDaily[EntryDate],DATE(2026,7,22),tblDaily[WardCode],"FW")),"")</f>
        <v/>
      </c>
      <c r="D262" s="29" t="str">
        <f>IFERROR(IF(SUMIFS(tblDaily[Deaths],tblDaily[EntryDate],DATE(2026,7,22),tblDaily[WardCode],"FW")=0,"",SUMIFS(tblDaily[Deaths],tblDaily[EntryDate],DATE(2026,7,22),tblDaily[WardCode],"FW")),"")</f>
        <v/>
      </c>
      <c r="E262" s="29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29" t="str">
        <f>IFERROR(IF(SUMIFS(tblDaily[TransfersIn],tblDaily[EntryDate],DATE(2026,7,22),tblDaily[WardCode],"FW")=0,"",SUMIFS(tblDaily[TransfersIn],tblDaily[EntryDate],DATE(2026,7,22),tblDaily[WardCode],"FW")),"")</f>
        <v/>
      </c>
      <c r="G262" s="29" t="str">
        <f>IFERROR(IF(SUMIFS(tblDaily[TransfersOut],tblDaily[EntryDate],DATE(2026,7,22),tblDaily[WardCode],"FW")=0,"",SUMIFS(tblDaily[TransfersOut],tblDaily[EntryDate],DATE(2026,7,22),tblDaily[WardCode],"FW")),"")</f>
        <v/>
      </c>
      <c r="H262" s="29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IFERROR(IF(SUMIFS(tblDaily[Admissions],tblDaily[EntryDate],DATE(2026,7,23),tblDaily[WardCode],"FW")=0,"",SUMIFS(tblDaily[Admissions],tblDaily[EntryDate],DATE(2026,7,23),tblDaily[WardCode],"FW")),"")</f>
        <v/>
      </c>
      <c r="C263" s="29" t="str">
        <f>IFERROR(IF(SUMIFS(tblDaily[Discharges],tblDaily[EntryDate],DATE(2026,7,23),tblDaily[WardCode],"FW")=0,"",SUMIFS(tblDaily[Discharges],tblDaily[EntryDate],DATE(2026,7,23),tblDaily[WardCode],"FW")),"")</f>
        <v/>
      </c>
      <c r="D263" s="29" t="str">
        <f>IFERROR(IF(SUMIFS(tblDaily[Deaths],tblDaily[EntryDate],DATE(2026,7,23),tblDaily[WardCode],"FW")=0,"",SUMIFS(tblDaily[Deaths],tblDaily[EntryDate],DATE(2026,7,23),tblDaily[WardCode],"FW")),"")</f>
        <v/>
      </c>
      <c r="E263" s="29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29" t="str">
        <f>IFERROR(IF(SUMIFS(tblDaily[TransfersIn],tblDaily[EntryDate],DATE(2026,7,23),tblDaily[WardCode],"FW")=0,"",SUMIFS(tblDaily[TransfersIn],tblDaily[EntryDate],DATE(2026,7,23),tblDaily[WardCode],"FW")),"")</f>
        <v/>
      </c>
      <c r="G263" s="29" t="str">
        <f>IFERROR(IF(SUMIFS(tblDaily[TransfersOut],tblDaily[EntryDate],DATE(2026,7,23),tblDaily[WardCode],"FW")=0,"",SUMIFS(tblDaily[TransfersOut],tblDaily[EntryDate],DATE(2026,7,23),tblDaily[WardCode],"FW")),"")</f>
        <v/>
      </c>
      <c r="H263" s="29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IFERROR(IF(SUMIFS(tblDaily[Admissions],tblDaily[EntryDate],DATE(2026,7,24),tblDaily[WardCode],"FW")=0,"",SUMIFS(tblDaily[Admissions],tblDaily[EntryDate],DATE(2026,7,24),tblDaily[WardCode],"FW")),"")</f>
        <v/>
      </c>
      <c r="C264" s="29" t="str">
        <f>IFERROR(IF(SUMIFS(tblDaily[Discharges],tblDaily[EntryDate],DATE(2026,7,24),tblDaily[WardCode],"FW")=0,"",SUMIFS(tblDaily[Discharges],tblDaily[EntryDate],DATE(2026,7,24),tblDaily[WardCode],"FW")),"")</f>
        <v/>
      </c>
      <c r="D264" s="29" t="str">
        <f>IFERROR(IF(SUMIFS(tblDaily[Deaths],tblDaily[EntryDate],DATE(2026,7,24),tblDaily[WardCode],"FW")=0,"",SUMIFS(tblDaily[Deaths],tblDaily[EntryDate],DATE(2026,7,24),tblDaily[WardCode],"FW")),"")</f>
        <v/>
      </c>
      <c r="E264" s="29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29" t="str">
        <f>IFERROR(IF(SUMIFS(tblDaily[TransfersIn],tblDaily[EntryDate],DATE(2026,7,24),tblDaily[WardCode],"FW")=0,"",SUMIFS(tblDaily[TransfersIn],tblDaily[EntryDate],DATE(2026,7,24),tblDaily[WardCode],"FW")),"")</f>
        <v/>
      </c>
      <c r="G264" s="29" t="str">
        <f>IFERROR(IF(SUMIFS(tblDaily[TransfersOut],tblDaily[EntryDate],DATE(2026,7,24),tblDaily[WardCode],"FW")=0,"",SUMIFS(tblDaily[TransfersOut],tblDaily[EntryDate],DATE(2026,7,24),tblDaily[WardCode],"FW")),"")</f>
        <v/>
      </c>
      <c r="H264" s="29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IFERROR(IF(SUMIFS(tblDaily[Admissions],tblDaily[EntryDate],DATE(2026,7,25),tblDaily[WardCode],"FW")=0,"",SUMIFS(tblDaily[Admissions],tblDaily[EntryDate],DATE(2026,7,25),tblDaily[WardCode],"FW")),"")</f>
        <v/>
      </c>
      <c r="C265" s="29" t="str">
        <f>IFERROR(IF(SUMIFS(tblDaily[Discharges],tblDaily[EntryDate],DATE(2026,7,25),tblDaily[WardCode],"FW")=0,"",SUMIFS(tblDaily[Discharges],tblDaily[EntryDate],DATE(2026,7,25),tblDaily[WardCode],"FW")),"")</f>
        <v/>
      </c>
      <c r="D265" s="29" t="str">
        <f>IFERROR(IF(SUMIFS(tblDaily[Deaths],tblDaily[EntryDate],DATE(2026,7,25),tblDaily[WardCode],"FW")=0,"",SUMIFS(tblDaily[Deaths],tblDaily[EntryDate],DATE(2026,7,25),tblDaily[WardCode],"FW")),"")</f>
        <v/>
      </c>
      <c r="E265" s="29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29" t="str">
        <f>IFERROR(IF(SUMIFS(tblDaily[TransfersIn],tblDaily[EntryDate],DATE(2026,7,25),tblDaily[WardCode],"FW")=0,"",SUMIFS(tblDaily[TransfersIn],tblDaily[EntryDate],DATE(2026,7,25),tblDaily[WardCode],"FW")),"")</f>
        <v/>
      </c>
      <c r="G265" s="29" t="str">
        <f>IFERROR(IF(SUMIFS(tblDaily[TransfersOut],tblDaily[EntryDate],DATE(2026,7,25),tblDaily[WardCode],"FW")=0,"",SUMIFS(tblDaily[TransfersOut],tblDaily[EntryDate],DATE(2026,7,25),tblDaily[WardCode],"FW")),"")</f>
        <v/>
      </c>
      <c r="H265" s="29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IFERROR(IF(SUMIFS(tblDaily[Admissions],tblDaily[EntryDate],DATE(2026,7,26),tblDaily[WardCode],"FW")=0,"",SUMIFS(tblDaily[Admissions],tblDaily[EntryDate],DATE(2026,7,26),tblDaily[WardCode],"FW")),"")</f>
        <v/>
      </c>
      <c r="C266" s="29" t="str">
        <f>IFERROR(IF(SUMIFS(tblDaily[Discharges],tblDaily[EntryDate],DATE(2026,7,26),tblDaily[WardCode],"FW")=0,"",SUMIFS(tblDaily[Discharges],tblDaily[EntryDate],DATE(2026,7,26),tblDaily[WardCode],"FW")),"")</f>
        <v/>
      </c>
      <c r="D266" s="29" t="str">
        <f>IFERROR(IF(SUMIFS(tblDaily[Deaths],tblDaily[EntryDate],DATE(2026,7,26),tblDaily[WardCode],"FW")=0,"",SUMIFS(tblDaily[Deaths],tblDaily[EntryDate],DATE(2026,7,26),tblDaily[WardCode],"FW")),"")</f>
        <v/>
      </c>
      <c r="E266" s="29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29" t="str">
        <f>IFERROR(IF(SUMIFS(tblDaily[TransfersIn],tblDaily[EntryDate],DATE(2026,7,26),tblDaily[WardCode],"FW")=0,"",SUMIFS(tblDaily[TransfersIn],tblDaily[EntryDate],DATE(2026,7,26),tblDaily[WardCode],"FW")),"")</f>
        <v/>
      </c>
      <c r="G266" s="29" t="str">
        <f>IFERROR(IF(SUMIFS(tblDaily[TransfersOut],tblDaily[EntryDate],DATE(2026,7,26),tblDaily[WardCode],"FW")=0,"",SUMIFS(tblDaily[TransfersOut],tblDaily[EntryDate],DATE(2026,7,26),tblDaily[WardCode],"FW")),"")</f>
        <v/>
      </c>
      <c r="H266" s="29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IFERROR(IF(SUMIFS(tblDaily[Admissions],tblDaily[EntryDate],DATE(2026,7,27),tblDaily[WardCode],"FW")=0,"",SUMIFS(tblDaily[Admissions],tblDaily[EntryDate],DATE(2026,7,27),tblDaily[WardCode],"FW")),"")</f>
        <v/>
      </c>
      <c r="C267" s="29" t="str">
        <f>IFERROR(IF(SUMIFS(tblDaily[Discharges],tblDaily[EntryDate],DATE(2026,7,27),tblDaily[WardCode],"FW")=0,"",SUMIFS(tblDaily[Discharges],tblDaily[EntryDate],DATE(2026,7,27),tblDaily[WardCode],"FW")),"")</f>
        <v/>
      </c>
      <c r="D267" s="29" t="str">
        <f>IFERROR(IF(SUMIFS(tblDaily[Deaths],tblDaily[EntryDate],DATE(2026,7,27),tblDaily[WardCode],"FW")=0,"",SUMIFS(tblDaily[Deaths],tblDaily[EntryDate],DATE(2026,7,27),tblDaily[WardCode],"FW")),"")</f>
        <v/>
      </c>
      <c r="E267" s="29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29" t="str">
        <f>IFERROR(IF(SUMIFS(tblDaily[TransfersIn],tblDaily[EntryDate],DATE(2026,7,27),tblDaily[WardCode],"FW")=0,"",SUMIFS(tblDaily[TransfersIn],tblDaily[EntryDate],DATE(2026,7,27),tblDaily[WardCode],"FW")),"")</f>
        <v/>
      </c>
      <c r="G267" s="29" t="str">
        <f>IFERROR(IF(SUMIFS(tblDaily[TransfersOut],tblDaily[EntryDate],DATE(2026,7,27),tblDaily[WardCode],"FW")=0,"",SUMIFS(tblDaily[TransfersOut],tblDaily[EntryDate],DATE(2026,7,27),tblDaily[WardCode],"FW")),"")</f>
        <v/>
      </c>
      <c r="H267" s="29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IFERROR(IF(SUMIFS(tblDaily[Admissions],tblDaily[EntryDate],DATE(2026,7,28),tblDaily[WardCode],"FW")=0,"",SUMIFS(tblDaily[Admissions],tblDaily[EntryDate],DATE(2026,7,28),tblDaily[WardCode],"FW")),"")</f>
        <v/>
      </c>
      <c r="C268" s="29" t="str">
        <f>IFERROR(IF(SUMIFS(tblDaily[Discharges],tblDaily[EntryDate],DATE(2026,7,28),tblDaily[WardCode],"FW")=0,"",SUMIFS(tblDaily[Discharges],tblDaily[EntryDate],DATE(2026,7,28),tblDaily[WardCode],"FW")),"")</f>
        <v/>
      </c>
      <c r="D268" s="29" t="str">
        <f>IFERROR(IF(SUMIFS(tblDaily[Deaths],tblDaily[EntryDate],DATE(2026,7,28),tblDaily[WardCode],"FW")=0,"",SUMIFS(tblDaily[Deaths],tblDaily[EntryDate],DATE(2026,7,28),tblDaily[WardCode],"FW")),"")</f>
        <v/>
      </c>
      <c r="E268" s="29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29" t="str">
        <f>IFERROR(IF(SUMIFS(tblDaily[TransfersIn],tblDaily[EntryDate],DATE(2026,7,28),tblDaily[WardCode],"FW")=0,"",SUMIFS(tblDaily[TransfersIn],tblDaily[EntryDate],DATE(2026,7,28),tblDaily[WardCode],"FW")),"")</f>
        <v/>
      </c>
      <c r="G268" s="29" t="str">
        <f>IFERROR(IF(SUMIFS(tblDaily[TransfersOut],tblDaily[EntryDate],DATE(2026,7,28),tblDaily[WardCode],"FW")=0,"",SUMIFS(tblDaily[TransfersOut],tblDaily[EntryDate],DATE(2026,7,28),tblDaily[WardCode],"FW")),"")</f>
        <v/>
      </c>
      <c r="H268" s="29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IFERROR(IF(SUMIFS(tblDaily[Admissions],tblDaily[EntryDate],DATE(2026,7,29),tblDaily[WardCode],"FW")=0,"",SUMIFS(tblDaily[Admissions],tblDaily[EntryDate],DATE(2026,7,29),tblDaily[WardCode],"FW")),"")</f>
        <v/>
      </c>
      <c r="C269" s="29" t="str">
        <f>IFERROR(IF(SUMIFS(tblDaily[Discharges],tblDaily[EntryDate],DATE(2026,7,29),tblDaily[WardCode],"FW")=0,"",SUMIFS(tblDaily[Discharges],tblDaily[EntryDate],DATE(2026,7,29),tblDaily[WardCode],"FW")),"")</f>
        <v/>
      </c>
      <c r="D269" s="29" t="str">
        <f>IFERROR(IF(SUMIFS(tblDaily[Deaths],tblDaily[EntryDate],DATE(2026,7,29),tblDaily[WardCode],"FW")=0,"",SUMIFS(tblDaily[Deaths],tblDaily[EntryDate],DATE(2026,7,29),tblDaily[WardCode],"FW")),"")</f>
        <v/>
      </c>
      <c r="E269" s="29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29" t="str">
        <f>IFERROR(IF(SUMIFS(tblDaily[TransfersIn],tblDaily[EntryDate],DATE(2026,7,29),tblDaily[WardCode],"FW")=0,"",SUMIFS(tblDaily[TransfersIn],tblDaily[EntryDate],DATE(2026,7,29),tblDaily[WardCode],"FW")),"")</f>
        <v/>
      </c>
      <c r="G269" s="29" t="str">
        <f>IFERROR(IF(SUMIFS(tblDaily[TransfersOut],tblDaily[EntryDate],DATE(2026,7,29),tblDaily[WardCode],"FW")=0,"",SUMIFS(tblDaily[TransfersOut],tblDaily[EntryDate],DATE(2026,7,29),tblDaily[WardCode],"FW")),"")</f>
        <v/>
      </c>
      <c r="H269" s="29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IFERROR(IF(SUMIFS(tblDaily[Admissions],tblDaily[EntryDate],DATE(2026,7,30),tblDaily[WardCode],"FW")=0,"",SUMIFS(tblDaily[Admissions],tblDaily[EntryDate],DATE(2026,7,30),tblDaily[WardCode],"FW")),"")</f>
        <v/>
      </c>
      <c r="C270" s="29" t="str">
        <f>IFERROR(IF(SUMIFS(tblDaily[Discharges],tblDaily[EntryDate],DATE(2026,7,30),tblDaily[WardCode],"FW")=0,"",SUMIFS(tblDaily[Discharges],tblDaily[EntryDate],DATE(2026,7,30),tblDaily[WardCode],"FW")),"")</f>
        <v/>
      </c>
      <c r="D270" s="29" t="str">
        <f>IFERROR(IF(SUMIFS(tblDaily[Deaths],tblDaily[EntryDate],DATE(2026,7,30),tblDaily[WardCode],"FW")=0,"",SUMIFS(tblDaily[Deaths],tblDaily[EntryDate],DATE(2026,7,30),tblDaily[WardCode],"FW")),"")</f>
        <v/>
      </c>
      <c r="E270" s="29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29" t="str">
        <f>IFERROR(IF(SUMIFS(tblDaily[TransfersIn],tblDaily[EntryDate],DATE(2026,7,30),tblDaily[WardCode],"FW")=0,"",SUMIFS(tblDaily[TransfersIn],tblDaily[EntryDate],DATE(2026,7,30),tblDaily[WardCode],"FW")),"")</f>
        <v/>
      </c>
      <c r="G270" s="29" t="str">
        <f>IFERROR(IF(SUMIFS(tblDaily[TransfersOut],tblDaily[EntryDate],DATE(2026,7,30),tblDaily[WardCode],"FW")=0,"",SUMIFS(tblDaily[TransfersOut],tblDaily[EntryDate],DATE(2026,7,30),tblDaily[WardCode],"FW")),"")</f>
        <v/>
      </c>
      <c r="H270" s="29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IFERROR(IF(SUMIFS(tblDaily[Admissions],tblDaily[EntryDate],DATE(2026,7,31),tblDaily[WardCode],"FW")=0,"",SUMIFS(tblDaily[Admissions],tblDaily[EntryDate],DATE(2026,7,31),tblDaily[WardCode],"FW")),"")</f>
        <v/>
      </c>
      <c r="C271" s="29" t="str">
        <f>IFERROR(IF(SUMIFS(tblDaily[Discharges],tblDaily[EntryDate],DATE(2026,7,31),tblDaily[WardCode],"FW")=0,"",SUMIFS(tblDaily[Discharges],tblDaily[EntryDate],DATE(2026,7,31),tblDaily[WardCode],"FW")),"")</f>
        <v/>
      </c>
      <c r="D271" s="29" t="str">
        <f>IFERROR(IF(SUMIFS(tblDaily[Deaths],tblDaily[EntryDate],DATE(2026,7,31),tblDaily[WardCode],"FW")=0,"",SUMIFS(tblDaily[Deaths],tblDaily[EntryDate],DATE(2026,7,31),tblDaily[WardCode],"FW")),"")</f>
        <v/>
      </c>
      <c r="E271" s="29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29" t="str">
        <f>IFERROR(IF(SUMIFS(tblDaily[TransfersIn],tblDaily[EntryDate],DATE(2026,7,31),tblDaily[WardCode],"FW")=0,"",SUMIFS(tblDaily[TransfersIn],tblDaily[EntryDate],DATE(2026,7,31),tblDaily[WardCode],"FW")),"")</f>
        <v/>
      </c>
      <c r="G271" s="29" t="str">
        <f>IFERROR(IF(SUMIFS(tblDaily[TransfersOut],tblDaily[EntryDate],DATE(2026,7,31),tblDaily[WardCode],"FW")=0,"",SUMIFS(tblDaily[TransfersOut],tblDaily[EntryDate],DATE(2026,7,31),tblDaily[WardCode],"FW")),"")</f>
        <v/>
      </c>
      <c r="H271" s="29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30" t="s">
        <v>115</v>
      </c>
      <c r="B272" s="30">
        <f>SUMIFS(tblDaily[Admissions],tblDaily[Month],7,tblDaily[WardCode],"FW") - SUMIFS(tblDaily[DeathsUnder24Hrs],tblDaily[Month],7,tblDaily[WardCode],"FW")</f>
        <v>0</v>
      </c>
      <c r="C272" s="30">
        <f>SUMIFS(tblDaily[Discharges],tblDaily[Month],7,tblDaily[WardCode],"FW")</f>
        <v>0</v>
      </c>
      <c r="D272" s="30">
        <f>SUMIFS(tblDaily[Deaths],tblDaily[Month],7,tblDaily[WardCode],"FW")</f>
        <v>0</v>
      </c>
      <c r="E272" s="30">
        <f>SUMIFS(tblDaily[DeathsUnder24Hrs],tblDaily[Month],7,tblDaily[WardCode],"FW")</f>
        <v>0</v>
      </c>
      <c r="F272" s="30">
        <f>SUMIFS(tblDaily[TransfersIn],tblDaily[Month],7,tblDaily[WardCode],"FW")</f>
        <v>0</v>
      </c>
      <c r="G272" s="30">
        <f>SUMIFS(tblDaily[TransfersOut],tblDaily[Month],7,tblDaily[WardCode],"FW")</f>
        <v>0</v>
      </c>
      <c r="H272" s="30">
        <f>SUMIFS(tblDaily[Remaining],tblDaily[Month],7,tblDaily[WardCode],"FW")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116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IFERROR(SUMIFS(tblDaily[Remaining],tblDaily[EntryDate],DATE(2026,7,31),tblDaily[WardCode],"FW"),0)</f>
        <v>0</v>
      </c>
    </row>
    <row r="278" spans="1:8" x14ac:dyDescent="0.25">
      <c r="A278" s="24" t="s">
        <v>109</v>
      </c>
      <c r="H278" s="27">
        <f>IFERROR(INDEX(tblWardConfig[BedComplement],MATCH("FW",tblWardConfig[WardCode],0)),0)</f>
        <v>28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IFERROR(IF(SUMIFS(tblDaily[Admissions],tblDaily[EntryDate],DATE(2026,8,1),tblDaily[WardCode],"FW")=0,"",SUMIFS(tblDaily[Admissions],tblDaily[EntryDate],DATE(2026,8,1),tblDaily[WardCode],"FW")),"")</f>
        <v/>
      </c>
      <c r="C280" s="29" t="str">
        <f>IFERROR(IF(SUMIFS(tblDaily[Discharges],tblDaily[EntryDate],DATE(2026,8,1),tblDaily[WardCode],"FW")=0,"",SUMIFS(tblDaily[Discharges],tblDaily[EntryDate],DATE(2026,8,1),tblDaily[WardCode],"FW")),"")</f>
        <v/>
      </c>
      <c r="D280" s="29" t="str">
        <f>IFERROR(IF(SUMIFS(tblDaily[Deaths],tblDaily[EntryDate],DATE(2026,8,1),tblDaily[WardCode],"FW")=0,"",SUMIFS(tblDaily[Deaths],tblDaily[EntryDate],DATE(2026,8,1),tblDaily[WardCode],"FW")),"")</f>
        <v/>
      </c>
      <c r="E280" s="29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29" t="str">
        <f>IFERROR(IF(SUMIFS(tblDaily[TransfersIn],tblDaily[EntryDate],DATE(2026,8,1),tblDaily[WardCode],"FW")=0,"",SUMIFS(tblDaily[TransfersIn],tblDaily[EntryDate],DATE(2026,8,1),tblDaily[WardCode],"FW")),"")</f>
        <v/>
      </c>
      <c r="G280" s="29" t="str">
        <f>IFERROR(IF(SUMIFS(tblDaily[TransfersOut],tblDaily[EntryDate],DATE(2026,8,1),tblDaily[WardCode],"FW")=0,"",SUMIFS(tblDaily[TransfersOut],tblDaily[EntryDate],DATE(2026,8,1),tblDaily[WardCode],"FW")),"")</f>
        <v/>
      </c>
      <c r="H280" s="29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IFERROR(IF(SUMIFS(tblDaily[Admissions],tblDaily[EntryDate],DATE(2026,8,2),tblDaily[WardCode],"FW")=0,"",SUMIFS(tblDaily[Admissions],tblDaily[EntryDate],DATE(2026,8,2),tblDaily[WardCode],"FW")),"")</f>
        <v/>
      </c>
      <c r="C281" s="29" t="str">
        <f>IFERROR(IF(SUMIFS(tblDaily[Discharges],tblDaily[EntryDate],DATE(2026,8,2),tblDaily[WardCode],"FW")=0,"",SUMIFS(tblDaily[Discharges],tblDaily[EntryDate],DATE(2026,8,2),tblDaily[WardCode],"FW")),"")</f>
        <v/>
      </c>
      <c r="D281" s="29" t="str">
        <f>IFERROR(IF(SUMIFS(tblDaily[Deaths],tblDaily[EntryDate],DATE(2026,8,2),tblDaily[WardCode],"FW")=0,"",SUMIFS(tblDaily[Deaths],tblDaily[EntryDate],DATE(2026,8,2),tblDaily[WardCode],"FW")),"")</f>
        <v/>
      </c>
      <c r="E281" s="29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29" t="str">
        <f>IFERROR(IF(SUMIFS(tblDaily[TransfersIn],tblDaily[EntryDate],DATE(2026,8,2),tblDaily[WardCode],"FW")=0,"",SUMIFS(tblDaily[TransfersIn],tblDaily[EntryDate],DATE(2026,8,2),tblDaily[WardCode],"FW")),"")</f>
        <v/>
      </c>
      <c r="G281" s="29" t="str">
        <f>IFERROR(IF(SUMIFS(tblDaily[TransfersOut],tblDaily[EntryDate],DATE(2026,8,2),tblDaily[WardCode],"FW")=0,"",SUMIFS(tblDaily[TransfersOut],tblDaily[EntryDate],DATE(2026,8,2),tblDaily[WardCode],"FW")),"")</f>
        <v/>
      </c>
      <c r="H281" s="29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IFERROR(IF(SUMIFS(tblDaily[Admissions],tblDaily[EntryDate],DATE(2026,8,3),tblDaily[WardCode],"FW")=0,"",SUMIFS(tblDaily[Admissions],tblDaily[EntryDate],DATE(2026,8,3),tblDaily[WardCode],"FW")),"")</f>
        <v/>
      </c>
      <c r="C282" s="29" t="str">
        <f>IFERROR(IF(SUMIFS(tblDaily[Discharges],tblDaily[EntryDate],DATE(2026,8,3),tblDaily[WardCode],"FW")=0,"",SUMIFS(tblDaily[Discharges],tblDaily[EntryDate],DATE(2026,8,3),tblDaily[WardCode],"FW")),"")</f>
        <v/>
      </c>
      <c r="D282" s="29" t="str">
        <f>IFERROR(IF(SUMIFS(tblDaily[Deaths],tblDaily[EntryDate],DATE(2026,8,3),tblDaily[WardCode],"FW")=0,"",SUMIFS(tblDaily[Deaths],tblDaily[EntryDate],DATE(2026,8,3),tblDaily[WardCode],"FW")),"")</f>
        <v/>
      </c>
      <c r="E282" s="29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29" t="str">
        <f>IFERROR(IF(SUMIFS(tblDaily[TransfersIn],tblDaily[EntryDate],DATE(2026,8,3),tblDaily[WardCode],"FW")=0,"",SUMIFS(tblDaily[TransfersIn],tblDaily[EntryDate],DATE(2026,8,3),tblDaily[WardCode],"FW")),"")</f>
        <v/>
      </c>
      <c r="G282" s="29" t="str">
        <f>IFERROR(IF(SUMIFS(tblDaily[TransfersOut],tblDaily[EntryDate],DATE(2026,8,3),tblDaily[WardCode],"FW")=0,"",SUMIFS(tblDaily[TransfersOut],tblDaily[EntryDate],DATE(2026,8,3),tblDaily[WardCode],"FW")),"")</f>
        <v/>
      </c>
      <c r="H282" s="29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IFERROR(IF(SUMIFS(tblDaily[Admissions],tblDaily[EntryDate],DATE(2026,8,4),tblDaily[WardCode],"FW")=0,"",SUMIFS(tblDaily[Admissions],tblDaily[EntryDate],DATE(2026,8,4),tblDaily[WardCode],"FW")),"")</f>
        <v/>
      </c>
      <c r="C283" s="29" t="str">
        <f>IFERROR(IF(SUMIFS(tblDaily[Discharges],tblDaily[EntryDate],DATE(2026,8,4),tblDaily[WardCode],"FW")=0,"",SUMIFS(tblDaily[Discharges],tblDaily[EntryDate],DATE(2026,8,4),tblDaily[WardCode],"FW")),"")</f>
        <v/>
      </c>
      <c r="D283" s="29" t="str">
        <f>IFERROR(IF(SUMIFS(tblDaily[Deaths],tblDaily[EntryDate],DATE(2026,8,4),tblDaily[WardCode],"FW")=0,"",SUMIFS(tblDaily[Deaths],tblDaily[EntryDate],DATE(2026,8,4),tblDaily[WardCode],"FW")),"")</f>
        <v/>
      </c>
      <c r="E283" s="29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29" t="str">
        <f>IFERROR(IF(SUMIFS(tblDaily[TransfersIn],tblDaily[EntryDate],DATE(2026,8,4),tblDaily[WardCode],"FW")=0,"",SUMIFS(tblDaily[TransfersIn],tblDaily[EntryDate],DATE(2026,8,4),tblDaily[WardCode],"FW")),"")</f>
        <v/>
      </c>
      <c r="G283" s="29" t="str">
        <f>IFERROR(IF(SUMIFS(tblDaily[TransfersOut],tblDaily[EntryDate],DATE(2026,8,4),tblDaily[WardCode],"FW")=0,"",SUMIFS(tblDaily[TransfersOut],tblDaily[EntryDate],DATE(2026,8,4),tblDaily[WardCode],"FW")),"")</f>
        <v/>
      </c>
      <c r="H283" s="29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IFERROR(IF(SUMIFS(tblDaily[Admissions],tblDaily[EntryDate],DATE(2026,8,5),tblDaily[WardCode],"FW")=0,"",SUMIFS(tblDaily[Admissions],tblDaily[EntryDate],DATE(2026,8,5),tblDaily[WardCode],"FW")),"")</f>
        <v/>
      </c>
      <c r="C284" s="29" t="str">
        <f>IFERROR(IF(SUMIFS(tblDaily[Discharges],tblDaily[EntryDate],DATE(2026,8,5),tblDaily[WardCode],"FW")=0,"",SUMIFS(tblDaily[Discharges],tblDaily[EntryDate],DATE(2026,8,5),tblDaily[WardCode],"FW")),"")</f>
        <v/>
      </c>
      <c r="D284" s="29" t="str">
        <f>IFERROR(IF(SUMIFS(tblDaily[Deaths],tblDaily[EntryDate],DATE(2026,8,5),tblDaily[WardCode],"FW")=0,"",SUMIFS(tblDaily[Deaths],tblDaily[EntryDate],DATE(2026,8,5),tblDaily[WardCode],"FW")),"")</f>
        <v/>
      </c>
      <c r="E284" s="29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29" t="str">
        <f>IFERROR(IF(SUMIFS(tblDaily[TransfersIn],tblDaily[EntryDate],DATE(2026,8,5),tblDaily[WardCode],"FW")=0,"",SUMIFS(tblDaily[TransfersIn],tblDaily[EntryDate],DATE(2026,8,5),tblDaily[WardCode],"FW")),"")</f>
        <v/>
      </c>
      <c r="G284" s="29" t="str">
        <f>IFERROR(IF(SUMIFS(tblDaily[TransfersOut],tblDaily[EntryDate],DATE(2026,8,5),tblDaily[WardCode],"FW")=0,"",SUMIFS(tblDaily[TransfersOut],tblDaily[EntryDate],DATE(2026,8,5),tblDaily[WardCode],"FW")),"")</f>
        <v/>
      </c>
      <c r="H284" s="29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IFERROR(IF(SUMIFS(tblDaily[Admissions],tblDaily[EntryDate],DATE(2026,8,6),tblDaily[WardCode],"FW")=0,"",SUMIFS(tblDaily[Admissions],tblDaily[EntryDate],DATE(2026,8,6),tblDaily[WardCode],"FW")),"")</f>
        <v/>
      </c>
      <c r="C285" s="29" t="str">
        <f>IFERROR(IF(SUMIFS(tblDaily[Discharges],tblDaily[EntryDate],DATE(2026,8,6),tblDaily[WardCode],"FW")=0,"",SUMIFS(tblDaily[Discharges],tblDaily[EntryDate],DATE(2026,8,6),tblDaily[WardCode],"FW")),"")</f>
        <v/>
      </c>
      <c r="D285" s="29" t="str">
        <f>IFERROR(IF(SUMIFS(tblDaily[Deaths],tblDaily[EntryDate],DATE(2026,8,6),tblDaily[WardCode],"FW")=0,"",SUMIFS(tblDaily[Deaths],tblDaily[EntryDate],DATE(2026,8,6),tblDaily[WardCode],"FW")),"")</f>
        <v/>
      </c>
      <c r="E285" s="29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29" t="str">
        <f>IFERROR(IF(SUMIFS(tblDaily[TransfersIn],tblDaily[EntryDate],DATE(2026,8,6),tblDaily[WardCode],"FW")=0,"",SUMIFS(tblDaily[TransfersIn],tblDaily[EntryDate],DATE(2026,8,6),tblDaily[WardCode],"FW")),"")</f>
        <v/>
      </c>
      <c r="G285" s="29" t="str">
        <f>IFERROR(IF(SUMIFS(tblDaily[TransfersOut],tblDaily[EntryDate],DATE(2026,8,6),tblDaily[WardCode],"FW")=0,"",SUMIFS(tblDaily[TransfersOut],tblDaily[EntryDate],DATE(2026,8,6),tblDaily[WardCode],"FW")),"")</f>
        <v/>
      </c>
      <c r="H285" s="29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IFERROR(IF(SUMIFS(tblDaily[Admissions],tblDaily[EntryDate],DATE(2026,8,7),tblDaily[WardCode],"FW")=0,"",SUMIFS(tblDaily[Admissions],tblDaily[EntryDate],DATE(2026,8,7),tblDaily[WardCode],"FW")),"")</f>
        <v/>
      </c>
      <c r="C286" s="29" t="str">
        <f>IFERROR(IF(SUMIFS(tblDaily[Discharges],tblDaily[EntryDate],DATE(2026,8,7),tblDaily[WardCode],"FW")=0,"",SUMIFS(tblDaily[Discharges],tblDaily[EntryDate],DATE(2026,8,7),tblDaily[WardCode],"FW")),"")</f>
        <v/>
      </c>
      <c r="D286" s="29" t="str">
        <f>IFERROR(IF(SUMIFS(tblDaily[Deaths],tblDaily[EntryDate],DATE(2026,8,7),tblDaily[WardCode],"FW")=0,"",SUMIFS(tblDaily[Deaths],tblDaily[EntryDate],DATE(2026,8,7),tblDaily[WardCode],"FW")),"")</f>
        <v/>
      </c>
      <c r="E286" s="29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29" t="str">
        <f>IFERROR(IF(SUMIFS(tblDaily[TransfersIn],tblDaily[EntryDate],DATE(2026,8,7),tblDaily[WardCode],"FW")=0,"",SUMIFS(tblDaily[TransfersIn],tblDaily[EntryDate],DATE(2026,8,7),tblDaily[WardCode],"FW")),"")</f>
        <v/>
      </c>
      <c r="G286" s="29" t="str">
        <f>IFERROR(IF(SUMIFS(tblDaily[TransfersOut],tblDaily[EntryDate],DATE(2026,8,7),tblDaily[WardCode],"FW")=0,"",SUMIFS(tblDaily[TransfersOut],tblDaily[EntryDate],DATE(2026,8,7),tblDaily[WardCode],"FW")),"")</f>
        <v/>
      </c>
      <c r="H286" s="29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IFERROR(IF(SUMIFS(tblDaily[Admissions],tblDaily[EntryDate],DATE(2026,8,8),tblDaily[WardCode],"FW")=0,"",SUMIFS(tblDaily[Admissions],tblDaily[EntryDate],DATE(2026,8,8),tblDaily[WardCode],"FW")),"")</f>
        <v/>
      </c>
      <c r="C287" s="29" t="str">
        <f>IFERROR(IF(SUMIFS(tblDaily[Discharges],tblDaily[EntryDate],DATE(2026,8,8),tblDaily[WardCode],"FW")=0,"",SUMIFS(tblDaily[Discharges],tblDaily[EntryDate],DATE(2026,8,8),tblDaily[WardCode],"FW")),"")</f>
        <v/>
      </c>
      <c r="D287" s="29" t="str">
        <f>IFERROR(IF(SUMIFS(tblDaily[Deaths],tblDaily[EntryDate],DATE(2026,8,8),tblDaily[WardCode],"FW")=0,"",SUMIFS(tblDaily[Deaths],tblDaily[EntryDate],DATE(2026,8,8),tblDaily[WardCode],"FW")),"")</f>
        <v/>
      </c>
      <c r="E287" s="29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29" t="str">
        <f>IFERROR(IF(SUMIFS(tblDaily[TransfersIn],tblDaily[EntryDate],DATE(2026,8,8),tblDaily[WardCode],"FW")=0,"",SUMIFS(tblDaily[TransfersIn],tblDaily[EntryDate],DATE(2026,8,8),tblDaily[WardCode],"FW")),"")</f>
        <v/>
      </c>
      <c r="G287" s="29" t="str">
        <f>IFERROR(IF(SUMIFS(tblDaily[TransfersOut],tblDaily[EntryDate],DATE(2026,8,8),tblDaily[WardCode],"FW")=0,"",SUMIFS(tblDaily[TransfersOut],tblDaily[EntryDate],DATE(2026,8,8),tblDaily[WardCode],"FW")),"")</f>
        <v/>
      </c>
      <c r="H287" s="29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IFERROR(IF(SUMIFS(tblDaily[Admissions],tblDaily[EntryDate],DATE(2026,8,9),tblDaily[WardCode],"FW")=0,"",SUMIFS(tblDaily[Admissions],tblDaily[EntryDate],DATE(2026,8,9),tblDaily[WardCode],"FW")),"")</f>
        <v/>
      </c>
      <c r="C288" s="29" t="str">
        <f>IFERROR(IF(SUMIFS(tblDaily[Discharges],tblDaily[EntryDate],DATE(2026,8,9),tblDaily[WardCode],"FW")=0,"",SUMIFS(tblDaily[Discharges],tblDaily[EntryDate],DATE(2026,8,9),tblDaily[WardCode],"FW")),"")</f>
        <v/>
      </c>
      <c r="D288" s="29" t="str">
        <f>IFERROR(IF(SUMIFS(tblDaily[Deaths],tblDaily[EntryDate],DATE(2026,8,9),tblDaily[WardCode],"FW")=0,"",SUMIFS(tblDaily[Deaths],tblDaily[EntryDate],DATE(2026,8,9),tblDaily[WardCode],"FW")),"")</f>
        <v/>
      </c>
      <c r="E288" s="29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29" t="str">
        <f>IFERROR(IF(SUMIFS(tblDaily[TransfersIn],tblDaily[EntryDate],DATE(2026,8,9),tblDaily[WardCode],"FW")=0,"",SUMIFS(tblDaily[TransfersIn],tblDaily[EntryDate],DATE(2026,8,9),tblDaily[WardCode],"FW")),"")</f>
        <v/>
      </c>
      <c r="G288" s="29" t="str">
        <f>IFERROR(IF(SUMIFS(tblDaily[TransfersOut],tblDaily[EntryDate],DATE(2026,8,9),tblDaily[WardCode],"FW")=0,"",SUMIFS(tblDaily[TransfersOut],tblDaily[EntryDate],DATE(2026,8,9),tblDaily[WardCode],"FW")),"")</f>
        <v/>
      </c>
      <c r="H288" s="29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IFERROR(IF(SUMIFS(tblDaily[Admissions],tblDaily[EntryDate],DATE(2026,8,10),tblDaily[WardCode],"FW")=0,"",SUMIFS(tblDaily[Admissions],tblDaily[EntryDate],DATE(2026,8,10),tblDaily[WardCode],"FW")),"")</f>
        <v/>
      </c>
      <c r="C289" s="29" t="str">
        <f>IFERROR(IF(SUMIFS(tblDaily[Discharges],tblDaily[EntryDate],DATE(2026,8,10),tblDaily[WardCode],"FW")=0,"",SUMIFS(tblDaily[Discharges],tblDaily[EntryDate],DATE(2026,8,10),tblDaily[WardCode],"FW")),"")</f>
        <v/>
      </c>
      <c r="D289" s="29" t="str">
        <f>IFERROR(IF(SUMIFS(tblDaily[Deaths],tblDaily[EntryDate],DATE(2026,8,10),tblDaily[WardCode],"FW")=0,"",SUMIFS(tblDaily[Deaths],tblDaily[EntryDate],DATE(2026,8,10),tblDaily[WardCode],"FW")),"")</f>
        <v/>
      </c>
      <c r="E289" s="29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29" t="str">
        <f>IFERROR(IF(SUMIFS(tblDaily[TransfersIn],tblDaily[EntryDate],DATE(2026,8,10),tblDaily[WardCode],"FW")=0,"",SUMIFS(tblDaily[TransfersIn],tblDaily[EntryDate],DATE(2026,8,10),tblDaily[WardCode],"FW")),"")</f>
        <v/>
      </c>
      <c r="G289" s="29" t="str">
        <f>IFERROR(IF(SUMIFS(tblDaily[TransfersOut],tblDaily[EntryDate],DATE(2026,8,10),tblDaily[WardCode],"FW")=0,"",SUMIFS(tblDaily[TransfersOut],tblDaily[EntryDate],DATE(2026,8,10),tblDaily[WardCode],"FW")),"")</f>
        <v/>
      </c>
      <c r="H289" s="29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IFERROR(IF(SUMIFS(tblDaily[Admissions],tblDaily[EntryDate],DATE(2026,8,11),tblDaily[WardCode],"FW")=0,"",SUMIFS(tblDaily[Admissions],tblDaily[EntryDate],DATE(2026,8,11),tblDaily[WardCode],"FW")),"")</f>
        <v/>
      </c>
      <c r="C290" s="29" t="str">
        <f>IFERROR(IF(SUMIFS(tblDaily[Discharges],tblDaily[EntryDate],DATE(2026,8,11),tblDaily[WardCode],"FW")=0,"",SUMIFS(tblDaily[Discharges],tblDaily[EntryDate],DATE(2026,8,11),tblDaily[WardCode],"FW")),"")</f>
        <v/>
      </c>
      <c r="D290" s="29" t="str">
        <f>IFERROR(IF(SUMIFS(tblDaily[Deaths],tblDaily[EntryDate],DATE(2026,8,11),tblDaily[WardCode],"FW")=0,"",SUMIFS(tblDaily[Deaths],tblDaily[EntryDate],DATE(2026,8,11),tblDaily[WardCode],"FW")),"")</f>
        <v/>
      </c>
      <c r="E290" s="29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29" t="str">
        <f>IFERROR(IF(SUMIFS(tblDaily[TransfersIn],tblDaily[EntryDate],DATE(2026,8,11),tblDaily[WardCode],"FW")=0,"",SUMIFS(tblDaily[TransfersIn],tblDaily[EntryDate],DATE(2026,8,11),tblDaily[WardCode],"FW")),"")</f>
        <v/>
      </c>
      <c r="G290" s="29" t="str">
        <f>IFERROR(IF(SUMIFS(tblDaily[TransfersOut],tblDaily[EntryDate],DATE(2026,8,11),tblDaily[WardCode],"FW")=0,"",SUMIFS(tblDaily[TransfersOut],tblDaily[EntryDate],DATE(2026,8,11),tblDaily[WardCode],"FW")),"")</f>
        <v/>
      </c>
      <c r="H290" s="29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IFERROR(IF(SUMIFS(tblDaily[Admissions],tblDaily[EntryDate],DATE(2026,8,12),tblDaily[WardCode],"FW")=0,"",SUMIFS(tblDaily[Admissions],tblDaily[EntryDate],DATE(2026,8,12),tblDaily[WardCode],"FW")),"")</f>
        <v/>
      </c>
      <c r="C291" s="29" t="str">
        <f>IFERROR(IF(SUMIFS(tblDaily[Discharges],tblDaily[EntryDate],DATE(2026,8,12),tblDaily[WardCode],"FW")=0,"",SUMIFS(tblDaily[Discharges],tblDaily[EntryDate],DATE(2026,8,12),tblDaily[WardCode],"FW")),"")</f>
        <v/>
      </c>
      <c r="D291" s="29" t="str">
        <f>IFERROR(IF(SUMIFS(tblDaily[Deaths],tblDaily[EntryDate],DATE(2026,8,12),tblDaily[WardCode],"FW")=0,"",SUMIFS(tblDaily[Deaths],tblDaily[EntryDate],DATE(2026,8,12),tblDaily[WardCode],"FW")),"")</f>
        <v/>
      </c>
      <c r="E291" s="29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29" t="str">
        <f>IFERROR(IF(SUMIFS(tblDaily[TransfersIn],tblDaily[EntryDate],DATE(2026,8,12),tblDaily[WardCode],"FW")=0,"",SUMIFS(tblDaily[TransfersIn],tblDaily[EntryDate],DATE(2026,8,12),tblDaily[WardCode],"FW")),"")</f>
        <v/>
      </c>
      <c r="G291" s="29" t="str">
        <f>IFERROR(IF(SUMIFS(tblDaily[TransfersOut],tblDaily[EntryDate],DATE(2026,8,12),tblDaily[WardCode],"FW")=0,"",SUMIFS(tblDaily[TransfersOut],tblDaily[EntryDate],DATE(2026,8,12),tblDaily[WardCode],"FW")),"")</f>
        <v/>
      </c>
      <c r="H291" s="29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IFERROR(IF(SUMIFS(tblDaily[Admissions],tblDaily[EntryDate],DATE(2026,8,13),tblDaily[WardCode],"FW")=0,"",SUMIFS(tblDaily[Admissions],tblDaily[EntryDate],DATE(2026,8,13),tblDaily[WardCode],"FW")),"")</f>
        <v/>
      </c>
      <c r="C292" s="29" t="str">
        <f>IFERROR(IF(SUMIFS(tblDaily[Discharges],tblDaily[EntryDate],DATE(2026,8,13),tblDaily[WardCode],"FW")=0,"",SUMIFS(tblDaily[Discharges],tblDaily[EntryDate],DATE(2026,8,13),tblDaily[WardCode],"FW")),"")</f>
        <v/>
      </c>
      <c r="D292" s="29" t="str">
        <f>IFERROR(IF(SUMIFS(tblDaily[Deaths],tblDaily[EntryDate],DATE(2026,8,13),tblDaily[WardCode],"FW")=0,"",SUMIFS(tblDaily[Deaths],tblDaily[EntryDate],DATE(2026,8,13),tblDaily[WardCode],"FW")),"")</f>
        <v/>
      </c>
      <c r="E292" s="29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29" t="str">
        <f>IFERROR(IF(SUMIFS(tblDaily[TransfersIn],tblDaily[EntryDate],DATE(2026,8,13),tblDaily[WardCode],"FW")=0,"",SUMIFS(tblDaily[TransfersIn],tblDaily[EntryDate],DATE(2026,8,13),tblDaily[WardCode],"FW")),"")</f>
        <v/>
      </c>
      <c r="G292" s="29" t="str">
        <f>IFERROR(IF(SUMIFS(tblDaily[TransfersOut],tblDaily[EntryDate],DATE(2026,8,13),tblDaily[WardCode],"FW")=0,"",SUMIFS(tblDaily[TransfersOut],tblDaily[EntryDate],DATE(2026,8,13),tblDaily[WardCode],"FW")),"")</f>
        <v/>
      </c>
      <c r="H292" s="29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IFERROR(IF(SUMIFS(tblDaily[Admissions],tblDaily[EntryDate],DATE(2026,8,14),tblDaily[WardCode],"FW")=0,"",SUMIFS(tblDaily[Admissions],tblDaily[EntryDate],DATE(2026,8,14),tblDaily[WardCode],"FW")),"")</f>
        <v/>
      </c>
      <c r="C293" s="29" t="str">
        <f>IFERROR(IF(SUMIFS(tblDaily[Discharges],tblDaily[EntryDate],DATE(2026,8,14),tblDaily[WardCode],"FW")=0,"",SUMIFS(tblDaily[Discharges],tblDaily[EntryDate],DATE(2026,8,14),tblDaily[WardCode],"FW")),"")</f>
        <v/>
      </c>
      <c r="D293" s="29" t="str">
        <f>IFERROR(IF(SUMIFS(tblDaily[Deaths],tblDaily[EntryDate],DATE(2026,8,14),tblDaily[WardCode],"FW")=0,"",SUMIFS(tblDaily[Deaths],tblDaily[EntryDate],DATE(2026,8,14),tblDaily[WardCode],"FW")),"")</f>
        <v/>
      </c>
      <c r="E293" s="29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29" t="str">
        <f>IFERROR(IF(SUMIFS(tblDaily[TransfersIn],tblDaily[EntryDate],DATE(2026,8,14),tblDaily[WardCode],"FW")=0,"",SUMIFS(tblDaily[TransfersIn],tblDaily[EntryDate],DATE(2026,8,14),tblDaily[WardCode],"FW")),"")</f>
        <v/>
      </c>
      <c r="G293" s="29" t="str">
        <f>IFERROR(IF(SUMIFS(tblDaily[TransfersOut],tblDaily[EntryDate],DATE(2026,8,14),tblDaily[WardCode],"FW")=0,"",SUMIFS(tblDaily[TransfersOut],tblDaily[EntryDate],DATE(2026,8,14),tblDaily[WardCode],"FW")),"")</f>
        <v/>
      </c>
      <c r="H293" s="29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IFERROR(IF(SUMIFS(tblDaily[Admissions],tblDaily[EntryDate],DATE(2026,8,15),tblDaily[WardCode],"FW")=0,"",SUMIFS(tblDaily[Admissions],tblDaily[EntryDate],DATE(2026,8,15),tblDaily[WardCode],"FW")),"")</f>
        <v/>
      </c>
      <c r="C294" s="29" t="str">
        <f>IFERROR(IF(SUMIFS(tblDaily[Discharges],tblDaily[EntryDate],DATE(2026,8,15),tblDaily[WardCode],"FW")=0,"",SUMIFS(tblDaily[Discharges],tblDaily[EntryDate],DATE(2026,8,15),tblDaily[WardCode],"FW")),"")</f>
        <v/>
      </c>
      <c r="D294" s="29" t="str">
        <f>IFERROR(IF(SUMIFS(tblDaily[Deaths],tblDaily[EntryDate],DATE(2026,8,15),tblDaily[WardCode],"FW")=0,"",SUMIFS(tblDaily[Deaths],tblDaily[EntryDate],DATE(2026,8,15),tblDaily[WardCode],"FW")),"")</f>
        <v/>
      </c>
      <c r="E294" s="29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29" t="str">
        <f>IFERROR(IF(SUMIFS(tblDaily[TransfersIn],tblDaily[EntryDate],DATE(2026,8,15),tblDaily[WardCode],"FW")=0,"",SUMIFS(tblDaily[TransfersIn],tblDaily[EntryDate],DATE(2026,8,15),tblDaily[WardCode],"FW")),"")</f>
        <v/>
      </c>
      <c r="G294" s="29" t="str">
        <f>IFERROR(IF(SUMIFS(tblDaily[TransfersOut],tblDaily[EntryDate],DATE(2026,8,15),tblDaily[WardCode],"FW")=0,"",SUMIFS(tblDaily[TransfersOut],tblDaily[EntryDate],DATE(2026,8,15),tblDaily[WardCode],"FW")),"")</f>
        <v/>
      </c>
      <c r="H294" s="29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IFERROR(IF(SUMIFS(tblDaily[Admissions],tblDaily[EntryDate],DATE(2026,8,16),tblDaily[WardCode],"FW")=0,"",SUMIFS(tblDaily[Admissions],tblDaily[EntryDate],DATE(2026,8,16),tblDaily[WardCode],"FW")),"")</f>
        <v/>
      </c>
      <c r="C295" s="29" t="str">
        <f>IFERROR(IF(SUMIFS(tblDaily[Discharges],tblDaily[EntryDate],DATE(2026,8,16),tblDaily[WardCode],"FW")=0,"",SUMIFS(tblDaily[Discharges],tblDaily[EntryDate],DATE(2026,8,16),tblDaily[WardCode],"FW")),"")</f>
        <v/>
      </c>
      <c r="D295" s="29" t="str">
        <f>IFERROR(IF(SUMIFS(tblDaily[Deaths],tblDaily[EntryDate],DATE(2026,8,16),tblDaily[WardCode],"FW")=0,"",SUMIFS(tblDaily[Deaths],tblDaily[EntryDate],DATE(2026,8,16),tblDaily[WardCode],"FW")),"")</f>
        <v/>
      </c>
      <c r="E295" s="29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29" t="str">
        <f>IFERROR(IF(SUMIFS(tblDaily[TransfersIn],tblDaily[EntryDate],DATE(2026,8,16),tblDaily[WardCode],"FW")=0,"",SUMIFS(tblDaily[TransfersIn],tblDaily[EntryDate],DATE(2026,8,16),tblDaily[WardCode],"FW")),"")</f>
        <v/>
      </c>
      <c r="G295" s="29" t="str">
        <f>IFERROR(IF(SUMIFS(tblDaily[TransfersOut],tblDaily[EntryDate],DATE(2026,8,16),tblDaily[WardCode],"FW")=0,"",SUMIFS(tblDaily[TransfersOut],tblDaily[EntryDate],DATE(2026,8,16),tblDaily[WardCode],"FW")),"")</f>
        <v/>
      </c>
      <c r="H295" s="29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IFERROR(IF(SUMIFS(tblDaily[Admissions],tblDaily[EntryDate],DATE(2026,8,17),tblDaily[WardCode],"FW")=0,"",SUMIFS(tblDaily[Admissions],tblDaily[EntryDate],DATE(2026,8,17),tblDaily[WardCode],"FW")),"")</f>
        <v/>
      </c>
      <c r="C296" s="29" t="str">
        <f>IFERROR(IF(SUMIFS(tblDaily[Discharges],tblDaily[EntryDate],DATE(2026,8,17),tblDaily[WardCode],"FW")=0,"",SUMIFS(tblDaily[Discharges],tblDaily[EntryDate],DATE(2026,8,17),tblDaily[WardCode],"FW")),"")</f>
        <v/>
      </c>
      <c r="D296" s="29" t="str">
        <f>IFERROR(IF(SUMIFS(tblDaily[Deaths],tblDaily[EntryDate],DATE(2026,8,17),tblDaily[WardCode],"FW")=0,"",SUMIFS(tblDaily[Deaths],tblDaily[EntryDate],DATE(2026,8,17),tblDaily[WardCode],"FW")),"")</f>
        <v/>
      </c>
      <c r="E296" s="29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29" t="str">
        <f>IFERROR(IF(SUMIFS(tblDaily[TransfersIn],tblDaily[EntryDate],DATE(2026,8,17),tblDaily[WardCode],"FW")=0,"",SUMIFS(tblDaily[TransfersIn],tblDaily[EntryDate],DATE(2026,8,17),tblDaily[WardCode],"FW")),"")</f>
        <v/>
      </c>
      <c r="G296" s="29" t="str">
        <f>IFERROR(IF(SUMIFS(tblDaily[TransfersOut],tblDaily[EntryDate],DATE(2026,8,17),tblDaily[WardCode],"FW")=0,"",SUMIFS(tblDaily[TransfersOut],tblDaily[EntryDate],DATE(2026,8,17),tblDaily[WardCode],"FW")),"")</f>
        <v/>
      </c>
      <c r="H296" s="29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IFERROR(IF(SUMIFS(tblDaily[Admissions],tblDaily[EntryDate],DATE(2026,8,18),tblDaily[WardCode],"FW")=0,"",SUMIFS(tblDaily[Admissions],tblDaily[EntryDate],DATE(2026,8,18),tblDaily[WardCode],"FW")),"")</f>
        <v/>
      </c>
      <c r="C297" s="29" t="str">
        <f>IFERROR(IF(SUMIFS(tblDaily[Discharges],tblDaily[EntryDate],DATE(2026,8,18),tblDaily[WardCode],"FW")=0,"",SUMIFS(tblDaily[Discharges],tblDaily[EntryDate],DATE(2026,8,18),tblDaily[WardCode],"FW")),"")</f>
        <v/>
      </c>
      <c r="D297" s="29" t="str">
        <f>IFERROR(IF(SUMIFS(tblDaily[Deaths],tblDaily[EntryDate],DATE(2026,8,18),tblDaily[WardCode],"FW")=0,"",SUMIFS(tblDaily[Deaths],tblDaily[EntryDate],DATE(2026,8,18),tblDaily[WardCode],"FW")),"")</f>
        <v/>
      </c>
      <c r="E297" s="29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29" t="str">
        <f>IFERROR(IF(SUMIFS(tblDaily[TransfersIn],tblDaily[EntryDate],DATE(2026,8,18),tblDaily[WardCode],"FW")=0,"",SUMIFS(tblDaily[TransfersIn],tblDaily[EntryDate],DATE(2026,8,18),tblDaily[WardCode],"FW")),"")</f>
        <v/>
      </c>
      <c r="G297" s="29" t="str">
        <f>IFERROR(IF(SUMIFS(tblDaily[TransfersOut],tblDaily[EntryDate],DATE(2026,8,18),tblDaily[WardCode],"FW")=0,"",SUMIFS(tblDaily[TransfersOut],tblDaily[EntryDate],DATE(2026,8,18),tblDaily[WardCode],"FW")),"")</f>
        <v/>
      </c>
      <c r="H297" s="29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IFERROR(IF(SUMIFS(tblDaily[Admissions],tblDaily[EntryDate],DATE(2026,8,19),tblDaily[WardCode],"FW")=0,"",SUMIFS(tblDaily[Admissions],tblDaily[EntryDate],DATE(2026,8,19),tblDaily[WardCode],"FW")),"")</f>
        <v/>
      </c>
      <c r="C298" s="29" t="str">
        <f>IFERROR(IF(SUMIFS(tblDaily[Discharges],tblDaily[EntryDate],DATE(2026,8,19),tblDaily[WardCode],"FW")=0,"",SUMIFS(tblDaily[Discharges],tblDaily[EntryDate],DATE(2026,8,19),tblDaily[WardCode],"FW")),"")</f>
        <v/>
      </c>
      <c r="D298" s="29" t="str">
        <f>IFERROR(IF(SUMIFS(tblDaily[Deaths],tblDaily[EntryDate],DATE(2026,8,19),tblDaily[WardCode],"FW")=0,"",SUMIFS(tblDaily[Deaths],tblDaily[EntryDate],DATE(2026,8,19),tblDaily[WardCode],"FW")),"")</f>
        <v/>
      </c>
      <c r="E298" s="29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29" t="str">
        <f>IFERROR(IF(SUMIFS(tblDaily[TransfersIn],tblDaily[EntryDate],DATE(2026,8,19),tblDaily[WardCode],"FW")=0,"",SUMIFS(tblDaily[TransfersIn],tblDaily[EntryDate],DATE(2026,8,19),tblDaily[WardCode],"FW")),"")</f>
        <v/>
      </c>
      <c r="G298" s="29" t="str">
        <f>IFERROR(IF(SUMIFS(tblDaily[TransfersOut],tblDaily[EntryDate],DATE(2026,8,19),tblDaily[WardCode],"FW")=0,"",SUMIFS(tblDaily[TransfersOut],tblDaily[EntryDate],DATE(2026,8,19),tblDaily[WardCode],"FW")),"")</f>
        <v/>
      </c>
      <c r="H298" s="29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IFERROR(IF(SUMIFS(tblDaily[Admissions],tblDaily[EntryDate],DATE(2026,8,20),tblDaily[WardCode],"FW")=0,"",SUMIFS(tblDaily[Admissions],tblDaily[EntryDate],DATE(2026,8,20),tblDaily[WardCode],"FW")),"")</f>
        <v/>
      </c>
      <c r="C299" s="29" t="str">
        <f>IFERROR(IF(SUMIFS(tblDaily[Discharges],tblDaily[EntryDate],DATE(2026,8,20),tblDaily[WardCode],"FW")=0,"",SUMIFS(tblDaily[Discharges],tblDaily[EntryDate],DATE(2026,8,20),tblDaily[WardCode],"FW")),"")</f>
        <v/>
      </c>
      <c r="D299" s="29" t="str">
        <f>IFERROR(IF(SUMIFS(tblDaily[Deaths],tblDaily[EntryDate],DATE(2026,8,20),tblDaily[WardCode],"FW")=0,"",SUMIFS(tblDaily[Deaths],tblDaily[EntryDate],DATE(2026,8,20),tblDaily[WardCode],"FW")),"")</f>
        <v/>
      </c>
      <c r="E299" s="29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29" t="str">
        <f>IFERROR(IF(SUMIFS(tblDaily[TransfersIn],tblDaily[EntryDate],DATE(2026,8,20),tblDaily[WardCode],"FW")=0,"",SUMIFS(tblDaily[TransfersIn],tblDaily[EntryDate],DATE(2026,8,20),tblDaily[WardCode],"FW")),"")</f>
        <v/>
      </c>
      <c r="G299" s="29" t="str">
        <f>IFERROR(IF(SUMIFS(tblDaily[TransfersOut],tblDaily[EntryDate],DATE(2026,8,20),tblDaily[WardCode],"FW")=0,"",SUMIFS(tblDaily[TransfersOut],tblDaily[EntryDate],DATE(2026,8,20),tblDaily[WardCode],"FW")),"")</f>
        <v/>
      </c>
      <c r="H299" s="29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IFERROR(IF(SUMIFS(tblDaily[Admissions],tblDaily[EntryDate],DATE(2026,8,21),tblDaily[WardCode],"FW")=0,"",SUMIFS(tblDaily[Admissions],tblDaily[EntryDate],DATE(2026,8,21),tblDaily[WardCode],"FW")),"")</f>
        <v/>
      </c>
      <c r="C300" s="29" t="str">
        <f>IFERROR(IF(SUMIFS(tblDaily[Discharges],tblDaily[EntryDate],DATE(2026,8,21),tblDaily[WardCode],"FW")=0,"",SUMIFS(tblDaily[Discharges],tblDaily[EntryDate],DATE(2026,8,21),tblDaily[WardCode],"FW")),"")</f>
        <v/>
      </c>
      <c r="D300" s="29" t="str">
        <f>IFERROR(IF(SUMIFS(tblDaily[Deaths],tblDaily[EntryDate],DATE(2026,8,21),tblDaily[WardCode],"FW")=0,"",SUMIFS(tblDaily[Deaths],tblDaily[EntryDate],DATE(2026,8,21),tblDaily[WardCode],"FW")),"")</f>
        <v/>
      </c>
      <c r="E300" s="29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29" t="str">
        <f>IFERROR(IF(SUMIFS(tblDaily[TransfersIn],tblDaily[EntryDate],DATE(2026,8,21),tblDaily[WardCode],"FW")=0,"",SUMIFS(tblDaily[TransfersIn],tblDaily[EntryDate],DATE(2026,8,21),tblDaily[WardCode],"FW")),"")</f>
        <v/>
      </c>
      <c r="G300" s="29" t="str">
        <f>IFERROR(IF(SUMIFS(tblDaily[TransfersOut],tblDaily[EntryDate],DATE(2026,8,21),tblDaily[WardCode],"FW")=0,"",SUMIFS(tblDaily[TransfersOut],tblDaily[EntryDate],DATE(2026,8,21),tblDaily[WardCode],"FW")),"")</f>
        <v/>
      </c>
      <c r="H300" s="29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IFERROR(IF(SUMIFS(tblDaily[Admissions],tblDaily[EntryDate],DATE(2026,8,22),tblDaily[WardCode],"FW")=0,"",SUMIFS(tblDaily[Admissions],tblDaily[EntryDate],DATE(2026,8,22),tblDaily[WardCode],"FW")),"")</f>
        <v/>
      </c>
      <c r="C301" s="29" t="str">
        <f>IFERROR(IF(SUMIFS(tblDaily[Discharges],tblDaily[EntryDate],DATE(2026,8,22),tblDaily[WardCode],"FW")=0,"",SUMIFS(tblDaily[Discharges],tblDaily[EntryDate],DATE(2026,8,22),tblDaily[WardCode],"FW")),"")</f>
        <v/>
      </c>
      <c r="D301" s="29" t="str">
        <f>IFERROR(IF(SUMIFS(tblDaily[Deaths],tblDaily[EntryDate],DATE(2026,8,22),tblDaily[WardCode],"FW")=0,"",SUMIFS(tblDaily[Deaths],tblDaily[EntryDate],DATE(2026,8,22),tblDaily[WardCode],"FW")),"")</f>
        <v/>
      </c>
      <c r="E301" s="29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29" t="str">
        <f>IFERROR(IF(SUMIFS(tblDaily[TransfersIn],tblDaily[EntryDate],DATE(2026,8,22),tblDaily[WardCode],"FW")=0,"",SUMIFS(tblDaily[TransfersIn],tblDaily[EntryDate],DATE(2026,8,22),tblDaily[WardCode],"FW")),"")</f>
        <v/>
      </c>
      <c r="G301" s="29" t="str">
        <f>IFERROR(IF(SUMIFS(tblDaily[TransfersOut],tblDaily[EntryDate],DATE(2026,8,22),tblDaily[WardCode],"FW")=0,"",SUMIFS(tblDaily[TransfersOut],tblDaily[EntryDate],DATE(2026,8,22),tblDaily[WardCode],"FW")),"")</f>
        <v/>
      </c>
      <c r="H301" s="29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IFERROR(IF(SUMIFS(tblDaily[Admissions],tblDaily[EntryDate],DATE(2026,8,23),tblDaily[WardCode],"FW")=0,"",SUMIFS(tblDaily[Admissions],tblDaily[EntryDate],DATE(2026,8,23),tblDaily[WardCode],"FW")),"")</f>
        <v/>
      </c>
      <c r="C302" s="29" t="str">
        <f>IFERROR(IF(SUMIFS(tblDaily[Discharges],tblDaily[EntryDate],DATE(2026,8,23),tblDaily[WardCode],"FW")=0,"",SUMIFS(tblDaily[Discharges],tblDaily[EntryDate],DATE(2026,8,23),tblDaily[WardCode],"FW")),"")</f>
        <v/>
      </c>
      <c r="D302" s="29" t="str">
        <f>IFERROR(IF(SUMIFS(tblDaily[Deaths],tblDaily[EntryDate],DATE(2026,8,23),tblDaily[WardCode],"FW")=0,"",SUMIFS(tblDaily[Deaths],tblDaily[EntryDate],DATE(2026,8,23),tblDaily[WardCode],"FW")),"")</f>
        <v/>
      </c>
      <c r="E302" s="29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29" t="str">
        <f>IFERROR(IF(SUMIFS(tblDaily[TransfersIn],tblDaily[EntryDate],DATE(2026,8,23),tblDaily[WardCode],"FW")=0,"",SUMIFS(tblDaily[TransfersIn],tblDaily[EntryDate],DATE(2026,8,23),tblDaily[WardCode],"FW")),"")</f>
        <v/>
      </c>
      <c r="G302" s="29" t="str">
        <f>IFERROR(IF(SUMIFS(tblDaily[TransfersOut],tblDaily[EntryDate],DATE(2026,8,23),tblDaily[WardCode],"FW")=0,"",SUMIFS(tblDaily[TransfersOut],tblDaily[EntryDate],DATE(2026,8,23),tblDaily[WardCode],"FW")),"")</f>
        <v/>
      </c>
      <c r="H302" s="29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IFERROR(IF(SUMIFS(tblDaily[Admissions],tblDaily[EntryDate],DATE(2026,8,24),tblDaily[WardCode],"FW")=0,"",SUMIFS(tblDaily[Admissions],tblDaily[EntryDate],DATE(2026,8,24),tblDaily[WardCode],"FW")),"")</f>
        <v/>
      </c>
      <c r="C303" s="29" t="str">
        <f>IFERROR(IF(SUMIFS(tblDaily[Discharges],tblDaily[EntryDate],DATE(2026,8,24),tblDaily[WardCode],"FW")=0,"",SUMIFS(tblDaily[Discharges],tblDaily[EntryDate],DATE(2026,8,24),tblDaily[WardCode],"FW")),"")</f>
        <v/>
      </c>
      <c r="D303" s="29" t="str">
        <f>IFERROR(IF(SUMIFS(tblDaily[Deaths],tblDaily[EntryDate],DATE(2026,8,24),tblDaily[WardCode],"FW")=0,"",SUMIFS(tblDaily[Deaths],tblDaily[EntryDate],DATE(2026,8,24),tblDaily[WardCode],"FW")),"")</f>
        <v/>
      </c>
      <c r="E303" s="29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29" t="str">
        <f>IFERROR(IF(SUMIFS(tblDaily[TransfersIn],tblDaily[EntryDate],DATE(2026,8,24),tblDaily[WardCode],"FW")=0,"",SUMIFS(tblDaily[TransfersIn],tblDaily[EntryDate],DATE(2026,8,24),tblDaily[WardCode],"FW")),"")</f>
        <v/>
      </c>
      <c r="G303" s="29" t="str">
        <f>IFERROR(IF(SUMIFS(tblDaily[TransfersOut],tblDaily[EntryDate],DATE(2026,8,24),tblDaily[WardCode],"FW")=0,"",SUMIFS(tblDaily[TransfersOut],tblDaily[EntryDate],DATE(2026,8,24),tblDaily[WardCode],"FW")),"")</f>
        <v/>
      </c>
      <c r="H303" s="29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IFERROR(IF(SUMIFS(tblDaily[Admissions],tblDaily[EntryDate],DATE(2026,8,25),tblDaily[WardCode],"FW")=0,"",SUMIFS(tblDaily[Admissions],tblDaily[EntryDate],DATE(2026,8,25),tblDaily[WardCode],"FW")),"")</f>
        <v/>
      </c>
      <c r="C304" s="29" t="str">
        <f>IFERROR(IF(SUMIFS(tblDaily[Discharges],tblDaily[EntryDate],DATE(2026,8,25),tblDaily[WardCode],"FW")=0,"",SUMIFS(tblDaily[Discharges],tblDaily[EntryDate],DATE(2026,8,25),tblDaily[WardCode],"FW")),"")</f>
        <v/>
      </c>
      <c r="D304" s="29" t="str">
        <f>IFERROR(IF(SUMIFS(tblDaily[Deaths],tblDaily[EntryDate],DATE(2026,8,25),tblDaily[WardCode],"FW")=0,"",SUMIFS(tblDaily[Deaths],tblDaily[EntryDate],DATE(2026,8,25),tblDaily[WardCode],"FW")),"")</f>
        <v/>
      </c>
      <c r="E304" s="29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29" t="str">
        <f>IFERROR(IF(SUMIFS(tblDaily[TransfersIn],tblDaily[EntryDate],DATE(2026,8,25),tblDaily[WardCode],"FW")=0,"",SUMIFS(tblDaily[TransfersIn],tblDaily[EntryDate],DATE(2026,8,25),tblDaily[WardCode],"FW")),"")</f>
        <v/>
      </c>
      <c r="G304" s="29" t="str">
        <f>IFERROR(IF(SUMIFS(tblDaily[TransfersOut],tblDaily[EntryDate],DATE(2026,8,25),tblDaily[WardCode],"FW")=0,"",SUMIFS(tblDaily[TransfersOut],tblDaily[EntryDate],DATE(2026,8,25),tblDaily[WardCode],"FW")),"")</f>
        <v/>
      </c>
      <c r="H304" s="29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IFERROR(IF(SUMIFS(tblDaily[Admissions],tblDaily[EntryDate],DATE(2026,8,26),tblDaily[WardCode],"FW")=0,"",SUMIFS(tblDaily[Admissions],tblDaily[EntryDate],DATE(2026,8,26),tblDaily[WardCode],"FW")),"")</f>
        <v/>
      </c>
      <c r="C305" s="29" t="str">
        <f>IFERROR(IF(SUMIFS(tblDaily[Discharges],tblDaily[EntryDate],DATE(2026,8,26),tblDaily[WardCode],"FW")=0,"",SUMIFS(tblDaily[Discharges],tblDaily[EntryDate],DATE(2026,8,26),tblDaily[WardCode],"FW")),"")</f>
        <v/>
      </c>
      <c r="D305" s="29" t="str">
        <f>IFERROR(IF(SUMIFS(tblDaily[Deaths],tblDaily[EntryDate],DATE(2026,8,26),tblDaily[WardCode],"FW")=0,"",SUMIFS(tblDaily[Deaths],tblDaily[EntryDate],DATE(2026,8,26),tblDaily[WardCode],"FW")),"")</f>
        <v/>
      </c>
      <c r="E305" s="29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29" t="str">
        <f>IFERROR(IF(SUMIFS(tblDaily[TransfersIn],tblDaily[EntryDate],DATE(2026,8,26),tblDaily[WardCode],"FW")=0,"",SUMIFS(tblDaily[TransfersIn],tblDaily[EntryDate],DATE(2026,8,26),tblDaily[WardCode],"FW")),"")</f>
        <v/>
      </c>
      <c r="G305" s="29" t="str">
        <f>IFERROR(IF(SUMIFS(tblDaily[TransfersOut],tblDaily[EntryDate],DATE(2026,8,26),tblDaily[WardCode],"FW")=0,"",SUMIFS(tblDaily[TransfersOut],tblDaily[EntryDate],DATE(2026,8,26),tblDaily[WardCode],"FW")),"")</f>
        <v/>
      </c>
      <c r="H305" s="29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IFERROR(IF(SUMIFS(tblDaily[Admissions],tblDaily[EntryDate],DATE(2026,8,27),tblDaily[WardCode],"FW")=0,"",SUMIFS(tblDaily[Admissions],tblDaily[EntryDate],DATE(2026,8,27),tblDaily[WardCode],"FW")),"")</f>
        <v/>
      </c>
      <c r="C306" s="29" t="str">
        <f>IFERROR(IF(SUMIFS(tblDaily[Discharges],tblDaily[EntryDate],DATE(2026,8,27),tblDaily[WardCode],"FW")=0,"",SUMIFS(tblDaily[Discharges],tblDaily[EntryDate],DATE(2026,8,27),tblDaily[WardCode],"FW")),"")</f>
        <v/>
      </c>
      <c r="D306" s="29" t="str">
        <f>IFERROR(IF(SUMIFS(tblDaily[Deaths],tblDaily[EntryDate],DATE(2026,8,27),tblDaily[WardCode],"FW")=0,"",SUMIFS(tblDaily[Deaths],tblDaily[EntryDate],DATE(2026,8,27),tblDaily[WardCode],"FW")),"")</f>
        <v/>
      </c>
      <c r="E306" s="29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29" t="str">
        <f>IFERROR(IF(SUMIFS(tblDaily[TransfersIn],tblDaily[EntryDate],DATE(2026,8,27),tblDaily[WardCode],"FW")=0,"",SUMIFS(tblDaily[TransfersIn],tblDaily[EntryDate],DATE(2026,8,27),tblDaily[WardCode],"FW")),"")</f>
        <v/>
      </c>
      <c r="G306" s="29" t="str">
        <f>IFERROR(IF(SUMIFS(tblDaily[TransfersOut],tblDaily[EntryDate],DATE(2026,8,27),tblDaily[WardCode],"FW")=0,"",SUMIFS(tblDaily[TransfersOut],tblDaily[EntryDate],DATE(2026,8,27),tblDaily[WardCode],"FW")),"")</f>
        <v/>
      </c>
      <c r="H306" s="29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IFERROR(IF(SUMIFS(tblDaily[Admissions],tblDaily[EntryDate],DATE(2026,8,28),tblDaily[WardCode],"FW")=0,"",SUMIFS(tblDaily[Admissions],tblDaily[EntryDate],DATE(2026,8,28),tblDaily[WardCode],"FW")),"")</f>
        <v/>
      </c>
      <c r="C307" s="29" t="str">
        <f>IFERROR(IF(SUMIFS(tblDaily[Discharges],tblDaily[EntryDate],DATE(2026,8,28),tblDaily[WardCode],"FW")=0,"",SUMIFS(tblDaily[Discharges],tblDaily[EntryDate],DATE(2026,8,28),tblDaily[WardCode],"FW")),"")</f>
        <v/>
      </c>
      <c r="D307" s="29" t="str">
        <f>IFERROR(IF(SUMIFS(tblDaily[Deaths],tblDaily[EntryDate],DATE(2026,8,28),tblDaily[WardCode],"FW")=0,"",SUMIFS(tblDaily[Deaths],tblDaily[EntryDate],DATE(2026,8,28),tblDaily[WardCode],"FW")),"")</f>
        <v/>
      </c>
      <c r="E307" s="29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29" t="str">
        <f>IFERROR(IF(SUMIFS(tblDaily[TransfersIn],tblDaily[EntryDate],DATE(2026,8,28),tblDaily[WardCode],"FW")=0,"",SUMIFS(tblDaily[TransfersIn],tblDaily[EntryDate],DATE(2026,8,28),tblDaily[WardCode],"FW")),"")</f>
        <v/>
      </c>
      <c r="G307" s="29" t="str">
        <f>IFERROR(IF(SUMIFS(tblDaily[TransfersOut],tblDaily[EntryDate],DATE(2026,8,28),tblDaily[WardCode],"FW")=0,"",SUMIFS(tblDaily[TransfersOut],tblDaily[EntryDate],DATE(2026,8,28),tblDaily[WardCode],"FW")),"")</f>
        <v/>
      </c>
      <c r="H307" s="29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IFERROR(IF(SUMIFS(tblDaily[Admissions],tblDaily[EntryDate],DATE(2026,8,29),tblDaily[WardCode],"FW")=0,"",SUMIFS(tblDaily[Admissions],tblDaily[EntryDate],DATE(2026,8,29),tblDaily[WardCode],"FW")),"")</f>
        <v/>
      </c>
      <c r="C308" s="29" t="str">
        <f>IFERROR(IF(SUMIFS(tblDaily[Discharges],tblDaily[EntryDate],DATE(2026,8,29),tblDaily[WardCode],"FW")=0,"",SUMIFS(tblDaily[Discharges],tblDaily[EntryDate],DATE(2026,8,29),tblDaily[WardCode],"FW")),"")</f>
        <v/>
      </c>
      <c r="D308" s="29" t="str">
        <f>IFERROR(IF(SUMIFS(tblDaily[Deaths],tblDaily[EntryDate],DATE(2026,8,29),tblDaily[WardCode],"FW")=0,"",SUMIFS(tblDaily[Deaths],tblDaily[EntryDate],DATE(2026,8,29),tblDaily[WardCode],"FW")),"")</f>
        <v/>
      </c>
      <c r="E308" s="29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29" t="str">
        <f>IFERROR(IF(SUMIFS(tblDaily[TransfersIn],tblDaily[EntryDate],DATE(2026,8,29),tblDaily[WardCode],"FW")=0,"",SUMIFS(tblDaily[TransfersIn],tblDaily[EntryDate],DATE(2026,8,29),tblDaily[WardCode],"FW")),"")</f>
        <v/>
      </c>
      <c r="G308" s="29" t="str">
        <f>IFERROR(IF(SUMIFS(tblDaily[TransfersOut],tblDaily[EntryDate],DATE(2026,8,29),tblDaily[WardCode],"FW")=0,"",SUMIFS(tblDaily[TransfersOut],tblDaily[EntryDate],DATE(2026,8,29),tblDaily[WardCode],"FW")),"")</f>
        <v/>
      </c>
      <c r="H308" s="29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IFERROR(IF(SUMIFS(tblDaily[Admissions],tblDaily[EntryDate],DATE(2026,8,30),tblDaily[WardCode],"FW")=0,"",SUMIFS(tblDaily[Admissions],tblDaily[EntryDate],DATE(2026,8,30),tblDaily[WardCode],"FW")),"")</f>
        <v/>
      </c>
      <c r="C309" s="29" t="str">
        <f>IFERROR(IF(SUMIFS(tblDaily[Discharges],tblDaily[EntryDate],DATE(2026,8,30),tblDaily[WardCode],"FW")=0,"",SUMIFS(tblDaily[Discharges],tblDaily[EntryDate],DATE(2026,8,30),tblDaily[WardCode],"FW")),"")</f>
        <v/>
      </c>
      <c r="D309" s="29" t="str">
        <f>IFERROR(IF(SUMIFS(tblDaily[Deaths],tblDaily[EntryDate],DATE(2026,8,30),tblDaily[WardCode],"FW")=0,"",SUMIFS(tblDaily[Deaths],tblDaily[EntryDate],DATE(2026,8,30),tblDaily[WardCode],"FW")),"")</f>
        <v/>
      </c>
      <c r="E309" s="29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29" t="str">
        <f>IFERROR(IF(SUMIFS(tblDaily[TransfersIn],tblDaily[EntryDate],DATE(2026,8,30),tblDaily[WardCode],"FW")=0,"",SUMIFS(tblDaily[TransfersIn],tblDaily[EntryDate],DATE(2026,8,30),tblDaily[WardCode],"FW")),"")</f>
        <v/>
      </c>
      <c r="G309" s="29" t="str">
        <f>IFERROR(IF(SUMIFS(tblDaily[TransfersOut],tblDaily[EntryDate],DATE(2026,8,30),tblDaily[WardCode],"FW")=0,"",SUMIFS(tblDaily[TransfersOut],tblDaily[EntryDate],DATE(2026,8,30),tblDaily[WardCode],"FW")),"")</f>
        <v/>
      </c>
      <c r="H309" s="29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IFERROR(IF(SUMIFS(tblDaily[Admissions],tblDaily[EntryDate],DATE(2026,8,31),tblDaily[WardCode],"FW")=0,"",SUMIFS(tblDaily[Admissions],tblDaily[EntryDate],DATE(2026,8,31),tblDaily[WardCode],"FW")),"")</f>
        <v/>
      </c>
      <c r="C310" s="29" t="str">
        <f>IFERROR(IF(SUMIFS(tblDaily[Discharges],tblDaily[EntryDate],DATE(2026,8,31),tblDaily[WardCode],"FW")=0,"",SUMIFS(tblDaily[Discharges],tblDaily[EntryDate],DATE(2026,8,31),tblDaily[WardCode],"FW")),"")</f>
        <v/>
      </c>
      <c r="D310" s="29" t="str">
        <f>IFERROR(IF(SUMIFS(tblDaily[Deaths],tblDaily[EntryDate],DATE(2026,8,31),tblDaily[WardCode],"FW")=0,"",SUMIFS(tblDaily[Deaths],tblDaily[EntryDate],DATE(2026,8,31),tblDaily[WardCode],"FW")),"")</f>
        <v/>
      </c>
      <c r="E310" s="29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29" t="str">
        <f>IFERROR(IF(SUMIFS(tblDaily[TransfersIn],tblDaily[EntryDate],DATE(2026,8,31),tblDaily[WardCode],"FW")=0,"",SUMIFS(tblDaily[TransfersIn],tblDaily[EntryDate],DATE(2026,8,31),tblDaily[WardCode],"FW")),"")</f>
        <v/>
      </c>
      <c r="G310" s="29" t="str">
        <f>IFERROR(IF(SUMIFS(tblDaily[TransfersOut],tblDaily[EntryDate],DATE(2026,8,31),tblDaily[WardCode],"FW")=0,"",SUMIFS(tblDaily[TransfersOut],tblDaily[EntryDate],DATE(2026,8,31),tblDaily[WardCode],"FW")),"")</f>
        <v/>
      </c>
      <c r="H310" s="29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30" t="s">
        <v>115</v>
      </c>
      <c r="B311" s="30">
        <f>SUMIFS(tblDaily[Admissions],tblDaily[Month],8,tblDaily[WardCode],"FW") - SUMIFS(tblDaily[DeathsUnder24Hrs],tblDaily[Month],8,tblDaily[WardCode],"FW")</f>
        <v>0</v>
      </c>
      <c r="C311" s="30">
        <f>SUMIFS(tblDaily[Discharges],tblDaily[Month],8,tblDaily[WardCode],"FW")</f>
        <v>0</v>
      </c>
      <c r="D311" s="30">
        <f>SUMIFS(tblDaily[Deaths],tblDaily[Month],8,tblDaily[WardCode],"FW")</f>
        <v>0</v>
      </c>
      <c r="E311" s="30">
        <f>SUMIFS(tblDaily[DeathsUnder24Hrs],tblDaily[Month],8,tblDaily[WardCode],"FW")</f>
        <v>0</v>
      </c>
      <c r="F311" s="30">
        <f>SUMIFS(tblDaily[TransfersIn],tblDaily[Month],8,tblDaily[WardCode],"FW")</f>
        <v>0</v>
      </c>
      <c r="G311" s="30">
        <f>SUMIFS(tblDaily[TransfersOut],tblDaily[Month],8,tblDaily[WardCode],"FW")</f>
        <v>0</v>
      </c>
      <c r="H311" s="30">
        <f>SUMIFS(tblDaily[Remaining],tblDaily[Month],8,tblDaily[WardCode],"FW")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116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IFERROR(SUMIFS(tblDaily[Remaining],tblDaily[EntryDate],DATE(2026,8,31),tblDaily[WardCode],"FW"),0)</f>
        <v>0</v>
      </c>
    </row>
    <row r="317" spans="1:8" x14ac:dyDescent="0.25">
      <c r="A317" s="24" t="s">
        <v>109</v>
      </c>
      <c r="H317" s="27">
        <f>IFERROR(INDEX(tblWardConfig[BedComplement],MATCH("FW",tblWardConfig[WardCode],0)),0)</f>
        <v>28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IFERROR(IF(SUMIFS(tblDaily[Admissions],tblDaily[EntryDate],DATE(2026,9,1),tblDaily[WardCode],"FW")=0,"",SUMIFS(tblDaily[Admissions],tblDaily[EntryDate],DATE(2026,9,1),tblDaily[WardCode],"FW")),"")</f>
        <v/>
      </c>
      <c r="C319" s="29" t="str">
        <f>IFERROR(IF(SUMIFS(tblDaily[Discharges],tblDaily[EntryDate],DATE(2026,9,1),tblDaily[WardCode],"FW")=0,"",SUMIFS(tblDaily[Discharges],tblDaily[EntryDate],DATE(2026,9,1),tblDaily[WardCode],"FW")),"")</f>
        <v/>
      </c>
      <c r="D319" s="29" t="str">
        <f>IFERROR(IF(SUMIFS(tblDaily[Deaths],tblDaily[EntryDate],DATE(2026,9,1),tblDaily[WardCode],"FW")=0,"",SUMIFS(tblDaily[Deaths],tblDaily[EntryDate],DATE(2026,9,1),tblDaily[WardCode],"FW")),"")</f>
        <v/>
      </c>
      <c r="E319" s="29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29" t="str">
        <f>IFERROR(IF(SUMIFS(tblDaily[TransfersIn],tblDaily[EntryDate],DATE(2026,9,1),tblDaily[WardCode],"FW")=0,"",SUMIFS(tblDaily[TransfersIn],tblDaily[EntryDate],DATE(2026,9,1),tblDaily[WardCode],"FW")),"")</f>
        <v/>
      </c>
      <c r="G319" s="29" t="str">
        <f>IFERROR(IF(SUMIFS(tblDaily[TransfersOut],tblDaily[EntryDate],DATE(2026,9,1),tblDaily[WardCode],"FW")=0,"",SUMIFS(tblDaily[TransfersOut],tblDaily[EntryDate],DATE(2026,9,1),tblDaily[WardCode],"FW")),"")</f>
        <v/>
      </c>
      <c r="H319" s="29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IFERROR(IF(SUMIFS(tblDaily[Admissions],tblDaily[EntryDate],DATE(2026,9,2),tblDaily[WardCode],"FW")=0,"",SUMIFS(tblDaily[Admissions],tblDaily[EntryDate],DATE(2026,9,2),tblDaily[WardCode],"FW")),"")</f>
        <v/>
      </c>
      <c r="C320" s="29" t="str">
        <f>IFERROR(IF(SUMIFS(tblDaily[Discharges],tblDaily[EntryDate],DATE(2026,9,2),tblDaily[WardCode],"FW")=0,"",SUMIFS(tblDaily[Discharges],tblDaily[EntryDate],DATE(2026,9,2),tblDaily[WardCode],"FW")),"")</f>
        <v/>
      </c>
      <c r="D320" s="29" t="str">
        <f>IFERROR(IF(SUMIFS(tblDaily[Deaths],tblDaily[EntryDate],DATE(2026,9,2),tblDaily[WardCode],"FW")=0,"",SUMIFS(tblDaily[Deaths],tblDaily[EntryDate],DATE(2026,9,2),tblDaily[WardCode],"FW")),"")</f>
        <v/>
      </c>
      <c r="E320" s="29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29" t="str">
        <f>IFERROR(IF(SUMIFS(tblDaily[TransfersIn],tblDaily[EntryDate],DATE(2026,9,2),tblDaily[WardCode],"FW")=0,"",SUMIFS(tblDaily[TransfersIn],tblDaily[EntryDate],DATE(2026,9,2),tblDaily[WardCode],"FW")),"")</f>
        <v/>
      </c>
      <c r="G320" s="29" t="str">
        <f>IFERROR(IF(SUMIFS(tblDaily[TransfersOut],tblDaily[EntryDate],DATE(2026,9,2),tblDaily[WardCode],"FW")=0,"",SUMIFS(tblDaily[TransfersOut],tblDaily[EntryDate],DATE(2026,9,2),tblDaily[WardCode],"FW")),"")</f>
        <v/>
      </c>
      <c r="H320" s="29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IFERROR(IF(SUMIFS(tblDaily[Admissions],tblDaily[EntryDate],DATE(2026,9,3),tblDaily[WardCode],"FW")=0,"",SUMIFS(tblDaily[Admissions],tblDaily[EntryDate],DATE(2026,9,3),tblDaily[WardCode],"FW")),"")</f>
        <v/>
      </c>
      <c r="C321" s="29" t="str">
        <f>IFERROR(IF(SUMIFS(tblDaily[Discharges],tblDaily[EntryDate],DATE(2026,9,3),tblDaily[WardCode],"FW")=0,"",SUMIFS(tblDaily[Discharges],tblDaily[EntryDate],DATE(2026,9,3),tblDaily[WardCode],"FW")),"")</f>
        <v/>
      </c>
      <c r="D321" s="29" t="str">
        <f>IFERROR(IF(SUMIFS(tblDaily[Deaths],tblDaily[EntryDate],DATE(2026,9,3),tblDaily[WardCode],"FW")=0,"",SUMIFS(tblDaily[Deaths],tblDaily[EntryDate],DATE(2026,9,3),tblDaily[WardCode],"FW")),"")</f>
        <v/>
      </c>
      <c r="E321" s="29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29" t="str">
        <f>IFERROR(IF(SUMIFS(tblDaily[TransfersIn],tblDaily[EntryDate],DATE(2026,9,3),tblDaily[WardCode],"FW")=0,"",SUMIFS(tblDaily[TransfersIn],tblDaily[EntryDate],DATE(2026,9,3),tblDaily[WardCode],"FW")),"")</f>
        <v/>
      </c>
      <c r="G321" s="29" t="str">
        <f>IFERROR(IF(SUMIFS(tblDaily[TransfersOut],tblDaily[EntryDate],DATE(2026,9,3),tblDaily[WardCode],"FW")=0,"",SUMIFS(tblDaily[TransfersOut],tblDaily[EntryDate],DATE(2026,9,3),tblDaily[WardCode],"FW")),"")</f>
        <v/>
      </c>
      <c r="H321" s="29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IFERROR(IF(SUMIFS(tblDaily[Admissions],tblDaily[EntryDate],DATE(2026,9,4),tblDaily[WardCode],"FW")=0,"",SUMIFS(tblDaily[Admissions],tblDaily[EntryDate],DATE(2026,9,4),tblDaily[WardCode],"FW")),"")</f>
        <v/>
      </c>
      <c r="C322" s="29" t="str">
        <f>IFERROR(IF(SUMIFS(tblDaily[Discharges],tblDaily[EntryDate],DATE(2026,9,4),tblDaily[WardCode],"FW")=0,"",SUMIFS(tblDaily[Discharges],tblDaily[EntryDate],DATE(2026,9,4),tblDaily[WardCode],"FW")),"")</f>
        <v/>
      </c>
      <c r="D322" s="29" t="str">
        <f>IFERROR(IF(SUMIFS(tblDaily[Deaths],tblDaily[EntryDate],DATE(2026,9,4),tblDaily[WardCode],"FW")=0,"",SUMIFS(tblDaily[Deaths],tblDaily[EntryDate],DATE(2026,9,4),tblDaily[WardCode],"FW")),"")</f>
        <v/>
      </c>
      <c r="E322" s="29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29" t="str">
        <f>IFERROR(IF(SUMIFS(tblDaily[TransfersIn],tblDaily[EntryDate],DATE(2026,9,4),tblDaily[WardCode],"FW")=0,"",SUMIFS(tblDaily[TransfersIn],tblDaily[EntryDate],DATE(2026,9,4),tblDaily[WardCode],"FW")),"")</f>
        <v/>
      </c>
      <c r="G322" s="29" t="str">
        <f>IFERROR(IF(SUMIFS(tblDaily[TransfersOut],tblDaily[EntryDate],DATE(2026,9,4),tblDaily[WardCode],"FW")=0,"",SUMIFS(tblDaily[TransfersOut],tblDaily[EntryDate],DATE(2026,9,4),tblDaily[WardCode],"FW")),"")</f>
        <v/>
      </c>
      <c r="H322" s="29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IFERROR(IF(SUMIFS(tblDaily[Admissions],tblDaily[EntryDate],DATE(2026,9,5),tblDaily[WardCode],"FW")=0,"",SUMIFS(tblDaily[Admissions],tblDaily[EntryDate],DATE(2026,9,5),tblDaily[WardCode],"FW")),"")</f>
        <v/>
      </c>
      <c r="C323" s="29" t="str">
        <f>IFERROR(IF(SUMIFS(tblDaily[Discharges],tblDaily[EntryDate],DATE(2026,9,5),tblDaily[WardCode],"FW")=0,"",SUMIFS(tblDaily[Discharges],tblDaily[EntryDate],DATE(2026,9,5),tblDaily[WardCode],"FW")),"")</f>
        <v/>
      </c>
      <c r="D323" s="29" t="str">
        <f>IFERROR(IF(SUMIFS(tblDaily[Deaths],tblDaily[EntryDate],DATE(2026,9,5),tblDaily[WardCode],"FW")=0,"",SUMIFS(tblDaily[Deaths],tblDaily[EntryDate],DATE(2026,9,5),tblDaily[WardCode],"FW")),"")</f>
        <v/>
      </c>
      <c r="E323" s="29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29" t="str">
        <f>IFERROR(IF(SUMIFS(tblDaily[TransfersIn],tblDaily[EntryDate],DATE(2026,9,5),tblDaily[WardCode],"FW")=0,"",SUMIFS(tblDaily[TransfersIn],tblDaily[EntryDate],DATE(2026,9,5),tblDaily[WardCode],"FW")),"")</f>
        <v/>
      </c>
      <c r="G323" s="29" t="str">
        <f>IFERROR(IF(SUMIFS(tblDaily[TransfersOut],tblDaily[EntryDate],DATE(2026,9,5),tblDaily[WardCode],"FW")=0,"",SUMIFS(tblDaily[TransfersOut],tblDaily[EntryDate],DATE(2026,9,5),tblDaily[WardCode],"FW")),"")</f>
        <v/>
      </c>
      <c r="H323" s="29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IFERROR(IF(SUMIFS(tblDaily[Admissions],tblDaily[EntryDate],DATE(2026,9,6),tblDaily[WardCode],"FW")=0,"",SUMIFS(tblDaily[Admissions],tblDaily[EntryDate],DATE(2026,9,6),tblDaily[WardCode],"FW")),"")</f>
        <v/>
      </c>
      <c r="C324" s="29" t="str">
        <f>IFERROR(IF(SUMIFS(tblDaily[Discharges],tblDaily[EntryDate],DATE(2026,9,6),tblDaily[WardCode],"FW")=0,"",SUMIFS(tblDaily[Discharges],tblDaily[EntryDate],DATE(2026,9,6),tblDaily[WardCode],"FW")),"")</f>
        <v/>
      </c>
      <c r="D324" s="29" t="str">
        <f>IFERROR(IF(SUMIFS(tblDaily[Deaths],tblDaily[EntryDate],DATE(2026,9,6),tblDaily[WardCode],"FW")=0,"",SUMIFS(tblDaily[Deaths],tblDaily[EntryDate],DATE(2026,9,6),tblDaily[WardCode],"FW")),"")</f>
        <v/>
      </c>
      <c r="E324" s="29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29" t="str">
        <f>IFERROR(IF(SUMIFS(tblDaily[TransfersIn],tblDaily[EntryDate],DATE(2026,9,6),tblDaily[WardCode],"FW")=0,"",SUMIFS(tblDaily[TransfersIn],tblDaily[EntryDate],DATE(2026,9,6),tblDaily[WardCode],"FW")),"")</f>
        <v/>
      </c>
      <c r="G324" s="29" t="str">
        <f>IFERROR(IF(SUMIFS(tblDaily[TransfersOut],tblDaily[EntryDate],DATE(2026,9,6),tblDaily[WardCode],"FW")=0,"",SUMIFS(tblDaily[TransfersOut],tblDaily[EntryDate],DATE(2026,9,6),tblDaily[WardCode],"FW")),"")</f>
        <v/>
      </c>
      <c r="H324" s="29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IFERROR(IF(SUMIFS(tblDaily[Admissions],tblDaily[EntryDate],DATE(2026,9,7),tblDaily[WardCode],"FW")=0,"",SUMIFS(tblDaily[Admissions],tblDaily[EntryDate],DATE(2026,9,7),tblDaily[WardCode],"FW")),"")</f>
        <v/>
      </c>
      <c r="C325" s="29" t="str">
        <f>IFERROR(IF(SUMIFS(tblDaily[Discharges],tblDaily[EntryDate],DATE(2026,9,7),tblDaily[WardCode],"FW")=0,"",SUMIFS(tblDaily[Discharges],tblDaily[EntryDate],DATE(2026,9,7),tblDaily[WardCode],"FW")),"")</f>
        <v/>
      </c>
      <c r="D325" s="29" t="str">
        <f>IFERROR(IF(SUMIFS(tblDaily[Deaths],tblDaily[EntryDate],DATE(2026,9,7),tblDaily[WardCode],"FW")=0,"",SUMIFS(tblDaily[Deaths],tblDaily[EntryDate],DATE(2026,9,7),tblDaily[WardCode],"FW")),"")</f>
        <v/>
      </c>
      <c r="E325" s="29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29" t="str">
        <f>IFERROR(IF(SUMIFS(tblDaily[TransfersIn],tblDaily[EntryDate],DATE(2026,9,7),tblDaily[WardCode],"FW")=0,"",SUMIFS(tblDaily[TransfersIn],tblDaily[EntryDate],DATE(2026,9,7),tblDaily[WardCode],"FW")),"")</f>
        <v/>
      </c>
      <c r="G325" s="29" t="str">
        <f>IFERROR(IF(SUMIFS(tblDaily[TransfersOut],tblDaily[EntryDate],DATE(2026,9,7),tblDaily[WardCode],"FW")=0,"",SUMIFS(tblDaily[TransfersOut],tblDaily[EntryDate],DATE(2026,9,7),tblDaily[WardCode],"FW")),"")</f>
        <v/>
      </c>
      <c r="H325" s="29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IFERROR(IF(SUMIFS(tblDaily[Admissions],tblDaily[EntryDate],DATE(2026,9,8),tblDaily[WardCode],"FW")=0,"",SUMIFS(tblDaily[Admissions],tblDaily[EntryDate],DATE(2026,9,8),tblDaily[WardCode],"FW")),"")</f>
        <v/>
      </c>
      <c r="C326" s="29" t="str">
        <f>IFERROR(IF(SUMIFS(tblDaily[Discharges],tblDaily[EntryDate],DATE(2026,9,8),tblDaily[WardCode],"FW")=0,"",SUMIFS(tblDaily[Discharges],tblDaily[EntryDate],DATE(2026,9,8),tblDaily[WardCode],"FW")),"")</f>
        <v/>
      </c>
      <c r="D326" s="29" t="str">
        <f>IFERROR(IF(SUMIFS(tblDaily[Deaths],tblDaily[EntryDate],DATE(2026,9,8),tblDaily[WardCode],"FW")=0,"",SUMIFS(tblDaily[Deaths],tblDaily[EntryDate],DATE(2026,9,8),tblDaily[WardCode],"FW")),"")</f>
        <v/>
      </c>
      <c r="E326" s="29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29" t="str">
        <f>IFERROR(IF(SUMIFS(tblDaily[TransfersIn],tblDaily[EntryDate],DATE(2026,9,8),tblDaily[WardCode],"FW")=0,"",SUMIFS(tblDaily[TransfersIn],tblDaily[EntryDate],DATE(2026,9,8),tblDaily[WardCode],"FW")),"")</f>
        <v/>
      </c>
      <c r="G326" s="29" t="str">
        <f>IFERROR(IF(SUMIFS(tblDaily[TransfersOut],tblDaily[EntryDate],DATE(2026,9,8),tblDaily[WardCode],"FW")=0,"",SUMIFS(tblDaily[TransfersOut],tblDaily[EntryDate],DATE(2026,9,8),tblDaily[WardCode],"FW")),"")</f>
        <v/>
      </c>
      <c r="H326" s="29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IFERROR(IF(SUMIFS(tblDaily[Admissions],tblDaily[EntryDate],DATE(2026,9,9),tblDaily[WardCode],"FW")=0,"",SUMIFS(tblDaily[Admissions],tblDaily[EntryDate],DATE(2026,9,9),tblDaily[WardCode],"FW")),"")</f>
        <v/>
      </c>
      <c r="C327" s="29" t="str">
        <f>IFERROR(IF(SUMIFS(tblDaily[Discharges],tblDaily[EntryDate],DATE(2026,9,9),tblDaily[WardCode],"FW")=0,"",SUMIFS(tblDaily[Discharges],tblDaily[EntryDate],DATE(2026,9,9),tblDaily[WardCode],"FW")),"")</f>
        <v/>
      </c>
      <c r="D327" s="29" t="str">
        <f>IFERROR(IF(SUMIFS(tblDaily[Deaths],tblDaily[EntryDate],DATE(2026,9,9),tblDaily[WardCode],"FW")=0,"",SUMIFS(tblDaily[Deaths],tblDaily[EntryDate],DATE(2026,9,9),tblDaily[WardCode],"FW")),"")</f>
        <v/>
      </c>
      <c r="E327" s="29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29" t="str">
        <f>IFERROR(IF(SUMIFS(tblDaily[TransfersIn],tblDaily[EntryDate],DATE(2026,9,9),tblDaily[WardCode],"FW")=0,"",SUMIFS(tblDaily[TransfersIn],tblDaily[EntryDate],DATE(2026,9,9),tblDaily[WardCode],"FW")),"")</f>
        <v/>
      </c>
      <c r="G327" s="29" t="str">
        <f>IFERROR(IF(SUMIFS(tblDaily[TransfersOut],tblDaily[EntryDate],DATE(2026,9,9),tblDaily[WardCode],"FW")=0,"",SUMIFS(tblDaily[TransfersOut],tblDaily[EntryDate],DATE(2026,9,9),tblDaily[WardCode],"FW")),"")</f>
        <v/>
      </c>
      <c r="H327" s="29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IFERROR(IF(SUMIFS(tblDaily[Admissions],tblDaily[EntryDate],DATE(2026,9,10),tblDaily[WardCode],"FW")=0,"",SUMIFS(tblDaily[Admissions],tblDaily[EntryDate],DATE(2026,9,10),tblDaily[WardCode],"FW")),"")</f>
        <v/>
      </c>
      <c r="C328" s="29" t="str">
        <f>IFERROR(IF(SUMIFS(tblDaily[Discharges],tblDaily[EntryDate],DATE(2026,9,10),tblDaily[WardCode],"FW")=0,"",SUMIFS(tblDaily[Discharges],tblDaily[EntryDate],DATE(2026,9,10),tblDaily[WardCode],"FW")),"")</f>
        <v/>
      </c>
      <c r="D328" s="29" t="str">
        <f>IFERROR(IF(SUMIFS(tblDaily[Deaths],tblDaily[EntryDate],DATE(2026,9,10),tblDaily[WardCode],"FW")=0,"",SUMIFS(tblDaily[Deaths],tblDaily[EntryDate],DATE(2026,9,10),tblDaily[WardCode],"FW")),"")</f>
        <v/>
      </c>
      <c r="E328" s="29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29" t="str">
        <f>IFERROR(IF(SUMIFS(tblDaily[TransfersIn],tblDaily[EntryDate],DATE(2026,9,10),tblDaily[WardCode],"FW")=0,"",SUMIFS(tblDaily[TransfersIn],tblDaily[EntryDate],DATE(2026,9,10),tblDaily[WardCode],"FW")),"")</f>
        <v/>
      </c>
      <c r="G328" s="29" t="str">
        <f>IFERROR(IF(SUMIFS(tblDaily[TransfersOut],tblDaily[EntryDate],DATE(2026,9,10),tblDaily[WardCode],"FW")=0,"",SUMIFS(tblDaily[TransfersOut],tblDaily[EntryDate],DATE(2026,9,10),tblDaily[WardCode],"FW")),"")</f>
        <v/>
      </c>
      <c r="H328" s="29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IFERROR(IF(SUMIFS(tblDaily[Admissions],tblDaily[EntryDate],DATE(2026,9,11),tblDaily[WardCode],"FW")=0,"",SUMIFS(tblDaily[Admissions],tblDaily[EntryDate],DATE(2026,9,11),tblDaily[WardCode],"FW")),"")</f>
        <v/>
      </c>
      <c r="C329" s="29" t="str">
        <f>IFERROR(IF(SUMIFS(tblDaily[Discharges],tblDaily[EntryDate],DATE(2026,9,11),tblDaily[WardCode],"FW")=0,"",SUMIFS(tblDaily[Discharges],tblDaily[EntryDate],DATE(2026,9,11),tblDaily[WardCode],"FW")),"")</f>
        <v/>
      </c>
      <c r="D329" s="29" t="str">
        <f>IFERROR(IF(SUMIFS(tblDaily[Deaths],tblDaily[EntryDate],DATE(2026,9,11),tblDaily[WardCode],"FW")=0,"",SUMIFS(tblDaily[Deaths],tblDaily[EntryDate],DATE(2026,9,11),tblDaily[WardCode],"FW")),"")</f>
        <v/>
      </c>
      <c r="E329" s="29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29" t="str">
        <f>IFERROR(IF(SUMIFS(tblDaily[TransfersIn],tblDaily[EntryDate],DATE(2026,9,11),tblDaily[WardCode],"FW")=0,"",SUMIFS(tblDaily[TransfersIn],tblDaily[EntryDate],DATE(2026,9,11),tblDaily[WardCode],"FW")),"")</f>
        <v/>
      </c>
      <c r="G329" s="29" t="str">
        <f>IFERROR(IF(SUMIFS(tblDaily[TransfersOut],tblDaily[EntryDate],DATE(2026,9,11),tblDaily[WardCode],"FW")=0,"",SUMIFS(tblDaily[TransfersOut],tblDaily[EntryDate],DATE(2026,9,11),tblDaily[WardCode],"FW")),"")</f>
        <v/>
      </c>
      <c r="H329" s="29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IFERROR(IF(SUMIFS(tblDaily[Admissions],tblDaily[EntryDate],DATE(2026,9,12),tblDaily[WardCode],"FW")=0,"",SUMIFS(tblDaily[Admissions],tblDaily[EntryDate],DATE(2026,9,12),tblDaily[WardCode],"FW")),"")</f>
        <v/>
      </c>
      <c r="C330" s="29" t="str">
        <f>IFERROR(IF(SUMIFS(tblDaily[Discharges],tblDaily[EntryDate],DATE(2026,9,12),tblDaily[WardCode],"FW")=0,"",SUMIFS(tblDaily[Discharges],tblDaily[EntryDate],DATE(2026,9,12),tblDaily[WardCode],"FW")),"")</f>
        <v/>
      </c>
      <c r="D330" s="29" t="str">
        <f>IFERROR(IF(SUMIFS(tblDaily[Deaths],tblDaily[EntryDate],DATE(2026,9,12),tblDaily[WardCode],"FW")=0,"",SUMIFS(tblDaily[Deaths],tblDaily[EntryDate],DATE(2026,9,12),tblDaily[WardCode],"FW")),"")</f>
        <v/>
      </c>
      <c r="E330" s="29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29" t="str">
        <f>IFERROR(IF(SUMIFS(tblDaily[TransfersIn],tblDaily[EntryDate],DATE(2026,9,12),tblDaily[WardCode],"FW")=0,"",SUMIFS(tblDaily[TransfersIn],tblDaily[EntryDate],DATE(2026,9,12),tblDaily[WardCode],"FW")),"")</f>
        <v/>
      </c>
      <c r="G330" s="29" t="str">
        <f>IFERROR(IF(SUMIFS(tblDaily[TransfersOut],tblDaily[EntryDate],DATE(2026,9,12),tblDaily[WardCode],"FW")=0,"",SUMIFS(tblDaily[TransfersOut],tblDaily[EntryDate],DATE(2026,9,12),tblDaily[WardCode],"FW")),"")</f>
        <v/>
      </c>
      <c r="H330" s="29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IFERROR(IF(SUMIFS(tblDaily[Admissions],tblDaily[EntryDate],DATE(2026,9,13),tblDaily[WardCode],"FW")=0,"",SUMIFS(tblDaily[Admissions],tblDaily[EntryDate],DATE(2026,9,13),tblDaily[WardCode],"FW")),"")</f>
        <v/>
      </c>
      <c r="C331" s="29" t="str">
        <f>IFERROR(IF(SUMIFS(tblDaily[Discharges],tblDaily[EntryDate],DATE(2026,9,13),tblDaily[WardCode],"FW")=0,"",SUMIFS(tblDaily[Discharges],tblDaily[EntryDate],DATE(2026,9,13),tblDaily[WardCode],"FW")),"")</f>
        <v/>
      </c>
      <c r="D331" s="29" t="str">
        <f>IFERROR(IF(SUMIFS(tblDaily[Deaths],tblDaily[EntryDate],DATE(2026,9,13),tblDaily[WardCode],"FW")=0,"",SUMIFS(tblDaily[Deaths],tblDaily[EntryDate],DATE(2026,9,13),tblDaily[WardCode],"FW")),"")</f>
        <v/>
      </c>
      <c r="E331" s="29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29" t="str">
        <f>IFERROR(IF(SUMIFS(tblDaily[TransfersIn],tblDaily[EntryDate],DATE(2026,9,13),tblDaily[WardCode],"FW")=0,"",SUMIFS(tblDaily[TransfersIn],tblDaily[EntryDate],DATE(2026,9,13),tblDaily[WardCode],"FW")),"")</f>
        <v/>
      </c>
      <c r="G331" s="29" t="str">
        <f>IFERROR(IF(SUMIFS(tblDaily[TransfersOut],tblDaily[EntryDate],DATE(2026,9,13),tblDaily[WardCode],"FW")=0,"",SUMIFS(tblDaily[TransfersOut],tblDaily[EntryDate],DATE(2026,9,13),tblDaily[WardCode],"FW")),"")</f>
        <v/>
      </c>
      <c r="H331" s="29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IFERROR(IF(SUMIFS(tblDaily[Admissions],tblDaily[EntryDate],DATE(2026,9,14),tblDaily[WardCode],"FW")=0,"",SUMIFS(tblDaily[Admissions],tblDaily[EntryDate],DATE(2026,9,14),tblDaily[WardCode],"FW")),"")</f>
        <v/>
      </c>
      <c r="C332" s="29" t="str">
        <f>IFERROR(IF(SUMIFS(tblDaily[Discharges],tblDaily[EntryDate],DATE(2026,9,14),tblDaily[WardCode],"FW")=0,"",SUMIFS(tblDaily[Discharges],tblDaily[EntryDate],DATE(2026,9,14),tblDaily[WardCode],"FW")),"")</f>
        <v/>
      </c>
      <c r="D332" s="29" t="str">
        <f>IFERROR(IF(SUMIFS(tblDaily[Deaths],tblDaily[EntryDate],DATE(2026,9,14),tblDaily[WardCode],"FW")=0,"",SUMIFS(tblDaily[Deaths],tblDaily[EntryDate],DATE(2026,9,14),tblDaily[WardCode],"FW")),"")</f>
        <v/>
      </c>
      <c r="E332" s="29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29" t="str">
        <f>IFERROR(IF(SUMIFS(tblDaily[TransfersIn],tblDaily[EntryDate],DATE(2026,9,14),tblDaily[WardCode],"FW")=0,"",SUMIFS(tblDaily[TransfersIn],tblDaily[EntryDate],DATE(2026,9,14),tblDaily[WardCode],"FW")),"")</f>
        <v/>
      </c>
      <c r="G332" s="29" t="str">
        <f>IFERROR(IF(SUMIFS(tblDaily[TransfersOut],tblDaily[EntryDate],DATE(2026,9,14),tblDaily[WardCode],"FW")=0,"",SUMIFS(tblDaily[TransfersOut],tblDaily[EntryDate],DATE(2026,9,14),tblDaily[WardCode],"FW")),"")</f>
        <v/>
      </c>
      <c r="H332" s="29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IFERROR(IF(SUMIFS(tblDaily[Admissions],tblDaily[EntryDate],DATE(2026,9,15),tblDaily[WardCode],"FW")=0,"",SUMIFS(tblDaily[Admissions],tblDaily[EntryDate],DATE(2026,9,15),tblDaily[WardCode],"FW")),"")</f>
        <v/>
      </c>
      <c r="C333" s="29" t="str">
        <f>IFERROR(IF(SUMIFS(tblDaily[Discharges],tblDaily[EntryDate],DATE(2026,9,15),tblDaily[WardCode],"FW")=0,"",SUMIFS(tblDaily[Discharges],tblDaily[EntryDate],DATE(2026,9,15),tblDaily[WardCode],"FW")),"")</f>
        <v/>
      </c>
      <c r="D333" s="29" t="str">
        <f>IFERROR(IF(SUMIFS(tblDaily[Deaths],tblDaily[EntryDate],DATE(2026,9,15),tblDaily[WardCode],"FW")=0,"",SUMIFS(tblDaily[Deaths],tblDaily[EntryDate],DATE(2026,9,15),tblDaily[WardCode],"FW")),"")</f>
        <v/>
      </c>
      <c r="E333" s="29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29" t="str">
        <f>IFERROR(IF(SUMIFS(tblDaily[TransfersIn],tblDaily[EntryDate],DATE(2026,9,15),tblDaily[WardCode],"FW")=0,"",SUMIFS(tblDaily[TransfersIn],tblDaily[EntryDate],DATE(2026,9,15),tblDaily[WardCode],"FW")),"")</f>
        <v/>
      </c>
      <c r="G333" s="29" t="str">
        <f>IFERROR(IF(SUMIFS(tblDaily[TransfersOut],tblDaily[EntryDate],DATE(2026,9,15),tblDaily[WardCode],"FW")=0,"",SUMIFS(tblDaily[TransfersOut],tblDaily[EntryDate],DATE(2026,9,15),tblDaily[WardCode],"FW")),"")</f>
        <v/>
      </c>
      <c r="H333" s="29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IFERROR(IF(SUMIFS(tblDaily[Admissions],tblDaily[EntryDate],DATE(2026,9,16),tblDaily[WardCode],"FW")=0,"",SUMIFS(tblDaily[Admissions],tblDaily[EntryDate],DATE(2026,9,16),tblDaily[WardCode],"FW")),"")</f>
        <v/>
      </c>
      <c r="C334" s="29" t="str">
        <f>IFERROR(IF(SUMIFS(tblDaily[Discharges],tblDaily[EntryDate],DATE(2026,9,16),tblDaily[WardCode],"FW")=0,"",SUMIFS(tblDaily[Discharges],tblDaily[EntryDate],DATE(2026,9,16),tblDaily[WardCode],"FW")),"")</f>
        <v/>
      </c>
      <c r="D334" s="29" t="str">
        <f>IFERROR(IF(SUMIFS(tblDaily[Deaths],tblDaily[EntryDate],DATE(2026,9,16),tblDaily[WardCode],"FW")=0,"",SUMIFS(tblDaily[Deaths],tblDaily[EntryDate],DATE(2026,9,16),tblDaily[WardCode],"FW")),"")</f>
        <v/>
      </c>
      <c r="E334" s="29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29" t="str">
        <f>IFERROR(IF(SUMIFS(tblDaily[TransfersIn],tblDaily[EntryDate],DATE(2026,9,16),tblDaily[WardCode],"FW")=0,"",SUMIFS(tblDaily[TransfersIn],tblDaily[EntryDate],DATE(2026,9,16),tblDaily[WardCode],"FW")),"")</f>
        <v/>
      </c>
      <c r="G334" s="29" t="str">
        <f>IFERROR(IF(SUMIFS(tblDaily[TransfersOut],tblDaily[EntryDate],DATE(2026,9,16),tblDaily[WardCode],"FW")=0,"",SUMIFS(tblDaily[TransfersOut],tblDaily[EntryDate],DATE(2026,9,16),tblDaily[WardCode],"FW")),"")</f>
        <v/>
      </c>
      <c r="H334" s="29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IFERROR(IF(SUMIFS(tblDaily[Admissions],tblDaily[EntryDate],DATE(2026,9,17),tblDaily[WardCode],"FW")=0,"",SUMIFS(tblDaily[Admissions],tblDaily[EntryDate],DATE(2026,9,17),tblDaily[WardCode],"FW")),"")</f>
        <v/>
      </c>
      <c r="C335" s="29" t="str">
        <f>IFERROR(IF(SUMIFS(tblDaily[Discharges],tblDaily[EntryDate],DATE(2026,9,17),tblDaily[WardCode],"FW")=0,"",SUMIFS(tblDaily[Discharges],tblDaily[EntryDate],DATE(2026,9,17),tblDaily[WardCode],"FW")),"")</f>
        <v/>
      </c>
      <c r="D335" s="29" t="str">
        <f>IFERROR(IF(SUMIFS(tblDaily[Deaths],tblDaily[EntryDate],DATE(2026,9,17),tblDaily[WardCode],"FW")=0,"",SUMIFS(tblDaily[Deaths],tblDaily[EntryDate],DATE(2026,9,17),tblDaily[WardCode],"FW")),"")</f>
        <v/>
      </c>
      <c r="E335" s="29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29" t="str">
        <f>IFERROR(IF(SUMIFS(tblDaily[TransfersIn],tblDaily[EntryDate],DATE(2026,9,17),tblDaily[WardCode],"FW")=0,"",SUMIFS(tblDaily[TransfersIn],tblDaily[EntryDate],DATE(2026,9,17),tblDaily[WardCode],"FW")),"")</f>
        <v/>
      </c>
      <c r="G335" s="29" t="str">
        <f>IFERROR(IF(SUMIFS(tblDaily[TransfersOut],tblDaily[EntryDate],DATE(2026,9,17),tblDaily[WardCode],"FW")=0,"",SUMIFS(tblDaily[TransfersOut],tblDaily[EntryDate],DATE(2026,9,17),tblDaily[WardCode],"FW")),"")</f>
        <v/>
      </c>
      <c r="H335" s="29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IFERROR(IF(SUMIFS(tblDaily[Admissions],tblDaily[EntryDate],DATE(2026,9,18),tblDaily[WardCode],"FW")=0,"",SUMIFS(tblDaily[Admissions],tblDaily[EntryDate],DATE(2026,9,18),tblDaily[WardCode],"FW")),"")</f>
        <v/>
      </c>
      <c r="C336" s="29" t="str">
        <f>IFERROR(IF(SUMIFS(tblDaily[Discharges],tblDaily[EntryDate],DATE(2026,9,18),tblDaily[WardCode],"FW")=0,"",SUMIFS(tblDaily[Discharges],tblDaily[EntryDate],DATE(2026,9,18),tblDaily[WardCode],"FW")),"")</f>
        <v/>
      </c>
      <c r="D336" s="29" t="str">
        <f>IFERROR(IF(SUMIFS(tblDaily[Deaths],tblDaily[EntryDate],DATE(2026,9,18),tblDaily[WardCode],"FW")=0,"",SUMIFS(tblDaily[Deaths],tblDaily[EntryDate],DATE(2026,9,18),tblDaily[WardCode],"FW")),"")</f>
        <v/>
      </c>
      <c r="E336" s="29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29" t="str">
        <f>IFERROR(IF(SUMIFS(tblDaily[TransfersIn],tblDaily[EntryDate],DATE(2026,9,18),tblDaily[WardCode],"FW")=0,"",SUMIFS(tblDaily[TransfersIn],tblDaily[EntryDate],DATE(2026,9,18),tblDaily[WardCode],"FW")),"")</f>
        <v/>
      </c>
      <c r="G336" s="29" t="str">
        <f>IFERROR(IF(SUMIFS(tblDaily[TransfersOut],tblDaily[EntryDate],DATE(2026,9,18),tblDaily[WardCode],"FW")=0,"",SUMIFS(tblDaily[TransfersOut],tblDaily[EntryDate],DATE(2026,9,18),tblDaily[WardCode],"FW")),"")</f>
        <v/>
      </c>
      <c r="H336" s="29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IFERROR(IF(SUMIFS(tblDaily[Admissions],tblDaily[EntryDate],DATE(2026,9,19),tblDaily[WardCode],"FW")=0,"",SUMIFS(tblDaily[Admissions],tblDaily[EntryDate],DATE(2026,9,19),tblDaily[WardCode],"FW")),"")</f>
        <v/>
      </c>
      <c r="C337" s="29" t="str">
        <f>IFERROR(IF(SUMIFS(tblDaily[Discharges],tblDaily[EntryDate],DATE(2026,9,19),tblDaily[WardCode],"FW")=0,"",SUMIFS(tblDaily[Discharges],tblDaily[EntryDate],DATE(2026,9,19),tblDaily[WardCode],"FW")),"")</f>
        <v/>
      </c>
      <c r="D337" s="29" t="str">
        <f>IFERROR(IF(SUMIFS(tblDaily[Deaths],tblDaily[EntryDate],DATE(2026,9,19),tblDaily[WardCode],"FW")=0,"",SUMIFS(tblDaily[Deaths],tblDaily[EntryDate],DATE(2026,9,19),tblDaily[WardCode],"FW")),"")</f>
        <v/>
      </c>
      <c r="E337" s="29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29" t="str">
        <f>IFERROR(IF(SUMIFS(tblDaily[TransfersIn],tblDaily[EntryDate],DATE(2026,9,19),tblDaily[WardCode],"FW")=0,"",SUMIFS(tblDaily[TransfersIn],tblDaily[EntryDate],DATE(2026,9,19),tblDaily[WardCode],"FW")),"")</f>
        <v/>
      </c>
      <c r="G337" s="29" t="str">
        <f>IFERROR(IF(SUMIFS(tblDaily[TransfersOut],tblDaily[EntryDate],DATE(2026,9,19),tblDaily[WardCode],"FW")=0,"",SUMIFS(tblDaily[TransfersOut],tblDaily[EntryDate],DATE(2026,9,19),tblDaily[WardCode],"FW")),"")</f>
        <v/>
      </c>
      <c r="H337" s="29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IFERROR(IF(SUMIFS(tblDaily[Admissions],tblDaily[EntryDate],DATE(2026,9,20),tblDaily[WardCode],"FW")=0,"",SUMIFS(tblDaily[Admissions],tblDaily[EntryDate],DATE(2026,9,20),tblDaily[WardCode],"FW")),"")</f>
        <v/>
      </c>
      <c r="C338" s="29" t="str">
        <f>IFERROR(IF(SUMIFS(tblDaily[Discharges],tblDaily[EntryDate],DATE(2026,9,20),tblDaily[WardCode],"FW")=0,"",SUMIFS(tblDaily[Discharges],tblDaily[EntryDate],DATE(2026,9,20),tblDaily[WardCode],"FW")),"")</f>
        <v/>
      </c>
      <c r="D338" s="29" t="str">
        <f>IFERROR(IF(SUMIFS(tblDaily[Deaths],tblDaily[EntryDate],DATE(2026,9,20),tblDaily[WardCode],"FW")=0,"",SUMIFS(tblDaily[Deaths],tblDaily[EntryDate],DATE(2026,9,20),tblDaily[WardCode],"FW")),"")</f>
        <v/>
      </c>
      <c r="E338" s="29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29" t="str">
        <f>IFERROR(IF(SUMIFS(tblDaily[TransfersIn],tblDaily[EntryDate],DATE(2026,9,20),tblDaily[WardCode],"FW")=0,"",SUMIFS(tblDaily[TransfersIn],tblDaily[EntryDate],DATE(2026,9,20),tblDaily[WardCode],"FW")),"")</f>
        <v/>
      </c>
      <c r="G338" s="29" t="str">
        <f>IFERROR(IF(SUMIFS(tblDaily[TransfersOut],tblDaily[EntryDate],DATE(2026,9,20),tblDaily[WardCode],"FW")=0,"",SUMIFS(tblDaily[TransfersOut],tblDaily[EntryDate],DATE(2026,9,20),tblDaily[WardCode],"FW")),"")</f>
        <v/>
      </c>
      <c r="H338" s="29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IFERROR(IF(SUMIFS(tblDaily[Admissions],tblDaily[EntryDate],DATE(2026,9,21),tblDaily[WardCode],"FW")=0,"",SUMIFS(tblDaily[Admissions],tblDaily[EntryDate],DATE(2026,9,21),tblDaily[WardCode],"FW")),"")</f>
        <v/>
      </c>
      <c r="C339" s="29" t="str">
        <f>IFERROR(IF(SUMIFS(tblDaily[Discharges],tblDaily[EntryDate],DATE(2026,9,21),tblDaily[WardCode],"FW")=0,"",SUMIFS(tblDaily[Discharges],tblDaily[EntryDate],DATE(2026,9,21),tblDaily[WardCode],"FW")),"")</f>
        <v/>
      </c>
      <c r="D339" s="29" t="str">
        <f>IFERROR(IF(SUMIFS(tblDaily[Deaths],tblDaily[EntryDate],DATE(2026,9,21),tblDaily[WardCode],"FW")=0,"",SUMIFS(tblDaily[Deaths],tblDaily[EntryDate],DATE(2026,9,21),tblDaily[WardCode],"FW")),"")</f>
        <v/>
      </c>
      <c r="E339" s="29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29" t="str">
        <f>IFERROR(IF(SUMIFS(tblDaily[TransfersIn],tblDaily[EntryDate],DATE(2026,9,21),tblDaily[WardCode],"FW")=0,"",SUMIFS(tblDaily[TransfersIn],tblDaily[EntryDate],DATE(2026,9,21),tblDaily[WardCode],"FW")),"")</f>
        <v/>
      </c>
      <c r="G339" s="29" t="str">
        <f>IFERROR(IF(SUMIFS(tblDaily[TransfersOut],tblDaily[EntryDate],DATE(2026,9,21),tblDaily[WardCode],"FW")=0,"",SUMIFS(tblDaily[TransfersOut],tblDaily[EntryDate],DATE(2026,9,21),tblDaily[WardCode],"FW")),"")</f>
        <v/>
      </c>
      <c r="H339" s="29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IFERROR(IF(SUMIFS(tblDaily[Admissions],tblDaily[EntryDate],DATE(2026,9,22),tblDaily[WardCode],"FW")=0,"",SUMIFS(tblDaily[Admissions],tblDaily[EntryDate],DATE(2026,9,22),tblDaily[WardCode],"FW")),"")</f>
        <v/>
      </c>
      <c r="C340" s="29" t="str">
        <f>IFERROR(IF(SUMIFS(tblDaily[Discharges],tblDaily[EntryDate],DATE(2026,9,22),tblDaily[WardCode],"FW")=0,"",SUMIFS(tblDaily[Discharges],tblDaily[EntryDate],DATE(2026,9,22),tblDaily[WardCode],"FW")),"")</f>
        <v/>
      </c>
      <c r="D340" s="29" t="str">
        <f>IFERROR(IF(SUMIFS(tblDaily[Deaths],tblDaily[EntryDate],DATE(2026,9,22),tblDaily[WardCode],"FW")=0,"",SUMIFS(tblDaily[Deaths],tblDaily[EntryDate],DATE(2026,9,22),tblDaily[WardCode],"FW")),"")</f>
        <v/>
      </c>
      <c r="E340" s="29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29" t="str">
        <f>IFERROR(IF(SUMIFS(tblDaily[TransfersIn],tblDaily[EntryDate],DATE(2026,9,22),tblDaily[WardCode],"FW")=0,"",SUMIFS(tblDaily[TransfersIn],tblDaily[EntryDate],DATE(2026,9,22),tblDaily[WardCode],"FW")),"")</f>
        <v/>
      </c>
      <c r="G340" s="29" t="str">
        <f>IFERROR(IF(SUMIFS(tblDaily[TransfersOut],tblDaily[EntryDate],DATE(2026,9,22),tblDaily[WardCode],"FW")=0,"",SUMIFS(tblDaily[TransfersOut],tblDaily[EntryDate],DATE(2026,9,22),tblDaily[WardCode],"FW")),"")</f>
        <v/>
      </c>
      <c r="H340" s="29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IFERROR(IF(SUMIFS(tblDaily[Admissions],tblDaily[EntryDate],DATE(2026,9,23),tblDaily[WardCode],"FW")=0,"",SUMIFS(tblDaily[Admissions],tblDaily[EntryDate],DATE(2026,9,23),tblDaily[WardCode],"FW")),"")</f>
        <v/>
      </c>
      <c r="C341" s="29" t="str">
        <f>IFERROR(IF(SUMIFS(tblDaily[Discharges],tblDaily[EntryDate],DATE(2026,9,23),tblDaily[WardCode],"FW")=0,"",SUMIFS(tblDaily[Discharges],tblDaily[EntryDate],DATE(2026,9,23),tblDaily[WardCode],"FW")),"")</f>
        <v/>
      </c>
      <c r="D341" s="29" t="str">
        <f>IFERROR(IF(SUMIFS(tblDaily[Deaths],tblDaily[EntryDate],DATE(2026,9,23),tblDaily[WardCode],"FW")=0,"",SUMIFS(tblDaily[Deaths],tblDaily[EntryDate],DATE(2026,9,23),tblDaily[WardCode],"FW")),"")</f>
        <v/>
      </c>
      <c r="E341" s="29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29" t="str">
        <f>IFERROR(IF(SUMIFS(tblDaily[TransfersIn],tblDaily[EntryDate],DATE(2026,9,23),tblDaily[WardCode],"FW")=0,"",SUMIFS(tblDaily[TransfersIn],tblDaily[EntryDate],DATE(2026,9,23),tblDaily[WardCode],"FW")),"")</f>
        <v/>
      </c>
      <c r="G341" s="29" t="str">
        <f>IFERROR(IF(SUMIFS(tblDaily[TransfersOut],tblDaily[EntryDate],DATE(2026,9,23),tblDaily[WardCode],"FW")=0,"",SUMIFS(tblDaily[TransfersOut],tblDaily[EntryDate],DATE(2026,9,23),tblDaily[WardCode],"FW")),"")</f>
        <v/>
      </c>
      <c r="H341" s="29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IFERROR(IF(SUMIFS(tblDaily[Admissions],tblDaily[EntryDate],DATE(2026,9,24),tblDaily[WardCode],"FW")=0,"",SUMIFS(tblDaily[Admissions],tblDaily[EntryDate],DATE(2026,9,24),tblDaily[WardCode],"FW")),"")</f>
        <v/>
      </c>
      <c r="C342" s="29" t="str">
        <f>IFERROR(IF(SUMIFS(tblDaily[Discharges],tblDaily[EntryDate],DATE(2026,9,24),tblDaily[WardCode],"FW")=0,"",SUMIFS(tblDaily[Discharges],tblDaily[EntryDate],DATE(2026,9,24),tblDaily[WardCode],"FW")),"")</f>
        <v/>
      </c>
      <c r="D342" s="29" t="str">
        <f>IFERROR(IF(SUMIFS(tblDaily[Deaths],tblDaily[EntryDate],DATE(2026,9,24),tblDaily[WardCode],"FW")=0,"",SUMIFS(tblDaily[Deaths],tblDaily[EntryDate],DATE(2026,9,24),tblDaily[WardCode],"FW")),"")</f>
        <v/>
      </c>
      <c r="E342" s="29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29" t="str">
        <f>IFERROR(IF(SUMIFS(tblDaily[TransfersIn],tblDaily[EntryDate],DATE(2026,9,24),tblDaily[WardCode],"FW")=0,"",SUMIFS(tblDaily[TransfersIn],tblDaily[EntryDate],DATE(2026,9,24),tblDaily[WardCode],"FW")),"")</f>
        <v/>
      </c>
      <c r="G342" s="29" t="str">
        <f>IFERROR(IF(SUMIFS(tblDaily[TransfersOut],tblDaily[EntryDate],DATE(2026,9,24),tblDaily[WardCode],"FW")=0,"",SUMIFS(tblDaily[TransfersOut],tblDaily[EntryDate],DATE(2026,9,24),tblDaily[WardCode],"FW")),"")</f>
        <v/>
      </c>
      <c r="H342" s="29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IFERROR(IF(SUMIFS(tblDaily[Admissions],tblDaily[EntryDate],DATE(2026,9,25),tblDaily[WardCode],"FW")=0,"",SUMIFS(tblDaily[Admissions],tblDaily[EntryDate],DATE(2026,9,25),tblDaily[WardCode],"FW")),"")</f>
        <v/>
      </c>
      <c r="C343" s="29" t="str">
        <f>IFERROR(IF(SUMIFS(tblDaily[Discharges],tblDaily[EntryDate],DATE(2026,9,25),tblDaily[WardCode],"FW")=0,"",SUMIFS(tblDaily[Discharges],tblDaily[EntryDate],DATE(2026,9,25),tblDaily[WardCode],"FW")),"")</f>
        <v/>
      </c>
      <c r="D343" s="29" t="str">
        <f>IFERROR(IF(SUMIFS(tblDaily[Deaths],tblDaily[EntryDate],DATE(2026,9,25),tblDaily[WardCode],"FW")=0,"",SUMIFS(tblDaily[Deaths],tblDaily[EntryDate],DATE(2026,9,25),tblDaily[WardCode],"FW")),"")</f>
        <v/>
      </c>
      <c r="E343" s="29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29" t="str">
        <f>IFERROR(IF(SUMIFS(tblDaily[TransfersIn],tblDaily[EntryDate],DATE(2026,9,25),tblDaily[WardCode],"FW")=0,"",SUMIFS(tblDaily[TransfersIn],tblDaily[EntryDate],DATE(2026,9,25),tblDaily[WardCode],"FW")),"")</f>
        <v/>
      </c>
      <c r="G343" s="29" t="str">
        <f>IFERROR(IF(SUMIFS(tblDaily[TransfersOut],tblDaily[EntryDate],DATE(2026,9,25),tblDaily[WardCode],"FW")=0,"",SUMIFS(tblDaily[TransfersOut],tblDaily[EntryDate],DATE(2026,9,25),tblDaily[WardCode],"FW")),"")</f>
        <v/>
      </c>
      <c r="H343" s="29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IFERROR(IF(SUMIFS(tblDaily[Admissions],tblDaily[EntryDate],DATE(2026,9,26),tblDaily[WardCode],"FW")=0,"",SUMIFS(tblDaily[Admissions],tblDaily[EntryDate],DATE(2026,9,26),tblDaily[WardCode],"FW")),"")</f>
        <v/>
      </c>
      <c r="C344" s="29" t="str">
        <f>IFERROR(IF(SUMIFS(tblDaily[Discharges],tblDaily[EntryDate],DATE(2026,9,26),tblDaily[WardCode],"FW")=0,"",SUMIFS(tblDaily[Discharges],tblDaily[EntryDate],DATE(2026,9,26),tblDaily[WardCode],"FW")),"")</f>
        <v/>
      </c>
      <c r="D344" s="29" t="str">
        <f>IFERROR(IF(SUMIFS(tblDaily[Deaths],tblDaily[EntryDate],DATE(2026,9,26),tblDaily[WardCode],"FW")=0,"",SUMIFS(tblDaily[Deaths],tblDaily[EntryDate],DATE(2026,9,26),tblDaily[WardCode],"FW")),"")</f>
        <v/>
      </c>
      <c r="E344" s="29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29" t="str">
        <f>IFERROR(IF(SUMIFS(tblDaily[TransfersIn],tblDaily[EntryDate],DATE(2026,9,26),tblDaily[WardCode],"FW")=0,"",SUMIFS(tblDaily[TransfersIn],tblDaily[EntryDate],DATE(2026,9,26),tblDaily[WardCode],"FW")),"")</f>
        <v/>
      </c>
      <c r="G344" s="29" t="str">
        <f>IFERROR(IF(SUMIFS(tblDaily[TransfersOut],tblDaily[EntryDate],DATE(2026,9,26),tblDaily[WardCode],"FW")=0,"",SUMIFS(tblDaily[TransfersOut],tblDaily[EntryDate],DATE(2026,9,26),tblDaily[WardCode],"FW")),"")</f>
        <v/>
      </c>
      <c r="H344" s="29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IFERROR(IF(SUMIFS(tblDaily[Admissions],tblDaily[EntryDate],DATE(2026,9,27),tblDaily[WardCode],"FW")=0,"",SUMIFS(tblDaily[Admissions],tblDaily[EntryDate],DATE(2026,9,27),tblDaily[WardCode],"FW")),"")</f>
        <v/>
      </c>
      <c r="C345" s="29" t="str">
        <f>IFERROR(IF(SUMIFS(tblDaily[Discharges],tblDaily[EntryDate],DATE(2026,9,27),tblDaily[WardCode],"FW")=0,"",SUMIFS(tblDaily[Discharges],tblDaily[EntryDate],DATE(2026,9,27),tblDaily[WardCode],"FW")),"")</f>
        <v/>
      </c>
      <c r="D345" s="29" t="str">
        <f>IFERROR(IF(SUMIFS(tblDaily[Deaths],tblDaily[EntryDate],DATE(2026,9,27),tblDaily[WardCode],"FW")=0,"",SUMIFS(tblDaily[Deaths],tblDaily[EntryDate],DATE(2026,9,27),tblDaily[WardCode],"FW")),"")</f>
        <v/>
      </c>
      <c r="E345" s="29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29" t="str">
        <f>IFERROR(IF(SUMIFS(tblDaily[TransfersIn],tblDaily[EntryDate],DATE(2026,9,27),tblDaily[WardCode],"FW")=0,"",SUMIFS(tblDaily[TransfersIn],tblDaily[EntryDate],DATE(2026,9,27),tblDaily[WardCode],"FW")),"")</f>
        <v/>
      </c>
      <c r="G345" s="29" t="str">
        <f>IFERROR(IF(SUMIFS(tblDaily[TransfersOut],tblDaily[EntryDate],DATE(2026,9,27),tblDaily[WardCode],"FW")=0,"",SUMIFS(tblDaily[TransfersOut],tblDaily[EntryDate],DATE(2026,9,27),tblDaily[WardCode],"FW")),"")</f>
        <v/>
      </c>
      <c r="H345" s="29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IFERROR(IF(SUMIFS(tblDaily[Admissions],tblDaily[EntryDate],DATE(2026,9,28),tblDaily[WardCode],"FW")=0,"",SUMIFS(tblDaily[Admissions],tblDaily[EntryDate],DATE(2026,9,28),tblDaily[WardCode],"FW")),"")</f>
        <v/>
      </c>
      <c r="C346" s="29" t="str">
        <f>IFERROR(IF(SUMIFS(tblDaily[Discharges],tblDaily[EntryDate],DATE(2026,9,28),tblDaily[WardCode],"FW")=0,"",SUMIFS(tblDaily[Discharges],tblDaily[EntryDate],DATE(2026,9,28),tblDaily[WardCode],"FW")),"")</f>
        <v/>
      </c>
      <c r="D346" s="29" t="str">
        <f>IFERROR(IF(SUMIFS(tblDaily[Deaths],tblDaily[EntryDate],DATE(2026,9,28),tblDaily[WardCode],"FW")=0,"",SUMIFS(tblDaily[Deaths],tblDaily[EntryDate],DATE(2026,9,28),tblDaily[WardCode],"FW")),"")</f>
        <v/>
      </c>
      <c r="E346" s="29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29" t="str">
        <f>IFERROR(IF(SUMIFS(tblDaily[TransfersIn],tblDaily[EntryDate],DATE(2026,9,28),tblDaily[WardCode],"FW")=0,"",SUMIFS(tblDaily[TransfersIn],tblDaily[EntryDate],DATE(2026,9,28),tblDaily[WardCode],"FW")),"")</f>
        <v/>
      </c>
      <c r="G346" s="29" t="str">
        <f>IFERROR(IF(SUMIFS(tblDaily[TransfersOut],tblDaily[EntryDate],DATE(2026,9,28),tblDaily[WardCode],"FW")=0,"",SUMIFS(tblDaily[TransfersOut],tblDaily[EntryDate],DATE(2026,9,28),tblDaily[WardCode],"FW")),"")</f>
        <v/>
      </c>
      <c r="H346" s="29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IFERROR(IF(SUMIFS(tblDaily[Admissions],tblDaily[EntryDate],DATE(2026,9,29),tblDaily[WardCode],"FW")=0,"",SUMIFS(tblDaily[Admissions],tblDaily[EntryDate],DATE(2026,9,29),tblDaily[WardCode],"FW")),"")</f>
        <v/>
      </c>
      <c r="C347" s="29" t="str">
        <f>IFERROR(IF(SUMIFS(tblDaily[Discharges],tblDaily[EntryDate],DATE(2026,9,29),tblDaily[WardCode],"FW")=0,"",SUMIFS(tblDaily[Discharges],tblDaily[EntryDate],DATE(2026,9,29),tblDaily[WardCode],"FW")),"")</f>
        <v/>
      </c>
      <c r="D347" s="29" t="str">
        <f>IFERROR(IF(SUMIFS(tblDaily[Deaths],tblDaily[EntryDate],DATE(2026,9,29),tblDaily[WardCode],"FW")=0,"",SUMIFS(tblDaily[Deaths],tblDaily[EntryDate],DATE(2026,9,29),tblDaily[WardCode],"FW")),"")</f>
        <v/>
      </c>
      <c r="E347" s="29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29" t="str">
        <f>IFERROR(IF(SUMIFS(tblDaily[TransfersIn],tblDaily[EntryDate],DATE(2026,9,29),tblDaily[WardCode],"FW")=0,"",SUMIFS(tblDaily[TransfersIn],tblDaily[EntryDate],DATE(2026,9,29),tblDaily[WardCode],"FW")),"")</f>
        <v/>
      </c>
      <c r="G347" s="29" t="str">
        <f>IFERROR(IF(SUMIFS(tblDaily[TransfersOut],tblDaily[EntryDate],DATE(2026,9,29),tblDaily[WardCode],"FW")=0,"",SUMIFS(tblDaily[TransfersOut],tblDaily[EntryDate],DATE(2026,9,29),tblDaily[WardCode],"FW")),"")</f>
        <v/>
      </c>
      <c r="H347" s="29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IFERROR(IF(SUMIFS(tblDaily[Admissions],tblDaily[EntryDate],DATE(2026,9,30),tblDaily[WardCode],"FW")=0,"",SUMIFS(tblDaily[Admissions],tblDaily[EntryDate],DATE(2026,9,30),tblDaily[WardCode],"FW")),"")</f>
        <v/>
      </c>
      <c r="C348" s="29" t="str">
        <f>IFERROR(IF(SUMIFS(tblDaily[Discharges],tblDaily[EntryDate],DATE(2026,9,30),tblDaily[WardCode],"FW")=0,"",SUMIFS(tblDaily[Discharges],tblDaily[EntryDate],DATE(2026,9,30),tblDaily[WardCode],"FW")),"")</f>
        <v/>
      </c>
      <c r="D348" s="29" t="str">
        <f>IFERROR(IF(SUMIFS(tblDaily[Deaths],tblDaily[EntryDate],DATE(2026,9,30),tblDaily[WardCode],"FW")=0,"",SUMIFS(tblDaily[Deaths],tblDaily[EntryDate],DATE(2026,9,30),tblDaily[WardCode],"FW")),"")</f>
        <v/>
      </c>
      <c r="E348" s="29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29" t="str">
        <f>IFERROR(IF(SUMIFS(tblDaily[TransfersIn],tblDaily[EntryDate],DATE(2026,9,30),tblDaily[WardCode],"FW")=0,"",SUMIFS(tblDaily[TransfersIn],tblDaily[EntryDate],DATE(2026,9,30),tblDaily[WardCode],"FW")),"")</f>
        <v/>
      </c>
      <c r="G348" s="29" t="str">
        <f>IFERROR(IF(SUMIFS(tblDaily[TransfersOut],tblDaily[EntryDate],DATE(2026,9,30),tblDaily[WardCode],"FW")=0,"",SUMIFS(tblDaily[TransfersOut],tblDaily[EntryDate],DATE(2026,9,30),tblDaily[WardCode],"FW")),"")</f>
        <v/>
      </c>
      <c r="H348" s="29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SUMIFS(tblDaily[Admissions],tblDaily[Month],9,tblDaily[WardCode],"FW") - SUMIFS(tblDaily[DeathsUnder24Hrs],tblDaily[Month],9,tblDaily[WardCode],"FW")</f>
        <v>0</v>
      </c>
      <c r="C350" s="30">
        <f>SUMIFS(tblDaily[Discharges],tblDaily[Month],9,tblDaily[WardCode],"FW")</f>
        <v>0</v>
      </c>
      <c r="D350" s="30">
        <f>SUMIFS(tblDaily[Deaths],tblDaily[Month],9,tblDaily[WardCode],"FW")</f>
        <v>0</v>
      </c>
      <c r="E350" s="30">
        <f>SUMIFS(tblDaily[DeathsUnder24Hrs],tblDaily[Month],9,tblDaily[WardCode],"FW")</f>
        <v>0</v>
      </c>
      <c r="F350" s="30">
        <f>SUMIFS(tblDaily[TransfersIn],tblDaily[Month],9,tblDaily[WardCode],"FW")</f>
        <v>0</v>
      </c>
      <c r="G350" s="30">
        <f>SUMIFS(tblDaily[TransfersOut],tblDaily[Month],9,tblDaily[WardCode],"FW")</f>
        <v>0</v>
      </c>
      <c r="H350" s="30">
        <f>SUMIFS(tblDaily[Remaining],tblDaily[Month],9,tblDaily[WardCode],"FW")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116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IFERROR(SUMIFS(tblDaily[Remaining],tblDaily[EntryDate],DATE(2026,9,30),tblDaily[WardCode],"FW"),0)</f>
        <v>0</v>
      </c>
    </row>
    <row r="356" spans="1:8" x14ac:dyDescent="0.25">
      <c r="A356" s="24" t="s">
        <v>109</v>
      </c>
      <c r="H356" s="27">
        <f>IFERROR(INDEX(tblWardConfig[BedComplement],MATCH("FW",tblWardConfig[WardCode],0)),0)</f>
        <v>28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IFERROR(IF(SUMIFS(tblDaily[Admissions],tblDaily[EntryDate],DATE(2026,10,1),tblDaily[WardCode],"FW")=0,"",SUMIFS(tblDaily[Admissions],tblDaily[EntryDate],DATE(2026,10,1),tblDaily[WardCode],"FW")),"")</f>
        <v/>
      </c>
      <c r="C358" s="29" t="str">
        <f>IFERROR(IF(SUMIFS(tblDaily[Discharges],tblDaily[EntryDate],DATE(2026,10,1),tblDaily[WardCode],"FW")=0,"",SUMIFS(tblDaily[Discharges],tblDaily[EntryDate],DATE(2026,10,1),tblDaily[WardCode],"FW")),"")</f>
        <v/>
      </c>
      <c r="D358" s="29" t="str">
        <f>IFERROR(IF(SUMIFS(tblDaily[Deaths],tblDaily[EntryDate],DATE(2026,10,1),tblDaily[WardCode],"FW")=0,"",SUMIFS(tblDaily[Deaths],tblDaily[EntryDate],DATE(2026,10,1),tblDaily[WardCode],"FW")),"")</f>
        <v/>
      </c>
      <c r="E358" s="29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29" t="str">
        <f>IFERROR(IF(SUMIFS(tblDaily[TransfersIn],tblDaily[EntryDate],DATE(2026,10,1),tblDaily[WardCode],"FW")=0,"",SUMIFS(tblDaily[TransfersIn],tblDaily[EntryDate],DATE(2026,10,1),tblDaily[WardCode],"FW")),"")</f>
        <v/>
      </c>
      <c r="G358" s="29" t="str">
        <f>IFERROR(IF(SUMIFS(tblDaily[TransfersOut],tblDaily[EntryDate],DATE(2026,10,1),tblDaily[WardCode],"FW")=0,"",SUMIFS(tblDaily[TransfersOut],tblDaily[EntryDate],DATE(2026,10,1),tblDaily[WardCode],"FW")),"")</f>
        <v/>
      </c>
      <c r="H358" s="29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IFERROR(IF(SUMIFS(tblDaily[Admissions],tblDaily[EntryDate],DATE(2026,10,2),tblDaily[WardCode],"FW")=0,"",SUMIFS(tblDaily[Admissions],tblDaily[EntryDate],DATE(2026,10,2),tblDaily[WardCode],"FW")),"")</f>
        <v/>
      </c>
      <c r="C359" s="29" t="str">
        <f>IFERROR(IF(SUMIFS(tblDaily[Discharges],tblDaily[EntryDate],DATE(2026,10,2),tblDaily[WardCode],"FW")=0,"",SUMIFS(tblDaily[Discharges],tblDaily[EntryDate],DATE(2026,10,2),tblDaily[WardCode],"FW")),"")</f>
        <v/>
      </c>
      <c r="D359" s="29" t="str">
        <f>IFERROR(IF(SUMIFS(tblDaily[Deaths],tblDaily[EntryDate],DATE(2026,10,2),tblDaily[WardCode],"FW")=0,"",SUMIFS(tblDaily[Deaths],tblDaily[EntryDate],DATE(2026,10,2),tblDaily[WardCode],"FW")),"")</f>
        <v/>
      </c>
      <c r="E359" s="29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29" t="str">
        <f>IFERROR(IF(SUMIFS(tblDaily[TransfersIn],tblDaily[EntryDate],DATE(2026,10,2),tblDaily[WardCode],"FW")=0,"",SUMIFS(tblDaily[TransfersIn],tblDaily[EntryDate],DATE(2026,10,2),tblDaily[WardCode],"FW")),"")</f>
        <v/>
      </c>
      <c r="G359" s="29" t="str">
        <f>IFERROR(IF(SUMIFS(tblDaily[TransfersOut],tblDaily[EntryDate],DATE(2026,10,2),tblDaily[WardCode],"FW")=0,"",SUMIFS(tblDaily[TransfersOut],tblDaily[EntryDate],DATE(2026,10,2),tblDaily[WardCode],"FW")),"")</f>
        <v/>
      </c>
      <c r="H359" s="29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IFERROR(IF(SUMIFS(tblDaily[Admissions],tblDaily[EntryDate],DATE(2026,10,3),tblDaily[WardCode],"FW")=0,"",SUMIFS(tblDaily[Admissions],tblDaily[EntryDate],DATE(2026,10,3),tblDaily[WardCode],"FW")),"")</f>
        <v/>
      </c>
      <c r="C360" s="29" t="str">
        <f>IFERROR(IF(SUMIFS(tblDaily[Discharges],tblDaily[EntryDate],DATE(2026,10,3),tblDaily[WardCode],"FW")=0,"",SUMIFS(tblDaily[Discharges],tblDaily[EntryDate],DATE(2026,10,3),tblDaily[WardCode],"FW")),"")</f>
        <v/>
      </c>
      <c r="D360" s="29" t="str">
        <f>IFERROR(IF(SUMIFS(tblDaily[Deaths],tblDaily[EntryDate],DATE(2026,10,3),tblDaily[WardCode],"FW")=0,"",SUMIFS(tblDaily[Deaths],tblDaily[EntryDate],DATE(2026,10,3),tblDaily[WardCode],"FW")),"")</f>
        <v/>
      </c>
      <c r="E360" s="29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29" t="str">
        <f>IFERROR(IF(SUMIFS(tblDaily[TransfersIn],tblDaily[EntryDate],DATE(2026,10,3),tblDaily[WardCode],"FW")=0,"",SUMIFS(tblDaily[TransfersIn],tblDaily[EntryDate],DATE(2026,10,3),tblDaily[WardCode],"FW")),"")</f>
        <v/>
      </c>
      <c r="G360" s="29" t="str">
        <f>IFERROR(IF(SUMIFS(tblDaily[TransfersOut],tblDaily[EntryDate],DATE(2026,10,3),tblDaily[WardCode],"FW")=0,"",SUMIFS(tblDaily[TransfersOut],tblDaily[EntryDate],DATE(2026,10,3),tblDaily[WardCode],"FW")),"")</f>
        <v/>
      </c>
      <c r="H360" s="29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IFERROR(IF(SUMIFS(tblDaily[Admissions],tblDaily[EntryDate],DATE(2026,10,4),tblDaily[WardCode],"FW")=0,"",SUMIFS(tblDaily[Admissions],tblDaily[EntryDate],DATE(2026,10,4),tblDaily[WardCode],"FW")),"")</f>
        <v/>
      </c>
      <c r="C361" s="29" t="str">
        <f>IFERROR(IF(SUMIFS(tblDaily[Discharges],tblDaily[EntryDate],DATE(2026,10,4),tblDaily[WardCode],"FW")=0,"",SUMIFS(tblDaily[Discharges],tblDaily[EntryDate],DATE(2026,10,4),tblDaily[WardCode],"FW")),"")</f>
        <v/>
      </c>
      <c r="D361" s="29" t="str">
        <f>IFERROR(IF(SUMIFS(tblDaily[Deaths],tblDaily[EntryDate],DATE(2026,10,4),tblDaily[WardCode],"FW")=0,"",SUMIFS(tblDaily[Deaths],tblDaily[EntryDate],DATE(2026,10,4),tblDaily[WardCode],"FW")),"")</f>
        <v/>
      </c>
      <c r="E361" s="29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29" t="str">
        <f>IFERROR(IF(SUMIFS(tblDaily[TransfersIn],tblDaily[EntryDate],DATE(2026,10,4),tblDaily[WardCode],"FW")=0,"",SUMIFS(tblDaily[TransfersIn],tblDaily[EntryDate],DATE(2026,10,4),tblDaily[WardCode],"FW")),"")</f>
        <v/>
      </c>
      <c r="G361" s="29" t="str">
        <f>IFERROR(IF(SUMIFS(tblDaily[TransfersOut],tblDaily[EntryDate],DATE(2026,10,4),tblDaily[WardCode],"FW")=0,"",SUMIFS(tblDaily[TransfersOut],tblDaily[EntryDate],DATE(2026,10,4),tblDaily[WardCode],"FW")),"")</f>
        <v/>
      </c>
      <c r="H361" s="29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IFERROR(IF(SUMIFS(tblDaily[Admissions],tblDaily[EntryDate],DATE(2026,10,5),tblDaily[WardCode],"FW")=0,"",SUMIFS(tblDaily[Admissions],tblDaily[EntryDate],DATE(2026,10,5),tblDaily[WardCode],"FW")),"")</f>
        <v/>
      </c>
      <c r="C362" s="29" t="str">
        <f>IFERROR(IF(SUMIFS(tblDaily[Discharges],tblDaily[EntryDate],DATE(2026,10,5),tblDaily[WardCode],"FW")=0,"",SUMIFS(tblDaily[Discharges],tblDaily[EntryDate],DATE(2026,10,5),tblDaily[WardCode],"FW")),"")</f>
        <v/>
      </c>
      <c r="D362" s="29" t="str">
        <f>IFERROR(IF(SUMIFS(tblDaily[Deaths],tblDaily[EntryDate],DATE(2026,10,5),tblDaily[WardCode],"FW")=0,"",SUMIFS(tblDaily[Deaths],tblDaily[EntryDate],DATE(2026,10,5),tblDaily[WardCode],"FW")),"")</f>
        <v/>
      </c>
      <c r="E362" s="29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29" t="str">
        <f>IFERROR(IF(SUMIFS(tblDaily[TransfersIn],tblDaily[EntryDate],DATE(2026,10,5),tblDaily[WardCode],"FW")=0,"",SUMIFS(tblDaily[TransfersIn],tblDaily[EntryDate],DATE(2026,10,5),tblDaily[WardCode],"FW")),"")</f>
        <v/>
      </c>
      <c r="G362" s="29" t="str">
        <f>IFERROR(IF(SUMIFS(tblDaily[TransfersOut],tblDaily[EntryDate],DATE(2026,10,5),tblDaily[WardCode],"FW")=0,"",SUMIFS(tblDaily[TransfersOut],tblDaily[EntryDate],DATE(2026,10,5),tblDaily[WardCode],"FW")),"")</f>
        <v/>
      </c>
      <c r="H362" s="29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IFERROR(IF(SUMIFS(tblDaily[Admissions],tblDaily[EntryDate],DATE(2026,10,6),tblDaily[WardCode],"FW")=0,"",SUMIFS(tblDaily[Admissions],tblDaily[EntryDate],DATE(2026,10,6),tblDaily[WardCode],"FW")),"")</f>
        <v/>
      </c>
      <c r="C363" s="29" t="str">
        <f>IFERROR(IF(SUMIFS(tblDaily[Discharges],tblDaily[EntryDate],DATE(2026,10,6),tblDaily[WardCode],"FW")=0,"",SUMIFS(tblDaily[Discharges],tblDaily[EntryDate],DATE(2026,10,6),tblDaily[WardCode],"FW")),"")</f>
        <v/>
      </c>
      <c r="D363" s="29" t="str">
        <f>IFERROR(IF(SUMIFS(tblDaily[Deaths],tblDaily[EntryDate],DATE(2026,10,6),tblDaily[WardCode],"FW")=0,"",SUMIFS(tblDaily[Deaths],tblDaily[EntryDate],DATE(2026,10,6),tblDaily[WardCode],"FW")),"")</f>
        <v/>
      </c>
      <c r="E363" s="29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29" t="str">
        <f>IFERROR(IF(SUMIFS(tblDaily[TransfersIn],tblDaily[EntryDate],DATE(2026,10,6),tblDaily[WardCode],"FW")=0,"",SUMIFS(tblDaily[TransfersIn],tblDaily[EntryDate],DATE(2026,10,6),tblDaily[WardCode],"FW")),"")</f>
        <v/>
      </c>
      <c r="G363" s="29" t="str">
        <f>IFERROR(IF(SUMIFS(tblDaily[TransfersOut],tblDaily[EntryDate],DATE(2026,10,6),tblDaily[WardCode],"FW")=0,"",SUMIFS(tblDaily[TransfersOut],tblDaily[EntryDate],DATE(2026,10,6),tblDaily[WardCode],"FW")),"")</f>
        <v/>
      </c>
      <c r="H363" s="29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IFERROR(IF(SUMIFS(tblDaily[Admissions],tblDaily[EntryDate],DATE(2026,10,7),tblDaily[WardCode],"FW")=0,"",SUMIFS(tblDaily[Admissions],tblDaily[EntryDate],DATE(2026,10,7),tblDaily[WardCode],"FW")),"")</f>
        <v/>
      </c>
      <c r="C364" s="29" t="str">
        <f>IFERROR(IF(SUMIFS(tblDaily[Discharges],tblDaily[EntryDate],DATE(2026,10,7),tblDaily[WardCode],"FW")=0,"",SUMIFS(tblDaily[Discharges],tblDaily[EntryDate],DATE(2026,10,7),tblDaily[WardCode],"FW")),"")</f>
        <v/>
      </c>
      <c r="D364" s="29" t="str">
        <f>IFERROR(IF(SUMIFS(tblDaily[Deaths],tblDaily[EntryDate],DATE(2026,10,7),tblDaily[WardCode],"FW")=0,"",SUMIFS(tblDaily[Deaths],tblDaily[EntryDate],DATE(2026,10,7),tblDaily[WardCode],"FW")),"")</f>
        <v/>
      </c>
      <c r="E364" s="29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29" t="str">
        <f>IFERROR(IF(SUMIFS(tblDaily[TransfersIn],tblDaily[EntryDate],DATE(2026,10,7),tblDaily[WardCode],"FW")=0,"",SUMIFS(tblDaily[TransfersIn],tblDaily[EntryDate],DATE(2026,10,7),tblDaily[WardCode],"FW")),"")</f>
        <v/>
      </c>
      <c r="G364" s="29" t="str">
        <f>IFERROR(IF(SUMIFS(tblDaily[TransfersOut],tblDaily[EntryDate],DATE(2026,10,7),tblDaily[WardCode],"FW")=0,"",SUMIFS(tblDaily[TransfersOut],tblDaily[EntryDate],DATE(2026,10,7),tblDaily[WardCode],"FW")),"")</f>
        <v/>
      </c>
      <c r="H364" s="29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IFERROR(IF(SUMIFS(tblDaily[Admissions],tblDaily[EntryDate],DATE(2026,10,8),tblDaily[WardCode],"FW")=0,"",SUMIFS(tblDaily[Admissions],tblDaily[EntryDate],DATE(2026,10,8),tblDaily[WardCode],"FW")),"")</f>
        <v/>
      </c>
      <c r="C365" s="29" t="str">
        <f>IFERROR(IF(SUMIFS(tblDaily[Discharges],tblDaily[EntryDate],DATE(2026,10,8),tblDaily[WardCode],"FW")=0,"",SUMIFS(tblDaily[Discharges],tblDaily[EntryDate],DATE(2026,10,8),tblDaily[WardCode],"FW")),"")</f>
        <v/>
      </c>
      <c r="D365" s="29" t="str">
        <f>IFERROR(IF(SUMIFS(tblDaily[Deaths],tblDaily[EntryDate],DATE(2026,10,8),tblDaily[WardCode],"FW")=0,"",SUMIFS(tblDaily[Deaths],tblDaily[EntryDate],DATE(2026,10,8),tblDaily[WardCode],"FW")),"")</f>
        <v/>
      </c>
      <c r="E365" s="29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29" t="str">
        <f>IFERROR(IF(SUMIFS(tblDaily[TransfersIn],tblDaily[EntryDate],DATE(2026,10,8),tblDaily[WardCode],"FW")=0,"",SUMIFS(tblDaily[TransfersIn],tblDaily[EntryDate],DATE(2026,10,8),tblDaily[WardCode],"FW")),"")</f>
        <v/>
      </c>
      <c r="G365" s="29" t="str">
        <f>IFERROR(IF(SUMIFS(tblDaily[TransfersOut],tblDaily[EntryDate],DATE(2026,10,8),tblDaily[WardCode],"FW")=0,"",SUMIFS(tblDaily[TransfersOut],tblDaily[EntryDate],DATE(2026,10,8),tblDaily[WardCode],"FW")),"")</f>
        <v/>
      </c>
      <c r="H365" s="29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IFERROR(IF(SUMIFS(tblDaily[Admissions],tblDaily[EntryDate],DATE(2026,10,9),tblDaily[WardCode],"FW")=0,"",SUMIFS(tblDaily[Admissions],tblDaily[EntryDate],DATE(2026,10,9),tblDaily[WardCode],"FW")),"")</f>
        <v/>
      </c>
      <c r="C366" s="29" t="str">
        <f>IFERROR(IF(SUMIFS(tblDaily[Discharges],tblDaily[EntryDate],DATE(2026,10,9),tblDaily[WardCode],"FW")=0,"",SUMIFS(tblDaily[Discharges],tblDaily[EntryDate],DATE(2026,10,9),tblDaily[WardCode],"FW")),"")</f>
        <v/>
      </c>
      <c r="D366" s="29" t="str">
        <f>IFERROR(IF(SUMIFS(tblDaily[Deaths],tblDaily[EntryDate],DATE(2026,10,9),tblDaily[WardCode],"FW")=0,"",SUMIFS(tblDaily[Deaths],tblDaily[EntryDate],DATE(2026,10,9),tblDaily[WardCode],"FW")),"")</f>
        <v/>
      </c>
      <c r="E366" s="29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29" t="str">
        <f>IFERROR(IF(SUMIFS(tblDaily[TransfersIn],tblDaily[EntryDate],DATE(2026,10,9),tblDaily[WardCode],"FW")=0,"",SUMIFS(tblDaily[TransfersIn],tblDaily[EntryDate],DATE(2026,10,9),tblDaily[WardCode],"FW")),"")</f>
        <v/>
      </c>
      <c r="G366" s="29" t="str">
        <f>IFERROR(IF(SUMIFS(tblDaily[TransfersOut],tblDaily[EntryDate],DATE(2026,10,9),tblDaily[WardCode],"FW")=0,"",SUMIFS(tblDaily[TransfersOut],tblDaily[EntryDate],DATE(2026,10,9),tblDaily[WardCode],"FW")),"")</f>
        <v/>
      </c>
      <c r="H366" s="29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IFERROR(IF(SUMIFS(tblDaily[Admissions],tblDaily[EntryDate],DATE(2026,10,10),tblDaily[WardCode],"FW")=0,"",SUMIFS(tblDaily[Admissions],tblDaily[EntryDate],DATE(2026,10,10),tblDaily[WardCode],"FW")),"")</f>
        <v/>
      </c>
      <c r="C367" s="29" t="str">
        <f>IFERROR(IF(SUMIFS(tblDaily[Discharges],tblDaily[EntryDate],DATE(2026,10,10),tblDaily[WardCode],"FW")=0,"",SUMIFS(tblDaily[Discharges],tblDaily[EntryDate],DATE(2026,10,10),tblDaily[WardCode],"FW")),"")</f>
        <v/>
      </c>
      <c r="D367" s="29" t="str">
        <f>IFERROR(IF(SUMIFS(tblDaily[Deaths],tblDaily[EntryDate],DATE(2026,10,10),tblDaily[WardCode],"FW")=0,"",SUMIFS(tblDaily[Deaths],tblDaily[EntryDate],DATE(2026,10,10),tblDaily[WardCode],"FW")),"")</f>
        <v/>
      </c>
      <c r="E367" s="29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29" t="str">
        <f>IFERROR(IF(SUMIFS(tblDaily[TransfersIn],tblDaily[EntryDate],DATE(2026,10,10),tblDaily[WardCode],"FW")=0,"",SUMIFS(tblDaily[TransfersIn],tblDaily[EntryDate],DATE(2026,10,10),tblDaily[WardCode],"FW")),"")</f>
        <v/>
      </c>
      <c r="G367" s="29" t="str">
        <f>IFERROR(IF(SUMIFS(tblDaily[TransfersOut],tblDaily[EntryDate],DATE(2026,10,10),tblDaily[WardCode],"FW")=0,"",SUMIFS(tblDaily[TransfersOut],tblDaily[EntryDate],DATE(2026,10,10),tblDaily[WardCode],"FW")),"")</f>
        <v/>
      </c>
      <c r="H367" s="29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IFERROR(IF(SUMIFS(tblDaily[Admissions],tblDaily[EntryDate],DATE(2026,10,11),tblDaily[WardCode],"FW")=0,"",SUMIFS(tblDaily[Admissions],tblDaily[EntryDate],DATE(2026,10,11),tblDaily[WardCode],"FW")),"")</f>
        <v/>
      </c>
      <c r="C368" s="29" t="str">
        <f>IFERROR(IF(SUMIFS(tblDaily[Discharges],tblDaily[EntryDate],DATE(2026,10,11),tblDaily[WardCode],"FW")=0,"",SUMIFS(tblDaily[Discharges],tblDaily[EntryDate],DATE(2026,10,11),tblDaily[WardCode],"FW")),"")</f>
        <v/>
      </c>
      <c r="D368" s="29" t="str">
        <f>IFERROR(IF(SUMIFS(tblDaily[Deaths],tblDaily[EntryDate],DATE(2026,10,11),tblDaily[WardCode],"FW")=0,"",SUMIFS(tblDaily[Deaths],tblDaily[EntryDate],DATE(2026,10,11),tblDaily[WardCode],"FW")),"")</f>
        <v/>
      </c>
      <c r="E368" s="29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29" t="str">
        <f>IFERROR(IF(SUMIFS(tblDaily[TransfersIn],tblDaily[EntryDate],DATE(2026,10,11),tblDaily[WardCode],"FW")=0,"",SUMIFS(tblDaily[TransfersIn],tblDaily[EntryDate],DATE(2026,10,11),tblDaily[WardCode],"FW")),"")</f>
        <v/>
      </c>
      <c r="G368" s="29" t="str">
        <f>IFERROR(IF(SUMIFS(tblDaily[TransfersOut],tblDaily[EntryDate],DATE(2026,10,11),tblDaily[WardCode],"FW")=0,"",SUMIFS(tblDaily[TransfersOut],tblDaily[EntryDate],DATE(2026,10,11),tblDaily[WardCode],"FW")),"")</f>
        <v/>
      </c>
      <c r="H368" s="29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IFERROR(IF(SUMIFS(tblDaily[Admissions],tblDaily[EntryDate],DATE(2026,10,12),tblDaily[WardCode],"FW")=0,"",SUMIFS(tblDaily[Admissions],tblDaily[EntryDate],DATE(2026,10,12),tblDaily[WardCode],"FW")),"")</f>
        <v/>
      </c>
      <c r="C369" s="29" t="str">
        <f>IFERROR(IF(SUMIFS(tblDaily[Discharges],tblDaily[EntryDate],DATE(2026,10,12),tblDaily[WardCode],"FW")=0,"",SUMIFS(tblDaily[Discharges],tblDaily[EntryDate],DATE(2026,10,12),tblDaily[WardCode],"FW")),"")</f>
        <v/>
      </c>
      <c r="D369" s="29" t="str">
        <f>IFERROR(IF(SUMIFS(tblDaily[Deaths],tblDaily[EntryDate],DATE(2026,10,12),tblDaily[WardCode],"FW")=0,"",SUMIFS(tblDaily[Deaths],tblDaily[EntryDate],DATE(2026,10,12),tblDaily[WardCode],"FW")),"")</f>
        <v/>
      </c>
      <c r="E369" s="29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29" t="str">
        <f>IFERROR(IF(SUMIFS(tblDaily[TransfersIn],tblDaily[EntryDate],DATE(2026,10,12),tblDaily[WardCode],"FW")=0,"",SUMIFS(tblDaily[TransfersIn],tblDaily[EntryDate],DATE(2026,10,12),tblDaily[WardCode],"FW")),"")</f>
        <v/>
      </c>
      <c r="G369" s="29" t="str">
        <f>IFERROR(IF(SUMIFS(tblDaily[TransfersOut],tblDaily[EntryDate],DATE(2026,10,12),tblDaily[WardCode],"FW")=0,"",SUMIFS(tblDaily[TransfersOut],tblDaily[EntryDate],DATE(2026,10,12),tblDaily[WardCode],"FW")),"")</f>
        <v/>
      </c>
      <c r="H369" s="29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IFERROR(IF(SUMIFS(tblDaily[Admissions],tblDaily[EntryDate],DATE(2026,10,13),tblDaily[WardCode],"FW")=0,"",SUMIFS(tblDaily[Admissions],tblDaily[EntryDate],DATE(2026,10,13),tblDaily[WardCode],"FW")),"")</f>
        <v/>
      </c>
      <c r="C370" s="29" t="str">
        <f>IFERROR(IF(SUMIFS(tblDaily[Discharges],tblDaily[EntryDate],DATE(2026,10,13),tblDaily[WardCode],"FW")=0,"",SUMIFS(tblDaily[Discharges],tblDaily[EntryDate],DATE(2026,10,13),tblDaily[WardCode],"FW")),"")</f>
        <v/>
      </c>
      <c r="D370" s="29" t="str">
        <f>IFERROR(IF(SUMIFS(tblDaily[Deaths],tblDaily[EntryDate],DATE(2026,10,13),tblDaily[WardCode],"FW")=0,"",SUMIFS(tblDaily[Deaths],tblDaily[EntryDate],DATE(2026,10,13),tblDaily[WardCode],"FW")),"")</f>
        <v/>
      </c>
      <c r="E370" s="29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29" t="str">
        <f>IFERROR(IF(SUMIFS(tblDaily[TransfersIn],tblDaily[EntryDate],DATE(2026,10,13),tblDaily[WardCode],"FW")=0,"",SUMIFS(tblDaily[TransfersIn],tblDaily[EntryDate],DATE(2026,10,13),tblDaily[WardCode],"FW")),"")</f>
        <v/>
      </c>
      <c r="G370" s="29" t="str">
        <f>IFERROR(IF(SUMIFS(tblDaily[TransfersOut],tblDaily[EntryDate],DATE(2026,10,13),tblDaily[WardCode],"FW")=0,"",SUMIFS(tblDaily[TransfersOut],tblDaily[EntryDate],DATE(2026,10,13),tblDaily[WardCode],"FW")),"")</f>
        <v/>
      </c>
      <c r="H370" s="29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IFERROR(IF(SUMIFS(tblDaily[Admissions],tblDaily[EntryDate],DATE(2026,10,14),tblDaily[WardCode],"FW")=0,"",SUMIFS(tblDaily[Admissions],tblDaily[EntryDate],DATE(2026,10,14),tblDaily[WardCode],"FW")),"")</f>
        <v/>
      </c>
      <c r="C371" s="29" t="str">
        <f>IFERROR(IF(SUMIFS(tblDaily[Discharges],tblDaily[EntryDate],DATE(2026,10,14),tblDaily[WardCode],"FW")=0,"",SUMIFS(tblDaily[Discharges],tblDaily[EntryDate],DATE(2026,10,14),tblDaily[WardCode],"FW")),"")</f>
        <v/>
      </c>
      <c r="D371" s="29" t="str">
        <f>IFERROR(IF(SUMIFS(tblDaily[Deaths],tblDaily[EntryDate],DATE(2026,10,14),tblDaily[WardCode],"FW")=0,"",SUMIFS(tblDaily[Deaths],tblDaily[EntryDate],DATE(2026,10,14),tblDaily[WardCode],"FW")),"")</f>
        <v/>
      </c>
      <c r="E371" s="29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29" t="str">
        <f>IFERROR(IF(SUMIFS(tblDaily[TransfersIn],tblDaily[EntryDate],DATE(2026,10,14),tblDaily[WardCode],"FW")=0,"",SUMIFS(tblDaily[TransfersIn],tblDaily[EntryDate],DATE(2026,10,14),tblDaily[WardCode],"FW")),"")</f>
        <v/>
      </c>
      <c r="G371" s="29" t="str">
        <f>IFERROR(IF(SUMIFS(tblDaily[TransfersOut],tblDaily[EntryDate],DATE(2026,10,14),tblDaily[WardCode],"FW")=0,"",SUMIFS(tblDaily[TransfersOut],tblDaily[EntryDate],DATE(2026,10,14),tblDaily[WardCode],"FW")),"")</f>
        <v/>
      </c>
      <c r="H371" s="29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IFERROR(IF(SUMIFS(tblDaily[Admissions],tblDaily[EntryDate],DATE(2026,10,15),tblDaily[WardCode],"FW")=0,"",SUMIFS(tblDaily[Admissions],tblDaily[EntryDate],DATE(2026,10,15),tblDaily[WardCode],"FW")),"")</f>
        <v/>
      </c>
      <c r="C372" s="29" t="str">
        <f>IFERROR(IF(SUMIFS(tblDaily[Discharges],tblDaily[EntryDate],DATE(2026,10,15),tblDaily[WardCode],"FW")=0,"",SUMIFS(tblDaily[Discharges],tblDaily[EntryDate],DATE(2026,10,15),tblDaily[WardCode],"FW")),"")</f>
        <v/>
      </c>
      <c r="D372" s="29" t="str">
        <f>IFERROR(IF(SUMIFS(tblDaily[Deaths],tblDaily[EntryDate],DATE(2026,10,15),tblDaily[WardCode],"FW")=0,"",SUMIFS(tblDaily[Deaths],tblDaily[EntryDate],DATE(2026,10,15),tblDaily[WardCode],"FW")),"")</f>
        <v/>
      </c>
      <c r="E372" s="29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29" t="str">
        <f>IFERROR(IF(SUMIFS(tblDaily[TransfersIn],tblDaily[EntryDate],DATE(2026,10,15),tblDaily[WardCode],"FW")=0,"",SUMIFS(tblDaily[TransfersIn],tblDaily[EntryDate],DATE(2026,10,15),tblDaily[WardCode],"FW")),"")</f>
        <v/>
      </c>
      <c r="G372" s="29" t="str">
        <f>IFERROR(IF(SUMIFS(tblDaily[TransfersOut],tblDaily[EntryDate],DATE(2026,10,15),tblDaily[WardCode],"FW")=0,"",SUMIFS(tblDaily[TransfersOut],tblDaily[EntryDate],DATE(2026,10,15),tblDaily[WardCode],"FW")),"")</f>
        <v/>
      </c>
      <c r="H372" s="29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IFERROR(IF(SUMIFS(tblDaily[Admissions],tblDaily[EntryDate],DATE(2026,10,16),tblDaily[WardCode],"FW")=0,"",SUMIFS(tblDaily[Admissions],tblDaily[EntryDate],DATE(2026,10,16),tblDaily[WardCode],"FW")),"")</f>
        <v/>
      </c>
      <c r="C373" s="29" t="str">
        <f>IFERROR(IF(SUMIFS(tblDaily[Discharges],tblDaily[EntryDate],DATE(2026,10,16),tblDaily[WardCode],"FW")=0,"",SUMIFS(tblDaily[Discharges],tblDaily[EntryDate],DATE(2026,10,16),tblDaily[WardCode],"FW")),"")</f>
        <v/>
      </c>
      <c r="D373" s="29" t="str">
        <f>IFERROR(IF(SUMIFS(tblDaily[Deaths],tblDaily[EntryDate],DATE(2026,10,16),tblDaily[WardCode],"FW")=0,"",SUMIFS(tblDaily[Deaths],tblDaily[EntryDate],DATE(2026,10,16),tblDaily[WardCode],"FW")),"")</f>
        <v/>
      </c>
      <c r="E373" s="29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29" t="str">
        <f>IFERROR(IF(SUMIFS(tblDaily[TransfersIn],tblDaily[EntryDate],DATE(2026,10,16),tblDaily[WardCode],"FW")=0,"",SUMIFS(tblDaily[TransfersIn],tblDaily[EntryDate],DATE(2026,10,16),tblDaily[WardCode],"FW")),"")</f>
        <v/>
      </c>
      <c r="G373" s="29" t="str">
        <f>IFERROR(IF(SUMIFS(tblDaily[TransfersOut],tblDaily[EntryDate],DATE(2026,10,16),tblDaily[WardCode],"FW")=0,"",SUMIFS(tblDaily[TransfersOut],tblDaily[EntryDate],DATE(2026,10,16),tblDaily[WardCode],"FW")),"")</f>
        <v/>
      </c>
      <c r="H373" s="29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IFERROR(IF(SUMIFS(tblDaily[Admissions],tblDaily[EntryDate],DATE(2026,10,17),tblDaily[WardCode],"FW")=0,"",SUMIFS(tblDaily[Admissions],tblDaily[EntryDate],DATE(2026,10,17),tblDaily[WardCode],"FW")),"")</f>
        <v/>
      </c>
      <c r="C374" s="29" t="str">
        <f>IFERROR(IF(SUMIFS(tblDaily[Discharges],tblDaily[EntryDate],DATE(2026,10,17),tblDaily[WardCode],"FW")=0,"",SUMIFS(tblDaily[Discharges],tblDaily[EntryDate],DATE(2026,10,17),tblDaily[WardCode],"FW")),"")</f>
        <v/>
      </c>
      <c r="D374" s="29" t="str">
        <f>IFERROR(IF(SUMIFS(tblDaily[Deaths],tblDaily[EntryDate],DATE(2026,10,17),tblDaily[WardCode],"FW")=0,"",SUMIFS(tblDaily[Deaths],tblDaily[EntryDate],DATE(2026,10,17),tblDaily[WardCode],"FW")),"")</f>
        <v/>
      </c>
      <c r="E374" s="29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29" t="str">
        <f>IFERROR(IF(SUMIFS(tblDaily[TransfersIn],tblDaily[EntryDate],DATE(2026,10,17),tblDaily[WardCode],"FW")=0,"",SUMIFS(tblDaily[TransfersIn],tblDaily[EntryDate],DATE(2026,10,17),tblDaily[WardCode],"FW")),"")</f>
        <v/>
      </c>
      <c r="G374" s="29" t="str">
        <f>IFERROR(IF(SUMIFS(tblDaily[TransfersOut],tblDaily[EntryDate],DATE(2026,10,17),tblDaily[WardCode],"FW")=0,"",SUMIFS(tblDaily[TransfersOut],tblDaily[EntryDate],DATE(2026,10,17),tblDaily[WardCode],"FW")),"")</f>
        <v/>
      </c>
      <c r="H374" s="29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IFERROR(IF(SUMIFS(tblDaily[Admissions],tblDaily[EntryDate],DATE(2026,10,18),tblDaily[WardCode],"FW")=0,"",SUMIFS(tblDaily[Admissions],tblDaily[EntryDate],DATE(2026,10,18),tblDaily[WardCode],"FW")),"")</f>
        <v/>
      </c>
      <c r="C375" s="29" t="str">
        <f>IFERROR(IF(SUMIFS(tblDaily[Discharges],tblDaily[EntryDate],DATE(2026,10,18),tblDaily[WardCode],"FW")=0,"",SUMIFS(tblDaily[Discharges],tblDaily[EntryDate],DATE(2026,10,18),tblDaily[WardCode],"FW")),"")</f>
        <v/>
      </c>
      <c r="D375" s="29" t="str">
        <f>IFERROR(IF(SUMIFS(tblDaily[Deaths],tblDaily[EntryDate],DATE(2026,10,18),tblDaily[WardCode],"FW")=0,"",SUMIFS(tblDaily[Deaths],tblDaily[EntryDate],DATE(2026,10,18),tblDaily[WardCode],"FW")),"")</f>
        <v/>
      </c>
      <c r="E375" s="29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29" t="str">
        <f>IFERROR(IF(SUMIFS(tblDaily[TransfersIn],tblDaily[EntryDate],DATE(2026,10,18),tblDaily[WardCode],"FW")=0,"",SUMIFS(tblDaily[TransfersIn],tblDaily[EntryDate],DATE(2026,10,18),tblDaily[WardCode],"FW")),"")</f>
        <v/>
      </c>
      <c r="G375" s="29" t="str">
        <f>IFERROR(IF(SUMIFS(tblDaily[TransfersOut],tblDaily[EntryDate],DATE(2026,10,18),tblDaily[WardCode],"FW")=0,"",SUMIFS(tblDaily[TransfersOut],tblDaily[EntryDate],DATE(2026,10,18),tblDaily[WardCode],"FW")),"")</f>
        <v/>
      </c>
      <c r="H375" s="29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IFERROR(IF(SUMIFS(tblDaily[Admissions],tblDaily[EntryDate],DATE(2026,10,19),tblDaily[WardCode],"FW")=0,"",SUMIFS(tblDaily[Admissions],tblDaily[EntryDate],DATE(2026,10,19),tblDaily[WardCode],"FW")),"")</f>
        <v/>
      </c>
      <c r="C376" s="29" t="str">
        <f>IFERROR(IF(SUMIFS(tblDaily[Discharges],tblDaily[EntryDate],DATE(2026,10,19),tblDaily[WardCode],"FW")=0,"",SUMIFS(tblDaily[Discharges],tblDaily[EntryDate],DATE(2026,10,19),tblDaily[WardCode],"FW")),"")</f>
        <v/>
      </c>
      <c r="D376" s="29" t="str">
        <f>IFERROR(IF(SUMIFS(tblDaily[Deaths],tblDaily[EntryDate],DATE(2026,10,19),tblDaily[WardCode],"FW")=0,"",SUMIFS(tblDaily[Deaths],tblDaily[EntryDate],DATE(2026,10,19),tblDaily[WardCode],"FW")),"")</f>
        <v/>
      </c>
      <c r="E376" s="29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29" t="str">
        <f>IFERROR(IF(SUMIFS(tblDaily[TransfersIn],tblDaily[EntryDate],DATE(2026,10,19),tblDaily[WardCode],"FW")=0,"",SUMIFS(tblDaily[TransfersIn],tblDaily[EntryDate],DATE(2026,10,19),tblDaily[WardCode],"FW")),"")</f>
        <v/>
      </c>
      <c r="G376" s="29" t="str">
        <f>IFERROR(IF(SUMIFS(tblDaily[TransfersOut],tblDaily[EntryDate],DATE(2026,10,19),tblDaily[WardCode],"FW")=0,"",SUMIFS(tblDaily[TransfersOut],tblDaily[EntryDate],DATE(2026,10,19),tblDaily[WardCode],"FW")),"")</f>
        <v/>
      </c>
      <c r="H376" s="29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IFERROR(IF(SUMIFS(tblDaily[Admissions],tblDaily[EntryDate],DATE(2026,10,20),tblDaily[WardCode],"FW")=0,"",SUMIFS(tblDaily[Admissions],tblDaily[EntryDate],DATE(2026,10,20),tblDaily[WardCode],"FW")),"")</f>
        <v/>
      </c>
      <c r="C377" s="29" t="str">
        <f>IFERROR(IF(SUMIFS(tblDaily[Discharges],tblDaily[EntryDate],DATE(2026,10,20),tblDaily[WardCode],"FW")=0,"",SUMIFS(tblDaily[Discharges],tblDaily[EntryDate],DATE(2026,10,20),tblDaily[WardCode],"FW")),"")</f>
        <v/>
      </c>
      <c r="D377" s="29" t="str">
        <f>IFERROR(IF(SUMIFS(tblDaily[Deaths],tblDaily[EntryDate],DATE(2026,10,20),tblDaily[WardCode],"FW")=0,"",SUMIFS(tblDaily[Deaths],tblDaily[EntryDate],DATE(2026,10,20),tblDaily[WardCode],"FW")),"")</f>
        <v/>
      </c>
      <c r="E377" s="29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29" t="str">
        <f>IFERROR(IF(SUMIFS(tblDaily[TransfersIn],tblDaily[EntryDate],DATE(2026,10,20),tblDaily[WardCode],"FW")=0,"",SUMIFS(tblDaily[TransfersIn],tblDaily[EntryDate],DATE(2026,10,20),tblDaily[WardCode],"FW")),"")</f>
        <v/>
      </c>
      <c r="G377" s="29" t="str">
        <f>IFERROR(IF(SUMIFS(tblDaily[TransfersOut],tblDaily[EntryDate],DATE(2026,10,20),tblDaily[WardCode],"FW")=0,"",SUMIFS(tblDaily[TransfersOut],tblDaily[EntryDate],DATE(2026,10,20),tblDaily[WardCode],"FW")),"")</f>
        <v/>
      </c>
      <c r="H377" s="29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IFERROR(IF(SUMIFS(tblDaily[Admissions],tblDaily[EntryDate],DATE(2026,10,21),tblDaily[WardCode],"FW")=0,"",SUMIFS(tblDaily[Admissions],tblDaily[EntryDate],DATE(2026,10,21),tblDaily[WardCode],"FW")),"")</f>
        <v/>
      </c>
      <c r="C378" s="29" t="str">
        <f>IFERROR(IF(SUMIFS(tblDaily[Discharges],tblDaily[EntryDate],DATE(2026,10,21),tblDaily[WardCode],"FW")=0,"",SUMIFS(tblDaily[Discharges],tblDaily[EntryDate],DATE(2026,10,21),tblDaily[WardCode],"FW")),"")</f>
        <v/>
      </c>
      <c r="D378" s="29" t="str">
        <f>IFERROR(IF(SUMIFS(tblDaily[Deaths],tblDaily[EntryDate],DATE(2026,10,21),tblDaily[WardCode],"FW")=0,"",SUMIFS(tblDaily[Deaths],tblDaily[EntryDate],DATE(2026,10,21),tblDaily[WardCode],"FW")),"")</f>
        <v/>
      </c>
      <c r="E378" s="29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29" t="str">
        <f>IFERROR(IF(SUMIFS(tblDaily[TransfersIn],tblDaily[EntryDate],DATE(2026,10,21),tblDaily[WardCode],"FW")=0,"",SUMIFS(tblDaily[TransfersIn],tblDaily[EntryDate],DATE(2026,10,21),tblDaily[WardCode],"FW")),"")</f>
        <v/>
      </c>
      <c r="G378" s="29" t="str">
        <f>IFERROR(IF(SUMIFS(tblDaily[TransfersOut],tblDaily[EntryDate],DATE(2026,10,21),tblDaily[WardCode],"FW")=0,"",SUMIFS(tblDaily[TransfersOut],tblDaily[EntryDate],DATE(2026,10,21),tblDaily[WardCode],"FW")),"")</f>
        <v/>
      </c>
      <c r="H378" s="29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IFERROR(IF(SUMIFS(tblDaily[Admissions],tblDaily[EntryDate],DATE(2026,10,22),tblDaily[WardCode],"FW")=0,"",SUMIFS(tblDaily[Admissions],tblDaily[EntryDate],DATE(2026,10,22),tblDaily[WardCode],"FW")),"")</f>
        <v/>
      </c>
      <c r="C379" s="29" t="str">
        <f>IFERROR(IF(SUMIFS(tblDaily[Discharges],tblDaily[EntryDate],DATE(2026,10,22),tblDaily[WardCode],"FW")=0,"",SUMIFS(tblDaily[Discharges],tblDaily[EntryDate],DATE(2026,10,22),tblDaily[WardCode],"FW")),"")</f>
        <v/>
      </c>
      <c r="D379" s="29" t="str">
        <f>IFERROR(IF(SUMIFS(tblDaily[Deaths],tblDaily[EntryDate],DATE(2026,10,22),tblDaily[WardCode],"FW")=0,"",SUMIFS(tblDaily[Deaths],tblDaily[EntryDate],DATE(2026,10,22),tblDaily[WardCode],"FW")),"")</f>
        <v/>
      </c>
      <c r="E379" s="29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29" t="str">
        <f>IFERROR(IF(SUMIFS(tblDaily[TransfersIn],tblDaily[EntryDate],DATE(2026,10,22),tblDaily[WardCode],"FW")=0,"",SUMIFS(tblDaily[TransfersIn],tblDaily[EntryDate],DATE(2026,10,22),tblDaily[WardCode],"FW")),"")</f>
        <v/>
      </c>
      <c r="G379" s="29" t="str">
        <f>IFERROR(IF(SUMIFS(tblDaily[TransfersOut],tblDaily[EntryDate],DATE(2026,10,22),tblDaily[WardCode],"FW")=0,"",SUMIFS(tblDaily[TransfersOut],tblDaily[EntryDate],DATE(2026,10,22),tblDaily[WardCode],"FW")),"")</f>
        <v/>
      </c>
      <c r="H379" s="29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IFERROR(IF(SUMIFS(tblDaily[Admissions],tblDaily[EntryDate],DATE(2026,10,23),tblDaily[WardCode],"FW")=0,"",SUMIFS(tblDaily[Admissions],tblDaily[EntryDate],DATE(2026,10,23),tblDaily[WardCode],"FW")),"")</f>
        <v/>
      </c>
      <c r="C380" s="29" t="str">
        <f>IFERROR(IF(SUMIFS(tblDaily[Discharges],tblDaily[EntryDate],DATE(2026,10,23),tblDaily[WardCode],"FW")=0,"",SUMIFS(tblDaily[Discharges],tblDaily[EntryDate],DATE(2026,10,23),tblDaily[WardCode],"FW")),"")</f>
        <v/>
      </c>
      <c r="D380" s="29" t="str">
        <f>IFERROR(IF(SUMIFS(tblDaily[Deaths],tblDaily[EntryDate],DATE(2026,10,23),tblDaily[WardCode],"FW")=0,"",SUMIFS(tblDaily[Deaths],tblDaily[EntryDate],DATE(2026,10,23),tblDaily[WardCode],"FW")),"")</f>
        <v/>
      </c>
      <c r="E380" s="29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29" t="str">
        <f>IFERROR(IF(SUMIFS(tblDaily[TransfersIn],tblDaily[EntryDate],DATE(2026,10,23),tblDaily[WardCode],"FW")=0,"",SUMIFS(tblDaily[TransfersIn],tblDaily[EntryDate],DATE(2026,10,23),tblDaily[WardCode],"FW")),"")</f>
        <v/>
      </c>
      <c r="G380" s="29" t="str">
        <f>IFERROR(IF(SUMIFS(tblDaily[TransfersOut],tblDaily[EntryDate],DATE(2026,10,23),tblDaily[WardCode],"FW")=0,"",SUMIFS(tblDaily[TransfersOut],tblDaily[EntryDate],DATE(2026,10,23),tblDaily[WardCode],"FW")),"")</f>
        <v/>
      </c>
      <c r="H380" s="29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IFERROR(IF(SUMIFS(tblDaily[Admissions],tblDaily[EntryDate],DATE(2026,10,24),tblDaily[WardCode],"FW")=0,"",SUMIFS(tblDaily[Admissions],tblDaily[EntryDate],DATE(2026,10,24),tblDaily[WardCode],"FW")),"")</f>
        <v/>
      </c>
      <c r="C381" s="29" t="str">
        <f>IFERROR(IF(SUMIFS(tblDaily[Discharges],tblDaily[EntryDate],DATE(2026,10,24),tblDaily[WardCode],"FW")=0,"",SUMIFS(tblDaily[Discharges],tblDaily[EntryDate],DATE(2026,10,24),tblDaily[WardCode],"FW")),"")</f>
        <v/>
      </c>
      <c r="D381" s="29" t="str">
        <f>IFERROR(IF(SUMIFS(tblDaily[Deaths],tblDaily[EntryDate],DATE(2026,10,24),tblDaily[WardCode],"FW")=0,"",SUMIFS(tblDaily[Deaths],tblDaily[EntryDate],DATE(2026,10,24),tblDaily[WardCode],"FW")),"")</f>
        <v/>
      </c>
      <c r="E381" s="29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29" t="str">
        <f>IFERROR(IF(SUMIFS(tblDaily[TransfersIn],tblDaily[EntryDate],DATE(2026,10,24),tblDaily[WardCode],"FW")=0,"",SUMIFS(tblDaily[TransfersIn],tblDaily[EntryDate],DATE(2026,10,24),tblDaily[WardCode],"FW")),"")</f>
        <v/>
      </c>
      <c r="G381" s="29" t="str">
        <f>IFERROR(IF(SUMIFS(tblDaily[TransfersOut],tblDaily[EntryDate],DATE(2026,10,24),tblDaily[WardCode],"FW")=0,"",SUMIFS(tblDaily[TransfersOut],tblDaily[EntryDate],DATE(2026,10,24),tblDaily[WardCode],"FW")),"")</f>
        <v/>
      </c>
      <c r="H381" s="29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IFERROR(IF(SUMIFS(tblDaily[Admissions],tblDaily[EntryDate],DATE(2026,10,25),tblDaily[WardCode],"FW")=0,"",SUMIFS(tblDaily[Admissions],tblDaily[EntryDate],DATE(2026,10,25),tblDaily[WardCode],"FW")),"")</f>
        <v/>
      </c>
      <c r="C382" s="29" t="str">
        <f>IFERROR(IF(SUMIFS(tblDaily[Discharges],tblDaily[EntryDate],DATE(2026,10,25),tblDaily[WardCode],"FW")=0,"",SUMIFS(tblDaily[Discharges],tblDaily[EntryDate],DATE(2026,10,25),tblDaily[WardCode],"FW")),"")</f>
        <v/>
      </c>
      <c r="D382" s="29" t="str">
        <f>IFERROR(IF(SUMIFS(tblDaily[Deaths],tblDaily[EntryDate],DATE(2026,10,25),tblDaily[WardCode],"FW")=0,"",SUMIFS(tblDaily[Deaths],tblDaily[EntryDate],DATE(2026,10,25),tblDaily[WardCode],"FW")),"")</f>
        <v/>
      </c>
      <c r="E382" s="29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29" t="str">
        <f>IFERROR(IF(SUMIFS(tblDaily[TransfersIn],tblDaily[EntryDate],DATE(2026,10,25),tblDaily[WardCode],"FW")=0,"",SUMIFS(tblDaily[TransfersIn],tblDaily[EntryDate],DATE(2026,10,25),tblDaily[WardCode],"FW")),"")</f>
        <v/>
      </c>
      <c r="G382" s="29" t="str">
        <f>IFERROR(IF(SUMIFS(tblDaily[TransfersOut],tblDaily[EntryDate],DATE(2026,10,25),tblDaily[WardCode],"FW")=0,"",SUMIFS(tblDaily[TransfersOut],tblDaily[EntryDate],DATE(2026,10,25),tblDaily[WardCode],"FW")),"")</f>
        <v/>
      </c>
      <c r="H382" s="29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IFERROR(IF(SUMIFS(tblDaily[Admissions],tblDaily[EntryDate],DATE(2026,10,26),tblDaily[WardCode],"FW")=0,"",SUMIFS(tblDaily[Admissions],tblDaily[EntryDate],DATE(2026,10,26),tblDaily[WardCode],"FW")),"")</f>
        <v/>
      </c>
      <c r="C383" s="29" t="str">
        <f>IFERROR(IF(SUMIFS(tblDaily[Discharges],tblDaily[EntryDate],DATE(2026,10,26),tblDaily[WardCode],"FW")=0,"",SUMIFS(tblDaily[Discharges],tblDaily[EntryDate],DATE(2026,10,26),tblDaily[WardCode],"FW")),"")</f>
        <v/>
      </c>
      <c r="D383" s="29" t="str">
        <f>IFERROR(IF(SUMIFS(tblDaily[Deaths],tblDaily[EntryDate],DATE(2026,10,26),tblDaily[WardCode],"FW")=0,"",SUMIFS(tblDaily[Deaths],tblDaily[EntryDate],DATE(2026,10,26),tblDaily[WardCode],"FW")),"")</f>
        <v/>
      </c>
      <c r="E383" s="29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29" t="str">
        <f>IFERROR(IF(SUMIFS(tblDaily[TransfersIn],tblDaily[EntryDate],DATE(2026,10,26),tblDaily[WardCode],"FW")=0,"",SUMIFS(tblDaily[TransfersIn],tblDaily[EntryDate],DATE(2026,10,26),tblDaily[WardCode],"FW")),"")</f>
        <v/>
      </c>
      <c r="G383" s="29" t="str">
        <f>IFERROR(IF(SUMIFS(tblDaily[TransfersOut],tblDaily[EntryDate],DATE(2026,10,26),tblDaily[WardCode],"FW")=0,"",SUMIFS(tblDaily[TransfersOut],tblDaily[EntryDate],DATE(2026,10,26),tblDaily[WardCode],"FW")),"")</f>
        <v/>
      </c>
      <c r="H383" s="29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IFERROR(IF(SUMIFS(tblDaily[Admissions],tblDaily[EntryDate],DATE(2026,10,27),tblDaily[WardCode],"FW")=0,"",SUMIFS(tblDaily[Admissions],tblDaily[EntryDate],DATE(2026,10,27),tblDaily[WardCode],"FW")),"")</f>
        <v/>
      </c>
      <c r="C384" s="29" t="str">
        <f>IFERROR(IF(SUMIFS(tblDaily[Discharges],tblDaily[EntryDate],DATE(2026,10,27),tblDaily[WardCode],"FW")=0,"",SUMIFS(tblDaily[Discharges],tblDaily[EntryDate],DATE(2026,10,27),tblDaily[WardCode],"FW")),"")</f>
        <v/>
      </c>
      <c r="D384" s="29" t="str">
        <f>IFERROR(IF(SUMIFS(tblDaily[Deaths],tblDaily[EntryDate],DATE(2026,10,27),tblDaily[WardCode],"FW")=0,"",SUMIFS(tblDaily[Deaths],tblDaily[EntryDate],DATE(2026,10,27),tblDaily[WardCode],"FW")),"")</f>
        <v/>
      </c>
      <c r="E384" s="29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29" t="str">
        <f>IFERROR(IF(SUMIFS(tblDaily[TransfersIn],tblDaily[EntryDate],DATE(2026,10,27),tblDaily[WardCode],"FW")=0,"",SUMIFS(tblDaily[TransfersIn],tblDaily[EntryDate],DATE(2026,10,27),tblDaily[WardCode],"FW")),"")</f>
        <v/>
      </c>
      <c r="G384" s="29" t="str">
        <f>IFERROR(IF(SUMIFS(tblDaily[TransfersOut],tblDaily[EntryDate],DATE(2026,10,27),tblDaily[WardCode],"FW")=0,"",SUMIFS(tblDaily[TransfersOut],tblDaily[EntryDate],DATE(2026,10,27),tblDaily[WardCode],"FW")),"")</f>
        <v/>
      </c>
      <c r="H384" s="29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IFERROR(IF(SUMIFS(tblDaily[Admissions],tblDaily[EntryDate],DATE(2026,10,28),tblDaily[WardCode],"FW")=0,"",SUMIFS(tblDaily[Admissions],tblDaily[EntryDate],DATE(2026,10,28),tblDaily[WardCode],"FW")),"")</f>
        <v/>
      </c>
      <c r="C385" s="29" t="str">
        <f>IFERROR(IF(SUMIFS(tblDaily[Discharges],tblDaily[EntryDate],DATE(2026,10,28),tblDaily[WardCode],"FW")=0,"",SUMIFS(tblDaily[Discharges],tblDaily[EntryDate],DATE(2026,10,28),tblDaily[WardCode],"FW")),"")</f>
        <v/>
      </c>
      <c r="D385" s="29" t="str">
        <f>IFERROR(IF(SUMIFS(tblDaily[Deaths],tblDaily[EntryDate],DATE(2026,10,28),tblDaily[WardCode],"FW")=0,"",SUMIFS(tblDaily[Deaths],tblDaily[EntryDate],DATE(2026,10,28),tblDaily[WardCode],"FW")),"")</f>
        <v/>
      </c>
      <c r="E385" s="29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29" t="str">
        <f>IFERROR(IF(SUMIFS(tblDaily[TransfersIn],tblDaily[EntryDate],DATE(2026,10,28),tblDaily[WardCode],"FW")=0,"",SUMIFS(tblDaily[TransfersIn],tblDaily[EntryDate],DATE(2026,10,28),tblDaily[WardCode],"FW")),"")</f>
        <v/>
      </c>
      <c r="G385" s="29" t="str">
        <f>IFERROR(IF(SUMIFS(tblDaily[TransfersOut],tblDaily[EntryDate],DATE(2026,10,28),tblDaily[WardCode],"FW")=0,"",SUMIFS(tblDaily[TransfersOut],tblDaily[EntryDate],DATE(2026,10,28),tblDaily[WardCode],"FW")),"")</f>
        <v/>
      </c>
      <c r="H385" s="29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IFERROR(IF(SUMIFS(tblDaily[Admissions],tblDaily[EntryDate],DATE(2026,10,29),tblDaily[WardCode],"FW")=0,"",SUMIFS(tblDaily[Admissions],tblDaily[EntryDate],DATE(2026,10,29),tblDaily[WardCode],"FW")),"")</f>
        <v/>
      </c>
      <c r="C386" s="29" t="str">
        <f>IFERROR(IF(SUMIFS(tblDaily[Discharges],tblDaily[EntryDate],DATE(2026,10,29),tblDaily[WardCode],"FW")=0,"",SUMIFS(tblDaily[Discharges],tblDaily[EntryDate],DATE(2026,10,29),tblDaily[WardCode],"FW")),"")</f>
        <v/>
      </c>
      <c r="D386" s="29" t="str">
        <f>IFERROR(IF(SUMIFS(tblDaily[Deaths],tblDaily[EntryDate],DATE(2026,10,29),tblDaily[WardCode],"FW")=0,"",SUMIFS(tblDaily[Deaths],tblDaily[EntryDate],DATE(2026,10,29),tblDaily[WardCode],"FW")),"")</f>
        <v/>
      </c>
      <c r="E386" s="29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29" t="str">
        <f>IFERROR(IF(SUMIFS(tblDaily[TransfersIn],tblDaily[EntryDate],DATE(2026,10,29),tblDaily[WardCode],"FW")=0,"",SUMIFS(tblDaily[TransfersIn],tblDaily[EntryDate],DATE(2026,10,29),tblDaily[WardCode],"FW")),"")</f>
        <v/>
      </c>
      <c r="G386" s="29" t="str">
        <f>IFERROR(IF(SUMIFS(tblDaily[TransfersOut],tblDaily[EntryDate],DATE(2026,10,29),tblDaily[WardCode],"FW")=0,"",SUMIFS(tblDaily[TransfersOut],tblDaily[EntryDate],DATE(2026,10,29),tblDaily[WardCode],"FW")),"")</f>
        <v/>
      </c>
      <c r="H386" s="29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IFERROR(IF(SUMIFS(tblDaily[Admissions],tblDaily[EntryDate],DATE(2026,10,30),tblDaily[WardCode],"FW")=0,"",SUMIFS(tblDaily[Admissions],tblDaily[EntryDate],DATE(2026,10,30),tblDaily[WardCode],"FW")),"")</f>
        <v/>
      </c>
      <c r="C387" s="29" t="str">
        <f>IFERROR(IF(SUMIFS(tblDaily[Discharges],tblDaily[EntryDate],DATE(2026,10,30),tblDaily[WardCode],"FW")=0,"",SUMIFS(tblDaily[Discharges],tblDaily[EntryDate],DATE(2026,10,30),tblDaily[WardCode],"FW")),"")</f>
        <v/>
      </c>
      <c r="D387" s="29" t="str">
        <f>IFERROR(IF(SUMIFS(tblDaily[Deaths],tblDaily[EntryDate],DATE(2026,10,30),tblDaily[WardCode],"FW")=0,"",SUMIFS(tblDaily[Deaths],tblDaily[EntryDate],DATE(2026,10,30),tblDaily[WardCode],"FW")),"")</f>
        <v/>
      </c>
      <c r="E387" s="29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29" t="str">
        <f>IFERROR(IF(SUMIFS(tblDaily[TransfersIn],tblDaily[EntryDate],DATE(2026,10,30),tblDaily[WardCode],"FW")=0,"",SUMIFS(tblDaily[TransfersIn],tblDaily[EntryDate],DATE(2026,10,30),tblDaily[WardCode],"FW")),"")</f>
        <v/>
      </c>
      <c r="G387" s="29" t="str">
        <f>IFERROR(IF(SUMIFS(tblDaily[TransfersOut],tblDaily[EntryDate],DATE(2026,10,30),tblDaily[WardCode],"FW")=0,"",SUMIFS(tblDaily[TransfersOut],tblDaily[EntryDate],DATE(2026,10,30),tblDaily[WardCode],"FW")),"")</f>
        <v/>
      </c>
      <c r="H387" s="29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IFERROR(IF(SUMIFS(tblDaily[Admissions],tblDaily[EntryDate],DATE(2026,10,31),tblDaily[WardCode],"FW")=0,"",SUMIFS(tblDaily[Admissions],tblDaily[EntryDate],DATE(2026,10,31),tblDaily[WardCode],"FW")),"")</f>
        <v/>
      </c>
      <c r="C388" s="29" t="str">
        <f>IFERROR(IF(SUMIFS(tblDaily[Discharges],tblDaily[EntryDate],DATE(2026,10,31),tblDaily[WardCode],"FW")=0,"",SUMIFS(tblDaily[Discharges],tblDaily[EntryDate],DATE(2026,10,31),tblDaily[WardCode],"FW")),"")</f>
        <v/>
      </c>
      <c r="D388" s="29" t="str">
        <f>IFERROR(IF(SUMIFS(tblDaily[Deaths],tblDaily[EntryDate],DATE(2026,10,31),tblDaily[WardCode],"FW")=0,"",SUMIFS(tblDaily[Deaths],tblDaily[EntryDate],DATE(2026,10,31),tblDaily[WardCode],"FW")),"")</f>
        <v/>
      </c>
      <c r="E388" s="29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29" t="str">
        <f>IFERROR(IF(SUMIFS(tblDaily[TransfersIn],tblDaily[EntryDate],DATE(2026,10,31),tblDaily[WardCode],"FW")=0,"",SUMIFS(tblDaily[TransfersIn],tblDaily[EntryDate],DATE(2026,10,31),tblDaily[WardCode],"FW")),"")</f>
        <v/>
      </c>
      <c r="G388" s="29" t="str">
        <f>IFERROR(IF(SUMIFS(tblDaily[TransfersOut],tblDaily[EntryDate],DATE(2026,10,31),tblDaily[WardCode],"FW")=0,"",SUMIFS(tblDaily[TransfersOut],tblDaily[EntryDate],DATE(2026,10,31),tblDaily[WardCode],"FW")),"")</f>
        <v/>
      </c>
      <c r="H388" s="29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30" t="s">
        <v>115</v>
      </c>
      <c r="B389" s="30">
        <f>SUMIFS(tblDaily[Admissions],tblDaily[Month],10,tblDaily[WardCode],"FW") - SUMIFS(tblDaily[DeathsUnder24Hrs],tblDaily[Month],10,tblDaily[WardCode],"FW")</f>
        <v>0</v>
      </c>
      <c r="C389" s="30">
        <f>SUMIFS(tblDaily[Discharges],tblDaily[Month],10,tblDaily[WardCode],"FW")</f>
        <v>0</v>
      </c>
      <c r="D389" s="30">
        <f>SUMIFS(tblDaily[Deaths],tblDaily[Month],10,tblDaily[WardCode],"FW")</f>
        <v>0</v>
      </c>
      <c r="E389" s="30">
        <f>SUMIFS(tblDaily[DeathsUnder24Hrs],tblDaily[Month],10,tblDaily[WardCode],"FW")</f>
        <v>0</v>
      </c>
      <c r="F389" s="30">
        <f>SUMIFS(tblDaily[TransfersIn],tblDaily[Month],10,tblDaily[WardCode],"FW")</f>
        <v>0</v>
      </c>
      <c r="G389" s="30">
        <f>SUMIFS(tblDaily[TransfersOut],tblDaily[Month],10,tblDaily[WardCode],"FW")</f>
        <v>0</v>
      </c>
      <c r="H389" s="30">
        <f>SUMIFS(tblDaily[Remaining],tblDaily[Month],10,tblDaily[WardCode],"FW")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116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IFERROR(SUMIFS(tblDaily[Remaining],tblDaily[EntryDate],DATE(2026,10,31),tblDaily[WardCode],"FW"),0)</f>
        <v>0</v>
      </c>
    </row>
    <row r="395" spans="1:8" x14ac:dyDescent="0.25">
      <c r="A395" s="24" t="s">
        <v>109</v>
      </c>
      <c r="H395" s="27">
        <f>IFERROR(INDEX(tblWardConfig[BedComplement],MATCH("FW",tblWardConfig[WardCode],0)),0)</f>
        <v>28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IFERROR(IF(SUMIFS(tblDaily[Admissions],tblDaily[EntryDate],DATE(2026,11,1),tblDaily[WardCode],"FW")=0,"",SUMIFS(tblDaily[Admissions],tblDaily[EntryDate],DATE(2026,11,1),tblDaily[WardCode],"FW")),"")</f>
        <v/>
      </c>
      <c r="C397" s="29" t="str">
        <f>IFERROR(IF(SUMIFS(tblDaily[Discharges],tblDaily[EntryDate],DATE(2026,11,1),tblDaily[WardCode],"FW")=0,"",SUMIFS(tblDaily[Discharges],tblDaily[EntryDate],DATE(2026,11,1),tblDaily[WardCode],"FW")),"")</f>
        <v/>
      </c>
      <c r="D397" s="29" t="str">
        <f>IFERROR(IF(SUMIFS(tblDaily[Deaths],tblDaily[EntryDate],DATE(2026,11,1),tblDaily[WardCode],"FW")=0,"",SUMIFS(tblDaily[Deaths],tblDaily[EntryDate],DATE(2026,11,1),tblDaily[WardCode],"FW")),"")</f>
        <v/>
      </c>
      <c r="E397" s="29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29" t="str">
        <f>IFERROR(IF(SUMIFS(tblDaily[TransfersIn],tblDaily[EntryDate],DATE(2026,11,1),tblDaily[WardCode],"FW")=0,"",SUMIFS(tblDaily[TransfersIn],tblDaily[EntryDate],DATE(2026,11,1),tblDaily[WardCode],"FW")),"")</f>
        <v/>
      </c>
      <c r="G397" s="29" t="str">
        <f>IFERROR(IF(SUMIFS(tblDaily[TransfersOut],tblDaily[EntryDate],DATE(2026,11,1),tblDaily[WardCode],"FW")=0,"",SUMIFS(tblDaily[TransfersOut],tblDaily[EntryDate],DATE(2026,11,1),tblDaily[WardCode],"FW")),"")</f>
        <v/>
      </c>
      <c r="H397" s="29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IFERROR(IF(SUMIFS(tblDaily[Admissions],tblDaily[EntryDate],DATE(2026,11,2),tblDaily[WardCode],"FW")=0,"",SUMIFS(tblDaily[Admissions],tblDaily[EntryDate],DATE(2026,11,2),tblDaily[WardCode],"FW")),"")</f>
        <v/>
      </c>
      <c r="C398" s="29" t="str">
        <f>IFERROR(IF(SUMIFS(tblDaily[Discharges],tblDaily[EntryDate],DATE(2026,11,2),tblDaily[WardCode],"FW")=0,"",SUMIFS(tblDaily[Discharges],tblDaily[EntryDate],DATE(2026,11,2),tblDaily[WardCode],"FW")),"")</f>
        <v/>
      </c>
      <c r="D398" s="29" t="str">
        <f>IFERROR(IF(SUMIFS(tblDaily[Deaths],tblDaily[EntryDate],DATE(2026,11,2),tblDaily[WardCode],"FW")=0,"",SUMIFS(tblDaily[Deaths],tblDaily[EntryDate],DATE(2026,11,2),tblDaily[WardCode],"FW")),"")</f>
        <v/>
      </c>
      <c r="E398" s="29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29" t="str">
        <f>IFERROR(IF(SUMIFS(tblDaily[TransfersIn],tblDaily[EntryDate],DATE(2026,11,2),tblDaily[WardCode],"FW")=0,"",SUMIFS(tblDaily[TransfersIn],tblDaily[EntryDate],DATE(2026,11,2),tblDaily[WardCode],"FW")),"")</f>
        <v/>
      </c>
      <c r="G398" s="29" t="str">
        <f>IFERROR(IF(SUMIFS(tblDaily[TransfersOut],tblDaily[EntryDate],DATE(2026,11,2),tblDaily[WardCode],"FW")=0,"",SUMIFS(tblDaily[TransfersOut],tblDaily[EntryDate],DATE(2026,11,2),tblDaily[WardCode],"FW")),"")</f>
        <v/>
      </c>
      <c r="H398" s="29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IFERROR(IF(SUMIFS(tblDaily[Admissions],tblDaily[EntryDate],DATE(2026,11,3),tblDaily[WardCode],"FW")=0,"",SUMIFS(tblDaily[Admissions],tblDaily[EntryDate],DATE(2026,11,3),tblDaily[WardCode],"FW")),"")</f>
        <v/>
      </c>
      <c r="C399" s="29" t="str">
        <f>IFERROR(IF(SUMIFS(tblDaily[Discharges],tblDaily[EntryDate],DATE(2026,11,3),tblDaily[WardCode],"FW")=0,"",SUMIFS(tblDaily[Discharges],tblDaily[EntryDate],DATE(2026,11,3),tblDaily[WardCode],"FW")),"")</f>
        <v/>
      </c>
      <c r="D399" s="29" t="str">
        <f>IFERROR(IF(SUMIFS(tblDaily[Deaths],tblDaily[EntryDate],DATE(2026,11,3),tblDaily[WardCode],"FW")=0,"",SUMIFS(tblDaily[Deaths],tblDaily[EntryDate],DATE(2026,11,3),tblDaily[WardCode],"FW")),"")</f>
        <v/>
      </c>
      <c r="E399" s="29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29" t="str">
        <f>IFERROR(IF(SUMIFS(tblDaily[TransfersIn],tblDaily[EntryDate],DATE(2026,11,3),tblDaily[WardCode],"FW")=0,"",SUMIFS(tblDaily[TransfersIn],tblDaily[EntryDate],DATE(2026,11,3),tblDaily[WardCode],"FW")),"")</f>
        <v/>
      </c>
      <c r="G399" s="29" t="str">
        <f>IFERROR(IF(SUMIFS(tblDaily[TransfersOut],tblDaily[EntryDate],DATE(2026,11,3),tblDaily[WardCode],"FW")=0,"",SUMIFS(tblDaily[TransfersOut],tblDaily[EntryDate],DATE(2026,11,3),tblDaily[WardCode],"FW")),"")</f>
        <v/>
      </c>
      <c r="H399" s="29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IFERROR(IF(SUMIFS(tblDaily[Admissions],tblDaily[EntryDate],DATE(2026,11,4),tblDaily[WardCode],"FW")=0,"",SUMIFS(tblDaily[Admissions],tblDaily[EntryDate],DATE(2026,11,4),tblDaily[WardCode],"FW")),"")</f>
        <v/>
      </c>
      <c r="C400" s="29" t="str">
        <f>IFERROR(IF(SUMIFS(tblDaily[Discharges],tblDaily[EntryDate],DATE(2026,11,4),tblDaily[WardCode],"FW")=0,"",SUMIFS(tblDaily[Discharges],tblDaily[EntryDate],DATE(2026,11,4),tblDaily[WardCode],"FW")),"")</f>
        <v/>
      </c>
      <c r="D400" s="29" t="str">
        <f>IFERROR(IF(SUMIFS(tblDaily[Deaths],tblDaily[EntryDate],DATE(2026,11,4),tblDaily[WardCode],"FW")=0,"",SUMIFS(tblDaily[Deaths],tblDaily[EntryDate],DATE(2026,11,4),tblDaily[WardCode],"FW")),"")</f>
        <v/>
      </c>
      <c r="E400" s="29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29" t="str">
        <f>IFERROR(IF(SUMIFS(tblDaily[TransfersIn],tblDaily[EntryDate],DATE(2026,11,4),tblDaily[WardCode],"FW")=0,"",SUMIFS(tblDaily[TransfersIn],tblDaily[EntryDate],DATE(2026,11,4),tblDaily[WardCode],"FW")),"")</f>
        <v/>
      </c>
      <c r="G400" s="29" t="str">
        <f>IFERROR(IF(SUMIFS(tblDaily[TransfersOut],tblDaily[EntryDate],DATE(2026,11,4),tblDaily[WardCode],"FW")=0,"",SUMIFS(tblDaily[TransfersOut],tblDaily[EntryDate],DATE(2026,11,4),tblDaily[WardCode],"FW")),"")</f>
        <v/>
      </c>
      <c r="H400" s="29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IFERROR(IF(SUMIFS(tblDaily[Admissions],tblDaily[EntryDate],DATE(2026,11,5),tblDaily[WardCode],"FW")=0,"",SUMIFS(tblDaily[Admissions],tblDaily[EntryDate],DATE(2026,11,5),tblDaily[WardCode],"FW")),"")</f>
        <v/>
      </c>
      <c r="C401" s="29" t="str">
        <f>IFERROR(IF(SUMIFS(tblDaily[Discharges],tblDaily[EntryDate],DATE(2026,11,5),tblDaily[WardCode],"FW")=0,"",SUMIFS(tblDaily[Discharges],tblDaily[EntryDate],DATE(2026,11,5),tblDaily[WardCode],"FW")),"")</f>
        <v/>
      </c>
      <c r="D401" s="29" t="str">
        <f>IFERROR(IF(SUMIFS(tblDaily[Deaths],tblDaily[EntryDate],DATE(2026,11,5),tblDaily[WardCode],"FW")=0,"",SUMIFS(tblDaily[Deaths],tblDaily[EntryDate],DATE(2026,11,5),tblDaily[WardCode],"FW")),"")</f>
        <v/>
      </c>
      <c r="E401" s="29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29" t="str">
        <f>IFERROR(IF(SUMIFS(tblDaily[TransfersIn],tblDaily[EntryDate],DATE(2026,11,5),tblDaily[WardCode],"FW")=0,"",SUMIFS(tblDaily[TransfersIn],tblDaily[EntryDate],DATE(2026,11,5),tblDaily[WardCode],"FW")),"")</f>
        <v/>
      </c>
      <c r="G401" s="29" t="str">
        <f>IFERROR(IF(SUMIFS(tblDaily[TransfersOut],tblDaily[EntryDate],DATE(2026,11,5),tblDaily[WardCode],"FW")=0,"",SUMIFS(tblDaily[TransfersOut],tblDaily[EntryDate],DATE(2026,11,5),tblDaily[WardCode],"FW")),"")</f>
        <v/>
      </c>
      <c r="H401" s="29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IFERROR(IF(SUMIFS(tblDaily[Admissions],tblDaily[EntryDate],DATE(2026,11,6),tblDaily[WardCode],"FW")=0,"",SUMIFS(tblDaily[Admissions],tblDaily[EntryDate],DATE(2026,11,6),tblDaily[WardCode],"FW")),"")</f>
        <v/>
      </c>
      <c r="C402" s="29" t="str">
        <f>IFERROR(IF(SUMIFS(tblDaily[Discharges],tblDaily[EntryDate],DATE(2026,11,6),tblDaily[WardCode],"FW")=0,"",SUMIFS(tblDaily[Discharges],tblDaily[EntryDate],DATE(2026,11,6),tblDaily[WardCode],"FW")),"")</f>
        <v/>
      </c>
      <c r="D402" s="29" t="str">
        <f>IFERROR(IF(SUMIFS(tblDaily[Deaths],tblDaily[EntryDate],DATE(2026,11,6),tblDaily[WardCode],"FW")=0,"",SUMIFS(tblDaily[Deaths],tblDaily[EntryDate],DATE(2026,11,6),tblDaily[WardCode],"FW")),"")</f>
        <v/>
      </c>
      <c r="E402" s="29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29" t="str">
        <f>IFERROR(IF(SUMIFS(tblDaily[TransfersIn],tblDaily[EntryDate],DATE(2026,11,6),tblDaily[WardCode],"FW")=0,"",SUMIFS(tblDaily[TransfersIn],tblDaily[EntryDate],DATE(2026,11,6),tblDaily[WardCode],"FW")),"")</f>
        <v/>
      </c>
      <c r="G402" s="29" t="str">
        <f>IFERROR(IF(SUMIFS(tblDaily[TransfersOut],tblDaily[EntryDate],DATE(2026,11,6),tblDaily[WardCode],"FW")=0,"",SUMIFS(tblDaily[TransfersOut],tblDaily[EntryDate],DATE(2026,11,6),tblDaily[WardCode],"FW")),"")</f>
        <v/>
      </c>
      <c r="H402" s="29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IFERROR(IF(SUMIFS(tblDaily[Admissions],tblDaily[EntryDate],DATE(2026,11,7),tblDaily[WardCode],"FW")=0,"",SUMIFS(tblDaily[Admissions],tblDaily[EntryDate],DATE(2026,11,7),tblDaily[WardCode],"FW")),"")</f>
        <v/>
      </c>
      <c r="C403" s="29" t="str">
        <f>IFERROR(IF(SUMIFS(tblDaily[Discharges],tblDaily[EntryDate],DATE(2026,11,7),tblDaily[WardCode],"FW")=0,"",SUMIFS(tblDaily[Discharges],tblDaily[EntryDate],DATE(2026,11,7),tblDaily[WardCode],"FW")),"")</f>
        <v/>
      </c>
      <c r="D403" s="29" t="str">
        <f>IFERROR(IF(SUMIFS(tblDaily[Deaths],tblDaily[EntryDate],DATE(2026,11,7),tblDaily[WardCode],"FW")=0,"",SUMIFS(tblDaily[Deaths],tblDaily[EntryDate],DATE(2026,11,7),tblDaily[WardCode],"FW")),"")</f>
        <v/>
      </c>
      <c r="E403" s="29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29" t="str">
        <f>IFERROR(IF(SUMIFS(tblDaily[TransfersIn],tblDaily[EntryDate],DATE(2026,11,7),tblDaily[WardCode],"FW")=0,"",SUMIFS(tblDaily[TransfersIn],tblDaily[EntryDate],DATE(2026,11,7),tblDaily[WardCode],"FW")),"")</f>
        <v/>
      </c>
      <c r="G403" s="29" t="str">
        <f>IFERROR(IF(SUMIFS(tblDaily[TransfersOut],tblDaily[EntryDate],DATE(2026,11,7),tblDaily[WardCode],"FW")=0,"",SUMIFS(tblDaily[TransfersOut],tblDaily[EntryDate],DATE(2026,11,7),tblDaily[WardCode],"FW")),"")</f>
        <v/>
      </c>
      <c r="H403" s="29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IFERROR(IF(SUMIFS(tblDaily[Admissions],tblDaily[EntryDate],DATE(2026,11,8),tblDaily[WardCode],"FW")=0,"",SUMIFS(tblDaily[Admissions],tblDaily[EntryDate],DATE(2026,11,8),tblDaily[WardCode],"FW")),"")</f>
        <v/>
      </c>
      <c r="C404" s="29" t="str">
        <f>IFERROR(IF(SUMIFS(tblDaily[Discharges],tblDaily[EntryDate],DATE(2026,11,8),tblDaily[WardCode],"FW")=0,"",SUMIFS(tblDaily[Discharges],tblDaily[EntryDate],DATE(2026,11,8),tblDaily[WardCode],"FW")),"")</f>
        <v/>
      </c>
      <c r="D404" s="29" t="str">
        <f>IFERROR(IF(SUMIFS(tblDaily[Deaths],tblDaily[EntryDate],DATE(2026,11,8),tblDaily[WardCode],"FW")=0,"",SUMIFS(tblDaily[Deaths],tblDaily[EntryDate],DATE(2026,11,8),tblDaily[WardCode],"FW")),"")</f>
        <v/>
      </c>
      <c r="E404" s="29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29" t="str">
        <f>IFERROR(IF(SUMIFS(tblDaily[TransfersIn],tblDaily[EntryDate],DATE(2026,11,8),tblDaily[WardCode],"FW")=0,"",SUMIFS(tblDaily[TransfersIn],tblDaily[EntryDate],DATE(2026,11,8),tblDaily[WardCode],"FW")),"")</f>
        <v/>
      </c>
      <c r="G404" s="29" t="str">
        <f>IFERROR(IF(SUMIFS(tblDaily[TransfersOut],tblDaily[EntryDate],DATE(2026,11,8),tblDaily[WardCode],"FW")=0,"",SUMIFS(tblDaily[TransfersOut],tblDaily[EntryDate],DATE(2026,11,8),tblDaily[WardCode],"FW")),"")</f>
        <v/>
      </c>
      <c r="H404" s="29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IFERROR(IF(SUMIFS(tblDaily[Admissions],tblDaily[EntryDate],DATE(2026,11,9),tblDaily[WardCode],"FW")=0,"",SUMIFS(tblDaily[Admissions],tblDaily[EntryDate],DATE(2026,11,9),tblDaily[WardCode],"FW")),"")</f>
        <v/>
      </c>
      <c r="C405" s="29" t="str">
        <f>IFERROR(IF(SUMIFS(tblDaily[Discharges],tblDaily[EntryDate],DATE(2026,11,9),tblDaily[WardCode],"FW")=0,"",SUMIFS(tblDaily[Discharges],tblDaily[EntryDate],DATE(2026,11,9),tblDaily[WardCode],"FW")),"")</f>
        <v/>
      </c>
      <c r="D405" s="29" t="str">
        <f>IFERROR(IF(SUMIFS(tblDaily[Deaths],tblDaily[EntryDate],DATE(2026,11,9),tblDaily[WardCode],"FW")=0,"",SUMIFS(tblDaily[Deaths],tblDaily[EntryDate],DATE(2026,11,9),tblDaily[WardCode],"FW")),"")</f>
        <v/>
      </c>
      <c r="E405" s="29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29" t="str">
        <f>IFERROR(IF(SUMIFS(tblDaily[TransfersIn],tblDaily[EntryDate],DATE(2026,11,9),tblDaily[WardCode],"FW")=0,"",SUMIFS(tblDaily[TransfersIn],tblDaily[EntryDate],DATE(2026,11,9),tblDaily[WardCode],"FW")),"")</f>
        <v/>
      </c>
      <c r="G405" s="29" t="str">
        <f>IFERROR(IF(SUMIFS(tblDaily[TransfersOut],tblDaily[EntryDate],DATE(2026,11,9),tblDaily[WardCode],"FW")=0,"",SUMIFS(tblDaily[TransfersOut],tblDaily[EntryDate],DATE(2026,11,9),tblDaily[WardCode],"FW")),"")</f>
        <v/>
      </c>
      <c r="H405" s="29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IFERROR(IF(SUMIFS(tblDaily[Admissions],tblDaily[EntryDate],DATE(2026,11,10),tblDaily[WardCode],"FW")=0,"",SUMIFS(tblDaily[Admissions],tblDaily[EntryDate],DATE(2026,11,10),tblDaily[WardCode],"FW")),"")</f>
        <v/>
      </c>
      <c r="C406" s="29" t="str">
        <f>IFERROR(IF(SUMIFS(tblDaily[Discharges],tblDaily[EntryDate],DATE(2026,11,10),tblDaily[WardCode],"FW")=0,"",SUMIFS(tblDaily[Discharges],tblDaily[EntryDate],DATE(2026,11,10),tblDaily[WardCode],"FW")),"")</f>
        <v/>
      </c>
      <c r="D406" s="29" t="str">
        <f>IFERROR(IF(SUMIFS(tblDaily[Deaths],tblDaily[EntryDate],DATE(2026,11,10),tblDaily[WardCode],"FW")=0,"",SUMIFS(tblDaily[Deaths],tblDaily[EntryDate],DATE(2026,11,10),tblDaily[WardCode],"FW")),"")</f>
        <v/>
      </c>
      <c r="E406" s="29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29" t="str">
        <f>IFERROR(IF(SUMIFS(tblDaily[TransfersIn],tblDaily[EntryDate],DATE(2026,11,10),tblDaily[WardCode],"FW")=0,"",SUMIFS(tblDaily[TransfersIn],tblDaily[EntryDate],DATE(2026,11,10),tblDaily[WardCode],"FW")),"")</f>
        <v/>
      </c>
      <c r="G406" s="29" t="str">
        <f>IFERROR(IF(SUMIFS(tblDaily[TransfersOut],tblDaily[EntryDate],DATE(2026,11,10),tblDaily[WardCode],"FW")=0,"",SUMIFS(tblDaily[TransfersOut],tblDaily[EntryDate],DATE(2026,11,10),tblDaily[WardCode],"FW")),"")</f>
        <v/>
      </c>
      <c r="H406" s="29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IFERROR(IF(SUMIFS(tblDaily[Admissions],tblDaily[EntryDate],DATE(2026,11,11),tblDaily[WardCode],"FW")=0,"",SUMIFS(tblDaily[Admissions],tblDaily[EntryDate],DATE(2026,11,11),tblDaily[WardCode],"FW")),"")</f>
        <v/>
      </c>
      <c r="C407" s="29" t="str">
        <f>IFERROR(IF(SUMIFS(tblDaily[Discharges],tblDaily[EntryDate],DATE(2026,11,11),tblDaily[WardCode],"FW")=0,"",SUMIFS(tblDaily[Discharges],tblDaily[EntryDate],DATE(2026,11,11),tblDaily[WardCode],"FW")),"")</f>
        <v/>
      </c>
      <c r="D407" s="29" t="str">
        <f>IFERROR(IF(SUMIFS(tblDaily[Deaths],tblDaily[EntryDate],DATE(2026,11,11),tblDaily[WardCode],"FW")=0,"",SUMIFS(tblDaily[Deaths],tblDaily[EntryDate],DATE(2026,11,11),tblDaily[WardCode],"FW")),"")</f>
        <v/>
      </c>
      <c r="E407" s="29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29" t="str">
        <f>IFERROR(IF(SUMIFS(tblDaily[TransfersIn],tblDaily[EntryDate],DATE(2026,11,11),tblDaily[WardCode],"FW")=0,"",SUMIFS(tblDaily[TransfersIn],tblDaily[EntryDate],DATE(2026,11,11),tblDaily[WardCode],"FW")),"")</f>
        <v/>
      </c>
      <c r="G407" s="29" t="str">
        <f>IFERROR(IF(SUMIFS(tblDaily[TransfersOut],tblDaily[EntryDate],DATE(2026,11,11),tblDaily[WardCode],"FW")=0,"",SUMIFS(tblDaily[TransfersOut],tblDaily[EntryDate],DATE(2026,11,11),tblDaily[WardCode],"FW")),"")</f>
        <v/>
      </c>
      <c r="H407" s="29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IFERROR(IF(SUMIFS(tblDaily[Admissions],tblDaily[EntryDate],DATE(2026,11,12),tblDaily[WardCode],"FW")=0,"",SUMIFS(tblDaily[Admissions],tblDaily[EntryDate],DATE(2026,11,12),tblDaily[WardCode],"FW")),"")</f>
        <v/>
      </c>
      <c r="C408" s="29" t="str">
        <f>IFERROR(IF(SUMIFS(tblDaily[Discharges],tblDaily[EntryDate],DATE(2026,11,12),tblDaily[WardCode],"FW")=0,"",SUMIFS(tblDaily[Discharges],tblDaily[EntryDate],DATE(2026,11,12),tblDaily[WardCode],"FW")),"")</f>
        <v/>
      </c>
      <c r="D408" s="29" t="str">
        <f>IFERROR(IF(SUMIFS(tblDaily[Deaths],tblDaily[EntryDate],DATE(2026,11,12),tblDaily[WardCode],"FW")=0,"",SUMIFS(tblDaily[Deaths],tblDaily[EntryDate],DATE(2026,11,12),tblDaily[WardCode],"FW")),"")</f>
        <v/>
      </c>
      <c r="E408" s="29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29" t="str">
        <f>IFERROR(IF(SUMIFS(tblDaily[TransfersIn],tblDaily[EntryDate],DATE(2026,11,12),tblDaily[WardCode],"FW")=0,"",SUMIFS(tblDaily[TransfersIn],tblDaily[EntryDate],DATE(2026,11,12),tblDaily[WardCode],"FW")),"")</f>
        <v/>
      </c>
      <c r="G408" s="29" t="str">
        <f>IFERROR(IF(SUMIFS(tblDaily[TransfersOut],tblDaily[EntryDate],DATE(2026,11,12),tblDaily[WardCode],"FW")=0,"",SUMIFS(tblDaily[TransfersOut],tblDaily[EntryDate],DATE(2026,11,12),tblDaily[WardCode],"FW")),"")</f>
        <v/>
      </c>
      <c r="H408" s="29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IFERROR(IF(SUMIFS(tblDaily[Admissions],tblDaily[EntryDate],DATE(2026,11,13),tblDaily[WardCode],"FW")=0,"",SUMIFS(tblDaily[Admissions],tblDaily[EntryDate],DATE(2026,11,13),tblDaily[WardCode],"FW")),"")</f>
        <v/>
      </c>
      <c r="C409" s="29" t="str">
        <f>IFERROR(IF(SUMIFS(tblDaily[Discharges],tblDaily[EntryDate],DATE(2026,11,13),tblDaily[WardCode],"FW")=0,"",SUMIFS(tblDaily[Discharges],tblDaily[EntryDate],DATE(2026,11,13),tblDaily[WardCode],"FW")),"")</f>
        <v/>
      </c>
      <c r="D409" s="29" t="str">
        <f>IFERROR(IF(SUMIFS(tblDaily[Deaths],tblDaily[EntryDate],DATE(2026,11,13),tblDaily[WardCode],"FW")=0,"",SUMIFS(tblDaily[Deaths],tblDaily[EntryDate],DATE(2026,11,13),tblDaily[WardCode],"FW")),"")</f>
        <v/>
      </c>
      <c r="E409" s="29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29" t="str">
        <f>IFERROR(IF(SUMIFS(tblDaily[TransfersIn],tblDaily[EntryDate],DATE(2026,11,13),tblDaily[WardCode],"FW")=0,"",SUMIFS(tblDaily[TransfersIn],tblDaily[EntryDate],DATE(2026,11,13),tblDaily[WardCode],"FW")),"")</f>
        <v/>
      </c>
      <c r="G409" s="29" t="str">
        <f>IFERROR(IF(SUMIFS(tblDaily[TransfersOut],tblDaily[EntryDate],DATE(2026,11,13),tblDaily[WardCode],"FW")=0,"",SUMIFS(tblDaily[TransfersOut],tblDaily[EntryDate],DATE(2026,11,13),tblDaily[WardCode],"FW")),"")</f>
        <v/>
      </c>
      <c r="H409" s="29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IFERROR(IF(SUMIFS(tblDaily[Admissions],tblDaily[EntryDate],DATE(2026,11,14),tblDaily[WardCode],"FW")=0,"",SUMIFS(tblDaily[Admissions],tblDaily[EntryDate],DATE(2026,11,14),tblDaily[WardCode],"FW")),"")</f>
        <v/>
      </c>
      <c r="C410" s="29" t="str">
        <f>IFERROR(IF(SUMIFS(tblDaily[Discharges],tblDaily[EntryDate],DATE(2026,11,14),tblDaily[WardCode],"FW")=0,"",SUMIFS(tblDaily[Discharges],tblDaily[EntryDate],DATE(2026,11,14),tblDaily[WardCode],"FW")),"")</f>
        <v/>
      </c>
      <c r="D410" s="29" t="str">
        <f>IFERROR(IF(SUMIFS(tblDaily[Deaths],tblDaily[EntryDate],DATE(2026,11,14),tblDaily[WardCode],"FW")=0,"",SUMIFS(tblDaily[Deaths],tblDaily[EntryDate],DATE(2026,11,14),tblDaily[WardCode],"FW")),"")</f>
        <v/>
      </c>
      <c r="E410" s="29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29" t="str">
        <f>IFERROR(IF(SUMIFS(tblDaily[TransfersIn],tblDaily[EntryDate],DATE(2026,11,14),tblDaily[WardCode],"FW")=0,"",SUMIFS(tblDaily[TransfersIn],tblDaily[EntryDate],DATE(2026,11,14),tblDaily[WardCode],"FW")),"")</f>
        <v/>
      </c>
      <c r="G410" s="29" t="str">
        <f>IFERROR(IF(SUMIFS(tblDaily[TransfersOut],tblDaily[EntryDate],DATE(2026,11,14),tblDaily[WardCode],"FW")=0,"",SUMIFS(tblDaily[TransfersOut],tblDaily[EntryDate],DATE(2026,11,14),tblDaily[WardCode],"FW")),"")</f>
        <v/>
      </c>
      <c r="H410" s="29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IFERROR(IF(SUMIFS(tblDaily[Admissions],tblDaily[EntryDate],DATE(2026,11,15),tblDaily[WardCode],"FW")=0,"",SUMIFS(tblDaily[Admissions],tblDaily[EntryDate],DATE(2026,11,15),tblDaily[WardCode],"FW")),"")</f>
        <v/>
      </c>
      <c r="C411" s="29" t="str">
        <f>IFERROR(IF(SUMIFS(tblDaily[Discharges],tblDaily[EntryDate],DATE(2026,11,15),tblDaily[WardCode],"FW")=0,"",SUMIFS(tblDaily[Discharges],tblDaily[EntryDate],DATE(2026,11,15),tblDaily[WardCode],"FW")),"")</f>
        <v/>
      </c>
      <c r="D411" s="29" t="str">
        <f>IFERROR(IF(SUMIFS(tblDaily[Deaths],tblDaily[EntryDate],DATE(2026,11,15),tblDaily[WardCode],"FW")=0,"",SUMIFS(tblDaily[Deaths],tblDaily[EntryDate],DATE(2026,11,15),tblDaily[WardCode],"FW")),"")</f>
        <v/>
      </c>
      <c r="E411" s="29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29" t="str">
        <f>IFERROR(IF(SUMIFS(tblDaily[TransfersIn],tblDaily[EntryDate],DATE(2026,11,15),tblDaily[WardCode],"FW")=0,"",SUMIFS(tblDaily[TransfersIn],tblDaily[EntryDate],DATE(2026,11,15),tblDaily[WardCode],"FW")),"")</f>
        <v/>
      </c>
      <c r="G411" s="29" t="str">
        <f>IFERROR(IF(SUMIFS(tblDaily[TransfersOut],tblDaily[EntryDate],DATE(2026,11,15),tblDaily[WardCode],"FW")=0,"",SUMIFS(tblDaily[TransfersOut],tblDaily[EntryDate],DATE(2026,11,15),tblDaily[WardCode],"FW")),"")</f>
        <v/>
      </c>
      <c r="H411" s="29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IFERROR(IF(SUMIFS(tblDaily[Admissions],tblDaily[EntryDate],DATE(2026,11,16),tblDaily[WardCode],"FW")=0,"",SUMIFS(tblDaily[Admissions],tblDaily[EntryDate],DATE(2026,11,16),tblDaily[WardCode],"FW")),"")</f>
        <v/>
      </c>
      <c r="C412" s="29" t="str">
        <f>IFERROR(IF(SUMIFS(tblDaily[Discharges],tblDaily[EntryDate],DATE(2026,11,16),tblDaily[WardCode],"FW")=0,"",SUMIFS(tblDaily[Discharges],tblDaily[EntryDate],DATE(2026,11,16),tblDaily[WardCode],"FW")),"")</f>
        <v/>
      </c>
      <c r="D412" s="29" t="str">
        <f>IFERROR(IF(SUMIFS(tblDaily[Deaths],tblDaily[EntryDate],DATE(2026,11,16),tblDaily[WardCode],"FW")=0,"",SUMIFS(tblDaily[Deaths],tblDaily[EntryDate],DATE(2026,11,16),tblDaily[WardCode],"FW")),"")</f>
        <v/>
      </c>
      <c r="E412" s="29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29" t="str">
        <f>IFERROR(IF(SUMIFS(tblDaily[TransfersIn],tblDaily[EntryDate],DATE(2026,11,16),tblDaily[WardCode],"FW")=0,"",SUMIFS(tblDaily[TransfersIn],tblDaily[EntryDate],DATE(2026,11,16),tblDaily[WardCode],"FW")),"")</f>
        <v/>
      </c>
      <c r="G412" s="29" t="str">
        <f>IFERROR(IF(SUMIFS(tblDaily[TransfersOut],tblDaily[EntryDate],DATE(2026,11,16),tblDaily[WardCode],"FW")=0,"",SUMIFS(tblDaily[TransfersOut],tblDaily[EntryDate],DATE(2026,11,16),tblDaily[WardCode],"FW")),"")</f>
        <v/>
      </c>
      <c r="H412" s="29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IFERROR(IF(SUMIFS(tblDaily[Admissions],tblDaily[EntryDate],DATE(2026,11,17),tblDaily[WardCode],"FW")=0,"",SUMIFS(tblDaily[Admissions],tblDaily[EntryDate],DATE(2026,11,17),tblDaily[WardCode],"FW")),"")</f>
        <v/>
      </c>
      <c r="C413" s="29" t="str">
        <f>IFERROR(IF(SUMIFS(tblDaily[Discharges],tblDaily[EntryDate],DATE(2026,11,17),tblDaily[WardCode],"FW")=0,"",SUMIFS(tblDaily[Discharges],tblDaily[EntryDate],DATE(2026,11,17),tblDaily[WardCode],"FW")),"")</f>
        <v/>
      </c>
      <c r="D413" s="29" t="str">
        <f>IFERROR(IF(SUMIFS(tblDaily[Deaths],tblDaily[EntryDate],DATE(2026,11,17),tblDaily[WardCode],"FW")=0,"",SUMIFS(tblDaily[Deaths],tblDaily[EntryDate],DATE(2026,11,17),tblDaily[WardCode],"FW")),"")</f>
        <v/>
      </c>
      <c r="E413" s="29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29" t="str">
        <f>IFERROR(IF(SUMIFS(tblDaily[TransfersIn],tblDaily[EntryDate],DATE(2026,11,17),tblDaily[WardCode],"FW")=0,"",SUMIFS(tblDaily[TransfersIn],tblDaily[EntryDate],DATE(2026,11,17),tblDaily[WardCode],"FW")),"")</f>
        <v/>
      </c>
      <c r="G413" s="29" t="str">
        <f>IFERROR(IF(SUMIFS(tblDaily[TransfersOut],tblDaily[EntryDate],DATE(2026,11,17),tblDaily[WardCode],"FW")=0,"",SUMIFS(tblDaily[TransfersOut],tblDaily[EntryDate],DATE(2026,11,17),tblDaily[WardCode],"FW")),"")</f>
        <v/>
      </c>
      <c r="H413" s="29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IFERROR(IF(SUMIFS(tblDaily[Admissions],tblDaily[EntryDate],DATE(2026,11,18),tblDaily[WardCode],"FW")=0,"",SUMIFS(tblDaily[Admissions],tblDaily[EntryDate],DATE(2026,11,18),tblDaily[WardCode],"FW")),"")</f>
        <v/>
      </c>
      <c r="C414" s="29" t="str">
        <f>IFERROR(IF(SUMIFS(tblDaily[Discharges],tblDaily[EntryDate],DATE(2026,11,18),tblDaily[WardCode],"FW")=0,"",SUMIFS(tblDaily[Discharges],tblDaily[EntryDate],DATE(2026,11,18),tblDaily[WardCode],"FW")),"")</f>
        <v/>
      </c>
      <c r="D414" s="29" t="str">
        <f>IFERROR(IF(SUMIFS(tblDaily[Deaths],tblDaily[EntryDate],DATE(2026,11,18),tblDaily[WardCode],"FW")=0,"",SUMIFS(tblDaily[Deaths],tblDaily[EntryDate],DATE(2026,11,18),tblDaily[WardCode],"FW")),"")</f>
        <v/>
      </c>
      <c r="E414" s="29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29" t="str">
        <f>IFERROR(IF(SUMIFS(tblDaily[TransfersIn],tblDaily[EntryDate],DATE(2026,11,18),tblDaily[WardCode],"FW")=0,"",SUMIFS(tblDaily[TransfersIn],tblDaily[EntryDate],DATE(2026,11,18),tblDaily[WardCode],"FW")),"")</f>
        <v/>
      </c>
      <c r="G414" s="29" t="str">
        <f>IFERROR(IF(SUMIFS(tblDaily[TransfersOut],tblDaily[EntryDate],DATE(2026,11,18),tblDaily[WardCode],"FW")=0,"",SUMIFS(tblDaily[TransfersOut],tblDaily[EntryDate],DATE(2026,11,18),tblDaily[WardCode],"FW")),"")</f>
        <v/>
      </c>
      <c r="H414" s="29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IFERROR(IF(SUMIFS(tblDaily[Admissions],tblDaily[EntryDate],DATE(2026,11,19),tblDaily[WardCode],"FW")=0,"",SUMIFS(tblDaily[Admissions],tblDaily[EntryDate],DATE(2026,11,19),tblDaily[WardCode],"FW")),"")</f>
        <v/>
      </c>
      <c r="C415" s="29" t="str">
        <f>IFERROR(IF(SUMIFS(tblDaily[Discharges],tblDaily[EntryDate],DATE(2026,11,19),tblDaily[WardCode],"FW")=0,"",SUMIFS(tblDaily[Discharges],tblDaily[EntryDate],DATE(2026,11,19),tblDaily[WardCode],"FW")),"")</f>
        <v/>
      </c>
      <c r="D415" s="29" t="str">
        <f>IFERROR(IF(SUMIFS(tblDaily[Deaths],tblDaily[EntryDate],DATE(2026,11,19),tblDaily[WardCode],"FW")=0,"",SUMIFS(tblDaily[Deaths],tblDaily[EntryDate],DATE(2026,11,19),tblDaily[WardCode],"FW")),"")</f>
        <v/>
      </c>
      <c r="E415" s="29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29" t="str">
        <f>IFERROR(IF(SUMIFS(tblDaily[TransfersIn],tblDaily[EntryDate],DATE(2026,11,19),tblDaily[WardCode],"FW")=0,"",SUMIFS(tblDaily[TransfersIn],tblDaily[EntryDate],DATE(2026,11,19),tblDaily[WardCode],"FW")),"")</f>
        <v/>
      </c>
      <c r="G415" s="29" t="str">
        <f>IFERROR(IF(SUMIFS(tblDaily[TransfersOut],tblDaily[EntryDate],DATE(2026,11,19),tblDaily[WardCode],"FW")=0,"",SUMIFS(tblDaily[TransfersOut],tblDaily[EntryDate],DATE(2026,11,19),tblDaily[WardCode],"FW")),"")</f>
        <v/>
      </c>
      <c r="H415" s="29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IFERROR(IF(SUMIFS(tblDaily[Admissions],tblDaily[EntryDate],DATE(2026,11,20),tblDaily[WardCode],"FW")=0,"",SUMIFS(tblDaily[Admissions],tblDaily[EntryDate],DATE(2026,11,20),tblDaily[WardCode],"FW")),"")</f>
        <v/>
      </c>
      <c r="C416" s="29" t="str">
        <f>IFERROR(IF(SUMIFS(tblDaily[Discharges],tblDaily[EntryDate],DATE(2026,11,20),tblDaily[WardCode],"FW")=0,"",SUMIFS(tblDaily[Discharges],tblDaily[EntryDate],DATE(2026,11,20),tblDaily[WardCode],"FW")),"")</f>
        <v/>
      </c>
      <c r="D416" s="29" t="str">
        <f>IFERROR(IF(SUMIFS(tblDaily[Deaths],tblDaily[EntryDate],DATE(2026,11,20),tblDaily[WardCode],"FW")=0,"",SUMIFS(tblDaily[Deaths],tblDaily[EntryDate],DATE(2026,11,20),tblDaily[WardCode],"FW")),"")</f>
        <v/>
      </c>
      <c r="E416" s="29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29" t="str">
        <f>IFERROR(IF(SUMIFS(tblDaily[TransfersIn],tblDaily[EntryDate],DATE(2026,11,20),tblDaily[WardCode],"FW")=0,"",SUMIFS(tblDaily[TransfersIn],tblDaily[EntryDate],DATE(2026,11,20),tblDaily[WardCode],"FW")),"")</f>
        <v/>
      </c>
      <c r="G416" s="29" t="str">
        <f>IFERROR(IF(SUMIFS(tblDaily[TransfersOut],tblDaily[EntryDate],DATE(2026,11,20),tblDaily[WardCode],"FW")=0,"",SUMIFS(tblDaily[TransfersOut],tblDaily[EntryDate],DATE(2026,11,20),tblDaily[WardCode],"FW")),"")</f>
        <v/>
      </c>
      <c r="H416" s="29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IFERROR(IF(SUMIFS(tblDaily[Admissions],tblDaily[EntryDate],DATE(2026,11,21),tblDaily[WardCode],"FW")=0,"",SUMIFS(tblDaily[Admissions],tblDaily[EntryDate],DATE(2026,11,21),tblDaily[WardCode],"FW")),"")</f>
        <v/>
      </c>
      <c r="C417" s="29" t="str">
        <f>IFERROR(IF(SUMIFS(tblDaily[Discharges],tblDaily[EntryDate],DATE(2026,11,21),tblDaily[WardCode],"FW")=0,"",SUMIFS(tblDaily[Discharges],tblDaily[EntryDate],DATE(2026,11,21),tblDaily[WardCode],"FW")),"")</f>
        <v/>
      </c>
      <c r="D417" s="29" t="str">
        <f>IFERROR(IF(SUMIFS(tblDaily[Deaths],tblDaily[EntryDate],DATE(2026,11,21),tblDaily[WardCode],"FW")=0,"",SUMIFS(tblDaily[Deaths],tblDaily[EntryDate],DATE(2026,11,21),tblDaily[WardCode],"FW")),"")</f>
        <v/>
      </c>
      <c r="E417" s="29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29" t="str">
        <f>IFERROR(IF(SUMIFS(tblDaily[TransfersIn],tblDaily[EntryDate],DATE(2026,11,21),tblDaily[WardCode],"FW")=0,"",SUMIFS(tblDaily[TransfersIn],tblDaily[EntryDate],DATE(2026,11,21),tblDaily[WardCode],"FW")),"")</f>
        <v/>
      </c>
      <c r="G417" s="29" t="str">
        <f>IFERROR(IF(SUMIFS(tblDaily[TransfersOut],tblDaily[EntryDate],DATE(2026,11,21),tblDaily[WardCode],"FW")=0,"",SUMIFS(tblDaily[TransfersOut],tblDaily[EntryDate],DATE(2026,11,21),tblDaily[WardCode],"FW")),"")</f>
        <v/>
      </c>
      <c r="H417" s="29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IFERROR(IF(SUMIFS(tblDaily[Admissions],tblDaily[EntryDate],DATE(2026,11,22),tblDaily[WardCode],"FW")=0,"",SUMIFS(tblDaily[Admissions],tblDaily[EntryDate],DATE(2026,11,22),tblDaily[WardCode],"FW")),"")</f>
        <v/>
      </c>
      <c r="C418" s="29" t="str">
        <f>IFERROR(IF(SUMIFS(tblDaily[Discharges],tblDaily[EntryDate],DATE(2026,11,22),tblDaily[WardCode],"FW")=0,"",SUMIFS(tblDaily[Discharges],tblDaily[EntryDate],DATE(2026,11,22),tblDaily[WardCode],"FW")),"")</f>
        <v/>
      </c>
      <c r="D418" s="29" t="str">
        <f>IFERROR(IF(SUMIFS(tblDaily[Deaths],tblDaily[EntryDate],DATE(2026,11,22),tblDaily[WardCode],"FW")=0,"",SUMIFS(tblDaily[Deaths],tblDaily[EntryDate],DATE(2026,11,22),tblDaily[WardCode],"FW")),"")</f>
        <v/>
      </c>
      <c r="E418" s="29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29" t="str">
        <f>IFERROR(IF(SUMIFS(tblDaily[TransfersIn],tblDaily[EntryDate],DATE(2026,11,22),tblDaily[WardCode],"FW")=0,"",SUMIFS(tblDaily[TransfersIn],tblDaily[EntryDate],DATE(2026,11,22),tblDaily[WardCode],"FW")),"")</f>
        <v/>
      </c>
      <c r="G418" s="29" t="str">
        <f>IFERROR(IF(SUMIFS(tblDaily[TransfersOut],tblDaily[EntryDate],DATE(2026,11,22),tblDaily[WardCode],"FW")=0,"",SUMIFS(tblDaily[TransfersOut],tblDaily[EntryDate],DATE(2026,11,22),tblDaily[WardCode],"FW")),"")</f>
        <v/>
      </c>
      <c r="H418" s="29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IFERROR(IF(SUMIFS(tblDaily[Admissions],tblDaily[EntryDate],DATE(2026,11,23),tblDaily[WardCode],"FW")=0,"",SUMIFS(tblDaily[Admissions],tblDaily[EntryDate],DATE(2026,11,23),tblDaily[WardCode],"FW")),"")</f>
        <v/>
      </c>
      <c r="C419" s="29" t="str">
        <f>IFERROR(IF(SUMIFS(tblDaily[Discharges],tblDaily[EntryDate],DATE(2026,11,23),tblDaily[WardCode],"FW")=0,"",SUMIFS(tblDaily[Discharges],tblDaily[EntryDate],DATE(2026,11,23),tblDaily[WardCode],"FW")),"")</f>
        <v/>
      </c>
      <c r="D419" s="29" t="str">
        <f>IFERROR(IF(SUMIFS(tblDaily[Deaths],tblDaily[EntryDate],DATE(2026,11,23),tblDaily[WardCode],"FW")=0,"",SUMIFS(tblDaily[Deaths],tblDaily[EntryDate],DATE(2026,11,23),tblDaily[WardCode],"FW")),"")</f>
        <v/>
      </c>
      <c r="E419" s="29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29" t="str">
        <f>IFERROR(IF(SUMIFS(tblDaily[TransfersIn],tblDaily[EntryDate],DATE(2026,11,23),tblDaily[WardCode],"FW")=0,"",SUMIFS(tblDaily[TransfersIn],tblDaily[EntryDate],DATE(2026,11,23),tblDaily[WardCode],"FW")),"")</f>
        <v/>
      </c>
      <c r="G419" s="29" t="str">
        <f>IFERROR(IF(SUMIFS(tblDaily[TransfersOut],tblDaily[EntryDate],DATE(2026,11,23),tblDaily[WardCode],"FW")=0,"",SUMIFS(tblDaily[TransfersOut],tblDaily[EntryDate],DATE(2026,11,23),tblDaily[WardCode],"FW")),"")</f>
        <v/>
      </c>
      <c r="H419" s="29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IFERROR(IF(SUMIFS(tblDaily[Admissions],tblDaily[EntryDate],DATE(2026,11,24),tblDaily[WardCode],"FW")=0,"",SUMIFS(tblDaily[Admissions],tblDaily[EntryDate],DATE(2026,11,24),tblDaily[WardCode],"FW")),"")</f>
        <v/>
      </c>
      <c r="C420" s="29" t="str">
        <f>IFERROR(IF(SUMIFS(tblDaily[Discharges],tblDaily[EntryDate],DATE(2026,11,24),tblDaily[WardCode],"FW")=0,"",SUMIFS(tblDaily[Discharges],tblDaily[EntryDate],DATE(2026,11,24),tblDaily[WardCode],"FW")),"")</f>
        <v/>
      </c>
      <c r="D420" s="29" t="str">
        <f>IFERROR(IF(SUMIFS(tblDaily[Deaths],tblDaily[EntryDate],DATE(2026,11,24),tblDaily[WardCode],"FW")=0,"",SUMIFS(tblDaily[Deaths],tblDaily[EntryDate],DATE(2026,11,24),tblDaily[WardCode],"FW")),"")</f>
        <v/>
      </c>
      <c r="E420" s="29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29" t="str">
        <f>IFERROR(IF(SUMIFS(tblDaily[TransfersIn],tblDaily[EntryDate],DATE(2026,11,24),tblDaily[WardCode],"FW")=0,"",SUMIFS(tblDaily[TransfersIn],tblDaily[EntryDate],DATE(2026,11,24),tblDaily[WardCode],"FW")),"")</f>
        <v/>
      </c>
      <c r="G420" s="29" t="str">
        <f>IFERROR(IF(SUMIFS(tblDaily[TransfersOut],tblDaily[EntryDate],DATE(2026,11,24),tblDaily[WardCode],"FW")=0,"",SUMIFS(tblDaily[TransfersOut],tblDaily[EntryDate],DATE(2026,11,24),tblDaily[WardCode],"FW")),"")</f>
        <v/>
      </c>
      <c r="H420" s="29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IFERROR(IF(SUMIFS(tblDaily[Admissions],tblDaily[EntryDate],DATE(2026,11,25),tblDaily[WardCode],"FW")=0,"",SUMIFS(tblDaily[Admissions],tblDaily[EntryDate],DATE(2026,11,25),tblDaily[WardCode],"FW")),"")</f>
        <v/>
      </c>
      <c r="C421" s="29" t="str">
        <f>IFERROR(IF(SUMIFS(tblDaily[Discharges],tblDaily[EntryDate],DATE(2026,11,25),tblDaily[WardCode],"FW")=0,"",SUMIFS(tblDaily[Discharges],tblDaily[EntryDate],DATE(2026,11,25),tblDaily[WardCode],"FW")),"")</f>
        <v/>
      </c>
      <c r="D421" s="29" t="str">
        <f>IFERROR(IF(SUMIFS(tblDaily[Deaths],tblDaily[EntryDate],DATE(2026,11,25),tblDaily[WardCode],"FW")=0,"",SUMIFS(tblDaily[Deaths],tblDaily[EntryDate],DATE(2026,11,25),tblDaily[WardCode],"FW")),"")</f>
        <v/>
      </c>
      <c r="E421" s="29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29" t="str">
        <f>IFERROR(IF(SUMIFS(tblDaily[TransfersIn],tblDaily[EntryDate],DATE(2026,11,25),tblDaily[WardCode],"FW")=0,"",SUMIFS(tblDaily[TransfersIn],tblDaily[EntryDate],DATE(2026,11,25),tblDaily[WardCode],"FW")),"")</f>
        <v/>
      </c>
      <c r="G421" s="29" t="str">
        <f>IFERROR(IF(SUMIFS(tblDaily[TransfersOut],tblDaily[EntryDate],DATE(2026,11,25),tblDaily[WardCode],"FW")=0,"",SUMIFS(tblDaily[TransfersOut],tblDaily[EntryDate],DATE(2026,11,25),tblDaily[WardCode],"FW")),"")</f>
        <v/>
      </c>
      <c r="H421" s="29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IFERROR(IF(SUMIFS(tblDaily[Admissions],tblDaily[EntryDate],DATE(2026,11,26),tblDaily[WardCode],"FW")=0,"",SUMIFS(tblDaily[Admissions],tblDaily[EntryDate],DATE(2026,11,26),tblDaily[WardCode],"FW")),"")</f>
        <v/>
      </c>
      <c r="C422" s="29" t="str">
        <f>IFERROR(IF(SUMIFS(tblDaily[Discharges],tblDaily[EntryDate],DATE(2026,11,26),tblDaily[WardCode],"FW")=0,"",SUMIFS(tblDaily[Discharges],tblDaily[EntryDate],DATE(2026,11,26),tblDaily[WardCode],"FW")),"")</f>
        <v/>
      </c>
      <c r="D422" s="29" t="str">
        <f>IFERROR(IF(SUMIFS(tblDaily[Deaths],tblDaily[EntryDate],DATE(2026,11,26),tblDaily[WardCode],"FW")=0,"",SUMIFS(tblDaily[Deaths],tblDaily[EntryDate],DATE(2026,11,26),tblDaily[WardCode],"FW")),"")</f>
        <v/>
      </c>
      <c r="E422" s="29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29" t="str">
        <f>IFERROR(IF(SUMIFS(tblDaily[TransfersIn],tblDaily[EntryDate],DATE(2026,11,26),tblDaily[WardCode],"FW")=0,"",SUMIFS(tblDaily[TransfersIn],tblDaily[EntryDate],DATE(2026,11,26),tblDaily[WardCode],"FW")),"")</f>
        <v/>
      </c>
      <c r="G422" s="29" t="str">
        <f>IFERROR(IF(SUMIFS(tblDaily[TransfersOut],tblDaily[EntryDate],DATE(2026,11,26),tblDaily[WardCode],"FW")=0,"",SUMIFS(tblDaily[TransfersOut],tblDaily[EntryDate],DATE(2026,11,26),tblDaily[WardCode],"FW")),"")</f>
        <v/>
      </c>
      <c r="H422" s="29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IFERROR(IF(SUMIFS(tblDaily[Admissions],tblDaily[EntryDate],DATE(2026,11,27),tblDaily[WardCode],"FW")=0,"",SUMIFS(tblDaily[Admissions],tblDaily[EntryDate],DATE(2026,11,27),tblDaily[WardCode],"FW")),"")</f>
        <v/>
      </c>
      <c r="C423" s="29" t="str">
        <f>IFERROR(IF(SUMIFS(tblDaily[Discharges],tblDaily[EntryDate],DATE(2026,11,27),tblDaily[WardCode],"FW")=0,"",SUMIFS(tblDaily[Discharges],tblDaily[EntryDate],DATE(2026,11,27),tblDaily[WardCode],"FW")),"")</f>
        <v/>
      </c>
      <c r="D423" s="29" t="str">
        <f>IFERROR(IF(SUMIFS(tblDaily[Deaths],tblDaily[EntryDate],DATE(2026,11,27),tblDaily[WardCode],"FW")=0,"",SUMIFS(tblDaily[Deaths],tblDaily[EntryDate],DATE(2026,11,27),tblDaily[WardCode],"FW")),"")</f>
        <v/>
      </c>
      <c r="E423" s="29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29" t="str">
        <f>IFERROR(IF(SUMIFS(tblDaily[TransfersIn],tblDaily[EntryDate],DATE(2026,11,27),tblDaily[WardCode],"FW")=0,"",SUMIFS(tblDaily[TransfersIn],tblDaily[EntryDate],DATE(2026,11,27),tblDaily[WardCode],"FW")),"")</f>
        <v/>
      </c>
      <c r="G423" s="29" t="str">
        <f>IFERROR(IF(SUMIFS(tblDaily[TransfersOut],tblDaily[EntryDate],DATE(2026,11,27),tblDaily[WardCode],"FW")=0,"",SUMIFS(tblDaily[TransfersOut],tblDaily[EntryDate],DATE(2026,11,27),tblDaily[WardCode],"FW")),"")</f>
        <v/>
      </c>
      <c r="H423" s="29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IFERROR(IF(SUMIFS(tblDaily[Admissions],tblDaily[EntryDate],DATE(2026,11,28),tblDaily[WardCode],"FW")=0,"",SUMIFS(tblDaily[Admissions],tblDaily[EntryDate],DATE(2026,11,28),tblDaily[WardCode],"FW")),"")</f>
        <v/>
      </c>
      <c r="C424" s="29" t="str">
        <f>IFERROR(IF(SUMIFS(tblDaily[Discharges],tblDaily[EntryDate],DATE(2026,11,28),tblDaily[WardCode],"FW")=0,"",SUMIFS(tblDaily[Discharges],tblDaily[EntryDate],DATE(2026,11,28),tblDaily[WardCode],"FW")),"")</f>
        <v/>
      </c>
      <c r="D424" s="29" t="str">
        <f>IFERROR(IF(SUMIFS(tblDaily[Deaths],tblDaily[EntryDate],DATE(2026,11,28),tblDaily[WardCode],"FW")=0,"",SUMIFS(tblDaily[Deaths],tblDaily[EntryDate],DATE(2026,11,28),tblDaily[WardCode],"FW")),"")</f>
        <v/>
      </c>
      <c r="E424" s="29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29" t="str">
        <f>IFERROR(IF(SUMIFS(tblDaily[TransfersIn],tblDaily[EntryDate],DATE(2026,11,28),tblDaily[WardCode],"FW")=0,"",SUMIFS(tblDaily[TransfersIn],tblDaily[EntryDate],DATE(2026,11,28),tblDaily[WardCode],"FW")),"")</f>
        <v/>
      </c>
      <c r="G424" s="29" t="str">
        <f>IFERROR(IF(SUMIFS(tblDaily[TransfersOut],tblDaily[EntryDate],DATE(2026,11,28),tblDaily[WardCode],"FW")=0,"",SUMIFS(tblDaily[TransfersOut],tblDaily[EntryDate],DATE(2026,11,28),tblDaily[WardCode],"FW")),"")</f>
        <v/>
      </c>
      <c r="H424" s="29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IFERROR(IF(SUMIFS(tblDaily[Admissions],tblDaily[EntryDate],DATE(2026,11,29),tblDaily[WardCode],"FW")=0,"",SUMIFS(tblDaily[Admissions],tblDaily[EntryDate],DATE(2026,11,29),tblDaily[WardCode],"FW")),"")</f>
        <v/>
      </c>
      <c r="C425" s="29" t="str">
        <f>IFERROR(IF(SUMIFS(tblDaily[Discharges],tblDaily[EntryDate],DATE(2026,11,29),tblDaily[WardCode],"FW")=0,"",SUMIFS(tblDaily[Discharges],tblDaily[EntryDate],DATE(2026,11,29),tblDaily[WardCode],"FW")),"")</f>
        <v/>
      </c>
      <c r="D425" s="29" t="str">
        <f>IFERROR(IF(SUMIFS(tblDaily[Deaths],tblDaily[EntryDate],DATE(2026,11,29),tblDaily[WardCode],"FW")=0,"",SUMIFS(tblDaily[Deaths],tblDaily[EntryDate],DATE(2026,11,29),tblDaily[WardCode],"FW")),"")</f>
        <v/>
      </c>
      <c r="E425" s="29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29" t="str">
        <f>IFERROR(IF(SUMIFS(tblDaily[TransfersIn],tblDaily[EntryDate],DATE(2026,11,29),tblDaily[WardCode],"FW")=0,"",SUMIFS(tblDaily[TransfersIn],tblDaily[EntryDate],DATE(2026,11,29),tblDaily[WardCode],"FW")),"")</f>
        <v/>
      </c>
      <c r="G425" s="29" t="str">
        <f>IFERROR(IF(SUMIFS(tblDaily[TransfersOut],tblDaily[EntryDate],DATE(2026,11,29),tblDaily[WardCode],"FW")=0,"",SUMIFS(tblDaily[TransfersOut],tblDaily[EntryDate],DATE(2026,11,29),tblDaily[WardCode],"FW")),"")</f>
        <v/>
      </c>
      <c r="H425" s="29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IFERROR(IF(SUMIFS(tblDaily[Admissions],tblDaily[EntryDate],DATE(2026,11,30),tblDaily[WardCode],"FW")=0,"",SUMIFS(tblDaily[Admissions],tblDaily[EntryDate],DATE(2026,11,30),tblDaily[WardCode],"FW")),"")</f>
        <v/>
      </c>
      <c r="C426" s="29" t="str">
        <f>IFERROR(IF(SUMIFS(tblDaily[Discharges],tblDaily[EntryDate],DATE(2026,11,30),tblDaily[WardCode],"FW")=0,"",SUMIFS(tblDaily[Discharges],tblDaily[EntryDate],DATE(2026,11,30),tblDaily[WardCode],"FW")),"")</f>
        <v/>
      </c>
      <c r="D426" s="29" t="str">
        <f>IFERROR(IF(SUMIFS(tblDaily[Deaths],tblDaily[EntryDate],DATE(2026,11,30),tblDaily[WardCode],"FW")=0,"",SUMIFS(tblDaily[Deaths],tblDaily[EntryDate],DATE(2026,11,30),tblDaily[WardCode],"FW")),"")</f>
        <v/>
      </c>
      <c r="E426" s="29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29" t="str">
        <f>IFERROR(IF(SUMIFS(tblDaily[TransfersIn],tblDaily[EntryDate],DATE(2026,11,30),tblDaily[WardCode],"FW")=0,"",SUMIFS(tblDaily[TransfersIn],tblDaily[EntryDate],DATE(2026,11,30),tblDaily[WardCode],"FW")),"")</f>
        <v/>
      </c>
      <c r="G426" s="29" t="str">
        <f>IFERROR(IF(SUMIFS(tblDaily[TransfersOut],tblDaily[EntryDate],DATE(2026,11,30),tblDaily[WardCode],"FW")=0,"",SUMIFS(tblDaily[TransfersOut],tblDaily[EntryDate],DATE(2026,11,30),tblDaily[WardCode],"FW")),"")</f>
        <v/>
      </c>
      <c r="H426" s="29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SUMIFS(tblDaily[Admissions],tblDaily[Month],11,tblDaily[WardCode],"FW") - SUMIFS(tblDaily[DeathsUnder24Hrs],tblDaily[Month],11,tblDaily[WardCode],"FW")</f>
        <v>0</v>
      </c>
      <c r="C428" s="30">
        <f>SUMIFS(tblDaily[Discharges],tblDaily[Month],11,tblDaily[WardCode],"FW")</f>
        <v>0</v>
      </c>
      <c r="D428" s="30">
        <f>SUMIFS(tblDaily[Deaths],tblDaily[Month],11,tblDaily[WardCode],"FW")</f>
        <v>0</v>
      </c>
      <c r="E428" s="30">
        <f>SUMIFS(tblDaily[DeathsUnder24Hrs],tblDaily[Month],11,tblDaily[WardCode],"FW")</f>
        <v>0</v>
      </c>
      <c r="F428" s="30">
        <f>SUMIFS(tblDaily[TransfersIn],tblDaily[Month],11,tblDaily[WardCode],"FW")</f>
        <v>0</v>
      </c>
      <c r="G428" s="30">
        <f>SUMIFS(tblDaily[TransfersOut],tblDaily[Month],11,tblDaily[WardCode],"FW")</f>
        <v>0</v>
      </c>
      <c r="H428" s="30">
        <f>SUMIFS(tblDaily[Remaining],tblDaily[Month],11,tblDaily[WardCode],"FW")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116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IFERROR(SUMIFS(tblDaily[Remaining],tblDaily[EntryDate],DATE(2026,11,30),tblDaily[WardCode],"FW"),0)</f>
        <v>0</v>
      </c>
    </row>
    <row r="434" spans="1:8" x14ac:dyDescent="0.25">
      <c r="A434" s="24" t="s">
        <v>109</v>
      </c>
      <c r="H434" s="27">
        <f>IFERROR(INDEX(tblWardConfig[BedComplement],MATCH("FW",tblWardConfig[WardCode],0)),0)</f>
        <v>28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IFERROR(IF(SUMIFS(tblDaily[Admissions],tblDaily[EntryDate],DATE(2026,12,1),tblDaily[WardCode],"FW")=0,"",SUMIFS(tblDaily[Admissions],tblDaily[EntryDate],DATE(2026,12,1),tblDaily[WardCode],"FW")),"")</f>
        <v/>
      </c>
      <c r="C436" s="29" t="str">
        <f>IFERROR(IF(SUMIFS(tblDaily[Discharges],tblDaily[EntryDate],DATE(2026,12,1),tblDaily[WardCode],"FW")=0,"",SUMIFS(tblDaily[Discharges],tblDaily[EntryDate],DATE(2026,12,1),tblDaily[WardCode],"FW")),"")</f>
        <v/>
      </c>
      <c r="D436" s="29" t="str">
        <f>IFERROR(IF(SUMIFS(tblDaily[Deaths],tblDaily[EntryDate],DATE(2026,12,1),tblDaily[WardCode],"FW")=0,"",SUMIFS(tblDaily[Deaths],tblDaily[EntryDate],DATE(2026,12,1),tblDaily[WardCode],"FW")),"")</f>
        <v/>
      </c>
      <c r="E436" s="29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29" t="str">
        <f>IFERROR(IF(SUMIFS(tblDaily[TransfersIn],tblDaily[EntryDate],DATE(2026,12,1),tblDaily[WardCode],"FW")=0,"",SUMIFS(tblDaily[TransfersIn],tblDaily[EntryDate],DATE(2026,12,1),tblDaily[WardCode],"FW")),"")</f>
        <v/>
      </c>
      <c r="G436" s="29" t="str">
        <f>IFERROR(IF(SUMIFS(tblDaily[TransfersOut],tblDaily[EntryDate],DATE(2026,12,1),tblDaily[WardCode],"FW")=0,"",SUMIFS(tblDaily[TransfersOut],tblDaily[EntryDate],DATE(2026,12,1),tblDaily[WardCode],"FW")),"")</f>
        <v/>
      </c>
      <c r="H436" s="29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IFERROR(IF(SUMIFS(tblDaily[Admissions],tblDaily[EntryDate],DATE(2026,12,2),tblDaily[WardCode],"FW")=0,"",SUMIFS(tblDaily[Admissions],tblDaily[EntryDate],DATE(2026,12,2),tblDaily[WardCode],"FW")),"")</f>
        <v/>
      </c>
      <c r="C437" s="29" t="str">
        <f>IFERROR(IF(SUMIFS(tblDaily[Discharges],tblDaily[EntryDate],DATE(2026,12,2),tblDaily[WardCode],"FW")=0,"",SUMIFS(tblDaily[Discharges],tblDaily[EntryDate],DATE(2026,12,2),tblDaily[WardCode],"FW")),"")</f>
        <v/>
      </c>
      <c r="D437" s="29" t="str">
        <f>IFERROR(IF(SUMIFS(tblDaily[Deaths],tblDaily[EntryDate],DATE(2026,12,2),tblDaily[WardCode],"FW")=0,"",SUMIFS(tblDaily[Deaths],tblDaily[EntryDate],DATE(2026,12,2),tblDaily[WardCode],"FW")),"")</f>
        <v/>
      </c>
      <c r="E437" s="29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29" t="str">
        <f>IFERROR(IF(SUMIFS(tblDaily[TransfersIn],tblDaily[EntryDate],DATE(2026,12,2),tblDaily[WardCode],"FW")=0,"",SUMIFS(tblDaily[TransfersIn],tblDaily[EntryDate],DATE(2026,12,2),tblDaily[WardCode],"FW")),"")</f>
        <v/>
      </c>
      <c r="G437" s="29" t="str">
        <f>IFERROR(IF(SUMIFS(tblDaily[TransfersOut],tblDaily[EntryDate],DATE(2026,12,2),tblDaily[WardCode],"FW")=0,"",SUMIFS(tblDaily[TransfersOut],tblDaily[EntryDate],DATE(2026,12,2),tblDaily[WardCode],"FW")),"")</f>
        <v/>
      </c>
      <c r="H437" s="29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IFERROR(IF(SUMIFS(tblDaily[Admissions],tblDaily[EntryDate],DATE(2026,12,3),tblDaily[WardCode],"FW")=0,"",SUMIFS(tblDaily[Admissions],tblDaily[EntryDate],DATE(2026,12,3),tblDaily[WardCode],"FW")),"")</f>
        <v/>
      </c>
      <c r="C438" s="29" t="str">
        <f>IFERROR(IF(SUMIFS(tblDaily[Discharges],tblDaily[EntryDate],DATE(2026,12,3),tblDaily[WardCode],"FW")=0,"",SUMIFS(tblDaily[Discharges],tblDaily[EntryDate],DATE(2026,12,3),tblDaily[WardCode],"FW")),"")</f>
        <v/>
      </c>
      <c r="D438" s="29" t="str">
        <f>IFERROR(IF(SUMIFS(tblDaily[Deaths],tblDaily[EntryDate],DATE(2026,12,3),tblDaily[WardCode],"FW")=0,"",SUMIFS(tblDaily[Deaths],tblDaily[EntryDate],DATE(2026,12,3),tblDaily[WardCode],"FW")),"")</f>
        <v/>
      </c>
      <c r="E438" s="29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29" t="str">
        <f>IFERROR(IF(SUMIFS(tblDaily[TransfersIn],tblDaily[EntryDate],DATE(2026,12,3),tblDaily[WardCode],"FW")=0,"",SUMIFS(tblDaily[TransfersIn],tblDaily[EntryDate],DATE(2026,12,3),tblDaily[WardCode],"FW")),"")</f>
        <v/>
      </c>
      <c r="G438" s="29" t="str">
        <f>IFERROR(IF(SUMIFS(tblDaily[TransfersOut],tblDaily[EntryDate],DATE(2026,12,3),tblDaily[WardCode],"FW")=0,"",SUMIFS(tblDaily[TransfersOut],tblDaily[EntryDate],DATE(2026,12,3),tblDaily[WardCode],"FW")),"")</f>
        <v/>
      </c>
      <c r="H438" s="29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IFERROR(IF(SUMIFS(tblDaily[Admissions],tblDaily[EntryDate],DATE(2026,12,4),tblDaily[WardCode],"FW")=0,"",SUMIFS(tblDaily[Admissions],tblDaily[EntryDate],DATE(2026,12,4),tblDaily[WardCode],"FW")),"")</f>
        <v/>
      </c>
      <c r="C439" s="29" t="str">
        <f>IFERROR(IF(SUMIFS(tblDaily[Discharges],tblDaily[EntryDate],DATE(2026,12,4),tblDaily[WardCode],"FW")=0,"",SUMIFS(tblDaily[Discharges],tblDaily[EntryDate],DATE(2026,12,4),tblDaily[WardCode],"FW")),"")</f>
        <v/>
      </c>
      <c r="D439" s="29" t="str">
        <f>IFERROR(IF(SUMIFS(tblDaily[Deaths],tblDaily[EntryDate],DATE(2026,12,4),tblDaily[WardCode],"FW")=0,"",SUMIFS(tblDaily[Deaths],tblDaily[EntryDate],DATE(2026,12,4),tblDaily[WardCode],"FW")),"")</f>
        <v/>
      </c>
      <c r="E439" s="29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29" t="str">
        <f>IFERROR(IF(SUMIFS(tblDaily[TransfersIn],tblDaily[EntryDate],DATE(2026,12,4),tblDaily[WardCode],"FW")=0,"",SUMIFS(tblDaily[TransfersIn],tblDaily[EntryDate],DATE(2026,12,4),tblDaily[WardCode],"FW")),"")</f>
        <v/>
      </c>
      <c r="G439" s="29" t="str">
        <f>IFERROR(IF(SUMIFS(tblDaily[TransfersOut],tblDaily[EntryDate],DATE(2026,12,4),tblDaily[WardCode],"FW")=0,"",SUMIFS(tblDaily[TransfersOut],tblDaily[EntryDate],DATE(2026,12,4),tblDaily[WardCode],"FW")),"")</f>
        <v/>
      </c>
      <c r="H439" s="29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IFERROR(IF(SUMIFS(tblDaily[Admissions],tblDaily[EntryDate],DATE(2026,12,5),tblDaily[WardCode],"FW")=0,"",SUMIFS(tblDaily[Admissions],tblDaily[EntryDate],DATE(2026,12,5),tblDaily[WardCode],"FW")),"")</f>
        <v/>
      </c>
      <c r="C440" s="29" t="str">
        <f>IFERROR(IF(SUMIFS(tblDaily[Discharges],tblDaily[EntryDate],DATE(2026,12,5),tblDaily[WardCode],"FW")=0,"",SUMIFS(tblDaily[Discharges],tblDaily[EntryDate],DATE(2026,12,5),tblDaily[WardCode],"FW")),"")</f>
        <v/>
      </c>
      <c r="D440" s="29" t="str">
        <f>IFERROR(IF(SUMIFS(tblDaily[Deaths],tblDaily[EntryDate],DATE(2026,12,5),tblDaily[WardCode],"FW")=0,"",SUMIFS(tblDaily[Deaths],tblDaily[EntryDate],DATE(2026,12,5),tblDaily[WardCode],"FW")),"")</f>
        <v/>
      </c>
      <c r="E440" s="29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29" t="str">
        <f>IFERROR(IF(SUMIFS(tblDaily[TransfersIn],tblDaily[EntryDate],DATE(2026,12,5),tblDaily[WardCode],"FW")=0,"",SUMIFS(tblDaily[TransfersIn],tblDaily[EntryDate],DATE(2026,12,5),tblDaily[WardCode],"FW")),"")</f>
        <v/>
      </c>
      <c r="G440" s="29" t="str">
        <f>IFERROR(IF(SUMIFS(tblDaily[TransfersOut],tblDaily[EntryDate],DATE(2026,12,5),tblDaily[WardCode],"FW")=0,"",SUMIFS(tblDaily[TransfersOut],tblDaily[EntryDate],DATE(2026,12,5),tblDaily[WardCode],"FW")),"")</f>
        <v/>
      </c>
      <c r="H440" s="29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IFERROR(IF(SUMIFS(tblDaily[Admissions],tblDaily[EntryDate],DATE(2026,12,6),tblDaily[WardCode],"FW")=0,"",SUMIFS(tblDaily[Admissions],tblDaily[EntryDate],DATE(2026,12,6),tblDaily[WardCode],"FW")),"")</f>
        <v/>
      </c>
      <c r="C441" s="29" t="str">
        <f>IFERROR(IF(SUMIFS(tblDaily[Discharges],tblDaily[EntryDate],DATE(2026,12,6),tblDaily[WardCode],"FW")=0,"",SUMIFS(tblDaily[Discharges],tblDaily[EntryDate],DATE(2026,12,6),tblDaily[WardCode],"FW")),"")</f>
        <v/>
      </c>
      <c r="D441" s="29" t="str">
        <f>IFERROR(IF(SUMIFS(tblDaily[Deaths],tblDaily[EntryDate],DATE(2026,12,6),tblDaily[WardCode],"FW")=0,"",SUMIFS(tblDaily[Deaths],tblDaily[EntryDate],DATE(2026,12,6),tblDaily[WardCode],"FW")),"")</f>
        <v/>
      </c>
      <c r="E441" s="29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29" t="str">
        <f>IFERROR(IF(SUMIFS(tblDaily[TransfersIn],tblDaily[EntryDate],DATE(2026,12,6),tblDaily[WardCode],"FW")=0,"",SUMIFS(tblDaily[TransfersIn],tblDaily[EntryDate],DATE(2026,12,6),tblDaily[WardCode],"FW")),"")</f>
        <v/>
      </c>
      <c r="G441" s="29" t="str">
        <f>IFERROR(IF(SUMIFS(tblDaily[TransfersOut],tblDaily[EntryDate],DATE(2026,12,6),tblDaily[WardCode],"FW")=0,"",SUMIFS(tblDaily[TransfersOut],tblDaily[EntryDate],DATE(2026,12,6),tblDaily[WardCode],"FW")),"")</f>
        <v/>
      </c>
      <c r="H441" s="29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IFERROR(IF(SUMIFS(tblDaily[Admissions],tblDaily[EntryDate],DATE(2026,12,7),tblDaily[WardCode],"FW")=0,"",SUMIFS(tblDaily[Admissions],tblDaily[EntryDate],DATE(2026,12,7),tblDaily[WardCode],"FW")),"")</f>
        <v/>
      </c>
      <c r="C442" s="29" t="str">
        <f>IFERROR(IF(SUMIFS(tblDaily[Discharges],tblDaily[EntryDate],DATE(2026,12,7),tblDaily[WardCode],"FW")=0,"",SUMIFS(tblDaily[Discharges],tblDaily[EntryDate],DATE(2026,12,7),tblDaily[WardCode],"FW")),"")</f>
        <v/>
      </c>
      <c r="D442" s="29" t="str">
        <f>IFERROR(IF(SUMIFS(tblDaily[Deaths],tblDaily[EntryDate],DATE(2026,12,7),tblDaily[WardCode],"FW")=0,"",SUMIFS(tblDaily[Deaths],tblDaily[EntryDate],DATE(2026,12,7),tblDaily[WardCode],"FW")),"")</f>
        <v/>
      </c>
      <c r="E442" s="29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29" t="str">
        <f>IFERROR(IF(SUMIFS(tblDaily[TransfersIn],tblDaily[EntryDate],DATE(2026,12,7),tblDaily[WardCode],"FW")=0,"",SUMIFS(tblDaily[TransfersIn],tblDaily[EntryDate],DATE(2026,12,7),tblDaily[WardCode],"FW")),"")</f>
        <v/>
      </c>
      <c r="G442" s="29" t="str">
        <f>IFERROR(IF(SUMIFS(tblDaily[TransfersOut],tblDaily[EntryDate],DATE(2026,12,7),tblDaily[WardCode],"FW")=0,"",SUMIFS(tblDaily[TransfersOut],tblDaily[EntryDate],DATE(2026,12,7),tblDaily[WardCode],"FW")),"")</f>
        <v/>
      </c>
      <c r="H442" s="29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IFERROR(IF(SUMIFS(tblDaily[Admissions],tblDaily[EntryDate],DATE(2026,12,8),tblDaily[WardCode],"FW")=0,"",SUMIFS(tblDaily[Admissions],tblDaily[EntryDate],DATE(2026,12,8),tblDaily[WardCode],"FW")),"")</f>
        <v/>
      </c>
      <c r="C443" s="29" t="str">
        <f>IFERROR(IF(SUMIFS(tblDaily[Discharges],tblDaily[EntryDate],DATE(2026,12,8),tblDaily[WardCode],"FW")=0,"",SUMIFS(tblDaily[Discharges],tblDaily[EntryDate],DATE(2026,12,8),tblDaily[WardCode],"FW")),"")</f>
        <v/>
      </c>
      <c r="D443" s="29" t="str">
        <f>IFERROR(IF(SUMIFS(tblDaily[Deaths],tblDaily[EntryDate],DATE(2026,12,8),tblDaily[WardCode],"FW")=0,"",SUMIFS(tblDaily[Deaths],tblDaily[EntryDate],DATE(2026,12,8),tblDaily[WardCode],"FW")),"")</f>
        <v/>
      </c>
      <c r="E443" s="29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29" t="str">
        <f>IFERROR(IF(SUMIFS(tblDaily[TransfersIn],tblDaily[EntryDate],DATE(2026,12,8),tblDaily[WardCode],"FW")=0,"",SUMIFS(tblDaily[TransfersIn],tblDaily[EntryDate],DATE(2026,12,8),tblDaily[WardCode],"FW")),"")</f>
        <v/>
      </c>
      <c r="G443" s="29" t="str">
        <f>IFERROR(IF(SUMIFS(tblDaily[TransfersOut],tblDaily[EntryDate],DATE(2026,12,8),tblDaily[WardCode],"FW")=0,"",SUMIFS(tblDaily[TransfersOut],tblDaily[EntryDate],DATE(2026,12,8),tblDaily[WardCode],"FW")),"")</f>
        <v/>
      </c>
      <c r="H443" s="29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IFERROR(IF(SUMIFS(tblDaily[Admissions],tblDaily[EntryDate],DATE(2026,12,9),tblDaily[WardCode],"FW")=0,"",SUMIFS(tblDaily[Admissions],tblDaily[EntryDate],DATE(2026,12,9),tblDaily[WardCode],"FW")),"")</f>
        <v/>
      </c>
      <c r="C444" s="29" t="str">
        <f>IFERROR(IF(SUMIFS(tblDaily[Discharges],tblDaily[EntryDate],DATE(2026,12,9),tblDaily[WardCode],"FW")=0,"",SUMIFS(tblDaily[Discharges],tblDaily[EntryDate],DATE(2026,12,9),tblDaily[WardCode],"FW")),"")</f>
        <v/>
      </c>
      <c r="D444" s="29" t="str">
        <f>IFERROR(IF(SUMIFS(tblDaily[Deaths],tblDaily[EntryDate],DATE(2026,12,9),tblDaily[WardCode],"FW")=0,"",SUMIFS(tblDaily[Deaths],tblDaily[EntryDate],DATE(2026,12,9),tblDaily[WardCode],"FW")),"")</f>
        <v/>
      </c>
      <c r="E444" s="29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29" t="str">
        <f>IFERROR(IF(SUMIFS(tblDaily[TransfersIn],tblDaily[EntryDate],DATE(2026,12,9),tblDaily[WardCode],"FW")=0,"",SUMIFS(tblDaily[TransfersIn],tblDaily[EntryDate],DATE(2026,12,9),tblDaily[WardCode],"FW")),"")</f>
        <v/>
      </c>
      <c r="G444" s="29" t="str">
        <f>IFERROR(IF(SUMIFS(tblDaily[TransfersOut],tblDaily[EntryDate],DATE(2026,12,9),tblDaily[WardCode],"FW")=0,"",SUMIFS(tblDaily[TransfersOut],tblDaily[EntryDate],DATE(2026,12,9),tblDaily[WardCode],"FW")),"")</f>
        <v/>
      </c>
      <c r="H444" s="29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IFERROR(IF(SUMIFS(tblDaily[Admissions],tblDaily[EntryDate],DATE(2026,12,10),tblDaily[WardCode],"FW")=0,"",SUMIFS(tblDaily[Admissions],tblDaily[EntryDate],DATE(2026,12,10),tblDaily[WardCode],"FW")),"")</f>
        <v/>
      </c>
      <c r="C445" s="29" t="str">
        <f>IFERROR(IF(SUMIFS(tblDaily[Discharges],tblDaily[EntryDate],DATE(2026,12,10),tblDaily[WardCode],"FW")=0,"",SUMIFS(tblDaily[Discharges],tblDaily[EntryDate],DATE(2026,12,10),tblDaily[WardCode],"FW")),"")</f>
        <v/>
      </c>
      <c r="D445" s="29" t="str">
        <f>IFERROR(IF(SUMIFS(tblDaily[Deaths],tblDaily[EntryDate],DATE(2026,12,10),tblDaily[WardCode],"FW")=0,"",SUMIFS(tblDaily[Deaths],tblDaily[EntryDate],DATE(2026,12,10),tblDaily[WardCode],"FW")),"")</f>
        <v/>
      </c>
      <c r="E445" s="29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29" t="str">
        <f>IFERROR(IF(SUMIFS(tblDaily[TransfersIn],tblDaily[EntryDate],DATE(2026,12,10),tblDaily[WardCode],"FW")=0,"",SUMIFS(tblDaily[TransfersIn],tblDaily[EntryDate],DATE(2026,12,10),tblDaily[WardCode],"FW")),"")</f>
        <v/>
      </c>
      <c r="G445" s="29" t="str">
        <f>IFERROR(IF(SUMIFS(tblDaily[TransfersOut],tblDaily[EntryDate],DATE(2026,12,10),tblDaily[WardCode],"FW")=0,"",SUMIFS(tblDaily[TransfersOut],tblDaily[EntryDate],DATE(2026,12,10),tblDaily[WardCode],"FW")),"")</f>
        <v/>
      </c>
      <c r="H445" s="29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IFERROR(IF(SUMIFS(tblDaily[Admissions],tblDaily[EntryDate],DATE(2026,12,11),tblDaily[WardCode],"FW")=0,"",SUMIFS(tblDaily[Admissions],tblDaily[EntryDate],DATE(2026,12,11),tblDaily[WardCode],"FW")),"")</f>
        <v/>
      </c>
      <c r="C446" s="29" t="str">
        <f>IFERROR(IF(SUMIFS(tblDaily[Discharges],tblDaily[EntryDate],DATE(2026,12,11),tblDaily[WardCode],"FW")=0,"",SUMIFS(tblDaily[Discharges],tblDaily[EntryDate],DATE(2026,12,11),tblDaily[WardCode],"FW")),"")</f>
        <v/>
      </c>
      <c r="D446" s="29" t="str">
        <f>IFERROR(IF(SUMIFS(tblDaily[Deaths],tblDaily[EntryDate],DATE(2026,12,11),tblDaily[WardCode],"FW")=0,"",SUMIFS(tblDaily[Deaths],tblDaily[EntryDate],DATE(2026,12,11),tblDaily[WardCode],"FW")),"")</f>
        <v/>
      </c>
      <c r="E446" s="29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29" t="str">
        <f>IFERROR(IF(SUMIFS(tblDaily[TransfersIn],tblDaily[EntryDate],DATE(2026,12,11),tblDaily[WardCode],"FW")=0,"",SUMIFS(tblDaily[TransfersIn],tblDaily[EntryDate],DATE(2026,12,11),tblDaily[WardCode],"FW")),"")</f>
        <v/>
      </c>
      <c r="G446" s="29" t="str">
        <f>IFERROR(IF(SUMIFS(tblDaily[TransfersOut],tblDaily[EntryDate],DATE(2026,12,11),tblDaily[WardCode],"FW")=0,"",SUMIFS(tblDaily[TransfersOut],tblDaily[EntryDate],DATE(2026,12,11),tblDaily[WardCode],"FW")),"")</f>
        <v/>
      </c>
      <c r="H446" s="29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IFERROR(IF(SUMIFS(tblDaily[Admissions],tblDaily[EntryDate],DATE(2026,12,12),tblDaily[WardCode],"FW")=0,"",SUMIFS(tblDaily[Admissions],tblDaily[EntryDate],DATE(2026,12,12),tblDaily[WardCode],"FW")),"")</f>
        <v/>
      </c>
      <c r="C447" s="29" t="str">
        <f>IFERROR(IF(SUMIFS(tblDaily[Discharges],tblDaily[EntryDate],DATE(2026,12,12),tblDaily[WardCode],"FW")=0,"",SUMIFS(tblDaily[Discharges],tblDaily[EntryDate],DATE(2026,12,12),tblDaily[WardCode],"FW")),"")</f>
        <v/>
      </c>
      <c r="D447" s="29" t="str">
        <f>IFERROR(IF(SUMIFS(tblDaily[Deaths],tblDaily[EntryDate],DATE(2026,12,12),tblDaily[WardCode],"FW")=0,"",SUMIFS(tblDaily[Deaths],tblDaily[EntryDate],DATE(2026,12,12),tblDaily[WardCode],"FW")),"")</f>
        <v/>
      </c>
      <c r="E447" s="29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29" t="str">
        <f>IFERROR(IF(SUMIFS(tblDaily[TransfersIn],tblDaily[EntryDate],DATE(2026,12,12),tblDaily[WardCode],"FW")=0,"",SUMIFS(tblDaily[TransfersIn],tblDaily[EntryDate],DATE(2026,12,12),tblDaily[WardCode],"FW")),"")</f>
        <v/>
      </c>
      <c r="G447" s="29" t="str">
        <f>IFERROR(IF(SUMIFS(tblDaily[TransfersOut],tblDaily[EntryDate],DATE(2026,12,12),tblDaily[WardCode],"FW")=0,"",SUMIFS(tblDaily[TransfersOut],tblDaily[EntryDate],DATE(2026,12,12),tblDaily[WardCode],"FW")),"")</f>
        <v/>
      </c>
      <c r="H447" s="29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IFERROR(IF(SUMIFS(tblDaily[Admissions],tblDaily[EntryDate],DATE(2026,12,13),tblDaily[WardCode],"FW")=0,"",SUMIFS(tblDaily[Admissions],tblDaily[EntryDate],DATE(2026,12,13),tblDaily[WardCode],"FW")),"")</f>
        <v/>
      </c>
      <c r="C448" s="29" t="str">
        <f>IFERROR(IF(SUMIFS(tblDaily[Discharges],tblDaily[EntryDate],DATE(2026,12,13),tblDaily[WardCode],"FW")=0,"",SUMIFS(tblDaily[Discharges],tblDaily[EntryDate],DATE(2026,12,13),tblDaily[WardCode],"FW")),"")</f>
        <v/>
      </c>
      <c r="D448" s="29" t="str">
        <f>IFERROR(IF(SUMIFS(tblDaily[Deaths],tblDaily[EntryDate],DATE(2026,12,13),tblDaily[WardCode],"FW")=0,"",SUMIFS(tblDaily[Deaths],tblDaily[EntryDate],DATE(2026,12,13),tblDaily[WardCode],"FW")),"")</f>
        <v/>
      </c>
      <c r="E448" s="29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29" t="str">
        <f>IFERROR(IF(SUMIFS(tblDaily[TransfersIn],tblDaily[EntryDate],DATE(2026,12,13),tblDaily[WardCode],"FW")=0,"",SUMIFS(tblDaily[TransfersIn],tblDaily[EntryDate],DATE(2026,12,13),tblDaily[WardCode],"FW")),"")</f>
        <v/>
      </c>
      <c r="G448" s="29" t="str">
        <f>IFERROR(IF(SUMIFS(tblDaily[TransfersOut],tblDaily[EntryDate],DATE(2026,12,13),tblDaily[WardCode],"FW")=0,"",SUMIFS(tblDaily[TransfersOut],tblDaily[EntryDate],DATE(2026,12,13),tblDaily[WardCode],"FW")),"")</f>
        <v/>
      </c>
      <c r="H448" s="29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IFERROR(IF(SUMIFS(tblDaily[Admissions],tblDaily[EntryDate],DATE(2026,12,14),tblDaily[WardCode],"FW")=0,"",SUMIFS(tblDaily[Admissions],tblDaily[EntryDate],DATE(2026,12,14),tblDaily[WardCode],"FW")),"")</f>
        <v/>
      </c>
      <c r="C449" s="29" t="str">
        <f>IFERROR(IF(SUMIFS(tblDaily[Discharges],tblDaily[EntryDate],DATE(2026,12,14),tblDaily[WardCode],"FW")=0,"",SUMIFS(tblDaily[Discharges],tblDaily[EntryDate],DATE(2026,12,14),tblDaily[WardCode],"FW")),"")</f>
        <v/>
      </c>
      <c r="D449" s="29" t="str">
        <f>IFERROR(IF(SUMIFS(tblDaily[Deaths],tblDaily[EntryDate],DATE(2026,12,14),tblDaily[WardCode],"FW")=0,"",SUMIFS(tblDaily[Deaths],tblDaily[EntryDate],DATE(2026,12,14),tblDaily[WardCode],"FW")),"")</f>
        <v/>
      </c>
      <c r="E449" s="29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29" t="str">
        <f>IFERROR(IF(SUMIFS(tblDaily[TransfersIn],tblDaily[EntryDate],DATE(2026,12,14),tblDaily[WardCode],"FW")=0,"",SUMIFS(tblDaily[TransfersIn],tblDaily[EntryDate],DATE(2026,12,14),tblDaily[WardCode],"FW")),"")</f>
        <v/>
      </c>
      <c r="G449" s="29" t="str">
        <f>IFERROR(IF(SUMIFS(tblDaily[TransfersOut],tblDaily[EntryDate],DATE(2026,12,14),tblDaily[WardCode],"FW")=0,"",SUMIFS(tblDaily[TransfersOut],tblDaily[EntryDate],DATE(2026,12,14),tblDaily[WardCode],"FW")),"")</f>
        <v/>
      </c>
      <c r="H449" s="29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IFERROR(IF(SUMIFS(tblDaily[Admissions],tblDaily[EntryDate],DATE(2026,12,15),tblDaily[WardCode],"FW")=0,"",SUMIFS(tblDaily[Admissions],tblDaily[EntryDate],DATE(2026,12,15),tblDaily[WardCode],"FW")),"")</f>
        <v/>
      </c>
      <c r="C450" s="29" t="str">
        <f>IFERROR(IF(SUMIFS(tblDaily[Discharges],tblDaily[EntryDate],DATE(2026,12,15),tblDaily[WardCode],"FW")=0,"",SUMIFS(tblDaily[Discharges],tblDaily[EntryDate],DATE(2026,12,15),tblDaily[WardCode],"FW")),"")</f>
        <v/>
      </c>
      <c r="D450" s="29" t="str">
        <f>IFERROR(IF(SUMIFS(tblDaily[Deaths],tblDaily[EntryDate],DATE(2026,12,15),tblDaily[WardCode],"FW")=0,"",SUMIFS(tblDaily[Deaths],tblDaily[EntryDate],DATE(2026,12,15),tblDaily[WardCode],"FW")),"")</f>
        <v/>
      </c>
      <c r="E450" s="29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29" t="str">
        <f>IFERROR(IF(SUMIFS(tblDaily[TransfersIn],tblDaily[EntryDate],DATE(2026,12,15),tblDaily[WardCode],"FW")=0,"",SUMIFS(tblDaily[TransfersIn],tblDaily[EntryDate],DATE(2026,12,15),tblDaily[WardCode],"FW")),"")</f>
        <v/>
      </c>
      <c r="G450" s="29" t="str">
        <f>IFERROR(IF(SUMIFS(tblDaily[TransfersOut],tblDaily[EntryDate],DATE(2026,12,15),tblDaily[WardCode],"FW")=0,"",SUMIFS(tblDaily[TransfersOut],tblDaily[EntryDate],DATE(2026,12,15),tblDaily[WardCode],"FW")),"")</f>
        <v/>
      </c>
      <c r="H450" s="29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IFERROR(IF(SUMIFS(tblDaily[Admissions],tblDaily[EntryDate],DATE(2026,12,16),tblDaily[WardCode],"FW")=0,"",SUMIFS(tblDaily[Admissions],tblDaily[EntryDate],DATE(2026,12,16),tblDaily[WardCode],"FW")),"")</f>
        <v/>
      </c>
      <c r="C451" s="29" t="str">
        <f>IFERROR(IF(SUMIFS(tblDaily[Discharges],tblDaily[EntryDate],DATE(2026,12,16),tblDaily[WardCode],"FW")=0,"",SUMIFS(tblDaily[Discharges],tblDaily[EntryDate],DATE(2026,12,16),tblDaily[WardCode],"FW")),"")</f>
        <v/>
      </c>
      <c r="D451" s="29" t="str">
        <f>IFERROR(IF(SUMIFS(tblDaily[Deaths],tblDaily[EntryDate],DATE(2026,12,16),tblDaily[WardCode],"FW")=0,"",SUMIFS(tblDaily[Deaths],tblDaily[EntryDate],DATE(2026,12,16),tblDaily[WardCode],"FW")),"")</f>
        <v/>
      </c>
      <c r="E451" s="29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29" t="str">
        <f>IFERROR(IF(SUMIFS(tblDaily[TransfersIn],tblDaily[EntryDate],DATE(2026,12,16),tblDaily[WardCode],"FW")=0,"",SUMIFS(tblDaily[TransfersIn],tblDaily[EntryDate],DATE(2026,12,16),tblDaily[WardCode],"FW")),"")</f>
        <v/>
      </c>
      <c r="G451" s="29" t="str">
        <f>IFERROR(IF(SUMIFS(tblDaily[TransfersOut],tblDaily[EntryDate],DATE(2026,12,16),tblDaily[WardCode],"FW")=0,"",SUMIFS(tblDaily[TransfersOut],tblDaily[EntryDate],DATE(2026,12,16),tblDaily[WardCode],"FW")),"")</f>
        <v/>
      </c>
      <c r="H451" s="29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IFERROR(IF(SUMIFS(tblDaily[Admissions],tblDaily[EntryDate],DATE(2026,12,17),tblDaily[WardCode],"FW")=0,"",SUMIFS(tblDaily[Admissions],tblDaily[EntryDate],DATE(2026,12,17),tblDaily[WardCode],"FW")),"")</f>
        <v/>
      </c>
      <c r="C452" s="29" t="str">
        <f>IFERROR(IF(SUMIFS(tblDaily[Discharges],tblDaily[EntryDate],DATE(2026,12,17),tblDaily[WardCode],"FW")=0,"",SUMIFS(tblDaily[Discharges],tblDaily[EntryDate],DATE(2026,12,17),tblDaily[WardCode],"FW")),"")</f>
        <v/>
      </c>
      <c r="D452" s="29" t="str">
        <f>IFERROR(IF(SUMIFS(tblDaily[Deaths],tblDaily[EntryDate],DATE(2026,12,17),tblDaily[WardCode],"FW")=0,"",SUMIFS(tblDaily[Deaths],tblDaily[EntryDate],DATE(2026,12,17),tblDaily[WardCode],"FW")),"")</f>
        <v/>
      </c>
      <c r="E452" s="29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29" t="str">
        <f>IFERROR(IF(SUMIFS(tblDaily[TransfersIn],tblDaily[EntryDate],DATE(2026,12,17),tblDaily[WardCode],"FW")=0,"",SUMIFS(tblDaily[TransfersIn],tblDaily[EntryDate],DATE(2026,12,17),tblDaily[WardCode],"FW")),"")</f>
        <v/>
      </c>
      <c r="G452" s="29" t="str">
        <f>IFERROR(IF(SUMIFS(tblDaily[TransfersOut],tblDaily[EntryDate],DATE(2026,12,17),tblDaily[WardCode],"FW")=0,"",SUMIFS(tblDaily[TransfersOut],tblDaily[EntryDate],DATE(2026,12,17),tblDaily[WardCode],"FW")),"")</f>
        <v/>
      </c>
      <c r="H452" s="29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IFERROR(IF(SUMIFS(tblDaily[Admissions],tblDaily[EntryDate],DATE(2026,12,18),tblDaily[WardCode],"FW")=0,"",SUMIFS(tblDaily[Admissions],tblDaily[EntryDate],DATE(2026,12,18),tblDaily[WardCode],"FW")),"")</f>
        <v/>
      </c>
      <c r="C453" s="29" t="str">
        <f>IFERROR(IF(SUMIFS(tblDaily[Discharges],tblDaily[EntryDate],DATE(2026,12,18),tblDaily[WardCode],"FW")=0,"",SUMIFS(tblDaily[Discharges],tblDaily[EntryDate],DATE(2026,12,18),tblDaily[WardCode],"FW")),"")</f>
        <v/>
      </c>
      <c r="D453" s="29" t="str">
        <f>IFERROR(IF(SUMIFS(tblDaily[Deaths],tblDaily[EntryDate],DATE(2026,12,18),tblDaily[WardCode],"FW")=0,"",SUMIFS(tblDaily[Deaths],tblDaily[EntryDate],DATE(2026,12,18),tblDaily[WardCode],"FW")),"")</f>
        <v/>
      </c>
      <c r="E453" s="29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29" t="str">
        <f>IFERROR(IF(SUMIFS(tblDaily[TransfersIn],tblDaily[EntryDate],DATE(2026,12,18),tblDaily[WardCode],"FW")=0,"",SUMIFS(tblDaily[TransfersIn],tblDaily[EntryDate],DATE(2026,12,18),tblDaily[WardCode],"FW")),"")</f>
        <v/>
      </c>
      <c r="G453" s="29" t="str">
        <f>IFERROR(IF(SUMIFS(tblDaily[TransfersOut],tblDaily[EntryDate],DATE(2026,12,18),tblDaily[WardCode],"FW")=0,"",SUMIFS(tblDaily[TransfersOut],tblDaily[EntryDate],DATE(2026,12,18),tblDaily[WardCode],"FW")),"")</f>
        <v/>
      </c>
      <c r="H453" s="29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IFERROR(IF(SUMIFS(tblDaily[Admissions],tblDaily[EntryDate],DATE(2026,12,19),tblDaily[WardCode],"FW")=0,"",SUMIFS(tblDaily[Admissions],tblDaily[EntryDate],DATE(2026,12,19),tblDaily[WardCode],"FW")),"")</f>
        <v/>
      </c>
      <c r="C454" s="29" t="str">
        <f>IFERROR(IF(SUMIFS(tblDaily[Discharges],tblDaily[EntryDate],DATE(2026,12,19),tblDaily[WardCode],"FW")=0,"",SUMIFS(tblDaily[Discharges],tblDaily[EntryDate],DATE(2026,12,19),tblDaily[WardCode],"FW")),"")</f>
        <v/>
      </c>
      <c r="D454" s="29" t="str">
        <f>IFERROR(IF(SUMIFS(tblDaily[Deaths],tblDaily[EntryDate],DATE(2026,12,19),tblDaily[WardCode],"FW")=0,"",SUMIFS(tblDaily[Deaths],tblDaily[EntryDate],DATE(2026,12,19),tblDaily[WardCode],"FW")),"")</f>
        <v/>
      </c>
      <c r="E454" s="29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29" t="str">
        <f>IFERROR(IF(SUMIFS(tblDaily[TransfersIn],tblDaily[EntryDate],DATE(2026,12,19),tblDaily[WardCode],"FW")=0,"",SUMIFS(tblDaily[TransfersIn],tblDaily[EntryDate],DATE(2026,12,19),tblDaily[WardCode],"FW")),"")</f>
        <v/>
      </c>
      <c r="G454" s="29" t="str">
        <f>IFERROR(IF(SUMIFS(tblDaily[TransfersOut],tblDaily[EntryDate],DATE(2026,12,19),tblDaily[WardCode],"FW")=0,"",SUMIFS(tblDaily[TransfersOut],tblDaily[EntryDate],DATE(2026,12,19),tblDaily[WardCode],"FW")),"")</f>
        <v/>
      </c>
      <c r="H454" s="29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IFERROR(IF(SUMIFS(tblDaily[Admissions],tblDaily[EntryDate],DATE(2026,12,20),tblDaily[WardCode],"FW")=0,"",SUMIFS(tblDaily[Admissions],tblDaily[EntryDate],DATE(2026,12,20),tblDaily[WardCode],"FW")),"")</f>
        <v/>
      </c>
      <c r="C455" s="29" t="str">
        <f>IFERROR(IF(SUMIFS(tblDaily[Discharges],tblDaily[EntryDate],DATE(2026,12,20),tblDaily[WardCode],"FW")=0,"",SUMIFS(tblDaily[Discharges],tblDaily[EntryDate],DATE(2026,12,20),tblDaily[WardCode],"FW")),"")</f>
        <v/>
      </c>
      <c r="D455" s="29" t="str">
        <f>IFERROR(IF(SUMIFS(tblDaily[Deaths],tblDaily[EntryDate],DATE(2026,12,20),tblDaily[WardCode],"FW")=0,"",SUMIFS(tblDaily[Deaths],tblDaily[EntryDate],DATE(2026,12,20),tblDaily[WardCode],"FW")),"")</f>
        <v/>
      </c>
      <c r="E455" s="29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29" t="str">
        <f>IFERROR(IF(SUMIFS(tblDaily[TransfersIn],tblDaily[EntryDate],DATE(2026,12,20),tblDaily[WardCode],"FW")=0,"",SUMIFS(tblDaily[TransfersIn],tblDaily[EntryDate],DATE(2026,12,20),tblDaily[WardCode],"FW")),"")</f>
        <v/>
      </c>
      <c r="G455" s="29" t="str">
        <f>IFERROR(IF(SUMIFS(tblDaily[TransfersOut],tblDaily[EntryDate],DATE(2026,12,20),tblDaily[WardCode],"FW")=0,"",SUMIFS(tblDaily[TransfersOut],tblDaily[EntryDate],DATE(2026,12,20),tblDaily[WardCode],"FW")),"")</f>
        <v/>
      </c>
      <c r="H455" s="29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IFERROR(IF(SUMIFS(tblDaily[Admissions],tblDaily[EntryDate],DATE(2026,12,21),tblDaily[WardCode],"FW")=0,"",SUMIFS(tblDaily[Admissions],tblDaily[EntryDate],DATE(2026,12,21),tblDaily[WardCode],"FW")),"")</f>
        <v/>
      </c>
      <c r="C456" s="29" t="str">
        <f>IFERROR(IF(SUMIFS(tblDaily[Discharges],tblDaily[EntryDate],DATE(2026,12,21),tblDaily[WardCode],"FW")=0,"",SUMIFS(tblDaily[Discharges],tblDaily[EntryDate],DATE(2026,12,21),tblDaily[WardCode],"FW")),"")</f>
        <v/>
      </c>
      <c r="D456" s="29" t="str">
        <f>IFERROR(IF(SUMIFS(tblDaily[Deaths],tblDaily[EntryDate],DATE(2026,12,21),tblDaily[WardCode],"FW")=0,"",SUMIFS(tblDaily[Deaths],tblDaily[EntryDate],DATE(2026,12,21),tblDaily[WardCode],"FW")),"")</f>
        <v/>
      </c>
      <c r="E456" s="29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29" t="str">
        <f>IFERROR(IF(SUMIFS(tblDaily[TransfersIn],tblDaily[EntryDate],DATE(2026,12,21),tblDaily[WardCode],"FW")=0,"",SUMIFS(tblDaily[TransfersIn],tblDaily[EntryDate],DATE(2026,12,21),tblDaily[WardCode],"FW")),"")</f>
        <v/>
      </c>
      <c r="G456" s="29" t="str">
        <f>IFERROR(IF(SUMIFS(tblDaily[TransfersOut],tblDaily[EntryDate],DATE(2026,12,21),tblDaily[WardCode],"FW")=0,"",SUMIFS(tblDaily[TransfersOut],tblDaily[EntryDate],DATE(2026,12,21),tblDaily[WardCode],"FW")),"")</f>
        <v/>
      </c>
      <c r="H456" s="29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IFERROR(IF(SUMIFS(tblDaily[Admissions],tblDaily[EntryDate],DATE(2026,12,22),tblDaily[WardCode],"FW")=0,"",SUMIFS(tblDaily[Admissions],tblDaily[EntryDate],DATE(2026,12,22),tblDaily[WardCode],"FW")),"")</f>
        <v/>
      </c>
      <c r="C457" s="29" t="str">
        <f>IFERROR(IF(SUMIFS(tblDaily[Discharges],tblDaily[EntryDate],DATE(2026,12,22),tblDaily[WardCode],"FW")=0,"",SUMIFS(tblDaily[Discharges],tblDaily[EntryDate],DATE(2026,12,22),tblDaily[WardCode],"FW")),"")</f>
        <v/>
      </c>
      <c r="D457" s="29" t="str">
        <f>IFERROR(IF(SUMIFS(tblDaily[Deaths],tblDaily[EntryDate],DATE(2026,12,22),tblDaily[WardCode],"FW")=0,"",SUMIFS(tblDaily[Deaths],tblDaily[EntryDate],DATE(2026,12,22),tblDaily[WardCode],"FW")),"")</f>
        <v/>
      </c>
      <c r="E457" s="29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29" t="str">
        <f>IFERROR(IF(SUMIFS(tblDaily[TransfersIn],tblDaily[EntryDate],DATE(2026,12,22),tblDaily[WardCode],"FW")=0,"",SUMIFS(tblDaily[TransfersIn],tblDaily[EntryDate],DATE(2026,12,22),tblDaily[WardCode],"FW")),"")</f>
        <v/>
      </c>
      <c r="G457" s="29" t="str">
        <f>IFERROR(IF(SUMIFS(tblDaily[TransfersOut],tblDaily[EntryDate],DATE(2026,12,22),tblDaily[WardCode],"FW")=0,"",SUMIFS(tblDaily[TransfersOut],tblDaily[EntryDate],DATE(2026,12,22),tblDaily[WardCode],"FW")),"")</f>
        <v/>
      </c>
      <c r="H457" s="29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IFERROR(IF(SUMIFS(tblDaily[Admissions],tblDaily[EntryDate],DATE(2026,12,23),tblDaily[WardCode],"FW")=0,"",SUMIFS(tblDaily[Admissions],tblDaily[EntryDate],DATE(2026,12,23),tblDaily[WardCode],"FW")),"")</f>
        <v/>
      </c>
      <c r="C458" s="29" t="str">
        <f>IFERROR(IF(SUMIFS(tblDaily[Discharges],tblDaily[EntryDate],DATE(2026,12,23),tblDaily[WardCode],"FW")=0,"",SUMIFS(tblDaily[Discharges],tblDaily[EntryDate],DATE(2026,12,23),tblDaily[WardCode],"FW")),"")</f>
        <v/>
      </c>
      <c r="D458" s="29" t="str">
        <f>IFERROR(IF(SUMIFS(tblDaily[Deaths],tblDaily[EntryDate],DATE(2026,12,23),tblDaily[WardCode],"FW")=0,"",SUMIFS(tblDaily[Deaths],tblDaily[EntryDate],DATE(2026,12,23),tblDaily[WardCode],"FW")),"")</f>
        <v/>
      </c>
      <c r="E458" s="29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29" t="str">
        <f>IFERROR(IF(SUMIFS(tblDaily[TransfersIn],tblDaily[EntryDate],DATE(2026,12,23),tblDaily[WardCode],"FW")=0,"",SUMIFS(tblDaily[TransfersIn],tblDaily[EntryDate],DATE(2026,12,23),tblDaily[WardCode],"FW")),"")</f>
        <v/>
      </c>
      <c r="G458" s="29" t="str">
        <f>IFERROR(IF(SUMIFS(tblDaily[TransfersOut],tblDaily[EntryDate],DATE(2026,12,23),tblDaily[WardCode],"FW")=0,"",SUMIFS(tblDaily[TransfersOut],tblDaily[EntryDate],DATE(2026,12,23),tblDaily[WardCode],"FW")),"")</f>
        <v/>
      </c>
      <c r="H458" s="29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IFERROR(IF(SUMIFS(tblDaily[Admissions],tblDaily[EntryDate],DATE(2026,12,24),tblDaily[WardCode],"FW")=0,"",SUMIFS(tblDaily[Admissions],tblDaily[EntryDate],DATE(2026,12,24),tblDaily[WardCode],"FW")),"")</f>
        <v/>
      </c>
      <c r="C459" s="29" t="str">
        <f>IFERROR(IF(SUMIFS(tblDaily[Discharges],tblDaily[EntryDate],DATE(2026,12,24),tblDaily[WardCode],"FW")=0,"",SUMIFS(tblDaily[Discharges],tblDaily[EntryDate],DATE(2026,12,24),tblDaily[WardCode],"FW")),"")</f>
        <v/>
      </c>
      <c r="D459" s="29" t="str">
        <f>IFERROR(IF(SUMIFS(tblDaily[Deaths],tblDaily[EntryDate],DATE(2026,12,24),tblDaily[WardCode],"FW")=0,"",SUMIFS(tblDaily[Deaths],tblDaily[EntryDate],DATE(2026,12,24),tblDaily[WardCode],"FW")),"")</f>
        <v/>
      </c>
      <c r="E459" s="29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29" t="str">
        <f>IFERROR(IF(SUMIFS(tblDaily[TransfersIn],tblDaily[EntryDate],DATE(2026,12,24),tblDaily[WardCode],"FW")=0,"",SUMIFS(tblDaily[TransfersIn],tblDaily[EntryDate],DATE(2026,12,24),tblDaily[WardCode],"FW")),"")</f>
        <v/>
      </c>
      <c r="G459" s="29" t="str">
        <f>IFERROR(IF(SUMIFS(tblDaily[TransfersOut],tblDaily[EntryDate],DATE(2026,12,24),tblDaily[WardCode],"FW")=0,"",SUMIFS(tblDaily[TransfersOut],tblDaily[EntryDate],DATE(2026,12,24),tblDaily[WardCode],"FW")),"")</f>
        <v/>
      </c>
      <c r="H459" s="29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IFERROR(IF(SUMIFS(tblDaily[Admissions],tblDaily[EntryDate],DATE(2026,12,25),tblDaily[WardCode],"FW")=0,"",SUMIFS(tblDaily[Admissions],tblDaily[EntryDate],DATE(2026,12,25),tblDaily[WardCode],"FW")),"")</f>
        <v/>
      </c>
      <c r="C460" s="29" t="str">
        <f>IFERROR(IF(SUMIFS(tblDaily[Discharges],tblDaily[EntryDate],DATE(2026,12,25),tblDaily[WardCode],"FW")=0,"",SUMIFS(tblDaily[Discharges],tblDaily[EntryDate],DATE(2026,12,25),tblDaily[WardCode],"FW")),"")</f>
        <v/>
      </c>
      <c r="D460" s="29" t="str">
        <f>IFERROR(IF(SUMIFS(tblDaily[Deaths],tblDaily[EntryDate],DATE(2026,12,25),tblDaily[WardCode],"FW")=0,"",SUMIFS(tblDaily[Deaths],tblDaily[EntryDate],DATE(2026,12,25),tblDaily[WardCode],"FW")),"")</f>
        <v/>
      </c>
      <c r="E460" s="29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29" t="str">
        <f>IFERROR(IF(SUMIFS(tblDaily[TransfersIn],tblDaily[EntryDate],DATE(2026,12,25),tblDaily[WardCode],"FW")=0,"",SUMIFS(tblDaily[TransfersIn],tblDaily[EntryDate],DATE(2026,12,25),tblDaily[WardCode],"FW")),"")</f>
        <v/>
      </c>
      <c r="G460" s="29" t="str">
        <f>IFERROR(IF(SUMIFS(tblDaily[TransfersOut],tblDaily[EntryDate],DATE(2026,12,25),tblDaily[WardCode],"FW")=0,"",SUMIFS(tblDaily[TransfersOut],tblDaily[EntryDate],DATE(2026,12,25),tblDaily[WardCode],"FW")),"")</f>
        <v/>
      </c>
      <c r="H460" s="29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IFERROR(IF(SUMIFS(tblDaily[Admissions],tblDaily[EntryDate],DATE(2026,12,26),tblDaily[WardCode],"FW")=0,"",SUMIFS(tblDaily[Admissions],tblDaily[EntryDate],DATE(2026,12,26),tblDaily[WardCode],"FW")),"")</f>
        <v/>
      </c>
      <c r="C461" s="29" t="str">
        <f>IFERROR(IF(SUMIFS(tblDaily[Discharges],tblDaily[EntryDate],DATE(2026,12,26),tblDaily[WardCode],"FW")=0,"",SUMIFS(tblDaily[Discharges],tblDaily[EntryDate],DATE(2026,12,26),tblDaily[WardCode],"FW")),"")</f>
        <v/>
      </c>
      <c r="D461" s="29" t="str">
        <f>IFERROR(IF(SUMIFS(tblDaily[Deaths],tblDaily[EntryDate],DATE(2026,12,26),tblDaily[WardCode],"FW")=0,"",SUMIFS(tblDaily[Deaths],tblDaily[EntryDate],DATE(2026,12,26),tblDaily[WardCode],"FW")),"")</f>
        <v/>
      </c>
      <c r="E461" s="29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29" t="str">
        <f>IFERROR(IF(SUMIFS(tblDaily[TransfersIn],tblDaily[EntryDate],DATE(2026,12,26),tblDaily[WardCode],"FW")=0,"",SUMIFS(tblDaily[TransfersIn],tblDaily[EntryDate],DATE(2026,12,26),tblDaily[WardCode],"FW")),"")</f>
        <v/>
      </c>
      <c r="G461" s="29" t="str">
        <f>IFERROR(IF(SUMIFS(tblDaily[TransfersOut],tblDaily[EntryDate],DATE(2026,12,26),tblDaily[WardCode],"FW")=0,"",SUMIFS(tblDaily[TransfersOut],tblDaily[EntryDate],DATE(2026,12,26),tblDaily[WardCode],"FW")),"")</f>
        <v/>
      </c>
      <c r="H461" s="29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IFERROR(IF(SUMIFS(tblDaily[Admissions],tblDaily[EntryDate],DATE(2026,12,27),tblDaily[WardCode],"FW")=0,"",SUMIFS(tblDaily[Admissions],tblDaily[EntryDate],DATE(2026,12,27),tblDaily[WardCode],"FW")),"")</f>
        <v/>
      </c>
      <c r="C462" s="29" t="str">
        <f>IFERROR(IF(SUMIFS(tblDaily[Discharges],tblDaily[EntryDate],DATE(2026,12,27),tblDaily[WardCode],"FW")=0,"",SUMIFS(tblDaily[Discharges],tblDaily[EntryDate],DATE(2026,12,27),tblDaily[WardCode],"FW")),"")</f>
        <v/>
      </c>
      <c r="D462" s="29" t="str">
        <f>IFERROR(IF(SUMIFS(tblDaily[Deaths],tblDaily[EntryDate],DATE(2026,12,27),tblDaily[WardCode],"FW")=0,"",SUMIFS(tblDaily[Deaths],tblDaily[EntryDate],DATE(2026,12,27),tblDaily[WardCode],"FW")),"")</f>
        <v/>
      </c>
      <c r="E462" s="29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29" t="str">
        <f>IFERROR(IF(SUMIFS(tblDaily[TransfersIn],tblDaily[EntryDate],DATE(2026,12,27),tblDaily[WardCode],"FW")=0,"",SUMIFS(tblDaily[TransfersIn],tblDaily[EntryDate],DATE(2026,12,27),tblDaily[WardCode],"FW")),"")</f>
        <v/>
      </c>
      <c r="G462" s="29" t="str">
        <f>IFERROR(IF(SUMIFS(tblDaily[TransfersOut],tblDaily[EntryDate],DATE(2026,12,27),tblDaily[WardCode],"FW")=0,"",SUMIFS(tblDaily[TransfersOut],tblDaily[EntryDate],DATE(2026,12,27),tblDaily[WardCode],"FW")),"")</f>
        <v/>
      </c>
      <c r="H462" s="29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IFERROR(IF(SUMIFS(tblDaily[Admissions],tblDaily[EntryDate],DATE(2026,12,28),tblDaily[WardCode],"FW")=0,"",SUMIFS(tblDaily[Admissions],tblDaily[EntryDate],DATE(2026,12,28),tblDaily[WardCode],"FW")),"")</f>
        <v/>
      </c>
      <c r="C463" s="29" t="str">
        <f>IFERROR(IF(SUMIFS(tblDaily[Discharges],tblDaily[EntryDate],DATE(2026,12,28),tblDaily[WardCode],"FW")=0,"",SUMIFS(tblDaily[Discharges],tblDaily[EntryDate],DATE(2026,12,28),tblDaily[WardCode],"FW")),"")</f>
        <v/>
      </c>
      <c r="D463" s="29" t="str">
        <f>IFERROR(IF(SUMIFS(tblDaily[Deaths],tblDaily[EntryDate],DATE(2026,12,28),tblDaily[WardCode],"FW")=0,"",SUMIFS(tblDaily[Deaths],tblDaily[EntryDate],DATE(2026,12,28),tblDaily[WardCode],"FW")),"")</f>
        <v/>
      </c>
      <c r="E463" s="29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29" t="str">
        <f>IFERROR(IF(SUMIFS(tblDaily[TransfersIn],tblDaily[EntryDate],DATE(2026,12,28),tblDaily[WardCode],"FW")=0,"",SUMIFS(tblDaily[TransfersIn],tblDaily[EntryDate],DATE(2026,12,28),tblDaily[WardCode],"FW")),"")</f>
        <v/>
      </c>
      <c r="G463" s="29" t="str">
        <f>IFERROR(IF(SUMIFS(tblDaily[TransfersOut],tblDaily[EntryDate],DATE(2026,12,28),tblDaily[WardCode],"FW")=0,"",SUMIFS(tblDaily[TransfersOut],tblDaily[EntryDate],DATE(2026,12,28),tblDaily[WardCode],"FW")),"")</f>
        <v/>
      </c>
      <c r="H463" s="29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IFERROR(IF(SUMIFS(tblDaily[Admissions],tblDaily[EntryDate],DATE(2026,12,29),tblDaily[WardCode],"FW")=0,"",SUMIFS(tblDaily[Admissions],tblDaily[EntryDate],DATE(2026,12,29),tblDaily[WardCode],"FW")),"")</f>
        <v/>
      </c>
      <c r="C464" s="29" t="str">
        <f>IFERROR(IF(SUMIFS(tblDaily[Discharges],tblDaily[EntryDate],DATE(2026,12,29),tblDaily[WardCode],"FW")=0,"",SUMIFS(tblDaily[Discharges],tblDaily[EntryDate],DATE(2026,12,29),tblDaily[WardCode],"FW")),"")</f>
        <v/>
      </c>
      <c r="D464" s="29" t="str">
        <f>IFERROR(IF(SUMIFS(tblDaily[Deaths],tblDaily[EntryDate],DATE(2026,12,29),tblDaily[WardCode],"FW")=0,"",SUMIFS(tblDaily[Deaths],tblDaily[EntryDate],DATE(2026,12,29),tblDaily[WardCode],"FW")),"")</f>
        <v/>
      </c>
      <c r="E464" s="29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29" t="str">
        <f>IFERROR(IF(SUMIFS(tblDaily[TransfersIn],tblDaily[EntryDate],DATE(2026,12,29),tblDaily[WardCode],"FW")=0,"",SUMIFS(tblDaily[TransfersIn],tblDaily[EntryDate],DATE(2026,12,29),tblDaily[WardCode],"FW")),"")</f>
        <v/>
      </c>
      <c r="G464" s="29" t="str">
        <f>IFERROR(IF(SUMIFS(tblDaily[TransfersOut],tblDaily[EntryDate],DATE(2026,12,29),tblDaily[WardCode],"FW")=0,"",SUMIFS(tblDaily[TransfersOut],tblDaily[EntryDate],DATE(2026,12,29),tblDaily[WardCode],"FW")),"")</f>
        <v/>
      </c>
      <c r="H464" s="29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IFERROR(IF(SUMIFS(tblDaily[Admissions],tblDaily[EntryDate],DATE(2026,12,30),tblDaily[WardCode],"FW")=0,"",SUMIFS(tblDaily[Admissions],tblDaily[EntryDate],DATE(2026,12,30),tblDaily[WardCode],"FW")),"")</f>
        <v/>
      </c>
      <c r="C465" s="29" t="str">
        <f>IFERROR(IF(SUMIFS(tblDaily[Discharges],tblDaily[EntryDate],DATE(2026,12,30),tblDaily[WardCode],"FW")=0,"",SUMIFS(tblDaily[Discharges],tblDaily[EntryDate],DATE(2026,12,30),tblDaily[WardCode],"FW")),"")</f>
        <v/>
      </c>
      <c r="D465" s="29" t="str">
        <f>IFERROR(IF(SUMIFS(tblDaily[Deaths],tblDaily[EntryDate],DATE(2026,12,30),tblDaily[WardCode],"FW")=0,"",SUMIFS(tblDaily[Deaths],tblDaily[EntryDate],DATE(2026,12,30),tblDaily[WardCode],"FW")),"")</f>
        <v/>
      </c>
      <c r="E465" s="29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29" t="str">
        <f>IFERROR(IF(SUMIFS(tblDaily[TransfersIn],tblDaily[EntryDate],DATE(2026,12,30),tblDaily[WardCode],"FW")=0,"",SUMIFS(tblDaily[TransfersIn],tblDaily[EntryDate],DATE(2026,12,30),tblDaily[WardCode],"FW")),"")</f>
        <v/>
      </c>
      <c r="G465" s="29" t="str">
        <f>IFERROR(IF(SUMIFS(tblDaily[TransfersOut],tblDaily[EntryDate],DATE(2026,12,30),tblDaily[WardCode],"FW")=0,"",SUMIFS(tblDaily[TransfersOut],tblDaily[EntryDate],DATE(2026,12,30),tblDaily[WardCode],"FW")),"")</f>
        <v/>
      </c>
      <c r="H465" s="29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IFERROR(IF(SUMIFS(tblDaily[Admissions],tblDaily[EntryDate],DATE(2026,12,31),tblDaily[WardCode],"FW")=0,"",SUMIFS(tblDaily[Admissions],tblDaily[EntryDate],DATE(2026,12,31),tblDaily[WardCode],"FW")),"")</f>
        <v/>
      </c>
      <c r="C466" s="29" t="str">
        <f>IFERROR(IF(SUMIFS(tblDaily[Discharges],tblDaily[EntryDate],DATE(2026,12,31),tblDaily[WardCode],"FW")=0,"",SUMIFS(tblDaily[Discharges],tblDaily[EntryDate],DATE(2026,12,31),tblDaily[WardCode],"FW")),"")</f>
        <v/>
      </c>
      <c r="D466" s="29" t="str">
        <f>IFERROR(IF(SUMIFS(tblDaily[Deaths],tblDaily[EntryDate],DATE(2026,12,31),tblDaily[WardCode],"FW")=0,"",SUMIFS(tblDaily[Deaths],tblDaily[EntryDate],DATE(2026,12,31),tblDaily[WardCode],"FW")),"")</f>
        <v/>
      </c>
      <c r="E466" s="29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29" t="str">
        <f>IFERROR(IF(SUMIFS(tblDaily[TransfersIn],tblDaily[EntryDate],DATE(2026,12,31),tblDaily[WardCode],"FW")=0,"",SUMIFS(tblDaily[TransfersIn],tblDaily[EntryDate],DATE(2026,12,31),tblDaily[WardCode],"FW")),"")</f>
        <v/>
      </c>
      <c r="G466" s="29" t="str">
        <f>IFERROR(IF(SUMIFS(tblDaily[TransfersOut],tblDaily[EntryDate],DATE(2026,12,31),tblDaily[WardCode],"FW")=0,"",SUMIFS(tblDaily[TransfersOut],tblDaily[EntryDate],DATE(2026,12,31),tblDaily[WardCode],"FW")),"")</f>
        <v/>
      </c>
      <c r="H466" s="29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30" t="s">
        <v>115</v>
      </c>
      <c r="B467" s="30">
        <f>SUMIFS(tblDaily[Admissions],tblDaily[Month],12,tblDaily[WardCode],"FW") - SUMIFS(tblDaily[DeathsUnder24Hrs],tblDaily[Month],12,tblDaily[WardCode],"FW")</f>
        <v>0</v>
      </c>
      <c r="C467" s="30">
        <f>SUMIFS(tblDaily[Discharges],tblDaily[Month],12,tblDaily[WardCode],"FW")</f>
        <v>0</v>
      </c>
      <c r="D467" s="30">
        <f>SUMIFS(tblDaily[Deaths],tblDaily[Month],12,tblDaily[WardCode],"FW")</f>
        <v>0</v>
      </c>
      <c r="E467" s="30">
        <f>SUMIFS(tblDaily[DeathsUnder24Hrs],tblDaily[Month],12,tblDaily[WardCode],"FW")</f>
        <v>0</v>
      </c>
      <c r="F467" s="30">
        <f>SUMIFS(tblDaily[TransfersIn],tblDaily[Month],12,tblDaily[WardCode],"FW")</f>
        <v>0</v>
      </c>
      <c r="G467" s="30">
        <f>SUMIFS(tblDaily[TransfersOut],tblDaily[Month],12,tblDaily[WardCode],"FW")</f>
        <v>0</v>
      </c>
      <c r="H467" s="30">
        <f>SUMIFS(tblDaily[Remaining],tblDaily[Month],12,tblDaily[WardCode],"FW")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117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IFERROR(INDEX(tblWardConfig[PrevYearRemaining],MATCH("CW",tblWardConfig[WardCode],0)),0)</f>
        <v>7</v>
      </c>
    </row>
    <row r="5" spans="1:8" x14ac:dyDescent="0.25">
      <c r="A5" s="24" t="s">
        <v>109</v>
      </c>
      <c r="H5" s="27">
        <f>IFERROR(INDEX(tblWardConfig[BedComplement],MATCH("CW",tblWardConfig[WardCode],0)),0)</f>
        <v>27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>
        <f>IFERROR(IF(SUMIFS(tblDaily[Admissions],tblDaily[EntryDate],DATE(2026,1,1),tblDaily[WardCode],"CW")=0,"",SUMIFS(tblDaily[Admissions],tblDaily[EntryDate],DATE(2026,1,1),tblDaily[WardCode],"CW")),"")</f>
        <v>1</v>
      </c>
      <c r="C7" s="29">
        <f>IFERROR(IF(SUMIFS(tblDaily[Discharges],tblDaily[EntryDate],DATE(2026,1,1),tblDaily[WardCode],"CW")=0,"",SUMIFS(tblDaily[Discharges],tblDaily[EntryDate],DATE(2026,1,1),tblDaily[WardCode],"CW")),"")</f>
        <v>3</v>
      </c>
      <c r="D7" s="29" t="str">
        <f>IFERROR(IF(SUMIFS(tblDaily[Deaths],tblDaily[EntryDate],DATE(2026,1,1),tblDaily[WardCode],"CW")=0,"",SUMIFS(tblDaily[Deaths],tblDaily[EntryDate],DATE(2026,1,1),tblDaily[WardCode],"CW")),"")</f>
        <v/>
      </c>
      <c r="E7" s="29" t="str">
        <f>IFERROR(IF(SUMIFS(tblDaily[DeathsUnder24Hrs],tblDaily[EntryDate],DATE(2026,1,1),tblDaily[WardCode],"CW")=0,"",SUMIFS(tblDaily[DeathsUnder24Hrs],tblDaily[EntryDate],DATE(2026,1,1),tblDaily[WardCode],"CW")),"")</f>
        <v/>
      </c>
      <c r="F7" s="29" t="str">
        <f>IFERROR(IF(SUMIFS(tblDaily[TransfersIn],tblDaily[EntryDate],DATE(2026,1,1),tblDaily[WardCode],"CW")=0,"",SUMIFS(tblDaily[TransfersIn],tblDaily[EntryDate],DATE(2026,1,1),tblDaily[WardCode],"CW")),"")</f>
        <v/>
      </c>
      <c r="G7" s="29" t="str">
        <f>IFERROR(IF(SUMIFS(tblDaily[TransfersOut],tblDaily[EntryDate],DATE(2026,1,1),tblDaily[WardCode],"CW")=0,"",SUMIFS(tblDaily[TransfersOut],tblDaily[EntryDate],DATE(2026,1,1),tblDaily[WardCode],"CW")),"")</f>
        <v/>
      </c>
      <c r="H7" s="29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29">
        <v>2</v>
      </c>
      <c r="B8" s="29" t="str">
        <f>IFERROR(IF(SUMIFS(tblDaily[Admissions],tblDaily[EntryDate],DATE(2026,1,2),tblDaily[WardCode],"CW")=0,"",SUMIFS(tblDaily[Admissions],tblDaily[EntryDate],DATE(2026,1,2),tblDaily[WardCode],"CW")),"")</f>
        <v/>
      </c>
      <c r="C8" s="29" t="str">
        <f>IFERROR(IF(SUMIFS(tblDaily[Discharges],tblDaily[EntryDate],DATE(2026,1,2),tblDaily[WardCode],"CW")=0,"",SUMIFS(tblDaily[Discharges],tblDaily[EntryDate],DATE(2026,1,2),tblDaily[WardCode],"CW")),"")</f>
        <v/>
      </c>
      <c r="D8" s="29" t="str">
        <f>IFERROR(IF(SUMIFS(tblDaily[Deaths],tblDaily[EntryDate],DATE(2026,1,2),tblDaily[WardCode],"CW")=0,"",SUMIFS(tblDaily[Deaths],tblDaily[EntryDate],DATE(2026,1,2),tblDaily[WardCode],"CW")),"")</f>
        <v/>
      </c>
      <c r="E8" s="29" t="str">
        <f>IFERROR(IF(SUMIFS(tblDaily[DeathsUnder24Hrs],tblDaily[EntryDate],DATE(2026,1,2),tblDaily[WardCode],"CW")=0,"",SUMIFS(tblDaily[DeathsUnder24Hrs],tblDaily[EntryDate],DATE(2026,1,2),tblDaily[WardCode],"CW")),"")</f>
        <v/>
      </c>
      <c r="F8" s="29" t="str">
        <f>IFERROR(IF(SUMIFS(tblDaily[TransfersIn],tblDaily[EntryDate],DATE(2026,1,2),tblDaily[WardCode],"CW")=0,"",SUMIFS(tblDaily[TransfersIn],tblDaily[EntryDate],DATE(2026,1,2),tblDaily[WardCode],"CW")),"")</f>
        <v/>
      </c>
      <c r="G8" s="29" t="str">
        <f>IFERROR(IF(SUMIFS(tblDaily[TransfersOut],tblDaily[EntryDate],DATE(2026,1,2),tblDaily[WardCode],"CW")=0,"",SUMIFS(tblDaily[TransfersOut],tblDaily[EntryDate],DATE(2026,1,2),tblDaily[WardCode],"CW")),"")</f>
        <v/>
      </c>
      <c r="H8" s="29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29">
        <v>3</v>
      </c>
      <c r="B9" s="29">
        <f>IFERROR(IF(SUMIFS(tblDaily[Admissions],tblDaily[EntryDate],DATE(2026,1,3),tblDaily[WardCode],"CW")=0,"",SUMIFS(tblDaily[Admissions],tblDaily[EntryDate],DATE(2026,1,3),tblDaily[WardCode],"CW")),"")</f>
        <v>3</v>
      </c>
      <c r="C9" s="29" t="str">
        <f>IFERROR(IF(SUMIFS(tblDaily[Discharges],tblDaily[EntryDate],DATE(2026,1,3),tblDaily[WardCode],"CW")=0,"",SUMIFS(tblDaily[Discharges],tblDaily[EntryDate],DATE(2026,1,3),tblDaily[WardCode],"CW")),"")</f>
        <v/>
      </c>
      <c r="D9" s="29" t="str">
        <f>IFERROR(IF(SUMIFS(tblDaily[Deaths],tblDaily[EntryDate],DATE(2026,1,3),tblDaily[WardCode],"CW")=0,"",SUMIFS(tblDaily[Deaths],tblDaily[EntryDate],DATE(2026,1,3),tblDaily[WardCode],"CW")),"")</f>
        <v/>
      </c>
      <c r="E9" s="29" t="str">
        <f>IFERROR(IF(SUMIFS(tblDaily[DeathsUnder24Hrs],tblDaily[EntryDate],DATE(2026,1,3),tblDaily[WardCode],"CW")=0,"",SUMIFS(tblDaily[DeathsUnder24Hrs],tblDaily[EntryDate],DATE(2026,1,3),tblDaily[WardCode],"CW")),"")</f>
        <v/>
      </c>
      <c r="F9" s="29" t="str">
        <f>IFERROR(IF(SUMIFS(tblDaily[TransfersIn],tblDaily[EntryDate],DATE(2026,1,3),tblDaily[WardCode],"CW")=0,"",SUMIFS(tblDaily[TransfersIn],tblDaily[EntryDate],DATE(2026,1,3),tblDaily[WardCode],"CW")),"")</f>
        <v/>
      </c>
      <c r="G9" s="29" t="str">
        <f>IFERROR(IF(SUMIFS(tblDaily[TransfersOut],tblDaily[EntryDate],DATE(2026,1,3),tblDaily[WardCode],"CW")=0,"",SUMIFS(tblDaily[TransfersOut],tblDaily[EntryDate],DATE(2026,1,3),tblDaily[WardCode],"CW")),"")</f>
        <v/>
      </c>
      <c r="H9" s="29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29">
        <v>4</v>
      </c>
      <c r="B10" s="29">
        <f>IFERROR(IF(SUMIFS(tblDaily[Admissions],tblDaily[EntryDate],DATE(2026,1,4),tblDaily[WardCode],"CW")=0,"",SUMIFS(tblDaily[Admissions],tblDaily[EntryDate],DATE(2026,1,4),tblDaily[WardCode],"CW")),"")</f>
        <v>2</v>
      </c>
      <c r="C10" s="29" t="str">
        <f>IFERROR(IF(SUMIFS(tblDaily[Discharges],tblDaily[EntryDate],DATE(2026,1,4),tblDaily[WardCode],"CW")=0,"",SUMIFS(tblDaily[Discharges],tblDaily[EntryDate],DATE(2026,1,4),tblDaily[WardCode],"CW")),"")</f>
        <v/>
      </c>
      <c r="D10" s="29" t="str">
        <f>IFERROR(IF(SUMIFS(tblDaily[Deaths],tblDaily[EntryDate],DATE(2026,1,4),tblDaily[WardCode],"CW")=0,"",SUMIFS(tblDaily[Deaths],tblDaily[EntryDate],DATE(2026,1,4),tblDaily[WardCode],"CW")),"")</f>
        <v/>
      </c>
      <c r="E10" s="29" t="str">
        <f>IFERROR(IF(SUMIFS(tblDaily[DeathsUnder24Hrs],tblDaily[EntryDate],DATE(2026,1,4),tblDaily[WardCode],"CW")=0,"",SUMIFS(tblDaily[DeathsUnder24Hrs],tblDaily[EntryDate],DATE(2026,1,4),tblDaily[WardCode],"CW")),"")</f>
        <v/>
      </c>
      <c r="F10" s="29" t="str">
        <f>IFERROR(IF(SUMIFS(tblDaily[TransfersIn],tblDaily[EntryDate],DATE(2026,1,4),tblDaily[WardCode],"CW")=0,"",SUMIFS(tblDaily[TransfersIn],tblDaily[EntryDate],DATE(2026,1,4),tblDaily[WardCode],"CW")),"")</f>
        <v/>
      </c>
      <c r="G10" s="29" t="str">
        <f>IFERROR(IF(SUMIFS(tblDaily[TransfersOut],tblDaily[EntryDate],DATE(2026,1,4),tblDaily[WardCode],"CW")=0,"",SUMIFS(tblDaily[TransfersOut],tblDaily[EntryDate],DATE(2026,1,4),tblDaily[WardCode],"CW")),"")</f>
        <v/>
      </c>
      <c r="H10" s="29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29">
        <v>5</v>
      </c>
      <c r="B11" s="29">
        <f>IFERROR(IF(SUMIFS(tblDaily[Admissions],tblDaily[EntryDate],DATE(2026,1,5),tblDaily[WardCode],"CW")=0,"",SUMIFS(tblDaily[Admissions],tblDaily[EntryDate],DATE(2026,1,5),tblDaily[WardCode],"CW")),"")</f>
        <v>2</v>
      </c>
      <c r="C11" s="29">
        <f>IFERROR(IF(SUMIFS(tblDaily[Discharges],tblDaily[EntryDate],DATE(2026,1,5),tblDaily[WardCode],"CW")=0,"",SUMIFS(tblDaily[Discharges],tblDaily[EntryDate],DATE(2026,1,5),tblDaily[WardCode],"CW")),"")</f>
        <v>2</v>
      </c>
      <c r="D11" s="29" t="str">
        <f>IFERROR(IF(SUMIFS(tblDaily[Deaths],tblDaily[EntryDate],DATE(2026,1,5),tblDaily[WardCode],"CW")=0,"",SUMIFS(tblDaily[Deaths],tblDaily[EntryDate],DATE(2026,1,5),tblDaily[WardCode],"CW")),"")</f>
        <v/>
      </c>
      <c r="E11" s="29" t="str">
        <f>IFERROR(IF(SUMIFS(tblDaily[DeathsUnder24Hrs],tblDaily[EntryDate],DATE(2026,1,5),tblDaily[WardCode],"CW")=0,"",SUMIFS(tblDaily[DeathsUnder24Hrs],tblDaily[EntryDate],DATE(2026,1,5),tblDaily[WardCode],"CW")),"")</f>
        <v/>
      </c>
      <c r="F11" s="29" t="str">
        <f>IFERROR(IF(SUMIFS(tblDaily[TransfersIn],tblDaily[EntryDate],DATE(2026,1,5),tblDaily[WardCode],"CW")=0,"",SUMIFS(tblDaily[TransfersIn],tblDaily[EntryDate],DATE(2026,1,5),tblDaily[WardCode],"CW")),"")</f>
        <v/>
      </c>
      <c r="G11" s="29" t="str">
        <f>IFERROR(IF(SUMIFS(tblDaily[TransfersOut],tblDaily[EntryDate],DATE(2026,1,5),tblDaily[WardCode],"CW")=0,"",SUMIFS(tblDaily[TransfersOut],tblDaily[EntryDate],DATE(2026,1,5),tblDaily[WardCode],"CW")),"")</f>
        <v/>
      </c>
      <c r="H11" s="29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29">
        <v>6</v>
      </c>
      <c r="B12" s="29">
        <f>IFERROR(IF(SUMIFS(tblDaily[Admissions],tblDaily[EntryDate],DATE(2026,1,6),tblDaily[WardCode],"CW")=0,"",SUMIFS(tblDaily[Admissions],tblDaily[EntryDate],DATE(2026,1,6),tblDaily[WardCode],"CW")),"")</f>
        <v>2</v>
      </c>
      <c r="C12" s="29">
        <f>IFERROR(IF(SUMIFS(tblDaily[Discharges],tblDaily[EntryDate],DATE(2026,1,6),tblDaily[WardCode],"CW")=0,"",SUMIFS(tblDaily[Discharges],tblDaily[EntryDate],DATE(2026,1,6),tblDaily[WardCode],"CW")),"")</f>
        <v>3</v>
      </c>
      <c r="D12" s="29" t="str">
        <f>IFERROR(IF(SUMIFS(tblDaily[Deaths],tblDaily[EntryDate],DATE(2026,1,6),tblDaily[WardCode],"CW")=0,"",SUMIFS(tblDaily[Deaths],tblDaily[EntryDate],DATE(2026,1,6),tblDaily[WardCode],"CW")),"")</f>
        <v/>
      </c>
      <c r="E12" s="29" t="str">
        <f>IFERROR(IF(SUMIFS(tblDaily[DeathsUnder24Hrs],tblDaily[EntryDate],DATE(2026,1,6),tblDaily[WardCode],"CW")=0,"",SUMIFS(tblDaily[DeathsUnder24Hrs],tblDaily[EntryDate],DATE(2026,1,6),tblDaily[WardCode],"CW")),"")</f>
        <v/>
      </c>
      <c r="F12" s="29" t="str">
        <f>IFERROR(IF(SUMIFS(tblDaily[TransfersIn],tblDaily[EntryDate],DATE(2026,1,6),tblDaily[WardCode],"CW")=0,"",SUMIFS(tblDaily[TransfersIn],tblDaily[EntryDate],DATE(2026,1,6),tblDaily[WardCode],"CW")),"")</f>
        <v/>
      </c>
      <c r="G12" s="29" t="str">
        <f>IFERROR(IF(SUMIFS(tblDaily[TransfersOut],tblDaily[EntryDate],DATE(2026,1,6),tblDaily[WardCode],"CW")=0,"",SUMIFS(tblDaily[TransfersOut],tblDaily[EntryDate],DATE(2026,1,6),tblDaily[WardCode],"CW")),"")</f>
        <v/>
      </c>
      <c r="H12" s="29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29">
        <v>7</v>
      </c>
      <c r="B13" s="29">
        <f>IFERROR(IF(SUMIFS(tblDaily[Admissions],tblDaily[EntryDate],DATE(2026,1,7),tblDaily[WardCode],"CW")=0,"",SUMIFS(tblDaily[Admissions],tblDaily[EntryDate],DATE(2026,1,7),tblDaily[WardCode],"CW")),"")</f>
        <v>1</v>
      </c>
      <c r="C13" s="29">
        <f>IFERROR(IF(SUMIFS(tblDaily[Discharges],tblDaily[EntryDate],DATE(2026,1,7),tblDaily[WardCode],"CW")=0,"",SUMIFS(tblDaily[Discharges],tblDaily[EntryDate],DATE(2026,1,7),tblDaily[WardCode],"CW")),"")</f>
        <v>1</v>
      </c>
      <c r="D13" s="29" t="str">
        <f>IFERROR(IF(SUMIFS(tblDaily[Deaths],tblDaily[EntryDate],DATE(2026,1,7),tblDaily[WardCode],"CW")=0,"",SUMIFS(tblDaily[Deaths],tblDaily[EntryDate],DATE(2026,1,7),tblDaily[WardCode],"CW")),"")</f>
        <v/>
      </c>
      <c r="E13" s="29" t="str">
        <f>IFERROR(IF(SUMIFS(tblDaily[DeathsUnder24Hrs],tblDaily[EntryDate],DATE(2026,1,7),tblDaily[WardCode],"CW")=0,"",SUMIFS(tblDaily[DeathsUnder24Hrs],tblDaily[EntryDate],DATE(2026,1,7),tblDaily[WardCode],"CW")),"")</f>
        <v/>
      </c>
      <c r="F13" s="29" t="str">
        <f>IFERROR(IF(SUMIFS(tblDaily[TransfersIn],tblDaily[EntryDate],DATE(2026,1,7),tblDaily[WardCode],"CW")=0,"",SUMIFS(tblDaily[TransfersIn],tblDaily[EntryDate],DATE(2026,1,7),tblDaily[WardCode],"CW")),"")</f>
        <v/>
      </c>
      <c r="G13" s="29" t="str">
        <f>IFERROR(IF(SUMIFS(tblDaily[TransfersOut],tblDaily[EntryDate],DATE(2026,1,7),tblDaily[WardCode],"CW")=0,"",SUMIFS(tblDaily[TransfersOut],tblDaily[EntryDate],DATE(2026,1,7),tblDaily[WardCode],"CW")),"")</f>
        <v/>
      </c>
      <c r="H13" s="29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29">
        <v>8</v>
      </c>
      <c r="B14" s="29" t="str">
        <f>IFERROR(IF(SUMIFS(tblDaily[Admissions],tblDaily[EntryDate],DATE(2026,1,8),tblDaily[WardCode],"CW")=0,"",SUMIFS(tblDaily[Admissions],tblDaily[EntryDate],DATE(2026,1,8),tblDaily[WardCode],"CW")),"")</f>
        <v/>
      </c>
      <c r="C14" s="29">
        <f>IFERROR(IF(SUMIFS(tblDaily[Discharges],tblDaily[EntryDate],DATE(2026,1,8),tblDaily[WardCode],"CW")=0,"",SUMIFS(tblDaily[Discharges],tblDaily[EntryDate],DATE(2026,1,8),tblDaily[WardCode],"CW")),"")</f>
        <v>2</v>
      </c>
      <c r="D14" s="29" t="str">
        <f>IFERROR(IF(SUMIFS(tblDaily[Deaths],tblDaily[EntryDate],DATE(2026,1,8),tblDaily[WardCode],"CW")=0,"",SUMIFS(tblDaily[Deaths],tblDaily[EntryDate],DATE(2026,1,8),tblDaily[WardCode],"CW")),"")</f>
        <v/>
      </c>
      <c r="E14" s="29" t="str">
        <f>IFERROR(IF(SUMIFS(tblDaily[DeathsUnder24Hrs],tblDaily[EntryDate],DATE(2026,1,8),tblDaily[WardCode],"CW")=0,"",SUMIFS(tblDaily[DeathsUnder24Hrs],tblDaily[EntryDate],DATE(2026,1,8),tblDaily[WardCode],"CW")),"")</f>
        <v/>
      </c>
      <c r="F14" s="29" t="str">
        <f>IFERROR(IF(SUMIFS(tblDaily[TransfersIn],tblDaily[EntryDate],DATE(2026,1,8),tblDaily[WardCode],"CW")=0,"",SUMIFS(tblDaily[TransfersIn],tblDaily[EntryDate],DATE(2026,1,8),tblDaily[WardCode],"CW")),"")</f>
        <v/>
      </c>
      <c r="G14" s="29" t="str">
        <f>IFERROR(IF(SUMIFS(tblDaily[TransfersOut],tblDaily[EntryDate],DATE(2026,1,8),tblDaily[WardCode],"CW")=0,"",SUMIFS(tblDaily[TransfersOut],tblDaily[EntryDate],DATE(2026,1,8),tblDaily[WardCode],"CW")),"")</f>
        <v/>
      </c>
      <c r="H14" s="29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29">
        <v>9</v>
      </c>
      <c r="B15" s="29">
        <f>IFERROR(IF(SUMIFS(tblDaily[Admissions],tblDaily[EntryDate],DATE(2026,1,9),tblDaily[WardCode],"CW")=0,"",SUMIFS(tblDaily[Admissions],tblDaily[EntryDate],DATE(2026,1,9),tblDaily[WardCode],"CW")),"")</f>
        <v>2</v>
      </c>
      <c r="C15" s="29" t="str">
        <f>IFERROR(IF(SUMIFS(tblDaily[Discharges],tblDaily[EntryDate],DATE(2026,1,9),tblDaily[WardCode],"CW")=0,"",SUMIFS(tblDaily[Discharges],tblDaily[EntryDate],DATE(2026,1,9),tblDaily[WardCode],"CW")),"")</f>
        <v/>
      </c>
      <c r="D15" s="29" t="str">
        <f>IFERROR(IF(SUMIFS(tblDaily[Deaths],tblDaily[EntryDate],DATE(2026,1,9),tblDaily[WardCode],"CW")=0,"",SUMIFS(tblDaily[Deaths],tblDaily[EntryDate],DATE(2026,1,9),tblDaily[WardCode],"CW")),"")</f>
        <v/>
      </c>
      <c r="E15" s="29" t="str">
        <f>IFERROR(IF(SUMIFS(tblDaily[DeathsUnder24Hrs],tblDaily[EntryDate],DATE(2026,1,9),tblDaily[WardCode],"CW")=0,"",SUMIFS(tblDaily[DeathsUnder24Hrs],tblDaily[EntryDate],DATE(2026,1,9),tblDaily[WardCode],"CW")),"")</f>
        <v/>
      </c>
      <c r="F15" s="29" t="str">
        <f>IFERROR(IF(SUMIFS(tblDaily[TransfersIn],tblDaily[EntryDate],DATE(2026,1,9),tblDaily[WardCode],"CW")=0,"",SUMIFS(tblDaily[TransfersIn],tblDaily[EntryDate],DATE(2026,1,9),tblDaily[WardCode],"CW")),"")</f>
        <v/>
      </c>
      <c r="G15" s="29" t="str">
        <f>IFERROR(IF(SUMIFS(tblDaily[TransfersOut],tblDaily[EntryDate],DATE(2026,1,9),tblDaily[WardCode],"CW")=0,"",SUMIFS(tblDaily[TransfersOut],tblDaily[EntryDate],DATE(2026,1,9),tblDaily[WardCode],"CW")),"")</f>
        <v/>
      </c>
      <c r="H15" s="29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29">
        <v>10</v>
      </c>
      <c r="B16" s="29">
        <f>IFERROR(IF(SUMIFS(tblDaily[Admissions],tblDaily[EntryDate],DATE(2026,1,10),tblDaily[WardCode],"CW")=0,"",SUMIFS(tblDaily[Admissions],tblDaily[EntryDate],DATE(2026,1,10),tblDaily[WardCode],"CW")),"")</f>
        <v>2</v>
      </c>
      <c r="C16" s="29">
        <f>IFERROR(IF(SUMIFS(tblDaily[Discharges],tblDaily[EntryDate],DATE(2026,1,10),tblDaily[WardCode],"CW")=0,"",SUMIFS(tblDaily[Discharges],tblDaily[EntryDate],DATE(2026,1,10),tblDaily[WardCode],"CW")),"")</f>
        <v>2</v>
      </c>
      <c r="D16" s="29" t="str">
        <f>IFERROR(IF(SUMIFS(tblDaily[Deaths],tblDaily[EntryDate],DATE(2026,1,10),tblDaily[WardCode],"CW")=0,"",SUMIFS(tblDaily[Deaths],tblDaily[EntryDate],DATE(2026,1,10),tblDaily[WardCode],"CW")),"")</f>
        <v/>
      </c>
      <c r="E16" s="29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29" t="str">
        <f>IFERROR(IF(SUMIFS(tblDaily[TransfersIn],tblDaily[EntryDate],DATE(2026,1,10),tblDaily[WardCode],"CW")=0,"",SUMIFS(tblDaily[TransfersIn],tblDaily[EntryDate],DATE(2026,1,10),tblDaily[WardCode],"CW")),"")</f>
        <v/>
      </c>
      <c r="G16" s="29" t="str">
        <f>IFERROR(IF(SUMIFS(tblDaily[TransfersOut],tblDaily[EntryDate],DATE(2026,1,10),tblDaily[WardCode],"CW")=0,"",SUMIFS(tblDaily[TransfersOut],tblDaily[EntryDate],DATE(2026,1,10),tblDaily[WardCode],"CW")),"")</f>
        <v/>
      </c>
      <c r="H16" s="29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29">
        <v>11</v>
      </c>
      <c r="B17" s="29">
        <f>IFERROR(IF(SUMIFS(tblDaily[Admissions],tblDaily[EntryDate],DATE(2026,1,11),tblDaily[WardCode],"CW")=0,"",SUMIFS(tblDaily[Admissions],tblDaily[EntryDate],DATE(2026,1,11),tblDaily[WardCode],"CW")),"")</f>
        <v>5</v>
      </c>
      <c r="C17" s="29">
        <f>IFERROR(IF(SUMIFS(tblDaily[Discharges],tblDaily[EntryDate],DATE(2026,1,11),tblDaily[WardCode],"CW")=0,"",SUMIFS(tblDaily[Discharges],tblDaily[EntryDate],DATE(2026,1,11),tblDaily[WardCode],"CW")),"")</f>
        <v>2</v>
      </c>
      <c r="D17" s="29" t="str">
        <f>IFERROR(IF(SUMIFS(tblDaily[Deaths],tblDaily[EntryDate],DATE(2026,1,11),tblDaily[WardCode],"CW")=0,"",SUMIFS(tblDaily[Deaths],tblDaily[EntryDate],DATE(2026,1,11),tblDaily[WardCode],"CW")),"")</f>
        <v/>
      </c>
      <c r="E17" s="29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29" t="str">
        <f>IFERROR(IF(SUMIFS(tblDaily[TransfersIn],tblDaily[EntryDate],DATE(2026,1,11),tblDaily[WardCode],"CW")=0,"",SUMIFS(tblDaily[TransfersIn],tblDaily[EntryDate],DATE(2026,1,11),tblDaily[WardCode],"CW")),"")</f>
        <v/>
      </c>
      <c r="G17" s="29" t="str">
        <f>IFERROR(IF(SUMIFS(tblDaily[TransfersOut],tblDaily[EntryDate],DATE(2026,1,11),tblDaily[WardCode],"CW")=0,"",SUMIFS(tblDaily[TransfersOut],tblDaily[EntryDate],DATE(2026,1,11),tblDaily[WardCode],"CW")),"")</f>
        <v/>
      </c>
      <c r="H17" s="29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29">
        <v>12</v>
      </c>
      <c r="B18" s="29">
        <f>IFERROR(IF(SUMIFS(tblDaily[Admissions],tblDaily[EntryDate],DATE(2026,1,12),tblDaily[WardCode],"CW")=0,"",SUMIFS(tblDaily[Admissions],tblDaily[EntryDate],DATE(2026,1,12),tblDaily[WardCode],"CW")),"")</f>
        <v>4</v>
      </c>
      <c r="C18" s="29">
        <f>IFERROR(IF(SUMIFS(tblDaily[Discharges],tblDaily[EntryDate],DATE(2026,1,12),tblDaily[WardCode],"CW")=0,"",SUMIFS(tblDaily[Discharges],tblDaily[EntryDate],DATE(2026,1,12),tblDaily[WardCode],"CW")),"")</f>
        <v>5</v>
      </c>
      <c r="D18" s="29" t="str">
        <f>IFERROR(IF(SUMIFS(tblDaily[Deaths],tblDaily[EntryDate],DATE(2026,1,12),tblDaily[WardCode],"CW")=0,"",SUMIFS(tblDaily[Deaths],tblDaily[EntryDate],DATE(2026,1,12),tblDaily[WardCode],"CW")),"")</f>
        <v/>
      </c>
      <c r="E18" s="29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29">
        <f>IFERROR(IF(SUMIFS(tblDaily[TransfersIn],tblDaily[EntryDate],DATE(2026,1,12),tblDaily[WardCode],"CW")=0,"",SUMIFS(tblDaily[TransfersIn],tblDaily[EntryDate],DATE(2026,1,12),tblDaily[WardCode],"CW")),"")</f>
        <v>1</v>
      </c>
      <c r="G18" s="29" t="str">
        <f>IFERROR(IF(SUMIFS(tblDaily[TransfersOut],tblDaily[EntryDate],DATE(2026,1,12),tblDaily[WardCode],"CW")=0,"",SUMIFS(tblDaily[TransfersOut],tblDaily[EntryDate],DATE(2026,1,12),tblDaily[WardCode],"CW")),"")</f>
        <v/>
      </c>
      <c r="H18" s="29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29">
        <v>13</v>
      </c>
      <c r="B19" s="29">
        <f>IFERROR(IF(SUMIFS(tblDaily[Admissions],tblDaily[EntryDate],DATE(2026,1,13),tblDaily[WardCode],"CW")=0,"",SUMIFS(tblDaily[Admissions],tblDaily[EntryDate],DATE(2026,1,13),tblDaily[WardCode],"CW")),"")</f>
        <v>3</v>
      </c>
      <c r="C19" s="29">
        <f>IFERROR(IF(SUMIFS(tblDaily[Discharges],tblDaily[EntryDate],DATE(2026,1,13),tblDaily[WardCode],"CW")=0,"",SUMIFS(tblDaily[Discharges],tblDaily[EntryDate],DATE(2026,1,13),tblDaily[WardCode],"CW")),"")</f>
        <v>3</v>
      </c>
      <c r="D19" s="29" t="str">
        <f>IFERROR(IF(SUMIFS(tblDaily[Deaths],tblDaily[EntryDate],DATE(2026,1,13),tblDaily[WardCode],"CW")=0,"",SUMIFS(tblDaily[Deaths],tblDaily[EntryDate],DATE(2026,1,13),tblDaily[WardCode],"CW")),"")</f>
        <v/>
      </c>
      <c r="E19" s="29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29" t="str">
        <f>IFERROR(IF(SUMIFS(tblDaily[TransfersIn],tblDaily[EntryDate],DATE(2026,1,13),tblDaily[WardCode],"CW")=0,"",SUMIFS(tblDaily[TransfersIn],tblDaily[EntryDate],DATE(2026,1,13),tblDaily[WardCode],"CW")),"")</f>
        <v/>
      </c>
      <c r="G19" s="29" t="str">
        <f>IFERROR(IF(SUMIFS(tblDaily[TransfersOut],tblDaily[EntryDate],DATE(2026,1,13),tblDaily[WardCode],"CW")=0,"",SUMIFS(tblDaily[TransfersOut],tblDaily[EntryDate],DATE(2026,1,13),tblDaily[WardCode],"CW")),"")</f>
        <v/>
      </c>
      <c r="H19" s="29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29">
        <v>14</v>
      </c>
      <c r="B20" s="29">
        <f>IFERROR(IF(SUMIFS(tblDaily[Admissions],tblDaily[EntryDate],DATE(2026,1,14),tblDaily[WardCode],"CW")=0,"",SUMIFS(tblDaily[Admissions],tblDaily[EntryDate],DATE(2026,1,14),tblDaily[WardCode],"CW")),"")</f>
        <v>6</v>
      </c>
      <c r="C20" s="29">
        <f>IFERROR(IF(SUMIFS(tblDaily[Discharges],tblDaily[EntryDate],DATE(2026,1,14),tblDaily[WardCode],"CW")=0,"",SUMIFS(tblDaily[Discharges],tblDaily[EntryDate],DATE(2026,1,14),tblDaily[WardCode],"CW")),"")</f>
        <v>1</v>
      </c>
      <c r="D20" s="29" t="str">
        <f>IFERROR(IF(SUMIFS(tblDaily[Deaths],tblDaily[EntryDate],DATE(2026,1,14),tblDaily[WardCode],"CW")=0,"",SUMIFS(tblDaily[Deaths],tblDaily[EntryDate],DATE(2026,1,14),tblDaily[WardCode],"CW")),"")</f>
        <v/>
      </c>
      <c r="E20" s="29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29" t="str">
        <f>IFERROR(IF(SUMIFS(tblDaily[TransfersIn],tblDaily[EntryDate],DATE(2026,1,14),tblDaily[WardCode],"CW")=0,"",SUMIFS(tblDaily[TransfersIn],tblDaily[EntryDate],DATE(2026,1,14),tblDaily[WardCode],"CW")),"")</f>
        <v/>
      </c>
      <c r="G20" s="29" t="str">
        <f>IFERROR(IF(SUMIFS(tblDaily[TransfersOut],tblDaily[EntryDate],DATE(2026,1,14),tblDaily[WardCode],"CW")=0,"",SUMIFS(tblDaily[TransfersOut],tblDaily[EntryDate],DATE(2026,1,14),tblDaily[WardCode],"CW")),"")</f>
        <v/>
      </c>
      <c r="H20" s="29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29">
        <v>15</v>
      </c>
      <c r="B21" s="29">
        <f>IFERROR(IF(SUMIFS(tblDaily[Admissions],tblDaily[EntryDate],DATE(2026,1,15),tblDaily[WardCode],"CW")=0,"",SUMIFS(tblDaily[Admissions],tblDaily[EntryDate],DATE(2026,1,15),tblDaily[WardCode],"CW")),"")</f>
        <v>3</v>
      </c>
      <c r="C21" s="29">
        <f>IFERROR(IF(SUMIFS(tblDaily[Discharges],tblDaily[EntryDate],DATE(2026,1,15),tblDaily[WardCode],"CW")=0,"",SUMIFS(tblDaily[Discharges],tblDaily[EntryDate],DATE(2026,1,15),tblDaily[WardCode],"CW")),"")</f>
        <v>5</v>
      </c>
      <c r="D21" s="29" t="str">
        <f>IFERROR(IF(SUMIFS(tblDaily[Deaths],tblDaily[EntryDate],DATE(2026,1,15),tblDaily[WardCode],"CW")=0,"",SUMIFS(tblDaily[Deaths],tblDaily[EntryDate],DATE(2026,1,15),tblDaily[WardCode],"CW")),"")</f>
        <v/>
      </c>
      <c r="E21" s="29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29">
        <f>IFERROR(IF(SUMIFS(tblDaily[TransfersIn],tblDaily[EntryDate],DATE(2026,1,15),tblDaily[WardCode],"CW")=0,"",SUMIFS(tblDaily[TransfersIn],tblDaily[EntryDate],DATE(2026,1,15),tblDaily[WardCode],"CW")),"")</f>
        <v>1</v>
      </c>
      <c r="G21" s="29" t="str">
        <f>IFERROR(IF(SUMIFS(tblDaily[TransfersOut],tblDaily[EntryDate],DATE(2026,1,15),tblDaily[WardCode],"CW")=0,"",SUMIFS(tblDaily[TransfersOut],tblDaily[EntryDate],DATE(2026,1,15),tblDaily[WardCode],"CW")),"")</f>
        <v/>
      </c>
      <c r="H21" s="29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29">
        <v>16</v>
      </c>
      <c r="B22" s="29">
        <f>IFERROR(IF(SUMIFS(tblDaily[Admissions],tblDaily[EntryDate],DATE(2026,1,16),tblDaily[WardCode],"CW")=0,"",SUMIFS(tblDaily[Admissions],tblDaily[EntryDate],DATE(2026,1,16),tblDaily[WardCode],"CW")),"")</f>
        <v>5</v>
      </c>
      <c r="C22" s="29">
        <f>IFERROR(IF(SUMIFS(tblDaily[Discharges],tblDaily[EntryDate],DATE(2026,1,16),tblDaily[WardCode],"CW")=0,"",SUMIFS(tblDaily[Discharges],tblDaily[EntryDate],DATE(2026,1,16),tblDaily[WardCode],"CW")),"")</f>
        <v>5</v>
      </c>
      <c r="D22" s="29" t="str">
        <f>IFERROR(IF(SUMIFS(tblDaily[Deaths],tblDaily[EntryDate],DATE(2026,1,16),tblDaily[WardCode],"CW")=0,"",SUMIFS(tblDaily[Deaths],tblDaily[EntryDate],DATE(2026,1,16),tblDaily[WardCode],"CW")),"")</f>
        <v/>
      </c>
      <c r="E22" s="29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29" t="str">
        <f>IFERROR(IF(SUMIFS(tblDaily[TransfersIn],tblDaily[EntryDate],DATE(2026,1,16),tblDaily[WardCode],"CW")=0,"",SUMIFS(tblDaily[TransfersIn],tblDaily[EntryDate],DATE(2026,1,16),tblDaily[WardCode],"CW")),"")</f>
        <v/>
      </c>
      <c r="G22" s="29" t="str">
        <f>IFERROR(IF(SUMIFS(tblDaily[TransfersOut],tblDaily[EntryDate],DATE(2026,1,16),tblDaily[WardCode],"CW")=0,"",SUMIFS(tblDaily[TransfersOut],tblDaily[EntryDate],DATE(2026,1,16),tblDaily[WardCode],"CW")),"")</f>
        <v/>
      </c>
      <c r="H22" s="29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29">
        <v>17</v>
      </c>
      <c r="B23" s="29">
        <f>IFERROR(IF(SUMIFS(tblDaily[Admissions],tblDaily[EntryDate],DATE(2026,1,17),tblDaily[WardCode],"CW")=0,"",SUMIFS(tblDaily[Admissions],tblDaily[EntryDate],DATE(2026,1,17),tblDaily[WardCode],"CW")),"")</f>
        <v>3</v>
      </c>
      <c r="C23" s="29">
        <f>IFERROR(IF(SUMIFS(tblDaily[Discharges],tblDaily[EntryDate],DATE(2026,1,17),tblDaily[WardCode],"CW")=0,"",SUMIFS(tblDaily[Discharges],tblDaily[EntryDate],DATE(2026,1,17),tblDaily[WardCode],"CW")),"")</f>
        <v>2</v>
      </c>
      <c r="D23" s="29" t="str">
        <f>IFERROR(IF(SUMIFS(tblDaily[Deaths],tblDaily[EntryDate],DATE(2026,1,17),tblDaily[WardCode],"CW")=0,"",SUMIFS(tblDaily[Deaths],tblDaily[EntryDate],DATE(2026,1,17),tblDaily[WardCode],"CW")),"")</f>
        <v/>
      </c>
      <c r="E23" s="29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29" t="str">
        <f>IFERROR(IF(SUMIFS(tblDaily[TransfersIn],tblDaily[EntryDate],DATE(2026,1,17),tblDaily[WardCode],"CW")=0,"",SUMIFS(tblDaily[TransfersIn],tblDaily[EntryDate],DATE(2026,1,17),tblDaily[WardCode],"CW")),"")</f>
        <v/>
      </c>
      <c r="G23" s="29" t="str">
        <f>IFERROR(IF(SUMIFS(tblDaily[TransfersOut],tblDaily[EntryDate],DATE(2026,1,17),tblDaily[WardCode],"CW")=0,"",SUMIFS(tblDaily[TransfersOut],tblDaily[EntryDate],DATE(2026,1,17),tblDaily[WardCode],"CW")),"")</f>
        <v/>
      </c>
      <c r="H23" s="29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29">
        <v>18</v>
      </c>
      <c r="B24" s="29">
        <f>IFERROR(IF(SUMIFS(tblDaily[Admissions],tblDaily[EntryDate],DATE(2026,1,18),tblDaily[WardCode],"CW")=0,"",SUMIFS(tblDaily[Admissions],tblDaily[EntryDate],DATE(2026,1,18),tblDaily[WardCode],"CW")),"")</f>
        <v>2</v>
      </c>
      <c r="C24" s="29">
        <f>IFERROR(IF(SUMIFS(tblDaily[Discharges],tblDaily[EntryDate],DATE(2026,1,18),tblDaily[WardCode],"CW")=0,"",SUMIFS(tblDaily[Discharges],tblDaily[EntryDate],DATE(2026,1,18),tblDaily[WardCode],"CW")),"")</f>
        <v>1</v>
      </c>
      <c r="D24" s="29" t="str">
        <f>IFERROR(IF(SUMIFS(tblDaily[Deaths],tblDaily[EntryDate],DATE(2026,1,18),tblDaily[WardCode],"CW")=0,"",SUMIFS(tblDaily[Deaths],tblDaily[EntryDate],DATE(2026,1,18),tblDaily[WardCode],"CW")),"")</f>
        <v/>
      </c>
      <c r="E24" s="29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29">
        <f>IFERROR(IF(SUMIFS(tblDaily[TransfersIn],tblDaily[EntryDate],DATE(2026,1,18),tblDaily[WardCode],"CW")=0,"",SUMIFS(tblDaily[TransfersIn],tblDaily[EntryDate],DATE(2026,1,18),tblDaily[WardCode],"CW")),"")</f>
        <v>1</v>
      </c>
      <c r="G24" s="29" t="str">
        <f>IFERROR(IF(SUMIFS(tblDaily[TransfersOut],tblDaily[EntryDate],DATE(2026,1,18),tblDaily[WardCode],"CW")=0,"",SUMIFS(tblDaily[TransfersOut],tblDaily[EntryDate],DATE(2026,1,18),tblDaily[WardCode],"CW")),"")</f>
        <v/>
      </c>
      <c r="H24" s="29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29">
        <v>19</v>
      </c>
      <c r="B25" s="29">
        <f>IFERROR(IF(SUMIFS(tblDaily[Admissions],tblDaily[EntryDate],DATE(2026,1,19),tblDaily[WardCode],"CW")=0,"",SUMIFS(tblDaily[Admissions],tblDaily[EntryDate],DATE(2026,1,19),tblDaily[WardCode],"CW")),"")</f>
        <v>2</v>
      </c>
      <c r="C25" s="29">
        <f>IFERROR(IF(SUMIFS(tblDaily[Discharges],tblDaily[EntryDate],DATE(2026,1,19),tblDaily[WardCode],"CW")=0,"",SUMIFS(tblDaily[Discharges],tblDaily[EntryDate],DATE(2026,1,19),tblDaily[WardCode],"CW")),"")</f>
        <v>12</v>
      </c>
      <c r="D25" s="29" t="str">
        <f>IFERROR(IF(SUMIFS(tblDaily[Deaths],tblDaily[EntryDate],DATE(2026,1,19),tblDaily[WardCode],"CW")=0,"",SUMIFS(tblDaily[Deaths],tblDaily[EntryDate],DATE(2026,1,19),tblDaily[WardCode],"CW")),"")</f>
        <v/>
      </c>
      <c r="E25" s="29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29" t="str">
        <f>IFERROR(IF(SUMIFS(tblDaily[TransfersIn],tblDaily[EntryDate],DATE(2026,1,19),tblDaily[WardCode],"CW")=0,"",SUMIFS(tblDaily[TransfersIn],tblDaily[EntryDate],DATE(2026,1,19),tblDaily[WardCode],"CW")),"")</f>
        <v/>
      </c>
      <c r="G25" s="29" t="str">
        <f>IFERROR(IF(SUMIFS(tblDaily[TransfersOut],tblDaily[EntryDate],DATE(2026,1,19),tblDaily[WardCode],"CW")=0,"",SUMIFS(tblDaily[TransfersOut],tblDaily[EntryDate],DATE(2026,1,19),tblDaily[WardCode],"CW")),"")</f>
        <v/>
      </c>
      <c r="H25" s="29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29">
        <v>20</v>
      </c>
      <c r="B26" s="29" t="str">
        <f>IFERROR(IF(SUMIFS(tblDaily[Admissions],tblDaily[EntryDate],DATE(2026,1,20),tblDaily[WardCode],"CW")=0,"",SUMIFS(tblDaily[Admissions],tblDaily[EntryDate],DATE(2026,1,20),tblDaily[WardCode],"CW")),"")</f>
        <v/>
      </c>
      <c r="C26" s="29">
        <f>IFERROR(IF(SUMIFS(tblDaily[Discharges],tblDaily[EntryDate],DATE(2026,1,20),tblDaily[WardCode],"CW")=0,"",SUMIFS(tblDaily[Discharges],tblDaily[EntryDate],DATE(2026,1,20),tblDaily[WardCode],"CW")),"")</f>
        <v>3</v>
      </c>
      <c r="D26" s="29" t="str">
        <f>IFERROR(IF(SUMIFS(tblDaily[Deaths],tblDaily[EntryDate],DATE(2026,1,20),tblDaily[WardCode],"CW")=0,"",SUMIFS(tblDaily[Deaths],tblDaily[EntryDate],DATE(2026,1,20),tblDaily[WardCode],"CW")),"")</f>
        <v/>
      </c>
      <c r="E26" s="29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29" t="str">
        <f>IFERROR(IF(SUMIFS(tblDaily[TransfersIn],tblDaily[EntryDate],DATE(2026,1,20),tblDaily[WardCode],"CW")=0,"",SUMIFS(tblDaily[TransfersIn],tblDaily[EntryDate],DATE(2026,1,20),tblDaily[WardCode],"CW")),"")</f>
        <v/>
      </c>
      <c r="G26" s="29" t="str">
        <f>IFERROR(IF(SUMIFS(tblDaily[TransfersOut],tblDaily[EntryDate],DATE(2026,1,20),tblDaily[WardCode],"CW")=0,"",SUMIFS(tblDaily[TransfersOut],tblDaily[EntryDate],DATE(2026,1,20),tblDaily[WardCode],"CW")),"")</f>
        <v/>
      </c>
      <c r="H26" s="29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29">
        <v>21</v>
      </c>
      <c r="B27" s="29">
        <f>IFERROR(IF(SUMIFS(tblDaily[Admissions],tblDaily[EntryDate],DATE(2026,1,21),tblDaily[WardCode],"CW")=0,"",SUMIFS(tblDaily[Admissions],tblDaily[EntryDate],DATE(2026,1,21),tblDaily[WardCode],"CW")),"")</f>
        <v>1</v>
      </c>
      <c r="C27" s="29">
        <f>IFERROR(IF(SUMIFS(tblDaily[Discharges],tblDaily[EntryDate],DATE(2026,1,21),tblDaily[WardCode],"CW")=0,"",SUMIFS(tblDaily[Discharges],tblDaily[EntryDate],DATE(2026,1,21),tblDaily[WardCode],"CW")),"")</f>
        <v>1</v>
      </c>
      <c r="D27" s="29" t="str">
        <f>IFERROR(IF(SUMIFS(tblDaily[Deaths],tblDaily[EntryDate],DATE(2026,1,21),tblDaily[WardCode],"CW")=0,"",SUMIFS(tblDaily[Deaths],tblDaily[EntryDate],DATE(2026,1,21),tblDaily[WardCode],"CW")),"")</f>
        <v/>
      </c>
      <c r="E27" s="29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29" t="str">
        <f>IFERROR(IF(SUMIFS(tblDaily[TransfersIn],tblDaily[EntryDate],DATE(2026,1,21),tblDaily[WardCode],"CW")=0,"",SUMIFS(tblDaily[TransfersIn],tblDaily[EntryDate],DATE(2026,1,21),tblDaily[WardCode],"CW")),"")</f>
        <v/>
      </c>
      <c r="G27" s="29" t="str">
        <f>IFERROR(IF(SUMIFS(tblDaily[TransfersOut],tblDaily[EntryDate],DATE(2026,1,21),tblDaily[WardCode],"CW")=0,"",SUMIFS(tblDaily[TransfersOut],tblDaily[EntryDate],DATE(2026,1,21),tblDaily[WardCode],"CW")),"")</f>
        <v/>
      </c>
      <c r="H27" s="29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29">
        <v>22</v>
      </c>
      <c r="B28" s="29">
        <f>IFERROR(IF(SUMIFS(tblDaily[Admissions],tblDaily[EntryDate],DATE(2026,1,22),tblDaily[WardCode],"CW")=0,"",SUMIFS(tblDaily[Admissions],tblDaily[EntryDate],DATE(2026,1,22),tblDaily[WardCode],"CW")),"")</f>
        <v>5</v>
      </c>
      <c r="C28" s="29">
        <f>IFERROR(IF(SUMIFS(tblDaily[Discharges],tblDaily[EntryDate],DATE(2026,1,22),tblDaily[WardCode],"CW")=0,"",SUMIFS(tblDaily[Discharges],tblDaily[EntryDate],DATE(2026,1,22),tblDaily[WardCode],"CW")),"")</f>
        <v>2</v>
      </c>
      <c r="D28" s="29" t="str">
        <f>IFERROR(IF(SUMIFS(tblDaily[Deaths],tblDaily[EntryDate],DATE(2026,1,22),tblDaily[WardCode],"CW")=0,"",SUMIFS(tblDaily[Deaths],tblDaily[EntryDate],DATE(2026,1,22),tblDaily[WardCode],"CW")),"")</f>
        <v/>
      </c>
      <c r="E28" s="29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29" t="str">
        <f>IFERROR(IF(SUMIFS(tblDaily[TransfersIn],tblDaily[EntryDate],DATE(2026,1,22),tblDaily[WardCode],"CW")=0,"",SUMIFS(tblDaily[TransfersIn],tblDaily[EntryDate],DATE(2026,1,22),tblDaily[WardCode],"CW")),"")</f>
        <v/>
      </c>
      <c r="G28" s="29" t="str">
        <f>IFERROR(IF(SUMIFS(tblDaily[TransfersOut],tblDaily[EntryDate],DATE(2026,1,22),tblDaily[WardCode],"CW")=0,"",SUMIFS(tblDaily[TransfersOut],tblDaily[EntryDate],DATE(2026,1,22),tblDaily[WardCode],"CW")),"")</f>
        <v/>
      </c>
      <c r="H28" s="29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29">
        <v>23</v>
      </c>
      <c r="B29" s="29">
        <f>IFERROR(IF(SUMIFS(tblDaily[Admissions],tblDaily[EntryDate],DATE(2026,1,23),tblDaily[WardCode],"CW")=0,"",SUMIFS(tblDaily[Admissions],tblDaily[EntryDate],DATE(2026,1,23),tblDaily[WardCode],"CW")),"")</f>
        <v>4</v>
      </c>
      <c r="C29" s="29">
        <f>IFERROR(IF(SUMIFS(tblDaily[Discharges],tblDaily[EntryDate],DATE(2026,1,23),tblDaily[WardCode],"CW")=0,"",SUMIFS(tblDaily[Discharges],tblDaily[EntryDate],DATE(2026,1,23),tblDaily[WardCode],"CW")),"")</f>
        <v>8</v>
      </c>
      <c r="D29" s="29" t="str">
        <f>IFERROR(IF(SUMIFS(tblDaily[Deaths],tblDaily[EntryDate],DATE(2026,1,23),tblDaily[WardCode],"CW")=0,"",SUMIFS(tblDaily[Deaths],tblDaily[EntryDate],DATE(2026,1,23),tblDaily[WardCode],"CW")),"")</f>
        <v/>
      </c>
      <c r="E29" s="29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29" t="str">
        <f>IFERROR(IF(SUMIFS(tblDaily[TransfersIn],tblDaily[EntryDate],DATE(2026,1,23),tblDaily[WardCode],"CW")=0,"",SUMIFS(tblDaily[TransfersIn],tblDaily[EntryDate],DATE(2026,1,23),tblDaily[WardCode],"CW")),"")</f>
        <v/>
      </c>
      <c r="G29" s="29" t="str">
        <f>IFERROR(IF(SUMIFS(tblDaily[TransfersOut],tblDaily[EntryDate],DATE(2026,1,23),tblDaily[WardCode],"CW")=0,"",SUMIFS(tblDaily[TransfersOut],tblDaily[EntryDate],DATE(2026,1,23),tblDaily[WardCode],"CW")),"")</f>
        <v/>
      </c>
      <c r="H29" s="29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29">
        <v>24</v>
      </c>
      <c r="B30" s="29">
        <f>IFERROR(IF(SUMIFS(tblDaily[Admissions],tblDaily[EntryDate],DATE(2026,1,24),tblDaily[WardCode],"CW")=0,"",SUMIFS(tblDaily[Admissions],tblDaily[EntryDate],DATE(2026,1,24),tblDaily[WardCode],"CW")),"")</f>
        <v>1</v>
      </c>
      <c r="C30" s="29" t="str">
        <f>IFERROR(IF(SUMIFS(tblDaily[Discharges],tblDaily[EntryDate],DATE(2026,1,24),tblDaily[WardCode],"CW")=0,"",SUMIFS(tblDaily[Discharges],tblDaily[EntryDate],DATE(2026,1,24),tblDaily[WardCode],"CW")),"")</f>
        <v/>
      </c>
      <c r="D30" s="29" t="str">
        <f>IFERROR(IF(SUMIFS(tblDaily[Deaths],tblDaily[EntryDate],DATE(2026,1,24),tblDaily[WardCode],"CW")=0,"",SUMIFS(tblDaily[Deaths],tblDaily[EntryDate],DATE(2026,1,24),tblDaily[WardCode],"CW")),"")</f>
        <v/>
      </c>
      <c r="E30" s="29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29" t="str">
        <f>IFERROR(IF(SUMIFS(tblDaily[TransfersIn],tblDaily[EntryDate],DATE(2026,1,24),tblDaily[WardCode],"CW")=0,"",SUMIFS(tblDaily[TransfersIn],tblDaily[EntryDate],DATE(2026,1,24),tblDaily[WardCode],"CW")),"")</f>
        <v/>
      </c>
      <c r="G30" s="29" t="str">
        <f>IFERROR(IF(SUMIFS(tblDaily[TransfersOut],tblDaily[EntryDate],DATE(2026,1,24),tblDaily[WardCode],"CW")=0,"",SUMIFS(tblDaily[TransfersOut],tblDaily[EntryDate],DATE(2026,1,24),tblDaily[WardCode],"CW")),"")</f>
        <v/>
      </c>
      <c r="H30" s="29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IFERROR(IF(SUMIFS(tblDaily[Admissions],tblDaily[EntryDate],DATE(2026,1,25),tblDaily[WardCode],"CW")=0,"",SUMIFS(tblDaily[Admissions],tblDaily[EntryDate],DATE(2026,1,25),tblDaily[WardCode],"CW")),"")</f>
        <v>4</v>
      </c>
      <c r="C31" s="29">
        <f>IFERROR(IF(SUMIFS(tblDaily[Discharges],tblDaily[EntryDate],DATE(2026,1,25),tblDaily[WardCode],"CW")=0,"",SUMIFS(tblDaily[Discharges],tblDaily[EntryDate],DATE(2026,1,25),tblDaily[WardCode],"CW")),"")</f>
        <v>3</v>
      </c>
      <c r="D31" s="29" t="str">
        <f>IFERROR(IF(SUMIFS(tblDaily[Deaths],tblDaily[EntryDate],DATE(2026,1,25),tblDaily[WardCode],"CW")=0,"",SUMIFS(tblDaily[Deaths],tblDaily[EntryDate],DATE(2026,1,25),tblDaily[WardCode],"CW")),"")</f>
        <v/>
      </c>
      <c r="E31" s="29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29" t="str">
        <f>IFERROR(IF(SUMIFS(tblDaily[TransfersIn],tblDaily[EntryDate],DATE(2026,1,25),tblDaily[WardCode],"CW")=0,"",SUMIFS(tblDaily[TransfersIn],tblDaily[EntryDate],DATE(2026,1,25),tblDaily[WardCode],"CW")),"")</f>
        <v/>
      </c>
      <c r="G31" s="29" t="str">
        <f>IFERROR(IF(SUMIFS(tblDaily[TransfersOut],tblDaily[EntryDate],DATE(2026,1,25),tblDaily[WardCode],"CW")=0,"",SUMIFS(tblDaily[TransfersOut],tblDaily[EntryDate],DATE(2026,1,25),tblDaily[WardCode],"CW")),"")</f>
        <v/>
      </c>
      <c r="H31" s="29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29">
        <v>26</v>
      </c>
      <c r="B32" s="29">
        <f>IFERROR(IF(SUMIFS(tblDaily[Admissions],tblDaily[EntryDate],DATE(2026,1,26),tblDaily[WardCode],"CW")=0,"",SUMIFS(tblDaily[Admissions],tblDaily[EntryDate],DATE(2026,1,26),tblDaily[WardCode],"CW")),"")</f>
        <v>1</v>
      </c>
      <c r="C32" s="29">
        <f>IFERROR(IF(SUMIFS(tblDaily[Discharges],tblDaily[EntryDate],DATE(2026,1,26),tblDaily[WardCode],"CW")=0,"",SUMIFS(tblDaily[Discharges],tblDaily[EntryDate],DATE(2026,1,26),tblDaily[WardCode],"CW")),"")</f>
        <v>2</v>
      </c>
      <c r="D32" s="29" t="str">
        <f>IFERROR(IF(SUMIFS(tblDaily[Deaths],tblDaily[EntryDate],DATE(2026,1,26),tblDaily[WardCode],"CW")=0,"",SUMIFS(tblDaily[Deaths],tblDaily[EntryDate],DATE(2026,1,26),tblDaily[WardCode],"CW")),"")</f>
        <v/>
      </c>
      <c r="E32" s="29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29">
        <f>IFERROR(IF(SUMIFS(tblDaily[TransfersIn],tblDaily[EntryDate],DATE(2026,1,26),tblDaily[WardCode],"CW")=0,"",SUMIFS(tblDaily[TransfersIn],tblDaily[EntryDate],DATE(2026,1,26),tblDaily[WardCode],"CW")),"")</f>
        <v>1</v>
      </c>
      <c r="G32" s="29" t="str">
        <f>IFERROR(IF(SUMIFS(tblDaily[TransfersOut],tblDaily[EntryDate],DATE(2026,1,26),tblDaily[WardCode],"CW")=0,"",SUMIFS(tblDaily[TransfersOut],tblDaily[EntryDate],DATE(2026,1,26),tblDaily[WardCode],"CW")),"")</f>
        <v/>
      </c>
      <c r="H32" s="29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29">
        <v>27</v>
      </c>
      <c r="B33" s="29">
        <f>IFERROR(IF(SUMIFS(tblDaily[Admissions],tblDaily[EntryDate],DATE(2026,1,27),tblDaily[WardCode],"CW")=0,"",SUMIFS(tblDaily[Admissions],tblDaily[EntryDate],DATE(2026,1,27),tblDaily[WardCode],"CW")),"")</f>
        <v>2</v>
      </c>
      <c r="C33" s="29">
        <f>IFERROR(IF(SUMIFS(tblDaily[Discharges],tblDaily[EntryDate],DATE(2026,1,27),tblDaily[WardCode],"CW")=0,"",SUMIFS(tblDaily[Discharges],tblDaily[EntryDate],DATE(2026,1,27),tblDaily[WardCode],"CW")),"")</f>
        <v>3</v>
      </c>
      <c r="D33" s="29" t="str">
        <f>IFERROR(IF(SUMIFS(tblDaily[Deaths],tblDaily[EntryDate],DATE(2026,1,27),tblDaily[WardCode],"CW")=0,"",SUMIFS(tblDaily[Deaths],tblDaily[EntryDate],DATE(2026,1,27),tblDaily[WardCode],"CW")),"")</f>
        <v/>
      </c>
      <c r="E33" s="29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29" t="str">
        <f>IFERROR(IF(SUMIFS(tblDaily[TransfersIn],tblDaily[EntryDate],DATE(2026,1,27),tblDaily[WardCode],"CW")=0,"",SUMIFS(tblDaily[TransfersIn],tblDaily[EntryDate],DATE(2026,1,27),tblDaily[WardCode],"CW")),"")</f>
        <v/>
      </c>
      <c r="G33" s="29" t="str">
        <f>IFERROR(IF(SUMIFS(tblDaily[TransfersOut],tblDaily[EntryDate],DATE(2026,1,27),tblDaily[WardCode],"CW")=0,"",SUMIFS(tblDaily[TransfersOut],tblDaily[EntryDate],DATE(2026,1,27),tblDaily[WardCode],"CW")),"")</f>
        <v/>
      </c>
      <c r="H33" s="29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29">
        <v>28</v>
      </c>
      <c r="B34" s="29">
        <f>IFERROR(IF(SUMIFS(tblDaily[Admissions],tblDaily[EntryDate],DATE(2026,1,28),tblDaily[WardCode],"CW")=0,"",SUMIFS(tblDaily[Admissions],tblDaily[EntryDate],DATE(2026,1,28),tblDaily[WardCode],"CW")),"")</f>
        <v>1</v>
      </c>
      <c r="C34" s="29" t="str">
        <f>IFERROR(IF(SUMIFS(tblDaily[Discharges],tblDaily[EntryDate],DATE(2026,1,28),tblDaily[WardCode],"CW")=0,"",SUMIFS(tblDaily[Discharges],tblDaily[EntryDate],DATE(2026,1,28),tblDaily[WardCode],"CW")),"")</f>
        <v/>
      </c>
      <c r="D34" s="29" t="str">
        <f>IFERROR(IF(SUMIFS(tblDaily[Deaths],tblDaily[EntryDate],DATE(2026,1,28),tblDaily[WardCode],"CW")=0,"",SUMIFS(tblDaily[Deaths],tblDaily[EntryDate],DATE(2026,1,28),tblDaily[WardCode],"CW")),"")</f>
        <v/>
      </c>
      <c r="E34" s="29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29" t="str">
        <f>IFERROR(IF(SUMIFS(tblDaily[TransfersIn],tblDaily[EntryDate],DATE(2026,1,28),tblDaily[WardCode],"CW")=0,"",SUMIFS(tblDaily[TransfersIn],tblDaily[EntryDate],DATE(2026,1,28),tblDaily[WardCode],"CW")),"")</f>
        <v/>
      </c>
      <c r="G34" s="29" t="str">
        <f>IFERROR(IF(SUMIFS(tblDaily[TransfersOut],tblDaily[EntryDate],DATE(2026,1,28),tblDaily[WardCode],"CW")=0,"",SUMIFS(tblDaily[TransfersOut],tblDaily[EntryDate],DATE(2026,1,28),tblDaily[WardCode],"CW")),"")</f>
        <v/>
      </c>
      <c r="H34" s="29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29">
        <v>29</v>
      </c>
      <c r="B35" s="29">
        <f>IFERROR(IF(SUMIFS(tblDaily[Admissions],tblDaily[EntryDate],DATE(2026,1,29),tblDaily[WardCode],"CW")=0,"",SUMIFS(tblDaily[Admissions],tblDaily[EntryDate],DATE(2026,1,29),tblDaily[WardCode],"CW")),"")</f>
        <v>2</v>
      </c>
      <c r="C35" s="29">
        <f>IFERROR(IF(SUMIFS(tblDaily[Discharges],tblDaily[EntryDate],DATE(2026,1,29),tblDaily[WardCode],"CW")=0,"",SUMIFS(tblDaily[Discharges],tblDaily[EntryDate],DATE(2026,1,29),tblDaily[WardCode],"CW")),"")</f>
        <v>2</v>
      </c>
      <c r="D35" s="29" t="str">
        <f>IFERROR(IF(SUMIFS(tblDaily[Deaths],tblDaily[EntryDate],DATE(2026,1,29),tblDaily[WardCode],"CW")=0,"",SUMIFS(tblDaily[Deaths],tblDaily[EntryDate],DATE(2026,1,29),tblDaily[WardCode],"CW")),"")</f>
        <v/>
      </c>
      <c r="E35" s="29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29" t="str">
        <f>IFERROR(IF(SUMIFS(tblDaily[TransfersIn],tblDaily[EntryDate],DATE(2026,1,29),tblDaily[WardCode],"CW")=0,"",SUMIFS(tblDaily[TransfersIn],tblDaily[EntryDate],DATE(2026,1,29),tblDaily[WardCode],"CW")),"")</f>
        <v/>
      </c>
      <c r="G35" s="29" t="str">
        <f>IFERROR(IF(SUMIFS(tblDaily[TransfersOut],tblDaily[EntryDate],DATE(2026,1,29),tblDaily[WardCode],"CW")=0,"",SUMIFS(tblDaily[TransfersOut],tblDaily[EntryDate],DATE(2026,1,29),tblDaily[WardCode],"CW")),"")</f>
        <v/>
      </c>
      <c r="H35" s="29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29">
        <v>30</v>
      </c>
      <c r="B36" s="29">
        <f>IFERROR(IF(SUMIFS(tblDaily[Admissions],tblDaily[EntryDate],DATE(2026,1,30),tblDaily[WardCode],"CW")=0,"",SUMIFS(tblDaily[Admissions],tblDaily[EntryDate],DATE(2026,1,30),tblDaily[WardCode],"CW")),"")</f>
        <v>4</v>
      </c>
      <c r="C36" s="29">
        <f>IFERROR(IF(SUMIFS(tblDaily[Discharges],tblDaily[EntryDate],DATE(2026,1,30),tblDaily[WardCode],"CW")=0,"",SUMIFS(tblDaily[Discharges],tblDaily[EntryDate],DATE(2026,1,30),tblDaily[WardCode],"CW")),"")</f>
        <v>4</v>
      </c>
      <c r="D36" s="29" t="str">
        <f>IFERROR(IF(SUMIFS(tblDaily[Deaths],tblDaily[EntryDate],DATE(2026,1,30),tblDaily[WardCode],"CW")=0,"",SUMIFS(tblDaily[Deaths],tblDaily[EntryDate],DATE(2026,1,30),tblDaily[WardCode],"CW")),"")</f>
        <v/>
      </c>
      <c r="E36" s="29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29">
        <f>IFERROR(IF(SUMIFS(tblDaily[TransfersIn],tblDaily[EntryDate],DATE(2026,1,30),tblDaily[WardCode],"CW")=0,"",SUMIFS(tblDaily[TransfersIn],tblDaily[EntryDate],DATE(2026,1,30),tblDaily[WardCode],"CW")),"")</f>
        <v>1</v>
      </c>
      <c r="G36" s="29" t="str">
        <f>IFERROR(IF(SUMIFS(tblDaily[TransfersOut],tblDaily[EntryDate],DATE(2026,1,30),tblDaily[WardCode],"CW")=0,"",SUMIFS(tblDaily[TransfersOut],tblDaily[EntryDate],DATE(2026,1,30),tblDaily[WardCode],"CW")),"")</f>
        <v/>
      </c>
      <c r="H36" s="29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29">
        <v>31</v>
      </c>
      <c r="B37" s="29">
        <f>IFERROR(IF(SUMIFS(tblDaily[Admissions],tblDaily[EntryDate],DATE(2026,1,31),tblDaily[WardCode],"CW")=0,"",SUMIFS(tblDaily[Admissions],tblDaily[EntryDate],DATE(2026,1,31),tblDaily[WardCode],"CW")),"")</f>
        <v>5</v>
      </c>
      <c r="C37" s="29">
        <f>IFERROR(IF(SUMIFS(tblDaily[Discharges],tblDaily[EntryDate],DATE(2026,1,31),tblDaily[WardCode],"CW")=0,"",SUMIFS(tblDaily[Discharges],tblDaily[EntryDate],DATE(2026,1,31),tblDaily[WardCode],"CW")),"")</f>
        <v>1</v>
      </c>
      <c r="D37" s="29" t="str">
        <f>IFERROR(IF(SUMIFS(tblDaily[Deaths],tblDaily[EntryDate],DATE(2026,1,31),tblDaily[WardCode],"CW")=0,"",SUMIFS(tblDaily[Deaths],tblDaily[EntryDate],DATE(2026,1,31),tblDaily[WardCode],"CW")),"")</f>
        <v/>
      </c>
      <c r="E37" s="29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29" t="str">
        <f>IFERROR(IF(SUMIFS(tblDaily[TransfersIn],tblDaily[EntryDate],DATE(2026,1,31),tblDaily[WardCode],"CW")=0,"",SUMIFS(tblDaily[TransfersIn],tblDaily[EntryDate],DATE(2026,1,31),tblDaily[WardCode],"CW")),"")</f>
        <v/>
      </c>
      <c r="G37" s="29" t="str">
        <f>IFERROR(IF(SUMIFS(tblDaily[TransfersOut],tblDaily[EntryDate],DATE(2026,1,31),tblDaily[WardCode],"CW")=0,"",SUMIFS(tblDaily[TransfersOut],tblDaily[EntryDate],DATE(2026,1,31),tblDaily[WardCode],"CW")),"")</f>
        <v/>
      </c>
      <c r="H37" s="29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30" t="s">
        <v>115</v>
      </c>
      <c r="B38" s="30">
        <f>SUMIFS(tblDaily[Admissions],tblDaily[Month],1,tblDaily[WardCode],"CW") - SUMIFS(tblDaily[DeathsUnder24Hrs],tblDaily[Month],1,tblDaily[WardCode],"CW")</f>
        <v>78</v>
      </c>
      <c r="C38" s="30">
        <f>SUMIFS(tblDaily[Discharges],tblDaily[Month],1,tblDaily[WardCode],"CW")</f>
        <v>78</v>
      </c>
      <c r="D38" s="30">
        <f>SUMIFS(tblDaily[Deaths],tblDaily[Month],1,tblDaily[WardCode],"CW")</f>
        <v>0</v>
      </c>
      <c r="E38" s="30">
        <f>SUMIFS(tblDaily[DeathsUnder24Hrs],tblDaily[Month],1,tblDaily[WardCode],"CW")</f>
        <v>0</v>
      </c>
      <c r="F38" s="30">
        <f>SUMIFS(tblDaily[TransfersIn],tblDaily[Month],1,tblDaily[WardCode],"CW")</f>
        <v>5</v>
      </c>
      <c r="G38" s="30">
        <f>SUMIFS(tblDaily[TransfersOut],tblDaily[Month],1,tblDaily[WardCode],"CW")</f>
        <v>0</v>
      </c>
      <c r="H38" s="30">
        <f>SUMIFS(tblDaily[Remaining],tblDaily[Month],1,tblDaily[WardCode],"CW")</f>
        <v>297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117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IFERROR(SUMIFS(tblDaily[Remaining],tblDaily[EntryDate],DATE(2026,1,31),tblDaily[WardCode],"CW"),0)</f>
        <v>12</v>
      </c>
    </row>
    <row r="44" spans="1:8" x14ac:dyDescent="0.25">
      <c r="A44" s="24" t="s">
        <v>109</v>
      </c>
      <c r="H44" s="27">
        <f>IFERROR(INDEX(tblWardConfig[BedComplement],MATCH("CW",tblWardConfig[WardCode],0)),0)</f>
        <v>27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>
        <f>IFERROR(IF(SUMIFS(tblDaily[Admissions],tblDaily[EntryDate],DATE(2026,2,1),tblDaily[WardCode],"CW")=0,"",SUMIFS(tblDaily[Admissions],tblDaily[EntryDate],DATE(2026,2,1),tblDaily[WardCode],"CW")),"")</f>
        <v>3</v>
      </c>
      <c r="C46" s="29">
        <f>IFERROR(IF(SUMIFS(tblDaily[Discharges],tblDaily[EntryDate],DATE(2026,2,1),tblDaily[WardCode],"CW")=0,"",SUMIFS(tblDaily[Discharges],tblDaily[EntryDate],DATE(2026,2,1),tblDaily[WardCode],"CW")),"")</f>
        <v>7</v>
      </c>
      <c r="D46" s="29" t="str">
        <f>IFERROR(IF(SUMIFS(tblDaily[Deaths],tblDaily[EntryDate],DATE(2026,2,1),tblDaily[WardCode],"CW")=0,"",SUMIFS(tblDaily[Deaths],tblDaily[EntryDate],DATE(2026,2,1),tblDaily[WardCode],"CW")),"")</f>
        <v/>
      </c>
      <c r="E46" s="29" t="str">
        <f>IFERROR(IF(SUMIFS(tblDaily[DeathsUnder24Hrs],tblDaily[EntryDate],DATE(2026,2,1),tblDaily[WardCode],"CW")=0,"",SUMIFS(tblDaily[DeathsUnder24Hrs],tblDaily[EntryDate],DATE(2026,2,1),tblDaily[WardCode],"CW")),"")</f>
        <v/>
      </c>
      <c r="F46" s="29" t="str">
        <f>IFERROR(IF(SUMIFS(tblDaily[TransfersIn],tblDaily[EntryDate],DATE(2026,2,1),tblDaily[WardCode],"CW")=0,"",SUMIFS(tblDaily[TransfersIn],tblDaily[EntryDate],DATE(2026,2,1),tblDaily[WardCode],"CW")),"")</f>
        <v/>
      </c>
      <c r="G46" s="29" t="str">
        <f>IFERROR(IF(SUMIFS(tblDaily[TransfersOut],tblDaily[EntryDate],DATE(2026,2,1),tblDaily[WardCode],"CW")=0,"",SUMIFS(tblDaily[TransfersOut],tblDaily[EntryDate],DATE(2026,2,1),tblDaily[WardCode],"CW")),"")</f>
        <v/>
      </c>
      <c r="H46" s="29">
        <f>IFERROR(IF(SUMIFS(tblDaily[Remaining],tblDaily[EntryDate],DATE(2026,2,1),tblDaily[WardCode],"CW")=0,"",SUMIFS(tblDaily[Remaining],tblDaily[EntryDate],DATE(2026,2,1),tblDaily[WardCode],"CW")),"")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IFERROR(IF(SUMIFS(tblDaily[Admissions],tblDaily[EntryDate],DATE(2026,2,2),tblDaily[WardCode],"CW")=0,"",SUMIFS(tblDaily[Admissions],tblDaily[EntryDate],DATE(2026,2,2),tblDaily[WardCode],"CW")),"")</f>
        <v>2</v>
      </c>
      <c r="C47" s="29">
        <f>IFERROR(IF(SUMIFS(tblDaily[Discharges],tblDaily[EntryDate],DATE(2026,2,2),tblDaily[WardCode],"CW")=0,"",SUMIFS(tblDaily[Discharges],tblDaily[EntryDate],DATE(2026,2,2),tblDaily[WardCode],"CW")),"")</f>
        <v>2</v>
      </c>
      <c r="D47" s="29" t="str">
        <f>IFERROR(IF(SUMIFS(tblDaily[Deaths],tblDaily[EntryDate],DATE(2026,2,2),tblDaily[WardCode],"CW")=0,"",SUMIFS(tblDaily[Deaths],tblDaily[EntryDate],DATE(2026,2,2),tblDaily[WardCode],"CW")),"")</f>
        <v/>
      </c>
      <c r="E47" s="29" t="str">
        <f>IFERROR(IF(SUMIFS(tblDaily[DeathsUnder24Hrs],tblDaily[EntryDate],DATE(2026,2,2),tblDaily[WardCode],"CW")=0,"",SUMIFS(tblDaily[DeathsUnder24Hrs],tblDaily[EntryDate],DATE(2026,2,2),tblDaily[WardCode],"CW")),"")</f>
        <v/>
      </c>
      <c r="F47" s="29" t="str">
        <f>IFERROR(IF(SUMIFS(tblDaily[TransfersIn],tblDaily[EntryDate],DATE(2026,2,2),tblDaily[WardCode],"CW")=0,"",SUMIFS(tblDaily[TransfersIn],tblDaily[EntryDate],DATE(2026,2,2),tblDaily[WardCode],"CW")),"")</f>
        <v/>
      </c>
      <c r="G47" s="29" t="str">
        <f>IFERROR(IF(SUMIFS(tblDaily[TransfersOut],tblDaily[EntryDate],DATE(2026,2,2),tblDaily[WardCode],"CW")=0,"",SUMIFS(tblDaily[TransfersOut],tblDaily[EntryDate],DATE(2026,2,2),tblDaily[WardCode],"CW")),"")</f>
        <v/>
      </c>
      <c r="H47" s="29">
        <f>IFERROR(IF(SUMIFS(tblDaily[Remaining],tblDaily[EntryDate],DATE(2026,2,2),tblDaily[WardCode],"CW")=0,"",SUMIFS(tblDaily[Remaining],tblDaily[EntryDate],DATE(2026,2,2),tblDaily[WardCode],"CW")),"")</f>
        <v>8</v>
      </c>
    </row>
    <row r="48" spans="1:8" x14ac:dyDescent="0.25">
      <c r="A48" s="29">
        <v>3</v>
      </c>
      <c r="B48" s="29">
        <f>IFERROR(IF(SUMIFS(tblDaily[Admissions],tblDaily[EntryDate],DATE(2026,2,3),tblDaily[WardCode],"CW")=0,"",SUMIFS(tblDaily[Admissions],tblDaily[EntryDate],DATE(2026,2,3),tblDaily[WardCode],"CW")),"")</f>
        <v>7</v>
      </c>
      <c r="C48" s="29">
        <f>IFERROR(IF(SUMIFS(tblDaily[Discharges],tblDaily[EntryDate],DATE(2026,2,3),tblDaily[WardCode],"CW")=0,"",SUMIFS(tblDaily[Discharges],tblDaily[EntryDate],DATE(2026,2,3),tblDaily[WardCode],"CW")),"")</f>
        <v>2</v>
      </c>
      <c r="D48" s="29" t="str">
        <f>IFERROR(IF(SUMIFS(tblDaily[Deaths],tblDaily[EntryDate],DATE(2026,2,3),tblDaily[WardCode],"CW")=0,"",SUMIFS(tblDaily[Deaths],tblDaily[EntryDate],DATE(2026,2,3),tblDaily[WardCode],"CW")),"")</f>
        <v/>
      </c>
      <c r="E48" s="29" t="str">
        <f>IFERROR(IF(SUMIFS(tblDaily[DeathsUnder24Hrs],tblDaily[EntryDate],DATE(2026,2,3),tblDaily[WardCode],"CW")=0,"",SUMIFS(tblDaily[DeathsUnder24Hrs],tblDaily[EntryDate],DATE(2026,2,3),tblDaily[WardCode],"CW")),"")</f>
        <v/>
      </c>
      <c r="F48" s="29">
        <f>IFERROR(IF(SUMIFS(tblDaily[TransfersIn],tblDaily[EntryDate],DATE(2026,2,3),tblDaily[WardCode],"CW")=0,"",SUMIFS(tblDaily[TransfersIn],tblDaily[EntryDate],DATE(2026,2,3),tblDaily[WardCode],"CW")),"")</f>
        <v>1</v>
      </c>
      <c r="G48" s="29" t="str">
        <f>IFERROR(IF(SUMIFS(tblDaily[TransfersOut],tblDaily[EntryDate],DATE(2026,2,3),tblDaily[WardCode],"CW")=0,"",SUMIFS(tblDaily[TransfersOut],tblDaily[EntryDate],DATE(2026,2,3),tblDaily[WardCode],"CW")),"")</f>
        <v/>
      </c>
      <c r="H48" s="29">
        <f>IFERROR(IF(SUMIFS(tblDaily[Remaining],tblDaily[EntryDate],DATE(2026,2,3),tblDaily[WardCode],"CW")=0,"",SUMIFS(tblDaily[Remaining],tblDaily[EntryDate],DATE(2026,2,3),tblDaily[WardCode],"CW")),"")</f>
        <v>14</v>
      </c>
    </row>
    <row r="49" spans="1:8" x14ac:dyDescent="0.25">
      <c r="A49" s="29">
        <v>4</v>
      </c>
      <c r="B49" s="29">
        <f>IFERROR(IF(SUMIFS(tblDaily[Admissions],tblDaily[EntryDate],DATE(2026,2,4),tblDaily[WardCode],"CW")=0,"",SUMIFS(tblDaily[Admissions],tblDaily[EntryDate],DATE(2026,2,4),tblDaily[WardCode],"CW")),"")</f>
        <v>3</v>
      </c>
      <c r="C49" s="29">
        <f>IFERROR(IF(SUMIFS(tblDaily[Discharges],tblDaily[EntryDate],DATE(2026,2,4),tblDaily[WardCode],"CW")=0,"",SUMIFS(tblDaily[Discharges],tblDaily[EntryDate],DATE(2026,2,4),tblDaily[WardCode],"CW")),"")</f>
        <v>6</v>
      </c>
      <c r="D49" s="29" t="str">
        <f>IFERROR(IF(SUMIFS(tblDaily[Deaths],tblDaily[EntryDate],DATE(2026,2,4),tblDaily[WardCode],"CW")=0,"",SUMIFS(tblDaily[Deaths],tblDaily[EntryDate],DATE(2026,2,4),tblDaily[WardCode],"CW")),"")</f>
        <v/>
      </c>
      <c r="E49" s="29" t="str">
        <f>IFERROR(IF(SUMIFS(tblDaily[DeathsUnder24Hrs],tblDaily[EntryDate],DATE(2026,2,4),tblDaily[WardCode],"CW")=0,"",SUMIFS(tblDaily[DeathsUnder24Hrs],tblDaily[EntryDate],DATE(2026,2,4),tblDaily[WardCode],"CW")),"")</f>
        <v/>
      </c>
      <c r="F49" s="29" t="str">
        <f>IFERROR(IF(SUMIFS(tblDaily[TransfersIn],tblDaily[EntryDate],DATE(2026,2,4),tblDaily[WardCode],"CW")=0,"",SUMIFS(tblDaily[TransfersIn],tblDaily[EntryDate],DATE(2026,2,4),tblDaily[WardCode],"CW")),"")</f>
        <v/>
      </c>
      <c r="G49" s="29" t="str">
        <f>IFERROR(IF(SUMIFS(tblDaily[TransfersOut],tblDaily[EntryDate],DATE(2026,2,4),tblDaily[WardCode],"CW")=0,"",SUMIFS(tblDaily[TransfersOut],tblDaily[EntryDate],DATE(2026,2,4),tblDaily[WardCode],"CW")),"")</f>
        <v/>
      </c>
      <c r="H49" s="29">
        <f>IFERROR(IF(SUMIFS(tblDaily[Remaining],tblDaily[EntryDate],DATE(2026,2,4),tblDaily[WardCode],"CW")=0,"",SUMIFS(tblDaily[Remaining],tblDaily[EntryDate],DATE(2026,2,4),tblDaily[WardCode],"CW")),"")</f>
        <v>11</v>
      </c>
    </row>
    <row r="50" spans="1:8" x14ac:dyDescent="0.25">
      <c r="A50" s="29">
        <v>5</v>
      </c>
      <c r="B50" s="29">
        <f>IFERROR(IF(SUMIFS(tblDaily[Admissions],tblDaily[EntryDate],DATE(2026,2,5),tblDaily[WardCode],"CW")=0,"",SUMIFS(tblDaily[Admissions],tblDaily[EntryDate],DATE(2026,2,5),tblDaily[WardCode],"CW")),"")</f>
        <v>2</v>
      </c>
      <c r="C50" s="29">
        <f>IFERROR(IF(SUMIFS(tblDaily[Discharges],tblDaily[EntryDate],DATE(2026,2,5),tblDaily[WardCode],"CW")=0,"",SUMIFS(tblDaily[Discharges],tblDaily[EntryDate],DATE(2026,2,5),tblDaily[WardCode],"CW")),"")</f>
        <v>4</v>
      </c>
      <c r="D50" s="29" t="str">
        <f>IFERROR(IF(SUMIFS(tblDaily[Deaths],tblDaily[EntryDate],DATE(2026,2,5),tblDaily[WardCode],"CW")=0,"",SUMIFS(tblDaily[Deaths],tblDaily[EntryDate],DATE(2026,2,5),tblDaily[WardCode],"CW")),"")</f>
        <v/>
      </c>
      <c r="E50" s="29" t="str">
        <f>IFERROR(IF(SUMIFS(tblDaily[DeathsUnder24Hrs],tblDaily[EntryDate],DATE(2026,2,5),tblDaily[WardCode],"CW")=0,"",SUMIFS(tblDaily[DeathsUnder24Hrs],tblDaily[EntryDate],DATE(2026,2,5),tblDaily[WardCode],"CW")),"")</f>
        <v/>
      </c>
      <c r="F50" s="29" t="str">
        <f>IFERROR(IF(SUMIFS(tblDaily[TransfersIn],tblDaily[EntryDate],DATE(2026,2,5),tblDaily[WardCode],"CW")=0,"",SUMIFS(tblDaily[TransfersIn],tblDaily[EntryDate],DATE(2026,2,5),tblDaily[WardCode],"CW")),"")</f>
        <v/>
      </c>
      <c r="G50" s="29" t="str">
        <f>IFERROR(IF(SUMIFS(tblDaily[TransfersOut],tblDaily[EntryDate],DATE(2026,2,5),tblDaily[WardCode],"CW")=0,"",SUMIFS(tblDaily[TransfersOut],tblDaily[EntryDate],DATE(2026,2,5),tblDaily[WardCode],"CW")),"")</f>
        <v/>
      </c>
      <c r="H50" s="29">
        <f>IFERROR(IF(SUMIFS(tblDaily[Remaining],tblDaily[EntryDate],DATE(2026,2,5),tblDaily[WardCode],"CW")=0,"",SUMIFS(tblDaily[Remaining],tblDaily[EntryDate],DATE(2026,2,5),tblDaily[WardCode],"CW")),"")</f>
        <v>9</v>
      </c>
    </row>
    <row r="51" spans="1:8" x14ac:dyDescent="0.25">
      <c r="A51" s="29">
        <v>6</v>
      </c>
      <c r="B51" s="29">
        <f>IFERROR(IF(SUMIFS(tblDaily[Admissions],tblDaily[EntryDate],DATE(2026,2,6),tblDaily[WardCode],"CW")=0,"",SUMIFS(tblDaily[Admissions],tblDaily[EntryDate],DATE(2026,2,6),tblDaily[WardCode],"CW")),"")</f>
        <v>3</v>
      </c>
      <c r="C51" s="29">
        <f>IFERROR(IF(SUMIFS(tblDaily[Discharges],tblDaily[EntryDate],DATE(2026,2,6),tblDaily[WardCode],"CW")=0,"",SUMIFS(tblDaily[Discharges],tblDaily[EntryDate],DATE(2026,2,6),tblDaily[WardCode],"CW")),"")</f>
        <v>4</v>
      </c>
      <c r="D51" s="29" t="str">
        <f>IFERROR(IF(SUMIFS(tblDaily[Deaths],tblDaily[EntryDate],DATE(2026,2,6),tblDaily[WardCode],"CW")=0,"",SUMIFS(tblDaily[Deaths],tblDaily[EntryDate],DATE(2026,2,6),tblDaily[WardCode],"CW")),"")</f>
        <v/>
      </c>
      <c r="E51" s="29" t="str">
        <f>IFERROR(IF(SUMIFS(tblDaily[DeathsUnder24Hrs],tblDaily[EntryDate],DATE(2026,2,6),tblDaily[WardCode],"CW")=0,"",SUMIFS(tblDaily[DeathsUnder24Hrs],tblDaily[EntryDate],DATE(2026,2,6),tblDaily[WardCode],"CW")),"")</f>
        <v/>
      </c>
      <c r="F51" s="29" t="str">
        <f>IFERROR(IF(SUMIFS(tblDaily[TransfersIn],tblDaily[EntryDate],DATE(2026,2,6),tblDaily[WardCode],"CW")=0,"",SUMIFS(tblDaily[TransfersIn],tblDaily[EntryDate],DATE(2026,2,6),tblDaily[WardCode],"CW")),"")</f>
        <v/>
      </c>
      <c r="G51" s="29" t="str">
        <f>IFERROR(IF(SUMIFS(tblDaily[TransfersOut],tblDaily[EntryDate],DATE(2026,2,6),tblDaily[WardCode],"CW")=0,"",SUMIFS(tblDaily[TransfersOut],tblDaily[EntryDate],DATE(2026,2,6),tblDaily[WardCode],"CW")),"")</f>
        <v/>
      </c>
      <c r="H51" s="29">
        <f>IFERROR(IF(SUMIFS(tblDaily[Remaining],tblDaily[EntryDate],DATE(2026,2,6),tblDaily[WardCode],"CW")=0,"",SUMIFS(tblDaily[Remaining],tblDaily[EntryDate],DATE(2026,2,6),tblDaily[WardCode],"CW")),"")</f>
        <v>8</v>
      </c>
    </row>
    <row r="52" spans="1:8" x14ac:dyDescent="0.25">
      <c r="A52" s="29">
        <v>7</v>
      </c>
      <c r="B52" s="29">
        <f>IFERROR(IF(SUMIFS(tblDaily[Admissions],tblDaily[EntryDate],DATE(2026,2,7),tblDaily[WardCode],"CW")=0,"",SUMIFS(tblDaily[Admissions],tblDaily[EntryDate],DATE(2026,2,7),tblDaily[WardCode],"CW")),"")</f>
        <v>2</v>
      </c>
      <c r="C52" s="29">
        <f>IFERROR(IF(SUMIFS(tblDaily[Discharges],tblDaily[EntryDate],DATE(2026,2,7),tblDaily[WardCode],"CW")=0,"",SUMIFS(tblDaily[Discharges],tblDaily[EntryDate],DATE(2026,2,7),tblDaily[WardCode],"CW")),"")</f>
        <v>4</v>
      </c>
      <c r="D52" s="29" t="str">
        <f>IFERROR(IF(SUMIFS(tblDaily[Deaths],tblDaily[EntryDate],DATE(2026,2,7),tblDaily[WardCode],"CW")=0,"",SUMIFS(tblDaily[Deaths],tblDaily[EntryDate],DATE(2026,2,7),tblDaily[WardCode],"CW")),"")</f>
        <v/>
      </c>
      <c r="E52" s="29" t="str">
        <f>IFERROR(IF(SUMIFS(tblDaily[DeathsUnder24Hrs],tblDaily[EntryDate],DATE(2026,2,7),tblDaily[WardCode],"CW")=0,"",SUMIFS(tblDaily[DeathsUnder24Hrs],tblDaily[EntryDate],DATE(2026,2,7),tblDaily[WardCode],"CW")),"")</f>
        <v/>
      </c>
      <c r="F52" s="29" t="str">
        <f>IFERROR(IF(SUMIFS(tblDaily[TransfersIn],tblDaily[EntryDate],DATE(2026,2,7),tblDaily[WardCode],"CW")=0,"",SUMIFS(tblDaily[TransfersIn],tblDaily[EntryDate],DATE(2026,2,7),tblDaily[WardCode],"CW")),"")</f>
        <v/>
      </c>
      <c r="G52" s="29" t="str">
        <f>IFERROR(IF(SUMIFS(tblDaily[TransfersOut],tblDaily[EntryDate],DATE(2026,2,7),tblDaily[WardCode],"CW")=0,"",SUMIFS(tblDaily[TransfersOut],tblDaily[EntryDate],DATE(2026,2,7),tblDaily[WardCode],"CW")),"")</f>
        <v/>
      </c>
      <c r="H52" s="29">
        <f>IFERROR(IF(SUMIFS(tblDaily[Remaining],tblDaily[EntryDate],DATE(2026,2,7),tblDaily[WardCode],"CW")=0,"",SUMIFS(tblDaily[Remaining],tblDaily[EntryDate],DATE(2026,2,7),tblDaily[WardCode],"CW")),"")</f>
        <v>6</v>
      </c>
    </row>
    <row r="53" spans="1:8" x14ac:dyDescent="0.25">
      <c r="A53" s="29">
        <v>8</v>
      </c>
      <c r="B53" s="29">
        <f>IFERROR(IF(SUMIFS(tblDaily[Admissions],tblDaily[EntryDate],DATE(2026,2,8),tblDaily[WardCode],"CW")=0,"",SUMIFS(tblDaily[Admissions],tblDaily[EntryDate],DATE(2026,2,8),tblDaily[WardCode],"CW")),"")</f>
        <v>1</v>
      </c>
      <c r="C53" s="29">
        <f>IFERROR(IF(SUMIFS(tblDaily[Discharges],tblDaily[EntryDate],DATE(2026,2,8),tblDaily[WardCode],"CW")=0,"",SUMIFS(tblDaily[Discharges],tblDaily[EntryDate],DATE(2026,2,8),tblDaily[WardCode],"CW")),"")</f>
        <v>3</v>
      </c>
      <c r="D53" s="29" t="str">
        <f>IFERROR(IF(SUMIFS(tblDaily[Deaths],tblDaily[EntryDate],DATE(2026,2,8),tblDaily[WardCode],"CW")=0,"",SUMIFS(tblDaily[Deaths],tblDaily[EntryDate],DATE(2026,2,8),tblDaily[WardCode],"CW")),"")</f>
        <v/>
      </c>
      <c r="E53" s="29" t="str">
        <f>IFERROR(IF(SUMIFS(tblDaily[DeathsUnder24Hrs],tblDaily[EntryDate],DATE(2026,2,8),tblDaily[WardCode],"CW")=0,"",SUMIFS(tblDaily[DeathsUnder24Hrs],tblDaily[EntryDate],DATE(2026,2,8),tblDaily[WardCode],"CW")),"")</f>
        <v/>
      </c>
      <c r="F53" s="29" t="str">
        <f>IFERROR(IF(SUMIFS(tblDaily[TransfersIn],tblDaily[EntryDate],DATE(2026,2,8),tblDaily[WardCode],"CW")=0,"",SUMIFS(tblDaily[TransfersIn],tblDaily[EntryDate],DATE(2026,2,8),tblDaily[WardCode],"CW")),"")</f>
        <v/>
      </c>
      <c r="G53" s="29" t="str">
        <f>IFERROR(IF(SUMIFS(tblDaily[TransfersOut],tblDaily[EntryDate],DATE(2026,2,8),tblDaily[WardCode],"CW")=0,"",SUMIFS(tblDaily[TransfersOut],tblDaily[EntryDate],DATE(2026,2,8),tblDaily[WardCode],"CW")),"")</f>
        <v/>
      </c>
      <c r="H53" s="29">
        <f>IFERROR(IF(SUMIFS(tblDaily[Remaining],tblDaily[EntryDate],DATE(2026,2,8),tblDaily[WardCode],"CW")=0,"",SUMIFS(tblDaily[Remaining],tblDaily[EntryDate],DATE(2026,2,8),tblDaily[WardCode],"CW")),"")</f>
        <v>4</v>
      </c>
    </row>
    <row r="54" spans="1:8" x14ac:dyDescent="0.25">
      <c r="A54" s="29">
        <v>9</v>
      </c>
      <c r="B54" s="29">
        <f>IFERROR(IF(SUMIFS(tblDaily[Admissions],tblDaily[EntryDate],DATE(2026,2,9),tblDaily[WardCode],"CW")=0,"",SUMIFS(tblDaily[Admissions],tblDaily[EntryDate],DATE(2026,2,9),tblDaily[WardCode],"CW")),"")</f>
        <v>4</v>
      </c>
      <c r="C54" s="29" t="str">
        <f>IFERROR(IF(SUMIFS(tblDaily[Discharges],tblDaily[EntryDate],DATE(2026,2,9),tblDaily[WardCode],"CW")=0,"",SUMIFS(tblDaily[Discharges],tblDaily[EntryDate],DATE(2026,2,9),tblDaily[WardCode],"CW")),"")</f>
        <v/>
      </c>
      <c r="D54" s="29" t="str">
        <f>IFERROR(IF(SUMIFS(tblDaily[Deaths],tblDaily[EntryDate],DATE(2026,2,9),tblDaily[WardCode],"CW")=0,"",SUMIFS(tblDaily[Deaths],tblDaily[EntryDate],DATE(2026,2,9),tblDaily[WardCode],"CW")),"")</f>
        <v/>
      </c>
      <c r="E54" s="29" t="str">
        <f>IFERROR(IF(SUMIFS(tblDaily[DeathsUnder24Hrs],tblDaily[EntryDate],DATE(2026,2,9),tblDaily[WardCode],"CW")=0,"",SUMIFS(tblDaily[DeathsUnder24Hrs],tblDaily[EntryDate],DATE(2026,2,9),tblDaily[WardCode],"CW")),"")</f>
        <v/>
      </c>
      <c r="F54" s="29" t="str">
        <f>IFERROR(IF(SUMIFS(tblDaily[TransfersIn],tblDaily[EntryDate],DATE(2026,2,9),tblDaily[WardCode],"CW")=0,"",SUMIFS(tblDaily[TransfersIn],tblDaily[EntryDate],DATE(2026,2,9),tblDaily[WardCode],"CW")),"")</f>
        <v/>
      </c>
      <c r="G54" s="29" t="str">
        <f>IFERROR(IF(SUMIFS(tblDaily[TransfersOut],tblDaily[EntryDate],DATE(2026,2,9),tblDaily[WardCode],"CW")=0,"",SUMIFS(tblDaily[TransfersOut],tblDaily[EntryDate],DATE(2026,2,9),tblDaily[WardCode],"CW")),"")</f>
        <v/>
      </c>
      <c r="H54" s="29">
        <f>IFERROR(IF(SUMIFS(tblDaily[Remaining],tblDaily[EntryDate],DATE(2026,2,9),tblDaily[WardCode],"CW")=0,"",SUMIFS(tblDaily[Remaining],tblDaily[EntryDate],DATE(2026,2,9),tblDaily[WardCode],"CW")),"")</f>
        <v>8</v>
      </c>
    </row>
    <row r="55" spans="1:8" x14ac:dyDescent="0.25">
      <c r="A55" s="29">
        <v>10</v>
      </c>
      <c r="B55" s="29">
        <f>IFERROR(IF(SUMIFS(tblDaily[Admissions],tblDaily[EntryDate],DATE(2026,2,10),tblDaily[WardCode],"CW")=0,"",SUMIFS(tblDaily[Admissions],tblDaily[EntryDate],DATE(2026,2,10),tblDaily[WardCode],"CW")),"")</f>
        <v>1</v>
      </c>
      <c r="C55" s="29">
        <f>IFERROR(IF(SUMIFS(tblDaily[Discharges],tblDaily[EntryDate],DATE(2026,2,10),tblDaily[WardCode],"CW")=0,"",SUMIFS(tblDaily[Discharges],tblDaily[EntryDate],DATE(2026,2,10),tblDaily[WardCode],"CW")),"")</f>
        <v>3</v>
      </c>
      <c r="D55" s="29" t="str">
        <f>IFERROR(IF(SUMIFS(tblDaily[Deaths],tblDaily[EntryDate],DATE(2026,2,10),tblDaily[WardCode],"CW")=0,"",SUMIFS(tblDaily[Deaths],tblDaily[EntryDate],DATE(2026,2,10),tblDaily[WardCode],"CW")),"")</f>
        <v/>
      </c>
      <c r="E55" s="29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29" t="str">
        <f>IFERROR(IF(SUMIFS(tblDaily[TransfersIn],tblDaily[EntryDate],DATE(2026,2,10),tblDaily[WardCode],"CW")=0,"",SUMIFS(tblDaily[TransfersIn],tblDaily[EntryDate],DATE(2026,2,10),tblDaily[WardCode],"CW")),"")</f>
        <v/>
      </c>
      <c r="G55" s="29" t="str">
        <f>IFERROR(IF(SUMIFS(tblDaily[TransfersOut],tblDaily[EntryDate],DATE(2026,2,10),tblDaily[WardCode],"CW")=0,"",SUMIFS(tblDaily[TransfersOut],tblDaily[EntryDate],DATE(2026,2,10),tblDaily[WardCode],"CW")),"")</f>
        <v/>
      </c>
      <c r="H55" s="29">
        <f>IFERROR(IF(SUMIFS(tblDaily[Remaining],tblDaily[EntryDate],DATE(2026,2,10),tblDaily[WardCode],"CW")=0,"",SUMIFS(tblDaily[Remaining],tblDaily[EntryDate],DATE(2026,2,10),tblDaily[WardCode],"CW")),"")</f>
        <v>6</v>
      </c>
    </row>
    <row r="56" spans="1:8" x14ac:dyDescent="0.25">
      <c r="A56" s="29">
        <v>11</v>
      </c>
      <c r="B56" s="29">
        <f>IFERROR(IF(SUMIFS(tblDaily[Admissions],tblDaily[EntryDate],DATE(2026,2,11),tblDaily[WardCode],"CW")=0,"",SUMIFS(tblDaily[Admissions],tblDaily[EntryDate],DATE(2026,2,11),tblDaily[WardCode],"CW")),"")</f>
        <v>2</v>
      </c>
      <c r="C56" s="29" t="str">
        <f>IFERROR(IF(SUMIFS(tblDaily[Discharges],tblDaily[EntryDate],DATE(2026,2,11),tblDaily[WardCode],"CW")=0,"",SUMIFS(tblDaily[Discharges],tblDaily[EntryDate],DATE(2026,2,11),tblDaily[WardCode],"CW")),"")</f>
        <v/>
      </c>
      <c r="D56" s="29" t="str">
        <f>IFERROR(IF(SUMIFS(tblDaily[Deaths],tblDaily[EntryDate],DATE(2026,2,11),tblDaily[WardCode],"CW")=0,"",SUMIFS(tblDaily[Deaths],tblDaily[EntryDate],DATE(2026,2,11),tblDaily[WardCode],"CW")),"")</f>
        <v/>
      </c>
      <c r="E56" s="29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29" t="str">
        <f>IFERROR(IF(SUMIFS(tblDaily[TransfersIn],tblDaily[EntryDate],DATE(2026,2,11),tblDaily[WardCode],"CW")=0,"",SUMIFS(tblDaily[TransfersIn],tblDaily[EntryDate],DATE(2026,2,11),tblDaily[WardCode],"CW")),"")</f>
        <v/>
      </c>
      <c r="G56" s="29" t="str">
        <f>IFERROR(IF(SUMIFS(tblDaily[TransfersOut],tblDaily[EntryDate],DATE(2026,2,11),tblDaily[WardCode],"CW")=0,"",SUMIFS(tblDaily[TransfersOut],tblDaily[EntryDate],DATE(2026,2,11),tblDaily[WardCode],"CW")),"")</f>
        <v/>
      </c>
      <c r="H56" s="29">
        <f>IFERROR(IF(SUMIFS(tblDaily[Remaining],tblDaily[EntryDate],DATE(2026,2,11),tblDaily[WardCode],"CW")=0,"",SUMIFS(tblDaily[Remaining],tblDaily[EntryDate],DATE(2026,2,11),tblDaily[WardCode],"CW")),"")</f>
        <v>8</v>
      </c>
    </row>
    <row r="57" spans="1:8" x14ac:dyDescent="0.25">
      <c r="A57" s="29">
        <v>12</v>
      </c>
      <c r="B57" s="29">
        <f>IFERROR(IF(SUMIFS(tblDaily[Admissions],tblDaily[EntryDate],DATE(2026,2,12),tblDaily[WardCode],"CW")=0,"",SUMIFS(tblDaily[Admissions],tblDaily[EntryDate],DATE(2026,2,12),tblDaily[WardCode],"CW")),"")</f>
        <v>1</v>
      </c>
      <c r="C57" s="29">
        <f>IFERROR(IF(SUMIFS(tblDaily[Discharges],tblDaily[EntryDate],DATE(2026,2,12),tblDaily[WardCode],"CW")=0,"",SUMIFS(tblDaily[Discharges],tblDaily[EntryDate],DATE(2026,2,12),tblDaily[WardCode],"CW")),"")</f>
        <v>2</v>
      </c>
      <c r="D57" s="29" t="str">
        <f>IFERROR(IF(SUMIFS(tblDaily[Deaths],tblDaily[EntryDate],DATE(2026,2,12),tblDaily[WardCode],"CW")=0,"",SUMIFS(tblDaily[Deaths],tblDaily[EntryDate],DATE(2026,2,12),tblDaily[WardCode],"CW")),"")</f>
        <v/>
      </c>
      <c r="E57" s="29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29" t="str">
        <f>IFERROR(IF(SUMIFS(tblDaily[TransfersIn],tblDaily[EntryDate],DATE(2026,2,12),tblDaily[WardCode],"CW")=0,"",SUMIFS(tblDaily[TransfersIn],tblDaily[EntryDate],DATE(2026,2,12),tblDaily[WardCode],"CW")),"")</f>
        <v/>
      </c>
      <c r="G57" s="29" t="str">
        <f>IFERROR(IF(SUMIFS(tblDaily[TransfersOut],tblDaily[EntryDate],DATE(2026,2,12),tblDaily[WardCode],"CW")=0,"",SUMIFS(tblDaily[TransfersOut],tblDaily[EntryDate],DATE(2026,2,12),tblDaily[WardCode],"CW")),"")</f>
        <v/>
      </c>
      <c r="H57" s="29">
        <f>IFERROR(IF(SUMIFS(tblDaily[Remaining],tblDaily[EntryDate],DATE(2026,2,12),tblDaily[WardCode],"CW")=0,"",SUMIFS(tblDaily[Remaining],tblDaily[EntryDate],DATE(2026,2,12),tblDaily[WardCode],"CW")),"")</f>
        <v>7</v>
      </c>
    </row>
    <row r="58" spans="1:8" x14ac:dyDescent="0.25">
      <c r="A58" s="29">
        <v>13</v>
      </c>
      <c r="B58" s="29">
        <f>IFERROR(IF(SUMIFS(tblDaily[Admissions],tblDaily[EntryDate],DATE(2026,2,13),tblDaily[WardCode],"CW")=0,"",SUMIFS(tblDaily[Admissions],tblDaily[EntryDate],DATE(2026,2,13),tblDaily[WardCode],"CW")),"")</f>
        <v>4</v>
      </c>
      <c r="C58" s="29">
        <f>IFERROR(IF(SUMIFS(tblDaily[Discharges],tblDaily[EntryDate],DATE(2026,2,13),tblDaily[WardCode],"CW")=0,"",SUMIFS(tblDaily[Discharges],tblDaily[EntryDate],DATE(2026,2,13),tblDaily[WardCode],"CW")),"")</f>
        <v>3</v>
      </c>
      <c r="D58" s="29" t="str">
        <f>IFERROR(IF(SUMIFS(tblDaily[Deaths],tblDaily[EntryDate],DATE(2026,2,13),tblDaily[WardCode],"CW")=0,"",SUMIFS(tblDaily[Deaths],tblDaily[EntryDate],DATE(2026,2,13),tblDaily[WardCode],"CW")),"")</f>
        <v/>
      </c>
      <c r="E58" s="29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29" t="str">
        <f>IFERROR(IF(SUMIFS(tblDaily[TransfersIn],tblDaily[EntryDate],DATE(2026,2,13),tblDaily[WardCode],"CW")=0,"",SUMIFS(tblDaily[TransfersIn],tblDaily[EntryDate],DATE(2026,2,13),tblDaily[WardCode],"CW")),"")</f>
        <v/>
      </c>
      <c r="G58" s="29" t="str">
        <f>IFERROR(IF(SUMIFS(tblDaily[TransfersOut],tblDaily[EntryDate],DATE(2026,2,13),tblDaily[WardCode],"CW")=0,"",SUMIFS(tblDaily[TransfersOut],tblDaily[EntryDate],DATE(2026,2,13),tblDaily[WardCode],"CW")),"")</f>
        <v/>
      </c>
      <c r="H58" s="29">
        <f>IFERROR(IF(SUMIFS(tblDaily[Remaining],tblDaily[EntryDate],DATE(2026,2,13),tblDaily[WardCode],"CW")=0,"",SUMIFS(tblDaily[Remaining],tblDaily[EntryDate],DATE(2026,2,13),tblDaily[WardCode],"CW")),"")</f>
        <v>8</v>
      </c>
    </row>
    <row r="59" spans="1:8" x14ac:dyDescent="0.25">
      <c r="A59" s="29">
        <v>14</v>
      </c>
      <c r="B59" s="29">
        <f>IFERROR(IF(SUMIFS(tblDaily[Admissions],tblDaily[EntryDate],DATE(2026,2,14),tblDaily[WardCode],"CW")=0,"",SUMIFS(tblDaily[Admissions],tblDaily[EntryDate],DATE(2026,2,14),tblDaily[WardCode],"CW")),"")</f>
        <v>1</v>
      </c>
      <c r="C59" s="29">
        <f>IFERROR(IF(SUMIFS(tblDaily[Discharges],tblDaily[EntryDate],DATE(2026,2,14),tblDaily[WardCode],"CW")=0,"",SUMIFS(tblDaily[Discharges],tblDaily[EntryDate],DATE(2026,2,14),tblDaily[WardCode],"CW")),"")</f>
        <v>2</v>
      </c>
      <c r="D59" s="29" t="str">
        <f>IFERROR(IF(SUMIFS(tblDaily[Deaths],tblDaily[EntryDate],DATE(2026,2,14),tblDaily[WardCode],"CW")=0,"",SUMIFS(tblDaily[Deaths],tblDaily[EntryDate],DATE(2026,2,14),tblDaily[WardCode],"CW")),"")</f>
        <v/>
      </c>
      <c r="E59" s="29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29">
        <f>IFERROR(IF(SUMIFS(tblDaily[TransfersIn],tblDaily[EntryDate],DATE(2026,2,14),tblDaily[WardCode],"CW")=0,"",SUMIFS(tblDaily[TransfersIn],tblDaily[EntryDate],DATE(2026,2,14),tblDaily[WardCode],"CW")),"")</f>
        <v>1</v>
      </c>
      <c r="G59" s="29" t="str">
        <f>IFERROR(IF(SUMIFS(tblDaily[TransfersOut],tblDaily[EntryDate],DATE(2026,2,14),tblDaily[WardCode],"CW")=0,"",SUMIFS(tblDaily[TransfersOut],tblDaily[EntryDate],DATE(2026,2,14),tblDaily[WardCode],"CW")),"")</f>
        <v/>
      </c>
      <c r="H59" s="29">
        <f>IFERROR(IF(SUMIFS(tblDaily[Remaining],tblDaily[EntryDate],DATE(2026,2,14),tblDaily[WardCode],"CW")=0,"",SUMIFS(tblDaily[Remaining],tblDaily[EntryDate],DATE(2026,2,14),tblDaily[WardCode],"CW")),"")</f>
        <v>8</v>
      </c>
    </row>
    <row r="60" spans="1:8" x14ac:dyDescent="0.25">
      <c r="A60" s="29">
        <v>15</v>
      </c>
      <c r="B60" s="29">
        <f>IFERROR(IF(SUMIFS(tblDaily[Admissions],tblDaily[EntryDate],DATE(2026,2,15),tblDaily[WardCode],"CW")=0,"",SUMIFS(tblDaily[Admissions],tblDaily[EntryDate],DATE(2026,2,15),tblDaily[WardCode],"CW")),"")</f>
        <v>5</v>
      </c>
      <c r="C60" s="29">
        <f>IFERROR(IF(SUMIFS(tblDaily[Discharges],tblDaily[EntryDate],DATE(2026,2,15),tblDaily[WardCode],"CW")=0,"",SUMIFS(tblDaily[Discharges],tblDaily[EntryDate],DATE(2026,2,15),tblDaily[WardCode],"CW")),"")</f>
        <v>4</v>
      </c>
      <c r="D60" s="29" t="str">
        <f>IFERROR(IF(SUMIFS(tblDaily[Deaths],tblDaily[EntryDate],DATE(2026,2,15),tblDaily[WardCode],"CW")=0,"",SUMIFS(tblDaily[Deaths],tblDaily[EntryDate],DATE(2026,2,15),tblDaily[WardCode],"CW")),"")</f>
        <v/>
      </c>
      <c r="E60" s="29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29">
        <f>IFERROR(IF(SUMIFS(tblDaily[TransfersIn],tblDaily[EntryDate],DATE(2026,2,15),tblDaily[WardCode],"CW")=0,"",SUMIFS(tblDaily[TransfersIn],tblDaily[EntryDate],DATE(2026,2,15),tblDaily[WardCode],"CW")),"")</f>
        <v>1</v>
      </c>
      <c r="G60" s="29" t="str">
        <f>IFERROR(IF(SUMIFS(tblDaily[TransfersOut],tblDaily[EntryDate],DATE(2026,2,15),tblDaily[WardCode],"CW")=0,"",SUMIFS(tblDaily[TransfersOut],tblDaily[EntryDate],DATE(2026,2,15),tblDaily[WardCode],"CW")),"")</f>
        <v/>
      </c>
      <c r="H60" s="29">
        <f>IFERROR(IF(SUMIFS(tblDaily[Remaining],tblDaily[EntryDate],DATE(2026,2,15),tblDaily[WardCode],"CW")=0,"",SUMIFS(tblDaily[Remaining],tblDaily[EntryDate],DATE(2026,2,15),tblDaily[WardCode],"CW")),"")</f>
        <v>10</v>
      </c>
    </row>
    <row r="61" spans="1:8" x14ac:dyDescent="0.25">
      <c r="A61" s="29">
        <v>16</v>
      </c>
      <c r="B61" s="29">
        <f>IFERROR(IF(SUMIFS(tblDaily[Admissions],tblDaily[EntryDate],DATE(2026,2,16),tblDaily[WardCode],"CW")=0,"",SUMIFS(tblDaily[Admissions],tblDaily[EntryDate],DATE(2026,2,16),tblDaily[WardCode],"CW")),"")</f>
        <v>3</v>
      </c>
      <c r="C61" s="29">
        <f>IFERROR(IF(SUMIFS(tblDaily[Discharges],tblDaily[EntryDate],DATE(2026,2,16),tblDaily[WardCode],"CW")=0,"",SUMIFS(tblDaily[Discharges],tblDaily[EntryDate],DATE(2026,2,16),tblDaily[WardCode],"CW")),"")</f>
        <v>3</v>
      </c>
      <c r="D61" s="29" t="str">
        <f>IFERROR(IF(SUMIFS(tblDaily[Deaths],tblDaily[EntryDate],DATE(2026,2,16),tblDaily[WardCode],"CW")=0,"",SUMIFS(tblDaily[Deaths],tblDaily[EntryDate],DATE(2026,2,16),tblDaily[WardCode],"CW")),"")</f>
        <v/>
      </c>
      <c r="E61" s="29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29" t="str">
        <f>IFERROR(IF(SUMIFS(tblDaily[TransfersIn],tblDaily[EntryDate],DATE(2026,2,16),tblDaily[WardCode],"CW")=0,"",SUMIFS(tblDaily[TransfersIn],tblDaily[EntryDate],DATE(2026,2,16),tblDaily[WardCode],"CW")),"")</f>
        <v/>
      </c>
      <c r="G61" s="29" t="str">
        <f>IFERROR(IF(SUMIFS(tblDaily[TransfersOut],tblDaily[EntryDate],DATE(2026,2,16),tblDaily[WardCode],"CW")=0,"",SUMIFS(tblDaily[TransfersOut],tblDaily[EntryDate],DATE(2026,2,16),tblDaily[WardCode],"CW")),"")</f>
        <v/>
      </c>
      <c r="H61" s="29">
        <f>IFERROR(IF(SUMIFS(tblDaily[Remaining],tblDaily[EntryDate],DATE(2026,2,16),tblDaily[WardCode],"CW")=0,"",SUMIFS(tblDaily[Remaining],tblDaily[EntryDate],DATE(2026,2,16),tblDaily[WardCode],"CW")),"")</f>
        <v>10</v>
      </c>
    </row>
    <row r="62" spans="1:8" x14ac:dyDescent="0.25">
      <c r="A62" s="29">
        <v>17</v>
      </c>
      <c r="B62" s="29">
        <f>IFERROR(IF(SUMIFS(tblDaily[Admissions],tblDaily[EntryDate],DATE(2026,2,17),tblDaily[WardCode],"CW")=0,"",SUMIFS(tblDaily[Admissions],tblDaily[EntryDate],DATE(2026,2,17),tblDaily[WardCode],"CW")),"")</f>
        <v>4</v>
      </c>
      <c r="C62" s="29">
        <f>IFERROR(IF(SUMIFS(tblDaily[Discharges],tblDaily[EntryDate],DATE(2026,2,17),tblDaily[WardCode],"CW")=0,"",SUMIFS(tblDaily[Discharges],tblDaily[EntryDate],DATE(2026,2,17),tblDaily[WardCode],"CW")),"")</f>
        <v>4</v>
      </c>
      <c r="D62" s="29" t="str">
        <f>IFERROR(IF(SUMIFS(tblDaily[Deaths],tblDaily[EntryDate],DATE(2026,2,17),tblDaily[WardCode],"CW")=0,"",SUMIFS(tblDaily[Deaths],tblDaily[EntryDate],DATE(2026,2,17),tblDaily[WardCode],"CW")),"")</f>
        <v/>
      </c>
      <c r="E62" s="29">
        <f>IFERROR(IF(SUMIFS(tblDaily[DeathsUnder24Hrs],tblDaily[EntryDate],DATE(2026,2,17),tblDaily[WardCode],"CW")=0,"",SUMIFS(tblDaily[DeathsUnder24Hrs],tblDaily[EntryDate],DATE(2026,2,17),tblDaily[WardCode],"CW")),"")</f>
        <v>1</v>
      </c>
      <c r="F62" s="29" t="str">
        <f>IFERROR(IF(SUMIFS(tblDaily[TransfersIn],tblDaily[EntryDate],DATE(2026,2,17),tblDaily[WardCode],"CW")=0,"",SUMIFS(tblDaily[TransfersIn],tblDaily[EntryDate],DATE(2026,2,17),tblDaily[WardCode],"CW")),"")</f>
        <v/>
      </c>
      <c r="G62" s="29" t="str">
        <f>IFERROR(IF(SUMIFS(tblDaily[TransfersOut],tblDaily[EntryDate],DATE(2026,2,17),tblDaily[WardCode],"CW")=0,"",SUMIFS(tblDaily[TransfersOut],tblDaily[EntryDate],DATE(2026,2,17),tblDaily[WardCode],"CW")),"")</f>
        <v/>
      </c>
      <c r="H62" s="29">
        <f>IFERROR(IF(SUMIFS(tblDaily[Remaining],tblDaily[EntryDate],DATE(2026,2,17),tblDaily[WardCode],"CW")=0,"",SUMIFS(tblDaily[Remaining],tblDaily[EntryDate],DATE(2026,2,17),tblDaily[WardCode],"CW")),"")</f>
        <v>9</v>
      </c>
    </row>
    <row r="63" spans="1:8" x14ac:dyDescent="0.25">
      <c r="A63" s="29">
        <v>18</v>
      </c>
      <c r="B63" s="29" t="str">
        <f>IFERROR(IF(SUMIFS(tblDaily[Admissions],tblDaily[EntryDate],DATE(2026,2,18),tblDaily[WardCode],"CW")=0,"",SUMIFS(tblDaily[Admissions],tblDaily[EntryDate],DATE(2026,2,18),tblDaily[WardCode],"CW")),"")</f>
        <v/>
      </c>
      <c r="C63" s="29">
        <f>IFERROR(IF(SUMIFS(tblDaily[Discharges],tblDaily[EntryDate],DATE(2026,2,18),tblDaily[WardCode],"CW")=0,"",SUMIFS(tblDaily[Discharges],tblDaily[EntryDate],DATE(2026,2,18),tblDaily[WardCode],"CW")),"")</f>
        <v>3</v>
      </c>
      <c r="D63" s="29" t="str">
        <f>IFERROR(IF(SUMIFS(tblDaily[Deaths],tblDaily[EntryDate],DATE(2026,2,18),tblDaily[WardCode],"CW")=0,"",SUMIFS(tblDaily[Deaths],tblDaily[EntryDate],DATE(2026,2,18),tblDaily[WardCode],"CW")),"")</f>
        <v/>
      </c>
      <c r="E63" s="29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29">
        <f>IFERROR(IF(SUMIFS(tblDaily[TransfersIn],tblDaily[EntryDate],DATE(2026,2,18),tblDaily[WardCode],"CW")=0,"",SUMIFS(tblDaily[TransfersIn],tblDaily[EntryDate],DATE(2026,2,18),tblDaily[WardCode],"CW")),"")</f>
        <v>1</v>
      </c>
      <c r="G63" s="29" t="str">
        <f>IFERROR(IF(SUMIFS(tblDaily[TransfersOut],tblDaily[EntryDate],DATE(2026,2,18),tblDaily[WardCode],"CW")=0,"",SUMIFS(tblDaily[TransfersOut],tblDaily[EntryDate],DATE(2026,2,18),tblDaily[WardCode],"CW")),"")</f>
        <v/>
      </c>
      <c r="H63" s="29">
        <f>IFERROR(IF(SUMIFS(tblDaily[Remaining],tblDaily[EntryDate],DATE(2026,2,18),tblDaily[WardCode],"CW")=0,"",SUMIFS(tblDaily[Remaining],tblDaily[EntryDate],DATE(2026,2,18),tblDaily[WardCode],"CW")),"")</f>
        <v>7</v>
      </c>
    </row>
    <row r="64" spans="1:8" x14ac:dyDescent="0.25">
      <c r="A64" s="29">
        <v>19</v>
      </c>
      <c r="B64" s="29">
        <f>IFERROR(IF(SUMIFS(tblDaily[Admissions],tblDaily[EntryDate],DATE(2026,2,19),tblDaily[WardCode],"CW")=0,"",SUMIFS(tblDaily[Admissions],tblDaily[EntryDate],DATE(2026,2,19),tblDaily[WardCode],"CW")),"")</f>
        <v>7</v>
      </c>
      <c r="C64" s="29">
        <f>IFERROR(IF(SUMIFS(tblDaily[Discharges],tblDaily[EntryDate],DATE(2026,2,19),tblDaily[WardCode],"CW")=0,"",SUMIFS(tblDaily[Discharges],tblDaily[EntryDate],DATE(2026,2,19),tblDaily[WardCode],"CW")),"")</f>
        <v>3</v>
      </c>
      <c r="D64" s="29" t="str">
        <f>IFERROR(IF(SUMIFS(tblDaily[Deaths],tblDaily[EntryDate],DATE(2026,2,19),tblDaily[WardCode],"CW")=0,"",SUMIFS(tblDaily[Deaths],tblDaily[EntryDate],DATE(2026,2,19),tblDaily[WardCode],"CW")),"")</f>
        <v/>
      </c>
      <c r="E64" s="29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29" t="str">
        <f>IFERROR(IF(SUMIFS(tblDaily[TransfersIn],tblDaily[EntryDate],DATE(2026,2,19),tblDaily[WardCode],"CW")=0,"",SUMIFS(tblDaily[TransfersIn],tblDaily[EntryDate],DATE(2026,2,19),tblDaily[WardCode],"CW")),"")</f>
        <v/>
      </c>
      <c r="G64" s="29" t="str">
        <f>IFERROR(IF(SUMIFS(tblDaily[TransfersOut],tblDaily[EntryDate],DATE(2026,2,19),tblDaily[WardCode],"CW")=0,"",SUMIFS(tblDaily[TransfersOut],tblDaily[EntryDate],DATE(2026,2,19),tblDaily[WardCode],"CW")),"")</f>
        <v/>
      </c>
      <c r="H64" s="29">
        <f>IFERROR(IF(SUMIFS(tblDaily[Remaining],tblDaily[EntryDate],DATE(2026,2,19),tblDaily[WardCode],"CW")=0,"",SUMIFS(tblDaily[Remaining],tblDaily[EntryDate],DATE(2026,2,19),tblDaily[WardCode],"CW")),"")</f>
        <v>11</v>
      </c>
    </row>
    <row r="65" spans="1:8" x14ac:dyDescent="0.25">
      <c r="A65" s="29">
        <v>20</v>
      </c>
      <c r="B65" s="29">
        <f>IFERROR(IF(SUMIFS(tblDaily[Admissions],tblDaily[EntryDate],DATE(2026,2,20),tblDaily[WardCode],"CW")=0,"",SUMIFS(tblDaily[Admissions],tblDaily[EntryDate],DATE(2026,2,20),tblDaily[WardCode],"CW")),"")</f>
        <v>3</v>
      </c>
      <c r="C65" s="29">
        <f>IFERROR(IF(SUMIFS(tblDaily[Discharges],tblDaily[EntryDate],DATE(2026,2,20),tblDaily[WardCode],"CW")=0,"",SUMIFS(tblDaily[Discharges],tblDaily[EntryDate],DATE(2026,2,20),tblDaily[WardCode],"CW")),"")</f>
        <v>3</v>
      </c>
      <c r="D65" s="29" t="str">
        <f>IFERROR(IF(SUMIFS(tblDaily[Deaths],tblDaily[EntryDate],DATE(2026,2,20),tblDaily[WardCode],"CW")=0,"",SUMIFS(tblDaily[Deaths],tblDaily[EntryDate],DATE(2026,2,20),tblDaily[WardCode],"CW")),"")</f>
        <v/>
      </c>
      <c r="E65" s="29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29" t="str">
        <f>IFERROR(IF(SUMIFS(tblDaily[TransfersIn],tblDaily[EntryDate],DATE(2026,2,20),tblDaily[WardCode],"CW")=0,"",SUMIFS(tblDaily[TransfersIn],tblDaily[EntryDate],DATE(2026,2,20),tblDaily[WardCode],"CW")),"")</f>
        <v/>
      </c>
      <c r="G65" s="29" t="str">
        <f>IFERROR(IF(SUMIFS(tblDaily[TransfersOut],tblDaily[EntryDate],DATE(2026,2,20),tblDaily[WardCode],"CW")=0,"",SUMIFS(tblDaily[TransfersOut],tblDaily[EntryDate],DATE(2026,2,20),tblDaily[WardCode],"CW")),"")</f>
        <v/>
      </c>
      <c r="H65" s="29">
        <f>IFERROR(IF(SUMIFS(tblDaily[Remaining],tblDaily[EntryDate],DATE(2026,2,20),tblDaily[WardCode],"CW")=0,"",SUMIFS(tblDaily[Remaining],tblDaily[EntryDate],DATE(2026,2,20),tblDaily[WardCode],"CW")),"")</f>
        <v>11</v>
      </c>
    </row>
    <row r="66" spans="1:8" x14ac:dyDescent="0.25">
      <c r="A66" s="29">
        <v>21</v>
      </c>
      <c r="B66" s="29">
        <f>IFERROR(IF(SUMIFS(tblDaily[Admissions],tblDaily[EntryDate],DATE(2026,2,21),tblDaily[WardCode],"CW")=0,"",SUMIFS(tblDaily[Admissions],tblDaily[EntryDate],DATE(2026,2,21),tblDaily[WardCode],"CW")),"")</f>
        <v>2</v>
      </c>
      <c r="C66" s="29">
        <f>IFERROR(IF(SUMIFS(tblDaily[Discharges],tblDaily[EntryDate],DATE(2026,2,21),tblDaily[WardCode],"CW")=0,"",SUMIFS(tblDaily[Discharges],tblDaily[EntryDate],DATE(2026,2,21),tblDaily[WardCode],"CW")),"")</f>
        <v>4</v>
      </c>
      <c r="D66" s="29" t="str">
        <f>IFERROR(IF(SUMIFS(tblDaily[Deaths],tblDaily[EntryDate],DATE(2026,2,21),tblDaily[WardCode],"CW")=0,"",SUMIFS(tblDaily[Deaths],tblDaily[EntryDate],DATE(2026,2,21),tblDaily[WardCode],"CW")),"")</f>
        <v/>
      </c>
      <c r="E66" s="29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29" t="str">
        <f>IFERROR(IF(SUMIFS(tblDaily[TransfersIn],tblDaily[EntryDate],DATE(2026,2,21),tblDaily[WardCode],"CW")=0,"",SUMIFS(tblDaily[TransfersIn],tblDaily[EntryDate],DATE(2026,2,21),tblDaily[WardCode],"CW")),"")</f>
        <v/>
      </c>
      <c r="G66" s="29" t="str">
        <f>IFERROR(IF(SUMIFS(tblDaily[TransfersOut],tblDaily[EntryDate],DATE(2026,2,21),tblDaily[WardCode],"CW")=0,"",SUMIFS(tblDaily[TransfersOut],tblDaily[EntryDate],DATE(2026,2,21),tblDaily[WardCode],"CW")),"")</f>
        <v/>
      </c>
      <c r="H66" s="29">
        <f>IFERROR(IF(SUMIFS(tblDaily[Remaining],tblDaily[EntryDate],DATE(2026,2,21),tblDaily[WardCode],"CW")=0,"",SUMIFS(tblDaily[Remaining],tblDaily[EntryDate],DATE(2026,2,21),tblDaily[WardCode],"CW")),"")</f>
        <v>9</v>
      </c>
    </row>
    <row r="67" spans="1:8" x14ac:dyDescent="0.25">
      <c r="A67" s="29">
        <v>22</v>
      </c>
      <c r="B67" s="29">
        <f>IFERROR(IF(SUMIFS(tblDaily[Admissions],tblDaily[EntryDate],DATE(2026,2,22),tblDaily[WardCode],"CW")=0,"",SUMIFS(tblDaily[Admissions],tblDaily[EntryDate],DATE(2026,2,22),tblDaily[WardCode],"CW")),"")</f>
        <v>4</v>
      </c>
      <c r="C67" s="29">
        <f>IFERROR(IF(SUMIFS(tblDaily[Discharges],tblDaily[EntryDate],DATE(2026,2,22),tblDaily[WardCode],"CW")=0,"",SUMIFS(tblDaily[Discharges],tblDaily[EntryDate],DATE(2026,2,22),tblDaily[WardCode],"CW")),"")</f>
        <v>2</v>
      </c>
      <c r="D67" s="29" t="str">
        <f>IFERROR(IF(SUMIFS(tblDaily[Deaths],tblDaily[EntryDate],DATE(2026,2,22),tblDaily[WardCode],"CW")=0,"",SUMIFS(tblDaily[Deaths],tblDaily[EntryDate],DATE(2026,2,22),tblDaily[WardCode],"CW")),"")</f>
        <v/>
      </c>
      <c r="E67" s="29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29" t="str">
        <f>IFERROR(IF(SUMIFS(tblDaily[TransfersIn],tblDaily[EntryDate],DATE(2026,2,22),tblDaily[WardCode],"CW")=0,"",SUMIFS(tblDaily[TransfersIn],tblDaily[EntryDate],DATE(2026,2,22),tblDaily[WardCode],"CW")),"")</f>
        <v/>
      </c>
      <c r="G67" s="29" t="str">
        <f>IFERROR(IF(SUMIFS(tblDaily[TransfersOut],tblDaily[EntryDate],DATE(2026,2,22),tblDaily[WardCode],"CW")=0,"",SUMIFS(tblDaily[TransfersOut],tblDaily[EntryDate],DATE(2026,2,22),tblDaily[WardCode],"CW")),"")</f>
        <v/>
      </c>
      <c r="H67" s="29">
        <f>IFERROR(IF(SUMIFS(tblDaily[Remaining],tblDaily[EntryDate],DATE(2026,2,22),tblDaily[WardCode],"CW")=0,"",SUMIFS(tblDaily[Remaining],tblDaily[EntryDate],DATE(2026,2,22),tblDaily[WardCode],"CW")),"")</f>
        <v>11</v>
      </c>
    </row>
    <row r="68" spans="1:8" x14ac:dyDescent="0.25">
      <c r="A68" s="29">
        <v>23</v>
      </c>
      <c r="B68" s="29">
        <f>IFERROR(IF(SUMIFS(tblDaily[Admissions],tblDaily[EntryDate],DATE(2026,2,23),tblDaily[WardCode],"CW")=0,"",SUMIFS(tblDaily[Admissions],tblDaily[EntryDate],DATE(2026,2,23),tblDaily[WardCode],"CW")),"")</f>
        <v>1</v>
      </c>
      <c r="C68" s="29">
        <f>IFERROR(IF(SUMIFS(tblDaily[Discharges],tblDaily[EntryDate],DATE(2026,2,23),tblDaily[WardCode],"CW")=0,"",SUMIFS(tblDaily[Discharges],tblDaily[EntryDate],DATE(2026,2,23),tblDaily[WardCode],"CW")),"")</f>
        <v>8</v>
      </c>
      <c r="D68" s="29" t="str">
        <f>IFERROR(IF(SUMIFS(tblDaily[Deaths],tblDaily[EntryDate],DATE(2026,2,23),tblDaily[WardCode],"CW")=0,"",SUMIFS(tblDaily[Deaths],tblDaily[EntryDate],DATE(2026,2,23),tblDaily[WardCode],"CW")),"")</f>
        <v/>
      </c>
      <c r="E68" s="29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29" t="str">
        <f>IFERROR(IF(SUMIFS(tblDaily[TransfersIn],tblDaily[EntryDate],DATE(2026,2,23),tblDaily[WardCode],"CW")=0,"",SUMIFS(tblDaily[TransfersIn],tblDaily[EntryDate],DATE(2026,2,23),tblDaily[WardCode],"CW")),"")</f>
        <v/>
      </c>
      <c r="G68" s="29" t="str">
        <f>IFERROR(IF(SUMIFS(tblDaily[TransfersOut],tblDaily[EntryDate],DATE(2026,2,23),tblDaily[WardCode],"CW")=0,"",SUMIFS(tblDaily[TransfersOut],tblDaily[EntryDate],DATE(2026,2,23),tblDaily[WardCode],"CW")),"")</f>
        <v/>
      </c>
      <c r="H68" s="29">
        <f>IFERROR(IF(SUMIFS(tblDaily[Remaining],tblDaily[EntryDate],DATE(2026,2,23),tblDaily[WardCode],"CW")=0,"",SUMIFS(tblDaily[Remaining],tblDaily[EntryDate],DATE(2026,2,23),tblDaily[WardCode],"CW")),"")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IFERROR(IF(SUMIFS(tblDaily[Admissions],tblDaily[EntryDate],DATE(2026,2,24),tblDaily[WardCode],"CW")=0,"",SUMIFS(tblDaily[Admissions],tblDaily[EntryDate],DATE(2026,2,24),tblDaily[WardCode],"CW")),"")</f>
        <v>6</v>
      </c>
      <c r="C69" s="29">
        <f>IFERROR(IF(SUMIFS(tblDaily[Discharges],tblDaily[EntryDate],DATE(2026,2,24),tblDaily[WardCode],"CW")=0,"",SUMIFS(tblDaily[Discharges],tblDaily[EntryDate],DATE(2026,2,24),tblDaily[WardCode],"CW")),"")</f>
        <v>1</v>
      </c>
      <c r="D69" s="29" t="str">
        <f>IFERROR(IF(SUMIFS(tblDaily[Deaths],tblDaily[EntryDate],DATE(2026,2,24),tblDaily[WardCode],"CW")=0,"",SUMIFS(tblDaily[Deaths],tblDaily[EntryDate],DATE(2026,2,24),tblDaily[WardCode],"CW")),"")</f>
        <v/>
      </c>
      <c r="E69" s="29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29">
        <f>IFERROR(IF(SUMIFS(tblDaily[TransfersIn],tblDaily[EntryDate],DATE(2026,2,24),tblDaily[WardCode],"CW")=0,"",SUMIFS(tblDaily[TransfersIn],tblDaily[EntryDate],DATE(2026,2,24),tblDaily[WardCode],"CW")),"")</f>
        <v>1</v>
      </c>
      <c r="G69" s="29" t="str">
        <f>IFERROR(IF(SUMIFS(tblDaily[TransfersOut],tblDaily[EntryDate],DATE(2026,2,24),tblDaily[WardCode],"CW")=0,"",SUMIFS(tblDaily[TransfersOut],tblDaily[EntryDate],DATE(2026,2,24),tblDaily[WardCode],"CW")),"")</f>
        <v/>
      </c>
      <c r="H69" s="29">
        <f>IFERROR(IF(SUMIFS(tblDaily[Remaining],tblDaily[EntryDate],DATE(2026,2,24),tblDaily[WardCode],"CW")=0,"",SUMIFS(tblDaily[Remaining],tblDaily[EntryDate],DATE(2026,2,24),tblDaily[WardCode],"CW")),"")</f>
        <v>10</v>
      </c>
    </row>
    <row r="70" spans="1:8" x14ac:dyDescent="0.25">
      <c r="A70" s="29">
        <v>25</v>
      </c>
      <c r="B70" s="29">
        <f>IFERROR(IF(SUMIFS(tblDaily[Admissions],tblDaily[EntryDate],DATE(2026,2,25),tblDaily[WardCode],"CW")=0,"",SUMIFS(tblDaily[Admissions],tblDaily[EntryDate],DATE(2026,2,25),tblDaily[WardCode],"CW")),"")</f>
        <v>3</v>
      </c>
      <c r="C70" s="29" t="str">
        <f>IFERROR(IF(SUMIFS(tblDaily[Discharges],tblDaily[EntryDate],DATE(2026,2,25),tblDaily[WardCode],"CW")=0,"",SUMIFS(tblDaily[Discharges],tblDaily[EntryDate],DATE(2026,2,25),tblDaily[WardCode],"CW")),"")</f>
        <v/>
      </c>
      <c r="D70" s="29" t="str">
        <f>IFERROR(IF(SUMIFS(tblDaily[Deaths],tblDaily[EntryDate],DATE(2026,2,25),tblDaily[WardCode],"CW")=0,"",SUMIFS(tblDaily[Deaths],tblDaily[EntryDate],DATE(2026,2,25),tblDaily[WardCode],"CW")),"")</f>
        <v/>
      </c>
      <c r="E70" s="29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29" t="str">
        <f>IFERROR(IF(SUMIFS(tblDaily[TransfersIn],tblDaily[EntryDate],DATE(2026,2,25),tblDaily[WardCode],"CW")=0,"",SUMIFS(tblDaily[TransfersIn],tblDaily[EntryDate],DATE(2026,2,25),tblDaily[WardCode],"CW")),"")</f>
        <v/>
      </c>
      <c r="G70" s="29" t="str">
        <f>IFERROR(IF(SUMIFS(tblDaily[TransfersOut],tblDaily[EntryDate],DATE(2026,2,25),tblDaily[WardCode],"CW")=0,"",SUMIFS(tblDaily[TransfersOut],tblDaily[EntryDate],DATE(2026,2,25),tblDaily[WardCode],"CW")),"")</f>
        <v/>
      </c>
      <c r="H70" s="29">
        <f>IFERROR(IF(SUMIFS(tblDaily[Remaining],tblDaily[EntryDate],DATE(2026,2,25),tblDaily[WardCode],"CW")=0,"",SUMIFS(tblDaily[Remaining],tblDaily[EntryDate],DATE(2026,2,25),tblDaily[WardCode],"CW")),"")</f>
        <v>13</v>
      </c>
    </row>
    <row r="71" spans="1:8" x14ac:dyDescent="0.25">
      <c r="A71" s="29">
        <v>26</v>
      </c>
      <c r="B71" s="29">
        <f>IFERROR(IF(SUMIFS(tblDaily[Admissions],tblDaily[EntryDate],DATE(2026,2,26),tblDaily[WardCode],"CW")=0,"",SUMIFS(tblDaily[Admissions],tblDaily[EntryDate],DATE(2026,2,26),tblDaily[WardCode],"CW")),"")</f>
        <v>4</v>
      </c>
      <c r="C71" s="29">
        <f>IFERROR(IF(SUMIFS(tblDaily[Discharges],tblDaily[EntryDate],DATE(2026,2,26),tblDaily[WardCode],"CW")=0,"",SUMIFS(tblDaily[Discharges],tblDaily[EntryDate],DATE(2026,2,26),tblDaily[WardCode],"CW")),"")</f>
        <v>5</v>
      </c>
      <c r="D71" s="29" t="str">
        <f>IFERROR(IF(SUMIFS(tblDaily[Deaths],tblDaily[EntryDate],DATE(2026,2,26),tblDaily[WardCode],"CW")=0,"",SUMIFS(tblDaily[Deaths],tblDaily[EntryDate],DATE(2026,2,26),tblDaily[WardCode],"CW")),"")</f>
        <v/>
      </c>
      <c r="E71" s="29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29" t="str">
        <f>IFERROR(IF(SUMIFS(tblDaily[TransfersIn],tblDaily[EntryDate],DATE(2026,2,26),tblDaily[WardCode],"CW")=0,"",SUMIFS(tblDaily[TransfersIn],tblDaily[EntryDate],DATE(2026,2,26),tblDaily[WardCode],"CW")),"")</f>
        <v/>
      </c>
      <c r="G71" s="29" t="str">
        <f>IFERROR(IF(SUMIFS(tblDaily[TransfersOut],tblDaily[EntryDate],DATE(2026,2,26),tblDaily[WardCode],"CW")=0,"",SUMIFS(tblDaily[TransfersOut],tblDaily[EntryDate],DATE(2026,2,26),tblDaily[WardCode],"CW")),"")</f>
        <v/>
      </c>
      <c r="H71" s="29">
        <f>IFERROR(IF(SUMIFS(tblDaily[Remaining],tblDaily[EntryDate],DATE(2026,2,26),tblDaily[WardCode],"CW")=0,"",SUMIFS(tblDaily[Remaining],tblDaily[EntryDate],DATE(2026,2,26),tblDaily[WardCode],"CW")),"")</f>
        <v>12</v>
      </c>
    </row>
    <row r="72" spans="1:8" x14ac:dyDescent="0.25">
      <c r="A72" s="29">
        <v>27</v>
      </c>
      <c r="B72" s="29">
        <f>IFERROR(IF(SUMIFS(tblDaily[Admissions],tblDaily[EntryDate],DATE(2026,2,27),tblDaily[WardCode],"CW")=0,"",SUMIFS(tblDaily[Admissions],tblDaily[EntryDate],DATE(2026,2,27),tblDaily[WardCode],"CW")),"")</f>
        <v>5</v>
      </c>
      <c r="C72" s="29">
        <f>IFERROR(IF(SUMIFS(tblDaily[Discharges],tblDaily[EntryDate],DATE(2026,2,27),tblDaily[WardCode],"CW")=0,"",SUMIFS(tblDaily[Discharges],tblDaily[EntryDate],DATE(2026,2,27),tblDaily[WardCode],"CW")),"")</f>
        <v>6</v>
      </c>
      <c r="D72" s="29" t="str">
        <f>IFERROR(IF(SUMIFS(tblDaily[Deaths],tblDaily[EntryDate],DATE(2026,2,27),tblDaily[WardCode],"CW")=0,"",SUMIFS(tblDaily[Deaths],tblDaily[EntryDate],DATE(2026,2,27),tblDaily[WardCode],"CW")),"")</f>
        <v/>
      </c>
      <c r="E72" s="29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29" t="str">
        <f>IFERROR(IF(SUMIFS(tblDaily[TransfersIn],tblDaily[EntryDate],DATE(2026,2,27),tblDaily[WardCode],"CW")=0,"",SUMIFS(tblDaily[TransfersIn],tblDaily[EntryDate],DATE(2026,2,27),tblDaily[WardCode],"CW")),"")</f>
        <v/>
      </c>
      <c r="G72" s="29" t="str">
        <f>IFERROR(IF(SUMIFS(tblDaily[TransfersOut],tblDaily[EntryDate],DATE(2026,2,27),tblDaily[WardCode],"CW")=0,"",SUMIFS(tblDaily[TransfersOut],tblDaily[EntryDate],DATE(2026,2,27),tblDaily[WardCode],"CW")),"")</f>
        <v/>
      </c>
      <c r="H72" s="29">
        <f>IFERROR(IF(SUMIFS(tblDaily[Remaining],tblDaily[EntryDate],DATE(2026,2,27),tblDaily[WardCode],"CW")=0,"",SUMIFS(tblDaily[Remaining],tblDaily[EntryDate],DATE(2026,2,27),tblDaily[WardCode],"CW")),"")</f>
        <v>11</v>
      </c>
    </row>
    <row r="73" spans="1:8" x14ac:dyDescent="0.25">
      <c r="A73" s="29">
        <v>28</v>
      </c>
      <c r="B73" s="29">
        <f>IFERROR(IF(SUMIFS(tblDaily[Admissions],tblDaily[EntryDate],DATE(2026,2,28),tblDaily[WardCode],"CW")=0,"",SUMIFS(tblDaily[Admissions],tblDaily[EntryDate],DATE(2026,2,28),tblDaily[WardCode],"CW")),"")</f>
        <v>1</v>
      </c>
      <c r="C73" s="29">
        <f>IFERROR(IF(SUMIFS(tblDaily[Discharges],tblDaily[EntryDate],DATE(2026,2,28),tblDaily[WardCode],"CW")=0,"",SUMIFS(tblDaily[Discharges],tblDaily[EntryDate],DATE(2026,2,28),tblDaily[WardCode],"CW")),"")</f>
        <v>3</v>
      </c>
      <c r="D73" s="29" t="str">
        <f>IFERROR(IF(SUMIFS(tblDaily[Deaths],tblDaily[EntryDate],DATE(2026,2,28),tblDaily[WardCode],"CW")=0,"",SUMIFS(tblDaily[Deaths],tblDaily[EntryDate],DATE(2026,2,28),tblDaily[WardCode],"CW")),"")</f>
        <v/>
      </c>
      <c r="E73" s="29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29" t="str">
        <f>IFERROR(IF(SUMIFS(tblDaily[TransfersIn],tblDaily[EntryDate],DATE(2026,2,28),tblDaily[WardCode],"CW")=0,"",SUMIFS(tblDaily[TransfersIn],tblDaily[EntryDate],DATE(2026,2,28),tblDaily[WardCode],"CW")),"")</f>
        <v/>
      </c>
      <c r="G73" s="29" t="str">
        <f>IFERROR(IF(SUMIFS(tblDaily[TransfersOut],tblDaily[EntryDate],DATE(2026,2,28),tblDaily[WardCode],"CW")=0,"",SUMIFS(tblDaily[TransfersOut],tblDaily[EntryDate],DATE(2026,2,28),tblDaily[WardCode],"CW")),"")</f>
        <v/>
      </c>
      <c r="H73" s="29">
        <f>IFERROR(IF(SUMIFS(tblDaily[Remaining],tblDaily[EntryDate],DATE(2026,2,28),tblDaily[WardCode],"CW")=0,"",SUMIFS(tblDaily[Remaining],tblDaily[EntryDate],DATE(2026,2,28),tblDaily[WardCode],"CW")),"")</f>
        <v>9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SUMIFS(tblDaily[Admissions],tblDaily[Month],2,tblDaily[WardCode],"CW") - SUMIFS(tblDaily[DeathsUnder24Hrs],tblDaily[Month],2,tblDaily[WardCode],"CW")</f>
        <v>83</v>
      </c>
      <c r="C77" s="30">
        <f>SUMIFS(tblDaily[Discharges],tblDaily[Month],2,tblDaily[WardCode],"CW")</f>
        <v>91</v>
      </c>
      <c r="D77" s="30">
        <f>SUMIFS(tblDaily[Deaths],tblDaily[Month],2,tblDaily[WardCode],"CW")</f>
        <v>0</v>
      </c>
      <c r="E77" s="30">
        <f>SUMIFS(tblDaily[DeathsUnder24Hrs],tblDaily[Month],2,tblDaily[WardCode],"CW")</f>
        <v>1</v>
      </c>
      <c r="F77" s="30">
        <f>SUMIFS(tblDaily[TransfersIn],tblDaily[Month],2,tblDaily[WardCode],"CW")</f>
        <v>5</v>
      </c>
      <c r="G77" s="30">
        <f>SUMIFS(tblDaily[TransfersOut],tblDaily[Month],2,tblDaily[WardCode],"CW")</f>
        <v>0</v>
      </c>
      <c r="H77" s="30">
        <f>SUMIFS(tblDaily[Remaining],tblDaily[Month],2,tblDaily[WardCode],"CW")</f>
        <v>250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117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IFERROR(SUMIFS(tblDaily[Remaining],tblDaily[EntryDate],DATE(2026,2,28),tblDaily[WardCode],"CW"),0)</f>
        <v>9</v>
      </c>
    </row>
    <row r="83" spans="1:8" x14ac:dyDescent="0.25">
      <c r="A83" s="24" t="s">
        <v>109</v>
      </c>
      <c r="H83" s="27">
        <f>IFERROR(INDEX(tblWardConfig[BedComplement],MATCH("CW",tblWardConfig[WardCode],0)),0)</f>
        <v>27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IFERROR(IF(SUMIFS(tblDaily[Admissions],tblDaily[EntryDate],DATE(2026,3,1),tblDaily[WardCode],"CW")=0,"",SUMIFS(tblDaily[Admissions],tblDaily[EntryDate],DATE(2026,3,1),tblDaily[WardCode],"CW")),"")</f>
        <v/>
      </c>
      <c r="C85" s="29">
        <f>IFERROR(IF(SUMIFS(tblDaily[Discharges],tblDaily[EntryDate],DATE(2026,3,1),tblDaily[WardCode],"CW")=0,"",SUMIFS(tblDaily[Discharges],tblDaily[EntryDate],DATE(2026,3,1),tblDaily[WardCode],"CW")),"")</f>
        <v>1</v>
      </c>
      <c r="D85" s="29" t="str">
        <f>IFERROR(IF(SUMIFS(tblDaily[Deaths],tblDaily[EntryDate],DATE(2026,3,1),tblDaily[WardCode],"CW")=0,"",SUMIFS(tblDaily[Deaths],tblDaily[EntryDate],DATE(2026,3,1),tblDaily[WardCode],"CW")),"")</f>
        <v/>
      </c>
      <c r="E85" s="29" t="str">
        <f>IFERROR(IF(SUMIFS(tblDaily[DeathsUnder24Hrs],tblDaily[EntryDate],DATE(2026,3,1),tblDaily[WardCode],"CW")=0,"",SUMIFS(tblDaily[DeathsUnder24Hrs],tblDaily[EntryDate],DATE(2026,3,1),tblDaily[WardCode],"CW")),"")</f>
        <v/>
      </c>
      <c r="F85" s="29">
        <f>IFERROR(IF(SUMIFS(tblDaily[TransfersIn],tblDaily[EntryDate],DATE(2026,3,1),tblDaily[WardCode],"CW")=0,"",SUMIFS(tblDaily[TransfersIn],tblDaily[EntryDate],DATE(2026,3,1),tblDaily[WardCode],"CW")),"")</f>
        <v>1</v>
      </c>
      <c r="G85" s="29" t="str">
        <f>IFERROR(IF(SUMIFS(tblDaily[TransfersOut],tblDaily[EntryDate],DATE(2026,3,1),tblDaily[WardCode],"CW")=0,"",SUMIFS(tblDaily[TransfersOut],tblDaily[EntryDate],DATE(2026,3,1),tblDaily[WardCode],"CW")),"")</f>
        <v/>
      </c>
      <c r="H85" s="29">
        <f>IFERROR(IF(SUMIFS(tblDaily[Remaining],tblDaily[EntryDate],DATE(2026,3,1),tblDaily[WardCode],"CW")=0,"",SUMIFS(tblDaily[Remaining],tblDaily[EntryDate],DATE(2026,3,1),tblDaily[WardCode],"CW")),"")</f>
        <v>9</v>
      </c>
    </row>
    <row r="86" spans="1:8" x14ac:dyDescent="0.25">
      <c r="A86" s="29">
        <v>2</v>
      </c>
      <c r="B86" s="29">
        <f>IFERROR(IF(SUMIFS(tblDaily[Admissions],tblDaily[EntryDate],DATE(2026,3,2),tblDaily[WardCode],"CW")=0,"",SUMIFS(tblDaily[Admissions],tblDaily[EntryDate],DATE(2026,3,2),tblDaily[WardCode],"CW")),"")</f>
        <v>3</v>
      </c>
      <c r="C86" s="29">
        <f>IFERROR(IF(SUMIFS(tblDaily[Discharges],tblDaily[EntryDate],DATE(2026,3,2),tblDaily[WardCode],"CW")=0,"",SUMIFS(tblDaily[Discharges],tblDaily[EntryDate],DATE(2026,3,2),tblDaily[WardCode],"CW")),"")</f>
        <v>3</v>
      </c>
      <c r="D86" s="29" t="str">
        <f>IFERROR(IF(SUMIFS(tblDaily[Deaths],tblDaily[EntryDate],DATE(2026,3,2),tblDaily[WardCode],"CW")=0,"",SUMIFS(tblDaily[Deaths],tblDaily[EntryDate],DATE(2026,3,2),tblDaily[WardCode],"CW")),"")</f>
        <v/>
      </c>
      <c r="E86" s="29" t="str">
        <f>IFERROR(IF(SUMIFS(tblDaily[DeathsUnder24Hrs],tblDaily[EntryDate],DATE(2026,3,2),tblDaily[WardCode],"CW")=0,"",SUMIFS(tblDaily[DeathsUnder24Hrs],tblDaily[EntryDate],DATE(2026,3,2),tblDaily[WardCode],"CW")),"")</f>
        <v/>
      </c>
      <c r="F86" s="29" t="str">
        <f>IFERROR(IF(SUMIFS(tblDaily[TransfersIn],tblDaily[EntryDate],DATE(2026,3,2),tblDaily[WardCode],"CW")=0,"",SUMIFS(tblDaily[TransfersIn],tblDaily[EntryDate],DATE(2026,3,2),tblDaily[WardCode],"CW")),"")</f>
        <v/>
      </c>
      <c r="G86" s="29" t="str">
        <f>IFERROR(IF(SUMIFS(tblDaily[TransfersOut],tblDaily[EntryDate],DATE(2026,3,2),tblDaily[WardCode],"CW")=0,"",SUMIFS(tblDaily[TransfersOut],tblDaily[EntryDate],DATE(2026,3,2),tblDaily[WardCode],"CW")),"")</f>
        <v/>
      </c>
      <c r="H86" s="29">
        <f>IFERROR(IF(SUMIFS(tblDaily[Remaining],tblDaily[EntryDate],DATE(2026,3,2),tblDaily[WardCode],"CW")=0,"",SUMIFS(tblDaily[Remaining],tblDaily[EntryDate],DATE(2026,3,2),tblDaily[WardCode],"CW")),"")</f>
        <v>9</v>
      </c>
    </row>
    <row r="87" spans="1:8" x14ac:dyDescent="0.25">
      <c r="A87" s="29">
        <v>3</v>
      </c>
      <c r="B87" s="29">
        <f>IFERROR(IF(SUMIFS(tblDaily[Admissions],tblDaily[EntryDate],DATE(2026,3,3),tblDaily[WardCode],"CW")=0,"",SUMIFS(tblDaily[Admissions],tblDaily[EntryDate],DATE(2026,3,3),tblDaily[WardCode],"CW")),"")</f>
        <v>4</v>
      </c>
      <c r="C87" s="29">
        <f>IFERROR(IF(SUMIFS(tblDaily[Discharges],tblDaily[EntryDate],DATE(2026,3,3),tblDaily[WardCode],"CW")=0,"",SUMIFS(tblDaily[Discharges],tblDaily[EntryDate],DATE(2026,3,3),tblDaily[WardCode],"CW")),"")</f>
        <v>3</v>
      </c>
      <c r="D87" s="29" t="str">
        <f>IFERROR(IF(SUMIFS(tblDaily[Deaths],tblDaily[EntryDate],DATE(2026,3,3),tblDaily[WardCode],"CW")=0,"",SUMIFS(tblDaily[Deaths],tblDaily[EntryDate],DATE(2026,3,3),tblDaily[WardCode],"CW")),"")</f>
        <v/>
      </c>
      <c r="E87" s="29" t="str">
        <f>IFERROR(IF(SUMIFS(tblDaily[DeathsUnder24Hrs],tblDaily[EntryDate],DATE(2026,3,3),tblDaily[WardCode],"CW")=0,"",SUMIFS(tblDaily[DeathsUnder24Hrs],tblDaily[EntryDate],DATE(2026,3,3),tblDaily[WardCode],"CW")),"")</f>
        <v/>
      </c>
      <c r="F87" s="29">
        <f>IFERROR(IF(SUMIFS(tblDaily[TransfersIn],tblDaily[EntryDate],DATE(2026,3,3),tblDaily[WardCode],"CW")=0,"",SUMIFS(tblDaily[TransfersIn],tblDaily[EntryDate],DATE(2026,3,3),tblDaily[WardCode],"CW")),"")</f>
        <v>1</v>
      </c>
      <c r="G87" s="29" t="str">
        <f>IFERROR(IF(SUMIFS(tblDaily[TransfersOut],tblDaily[EntryDate],DATE(2026,3,3),tblDaily[WardCode],"CW")=0,"",SUMIFS(tblDaily[TransfersOut],tblDaily[EntryDate],DATE(2026,3,3),tblDaily[WardCode],"CW")),"")</f>
        <v/>
      </c>
      <c r="H87" s="29">
        <f>IFERROR(IF(SUMIFS(tblDaily[Remaining],tblDaily[EntryDate],DATE(2026,3,3),tblDaily[WardCode],"CW")=0,"",SUMIFS(tblDaily[Remaining],tblDaily[EntryDate],DATE(2026,3,3),tblDaily[WardCode],"CW")),"")</f>
        <v>11</v>
      </c>
    </row>
    <row r="88" spans="1:8" x14ac:dyDescent="0.25">
      <c r="A88" s="29">
        <v>4</v>
      </c>
      <c r="B88" s="29">
        <f>IFERROR(IF(SUMIFS(tblDaily[Admissions],tblDaily[EntryDate],DATE(2026,3,4),tblDaily[WardCode],"CW")=0,"",SUMIFS(tblDaily[Admissions],tblDaily[EntryDate],DATE(2026,3,4),tblDaily[WardCode],"CW")),"")</f>
        <v>1</v>
      </c>
      <c r="C88" s="29">
        <f>IFERROR(IF(SUMIFS(tblDaily[Discharges],tblDaily[EntryDate],DATE(2026,3,4),tblDaily[WardCode],"CW")=0,"",SUMIFS(tblDaily[Discharges],tblDaily[EntryDate],DATE(2026,3,4),tblDaily[WardCode],"CW")),"")</f>
        <v>2</v>
      </c>
      <c r="D88" s="29" t="str">
        <f>IFERROR(IF(SUMIFS(tblDaily[Deaths],tblDaily[EntryDate],DATE(2026,3,4),tblDaily[WardCode],"CW")=0,"",SUMIFS(tblDaily[Deaths],tblDaily[EntryDate],DATE(2026,3,4),tblDaily[WardCode],"CW")),"")</f>
        <v/>
      </c>
      <c r="E88" s="29">
        <f>IFERROR(IF(SUMIFS(tblDaily[DeathsUnder24Hrs],tblDaily[EntryDate],DATE(2026,3,4),tblDaily[WardCode],"CW")=0,"",SUMIFS(tblDaily[DeathsUnder24Hrs],tblDaily[EntryDate],DATE(2026,3,4),tblDaily[WardCode],"CW")),"")</f>
        <v>1</v>
      </c>
      <c r="F88" s="29">
        <f>IFERROR(IF(SUMIFS(tblDaily[TransfersIn],tblDaily[EntryDate],DATE(2026,3,4),tblDaily[WardCode],"CW")=0,"",SUMIFS(tblDaily[TransfersIn],tblDaily[EntryDate],DATE(2026,3,4),tblDaily[WardCode],"CW")),"")</f>
        <v>1</v>
      </c>
      <c r="G88" s="29" t="str">
        <f>IFERROR(IF(SUMIFS(tblDaily[TransfersOut],tblDaily[EntryDate],DATE(2026,3,4),tblDaily[WardCode],"CW")=0,"",SUMIFS(tblDaily[TransfersOut],tblDaily[EntryDate],DATE(2026,3,4),tblDaily[WardCode],"CW")),"")</f>
        <v/>
      </c>
      <c r="H88" s="29">
        <f>IFERROR(IF(SUMIFS(tblDaily[Remaining],tblDaily[EntryDate],DATE(2026,3,4),tblDaily[WardCode],"CW")=0,"",SUMIFS(tblDaily[Remaining],tblDaily[EntryDate],DATE(2026,3,4),tblDaily[WardCode],"CW")),"")</f>
        <v>10</v>
      </c>
    </row>
    <row r="89" spans="1:8" x14ac:dyDescent="0.25">
      <c r="A89" s="29">
        <v>5</v>
      </c>
      <c r="B89" s="29">
        <f>IFERROR(IF(SUMIFS(tblDaily[Admissions],tblDaily[EntryDate],DATE(2026,3,5),tblDaily[WardCode],"CW")=0,"",SUMIFS(tblDaily[Admissions],tblDaily[EntryDate],DATE(2026,3,5),tblDaily[WardCode],"CW")),"")</f>
        <v>3</v>
      </c>
      <c r="C89" s="29">
        <f>IFERROR(IF(SUMIFS(tblDaily[Discharges],tblDaily[EntryDate],DATE(2026,3,5),tblDaily[WardCode],"CW")=0,"",SUMIFS(tblDaily[Discharges],tblDaily[EntryDate],DATE(2026,3,5),tblDaily[WardCode],"CW")),"")</f>
        <v>9</v>
      </c>
      <c r="D89" s="29" t="str">
        <f>IFERROR(IF(SUMIFS(tblDaily[Deaths],tblDaily[EntryDate],DATE(2026,3,5),tblDaily[WardCode],"CW")=0,"",SUMIFS(tblDaily[Deaths],tblDaily[EntryDate],DATE(2026,3,5),tblDaily[WardCode],"CW")),"")</f>
        <v/>
      </c>
      <c r="E89" s="29" t="str">
        <f>IFERROR(IF(SUMIFS(tblDaily[DeathsUnder24Hrs],tblDaily[EntryDate],DATE(2026,3,5),tblDaily[WardCode],"CW")=0,"",SUMIFS(tblDaily[DeathsUnder24Hrs],tblDaily[EntryDate],DATE(2026,3,5),tblDaily[WardCode],"CW")),"")</f>
        <v/>
      </c>
      <c r="F89" s="29" t="str">
        <f>IFERROR(IF(SUMIFS(tblDaily[TransfersIn],tblDaily[EntryDate],DATE(2026,3,5),tblDaily[WardCode],"CW")=0,"",SUMIFS(tblDaily[TransfersIn],tblDaily[EntryDate],DATE(2026,3,5),tblDaily[WardCode],"CW")),"")</f>
        <v/>
      </c>
      <c r="G89" s="29" t="str">
        <f>IFERROR(IF(SUMIFS(tblDaily[TransfersOut],tblDaily[EntryDate],DATE(2026,3,5),tblDaily[WardCode],"CW")=0,"",SUMIFS(tblDaily[TransfersOut],tblDaily[EntryDate],DATE(2026,3,5),tblDaily[WardCode],"CW")),"")</f>
        <v/>
      </c>
      <c r="H89" s="29">
        <f>IFERROR(IF(SUMIFS(tblDaily[Remaining],tblDaily[EntryDate],DATE(2026,3,5),tblDaily[WardCode],"CW")=0,"",SUMIFS(tblDaily[Remaining],tblDaily[EntryDate],DATE(2026,3,5),tblDaily[WardCode],"CW")),"")</f>
        <v>4</v>
      </c>
    </row>
    <row r="90" spans="1:8" x14ac:dyDescent="0.25">
      <c r="A90" s="29">
        <v>6</v>
      </c>
      <c r="B90" s="29">
        <f>IFERROR(IF(SUMIFS(tblDaily[Admissions],tblDaily[EntryDate],DATE(2026,3,6),tblDaily[WardCode],"CW")=0,"",SUMIFS(tblDaily[Admissions],tblDaily[EntryDate],DATE(2026,3,6),tblDaily[WardCode],"CW")),"")</f>
        <v>3</v>
      </c>
      <c r="C90" s="29">
        <f>IFERROR(IF(SUMIFS(tblDaily[Discharges],tblDaily[EntryDate],DATE(2026,3,6),tblDaily[WardCode],"CW")=0,"",SUMIFS(tblDaily[Discharges],tblDaily[EntryDate],DATE(2026,3,6),tblDaily[WardCode],"CW")),"")</f>
        <v>1</v>
      </c>
      <c r="D90" s="29" t="str">
        <f>IFERROR(IF(SUMIFS(tblDaily[Deaths],tblDaily[EntryDate],DATE(2026,3,6),tblDaily[WardCode],"CW")=0,"",SUMIFS(tblDaily[Deaths],tblDaily[EntryDate],DATE(2026,3,6),tblDaily[WardCode],"CW")),"")</f>
        <v/>
      </c>
      <c r="E90" s="29" t="str">
        <f>IFERROR(IF(SUMIFS(tblDaily[DeathsUnder24Hrs],tblDaily[EntryDate],DATE(2026,3,6),tblDaily[WardCode],"CW")=0,"",SUMIFS(tblDaily[DeathsUnder24Hrs],tblDaily[EntryDate],DATE(2026,3,6),tblDaily[WardCode],"CW")),"")</f>
        <v/>
      </c>
      <c r="F90" s="29" t="str">
        <f>IFERROR(IF(SUMIFS(tblDaily[TransfersIn],tblDaily[EntryDate],DATE(2026,3,6),tblDaily[WardCode],"CW")=0,"",SUMIFS(tblDaily[TransfersIn],tblDaily[EntryDate],DATE(2026,3,6),tblDaily[WardCode],"CW")),"")</f>
        <v/>
      </c>
      <c r="G90" s="29" t="str">
        <f>IFERROR(IF(SUMIFS(tblDaily[TransfersOut],tblDaily[EntryDate],DATE(2026,3,6),tblDaily[WardCode],"CW")=0,"",SUMIFS(tblDaily[TransfersOut],tblDaily[EntryDate],DATE(2026,3,6),tblDaily[WardCode],"CW")),"")</f>
        <v/>
      </c>
      <c r="H90" s="29">
        <f>IFERROR(IF(SUMIFS(tblDaily[Remaining],tblDaily[EntryDate],DATE(2026,3,6),tblDaily[WardCode],"CW")=0,"",SUMIFS(tblDaily[Remaining],tblDaily[EntryDate],DATE(2026,3,6),tblDaily[WardCode],"CW")),"")</f>
        <v>6</v>
      </c>
    </row>
    <row r="91" spans="1:8" x14ac:dyDescent="0.25">
      <c r="A91" s="29">
        <v>7</v>
      </c>
      <c r="B91" s="29" t="str">
        <f>IFERROR(IF(SUMIFS(tblDaily[Admissions],tblDaily[EntryDate],DATE(2026,3,7),tblDaily[WardCode],"CW")=0,"",SUMIFS(tblDaily[Admissions],tblDaily[EntryDate],DATE(2026,3,7),tblDaily[WardCode],"CW")),"")</f>
        <v/>
      </c>
      <c r="C91" s="29">
        <f>IFERROR(IF(SUMIFS(tblDaily[Discharges],tblDaily[EntryDate],DATE(2026,3,7),tblDaily[WardCode],"CW")=0,"",SUMIFS(tblDaily[Discharges],tblDaily[EntryDate],DATE(2026,3,7),tblDaily[WardCode],"CW")),"")</f>
        <v>2</v>
      </c>
      <c r="D91" s="29" t="str">
        <f>IFERROR(IF(SUMIFS(tblDaily[Deaths],tblDaily[EntryDate],DATE(2026,3,7),tblDaily[WardCode],"CW")=0,"",SUMIFS(tblDaily[Deaths],tblDaily[EntryDate],DATE(2026,3,7),tblDaily[WardCode],"CW")),"")</f>
        <v/>
      </c>
      <c r="E91" s="29" t="str">
        <f>IFERROR(IF(SUMIFS(tblDaily[DeathsUnder24Hrs],tblDaily[EntryDate],DATE(2026,3,7),tblDaily[WardCode],"CW")=0,"",SUMIFS(tblDaily[DeathsUnder24Hrs],tblDaily[EntryDate],DATE(2026,3,7),tblDaily[WardCode],"CW")),"")</f>
        <v/>
      </c>
      <c r="F91" s="29" t="str">
        <f>IFERROR(IF(SUMIFS(tblDaily[TransfersIn],tblDaily[EntryDate],DATE(2026,3,7),tblDaily[WardCode],"CW")=0,"",SUMIFS(tblDaily[TransfersIn],tblDaily[EntryDate],DATE(2026,3,7),tblDaily[WardCode],"CW")),"")</f>
        <v/>
      </c>
      <c r="G91" s="29" t="str">
        <f>IFERROR(IF(SUMIFS(tblDaily[TransfersOut],tblDaily[EntryDate],DATE(2026,3,7),tblDaily[WardCode],"CW")=0,"",SUMIFS(tblDaily[TransfersOut],tblDaily[EntryDate],DATE(2026,3,7),tblDaily[WardCode],"CW")),"")</f>
        <v/>
      </c>
      <c r="H91" s="29">
        <f>IFERROR(IF(SUMIFS(tblDaily[Remaining],tblDaily[EntryDate],DATE(2026,3,7),tblDaily[WardCode],"CW")=0,"",SUMIFS(tblDaily[Remaining],tblDaily[EntryDate],DATE(2026,3,7),tblDaily[WardCode],"CW")),"")</f>
        <v>4</v>
      </c>
    </row>
    <row r="92" spans="1:8" x14ac:dyDescent="0.25">
      <c r="A92" s="29">
        <v>8</v>
      </c>
      <c r="B92" s="29">
        <f>IFERROR(IF(SUMIFS(tblDaily[Admissions],tblDaily[EntryDate],DATE(2026,3,8),tblDaily[WardCode],"CW")=0,"",SUMIFS(tblDaily[Admissions],tblDaily[EntryDate],DATE(2026,3,8),tblDaily[WardCode],"CW")),"")</f>
        <v>1</v>
      </c>
      <c r="C92" s="29">
        <f>IFERROR(IF(SUMIFS(tblDaily[Discharges],tblDaily[EntryDate],DATE(2026,3,8),tblDaily[WardCode],"CW")=0,"",SUMIFS(tblDaily[Discharges],tblDaily[EntryDate],DATE(2026,3,8),tblDaily[WardCode],"CW")),"")</f>
        <v>1</v>
      </c>
      <c r="D92" s="29" t="str">
        <f>IFERROR(IF(SUMIFS(tblDaily[Deaths],tblDaily[EntryDate],DATE(2026,3,8),tblDaily[WardCode],"CW")=0,"",SUMIFS(tblDaily[Deaths],tblDaily[EntryDate],DATE(2026,3,8),tblDaily[WardCode],"CW")),"")</f>
        <v/>
      </c>
      <c r="E92" s="29" t="str">
        <f>IFERROR(IF(SUMIFS(tblDaily[DeathsUnder24Hrs],tblDaily[EntryDate],DATE(2026,3,8),tblDaily[WardCode],"CW")=0,"",SUMIFS(tblDaily[DeathsUnder24Hrs],tblDaily[EntryDate],DATE(2026,3,8),tblDaily[WardCode],"CW")),"")</f>
        <v/>
      </c>
      <c r="F92" s="29" t="str">
        <f>IFERROR(IF(SUMIFS(tblDaily[TransfersIn],tblDaily[EntryDate],DATE(2026,3,8),tblDaily[WardCode],"CW")=0,"",SUMIFS(tblDaily[TransfersIn],tblDaily[EntryDate],DATE(2026,3,8),tblDaily[WardCode],"CW")),"")</f>
        <v/>
      </c>
      <c r="G92" s="29" t="str">
        <f>IFERROR(IF(SUMIFS(tblDaily[TransfersOut],tblDaily[EntryDate],DATE(2026,3,8),tblDaily[WardCode],"CW")=0,"",SUMIFS(tblDaily[TransfersOut],tblDaily[EntryDate],DATE(2026,3,8),tblDaily[WardCode],"CW")),"")</f>
        <v/>
      </c>
      <c r="H92" s="29">
        <f>IFERROR(IF(SUMIFS(tblDaily[Remaining],tblDaily[EntryDate],DATE(2026,3,8),tblDaily[WardCode],"CW")=0,"",SUMIFS(tblDaily[Remaining],tblDaily[EntryDate],DATE(2026,3,8),tblDaily[WardCode],"CW")),"")</f>
        <v>4</v>
      </c>
    </row>
    <row r="93" spans="1:8" x14ac:dyDescent="0.25">
      <c r="A93" s="29">
        <v>9</v>
      </c>
      <c r="B93" s="29">
        <f>IFERROR(IF(SUMIFS(tblDaily[Admissions],tblDaily[EntryDate],DATE(2026,3,9),tblDaily[WardCode],"CW")=0,"",SUMIFS(tblDaily[Admissions],tblDaily[EntryDate],DATE(2026,3,9),tblDaily[WardCode],"CW")),"")</f>
        <v>2</v>
      </c>
      <c r="C93" s="29">
        <f>IFERROR(IF(SUMIFS(tblDaily[Discharges],tblDaily[EntryDate],DATE(2026,3,9),tblDaily[WardCode],"CW")=0,"",SUMIFS(tblDaily[Discharges],tblDaily[EntryDate],DATE(2026,3,9),tblDaily[WardCode],"CW")),"")</f>
        <v>2</v>
      </c>
      <c r="D93" s="29" t="str">
        <f>IFERROR(IF(SUMIFS(tblDaily[Deaths],tblDaily[EntryDate],DATE(2026,3,9),tblDaily[WardCode],"CW")=0,"",SUMIFS(tblDaily[Deaths],tblDaily[EntryDate],DATE(2026,3,9),tblDaily[WardCode],"CW")),"")</f>
        <v/>
      </c>
      <c r="E93" s="29" t="str">
        <f>IFERROR(IF(SUMIFS(tblDaily[DeathsUnder24Hrs],tblDaily[EntryDate],DATE(2026,3,9),tblDaily[WardCode],"CW")=0,"",SUMIFS(tblDaily[DeathsUnder24Hrs],tblDaily[EntryDate],DATE(2026,3,9),tblDaily[WardCode],"CW")),"")</f>
        <v/>
      </c>
      <c r="F93" s="29" t="str">
        <f>IFERROR(IF(SUMIFS(tblDaily[TransfersIn],tblDaily[EntryDate],DATE(2026,3,9),tblDaily[WardCode],"CW")=0,"",SUMIFS(tblDaily[TransfersIn],tblDaily[EntryDate],DATE(2026,3,9),tblDaily[WardCode],"CW")),"")</f>
        <v/>
      </c>
      <c r="G93" s="29" t="str">
        <f>IFERROR(IF(SUMIFS(tblDaily[TransfersOut],tblDaily[EntryDate],DATE(2026,3,9),tblDaily[WardCode],"CW")=0,"",SUMIFS(tblDaily[TransfersOut],tblDaily[EntryDate],DATE(2026,3,9),tblDaily[WardCode],"CW")),"")</f>
        <v/>
      </c>
      <c r="H93" s="29">
        <f>IFERROR(IF(SUMIFS(tblDaily[Remaining],tblDaily[EntryDate],DATE(2026,3,9),tblDaily[WardCode],"CW")=0,"",SUMIFS(tblDaily[Remaining],tblDaily[EntryDate],DATE(2026,3,9),tblDaily[WardCode],"CW")),"")</f>
        <v>4</v>
      </c>
    </row>
    <row r="94" spans="1:8" x14ac:dyDescent="0.25">
      <c r="A94" s="29">
        <v>10</v>
      </c>
      <c r="B94" s="29">
        <f>IFERROR(IF(SUMIFS(tblDaily[Admissions],tblDaily[EntryDate],DATE(2026,3,10),tblDaily[WardCode],"CW")=0,"",SUMIFS(tblDaily[Admissions],tblDaily[EntryDate],DATE(2026,3,10),tblDaily[WardCode],"CW")),"")</f>
        <v>2</v>
      </c>
      <c r="C94" s="29">
        <f>IFERROR(IF(SUMIFS(tblDaily[Discharges],tblDaily[EntryDate],DATE(2026,3,10),tblDaily[WardCode],"CW")=0,"",SUMIFS(tblDaily[Discharges],tblDaily[EntryDate],DATE(2026,3,10),tblDaily[WardCode],"CW")),"")</f>
        <v>2</v>
      </c>
      <c r="D94" s="29" t="str">
        <f>IFERROR(IF(SUMIFS(tblDaily[Deaths],tblDaily[EntryDate],DATE(2026,3,10),tblDaily[WardCode],"CW")=0,"",SUMIFS(tblDaily[Deaths],tblDaily[EntryDate],DATE(2026,3,10),tblDaily[WardCode],"CW")),"")</f>
        <v/>
      </c>
      <c r="E94" s="29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29" t="str">
        <f>IFERROR(IF(SUMIFS(tblDaily[TransfersIn],tblDaily[EntryDate],DATE(2026,3,10),tblDaily[WardCode],"CW")=0,"",SUMIFS(tblDaily[TransfersIn],tblDaily[EntryDate],DATE(2026,3,10),tblDaily[WardCode],"CW")),"")</f>
        <v/>
      </c>
      <c r="G94" s="29" t="str">
        <f>IFERROR(IF(SUMIFS(tblDaily[TransfersOut],tblDaily[EntryDate],DATE(2026,3,10),tblDaily[WardCode],"CW")=0,"",SUMIFS(tblDaily[TransfersOut],tblDaily[EntryDate],DATE(2026,3,10),tblDaily[WardCode],"CW")),"")</f>
        <v/>
      </c>
      <c r="H94" s="29">
        <f>IFERROR(IF(SUMIFS(tblDaily[Remaining],tblDaily[EntryDate],DATE(2026,3,10),tblDaily[WardCode],"CW")=0,"",SUMIFS(tblDaily[Remaining],tblDaily[EntryDate],DATE(2026,3,10),tblDaily[WardCode],"CW")),"")</f>
        <v>4</v>
      </c>
    </row>
    <row r="95" spans="1:8" x14ac:dyDescent="0.25">
      <c r="A95" s="29">
        <v>11</v>
      </c>
      <c r="B95" s="29">
        <f>IFERROR(IF(SUMIFS(tblDaily[Admissions],tblDaily[EntryDate],DATE(2026,3,11),tblDaily[WardCode],"CW")=0,"",SUMIFS(tblDaily[Admissions],tblDaily[EntryDate],DATE(2026,3,11),tblDaily[WardCode],"CW")),"")</f>
        <v>3</v>
      </c>
      <c r="C95" s="29">
        <f>IFERROR(IF(SUMIFS(tblDaily[Discharges],tblDaily[EntryDate],DATE(2026,3,11),tblDaily[WardCode],"CW")=0,"",SUMIFS(tblDaily[Discharges],tblDaily[EntryDate],DATE(2026,3,11),tblDaily[WardCode],"CW")),"")</f>
        <v>1</v>
      </c>
      <c r="D95" s="29" t="str">
        <f>IFERROR(IF(SUMIFS(tblDaily[Deaths],tblDaily[EntryDate],DATE(2026,3,11),tblDaily[WardCode],"CW")=0,"",SUMIFS(tblDaily[Deaths],tblDaily[EntryDate],DATE(2026,3,11),tblDaily[WardCode],"CW")),"")</f>
        <v/>
      </c>
      <c r="E95" s="29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29" t="str">
        <f>IFERROR(IF(SUMIFS(tblDaily[TransfersIn],tblDaily[EntryDate],DATE(2026,3,11),tblDaily[WardCode],"CW")=0,"",SUMIFS(tblDaily[TransfersIn],tblDaily[EntryDate],DATE(2026,3,11),tblDaily[WardCode],"CW")),"")</f>
        <v/>
      </c>
      <c r="G95" s="29" t="str">
        <f>IFERROR(IF(SUMIFS(tblDaily[TransfersOut],tblDaily[EntryDate],DATE(2026,3,11),tblDaily[WardCode],"CW")=0,"",SUMIFS(tblDaily[TransfersOut],tblDaily[EntryDate],DATE(2026,3,11),tblDaily[WardCode],"CW")),"")</f>
        <v/>
      </c>
      <c r="H95" s="29">
        <f>IFERROR(IF(SUMIFS(tblDaily[Remaining],tblDaily[EntryDate],DATE(2026,3,11),tblDaily[WardCode],"CW")=0,"",SUMIFS(tblDaily[Remaining],tblDaily[EntryDate],DATE(2026,3,11),tblDaily[WardCode],"CW")),"")</f>
        <v>6</v>
      </c>
    </row>
    <row r="96" spans="1:8" x14ac:dyDescent="0.25">
      <c r="A96" s="29">
        <v>12</v>
      </c>
      <c r="B96" s="29">
        <f>IFERROR(IF(SUMIFS(tblDaily[Admissions],tblDaily[EntryDate],DATE(2026,3,12),tblDaily[WardCode],"CW")=0,"",SUMIFS(tblDaily[Admissions],tblDaily[EntryDate],DATE(2026,3,12),tblDaily[WardCode],"CW")),"")</f>
        <v>3</v>
      </c>
      <c r="C96" s="29">
        <f>IFERROR(IF(SUMIFS(tblDaily[Discharges],tblDaily[EntryDate],DATE(2026,3,12),tblDaily[WardCode],"CW")=0,"",SUMIFS(tblDaily[Discharges],tblDaily[EntryDate],DATE(2026,3,12),tblDaily[WardCode],"CW")),"")</f>
        <v>1</v>
      </c>
      <c r="D96" s="29" t="str">
        <f>IFERROR(IF(SUMIFS(tblDaily[Deaths],tblDaily[EntryDate],DATE(2026,3,12),tblDaily[WardCode],"CW")=0,"",SUMIFS(tblDaily[Deaths],tblDaily[EntryDate],DATE(2026,3,12),tblDaily[WardCode],"CW")),"")</f>
        <v/>
      </c>
      <c r="E96" s="29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29" t="str">
        <f>IFERROR(IF(SUMIFS(tblDaily[TransfersIn],tblDaily[EntryDate],DATE(2026,3,12),tblDaily[WardCode],"CW")=0,"",SUMIFS(tblDaily[TransfersIn],tblDaily[EntryDate],DATE(2026,3,12),tblDaily[WardCode],"CW")),"")</f>
        <v/>
      </c>
      <c r="G96" s="29" t="str">
        <f>IFERROR(IF(SUMIFS(tblDaily[TransfersOut],tblDaily[EntryDate],DATE(2026,3,12),tblDaily[WardCode],"CW")=0,"",SUMIFS(tblDaily[TransfersOut],tblDaily[EntryDate],DATE(2026,3,12),tblDaily[WardCode],"CW")),"")</f>
        <v/>
      </c>
      <c r="H96" s="29">
        <f>IFERROR(IF(SUMIFS(tblDaily[Remaining],tblDaily[EntryDate],DATE(2026,3,12),tblDaily[WardCode],"CW")=0,"",SUMIFS(tblDaily[Remaining],tblDaily[EntryDate],DATE(2026,3,12),tblDaily[WardCode],"CW")),"")</f>
        <v>8</v>
      </c>
    </row>
    <row r="97" spans="1:8" x14ac:dyDescent="0.25">
      <c r="A97" s="29">
        <v>13</v>
      </c>
      <c r="B97" s="29" t="str">
        <f>IFERROR(IF(SUMIFS(tblDaily[Admissions],tblDaily[EntryDate],DATE(2026,3,13),tblDaily[WardCode],"CW")=0,"",SUMIFS(tblDaily[Admissions],tblDaily[EntryDate],DATE(2026,3,13),tblDaily[WardCode],"CW")),"")</f>
        <v/>
      </c>
      <c r="C97" s="29">
        <f>IFERROR(IF(SUMIFS(tblDaily[Discharges],tblDaily[EntryDate],DATE(2026,3,13),tblDaily[WardCode],"CW")=0,"",SUMIFS(tblDaily[Discharges],tblDaily[EntryDate],DATE(2026,3,13),tblDaily[WardCode],"CW")),"")</f>
        <v>2</v>
      </c>
      <c r="D97" s="29" t="str">
        <f>IFERROR(IF(SUMIFS(tblDaily[Deaths],tblDaily[EntryDate],DATE(2026,3,13),tblDaily[WardCode],"CW")=0,"",SUMIFS(tblDaily[Deaths],tblDaily[EntryDate],DATE(2026,3,13),tblDaily[WardCode],"CW")),"")</f>
        <v/>
      </c>
      <c r="E97" s="29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29" t="str">
        <f>IFERROR(IF(SUMIFS(tblDaily[TransfersIn],tblDaily[EntryDate],DATE(2026,3,13),tblDaily[WardCode],"CW")=0,"",SUMIFS(tblDaily[TransfersIn],tblDaily[EntryDate],DATE(2026,3,13),tblDaily[WardCode],"CW")),"")</f>
        <v/>
      </c>
      <c r="G97" s="29" t="str">
        <f>IFERROR(IF(SUMIFS(tblDaily[TransfersOut],tblDaily[EntryDate],DATE(2026,3,13),tblDaily[WardCode],"CW")=0,"",SUMIFS(tblDaily[TransfersOut],tblDaily[EntryDate],DATE(2026,3,13),tblDaily[WardCode],"CW")),"")</f>
        <v/>
      </c>
      <c r="H97" s="29">
        <f>IFERROR(IF(SUMIFS(tblDaily[Remaining],tblDaily[EntryDate],DATE(2026,3,13),tblDaily[WardCode],"CW")=0,"",SUMIFS(tblDaily[Remaining],tblDaily[EntryDate],DATE(2026,3,13),tblDaily[WardCode],"CW")),"")</f>
        <v>6</v>
      </c>
    </row>
    <row r="98" spans="1:8" x14ac:dyDescent="0.25">
      <c r="A98" s="29">
        <v>14</v>
      </c>
      <c r="B98" s="29">
        <f>IFERROR(IF(SUMIFS(tblDaily[Admissions],tblDaily[EntryDate],DATE(2026,3,14),tblDaily[WardCode],"CW")=0,"",SUMIFS(tblDaily[Admissions],tblDaily[EntryDate],DATE(2026,3,14),tblDaily[WardCode],"CW")),"")</f>
        <v>4</v>
      </c>
      <c r="C98" s="29" t="str">
        <f>IFERROR(IF(SUMIFS(tblDaily[Discharges],tblDaily[EntryDate],DATE(2026,3,14),tblDaily[WardCode],"CW")=0,"",SUMIFS(tblDaily[Discharges],tblDaily[EntryDate],DATE(2026,3,14),tblDaily[WardCode],"CW")),"")</f>
        <v/>
      </c>
      <c r="D98" s="29" t="str">
        <f>IFERROR(IF(SUMIFS(tblDaily[Deaths],tblDaily[EntryDate],DATE(2026,3,14),tblDaily[WardCode],"CW")=0,"",SUMIFS(tblDaily[Deaths],tblDaily[EntryDate],DATE(2026,3,14),tblDaily[WardCode],"CW")),"")</f>
        <v/>
      </c>
      <c r="E98" s="29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29" t="str">
        <f>IFERROR(IF(SUMIFS(tblDaily[TransfersIn],tblDaily[EntryDate],DATE(2026,3,14),tblDaily[WardCode],"CW")=0,"",SUMIFS(tblDaily[TransfersIn],tblDaily[EntryDate],DATE(2026,3,14),tblDaily[WardCode],"CW")),"")</f>
        <v/>
      </c>
      <c r="G98" s="29" t="str">
        <f>IFERROR(IF(SUMIFS(tblDaily[TransfersOut],tblDaily[EntryDate],DATE(2026,3,14),tblDaily[WardCode],"CW")=0,"",SUMIFS(tblDaily[TransfersOut],tblDaily[EntryDate],DATE(2026,3,14),tblDaily[WardCode],"CW")),"")</f>
        <v/>
      </c>
      <c r="H98" s="29">
        <f>IFERROR(IF(SUMIFS(tblDaily[Remaining],tblDaily[EntryDate],DATE(2026,3,14),tblDaily[WardCode],"CW")=0,"",SUMIFS(tblDaily[Remaining],tblDaily[EntryDate],DATE(2026,3,14),tblDaily[WardCode],"CW")),"")</f>
        <v>10</v>
      </c>
    </row>
    <row r="99" spans="1:8" x14ac:dyDescent="0.25">
      <c r="A99" s="29">
        <v>15</v>
      </c>
      <c r="B99" s="29" t="str">
        <f>IFERROR(IF(SUMIFS(tblDaily[Admissions],tblDaily[EntryDate],DATE(2026,3,15),tblDaily[WardCode],"CW")=0,"",SUMIFS(tblDaily[Admissions],tblDaily[EntryDate],DATE(2026,3,15),tblDaily[WardCode],"CW")),"")</f>
        <v/>
      </c>
      <c r="C99" s="29">
        <f>IFERROR(IF(SUMIFS(tblDaily[Discharges],tblDaily[EntryDate],DATE(2026,3,15),tblDaily[WardCode],"CW")=0,"",SUMIFS(tblDaily[Discharges],tblDaily[EntryDate],DATE(2026,3,15),tblDaily[WardCode],"CW")),"")</f>
        <v>1</v>
      </c>
      <c r="D99" s="29" t="str">
        <f>IFERROR(IF(SUMIFS(tblDaily[Deaths],tblDaily[EntryDate],DATE(2026,3,15),tblDaily[WardCode],"CW")=0,"",SUMIFS(tblDaily[Deaths],tblDaily[EntryDate],DATE(2026,3,15),tblDaily[WardCode],"CW")),"")</f>
        <v/>
      </c>
      <c r="E99" s="29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29" t="str">
        <f>IFERROR(IF(SUMIFS(tblDaily[TransfersIn],tblDaily[EntryDate],DATE(2026,3,15),tblDaily[WardCode],"CW")=0,"",SUMIFS(tblDaily[TransfersIn],tblDaily[EntryDate],DATE(2026,3,15),tblDaily[WardCode],"CW")),"")</f>
        <v/>
      </c>
      <c r="G99" s="29" t="str">
        <f>IFERROR(IF(SUMIFS(tblDaily[TransfersOut],tblDaily[EntryDate],DATE(2026,3,15),tblDaily[WardCode],"CW")=0,"",SUMIFS(tblDaily[TransfersOut],tblDaily[EntryDate],DATE(2026,3,15),tblDaily[WardCode],"CW")),"")</f>
        <v/>
      </c>
      <c r="H99" s="29">
        <f>IFERROR(IF(SUMIFS(tblDaily[Remaining],tblDaily[EntryDate],DATE(2026,3,15),tblDaily[WardCode],"CW")=0,"",SUMIFS(tblDaily[Remaining],tblDaily[EntryDate],DATE(2026,3,15),tblDaily[WardCode],"CW")),"")</f>
        <v>9</v>
      </c>
    </row>
    <row r="100" spans="1:8" x14ac:dyDescent="0.25">
      <c r="A100" s="29">
        <v>16</v>
      </c>
      <c r="B100" s="29">
        <f>IFERROR(IF(SUMIFS(tblDaily[Admissions],tblDaily[EntryDate],DATE(2026,3,16),tblDaily[WardCode],"CW")=0,"",SUMIFS(tblDaily[Admissions],tblDaily[EntryDate],DATE(2026,3,16),tblDaily[WardCode],"CW")),"")</f>
        <v>3</v>
      </c>
      <c r="C100" s="29">
        <f>IFERROR(IF(SUMIFS(tblDaily[Discharges],tblDaily[EntryDate],DATE(2026,3,16),tblDaily[WardCode],"CW")=0,"",SUMIFS(tblDaily[Discharges],tblDaily[EntryDate],DATE(2026,3,16),tblDaily[WardCode],"CW")),"")</f>
        <v>3</v>
      </c>
      <c r="D100" s="29" t="str">
        <f>IFERROR(IF(SUMIFS(tblDaily[Deaths],tblDaily[EntryDate],DATE(2026,3,16),tblDaily[WardCode],"CW")=0,"",SUMIFS(tblDaily[Deaths],tblDaily[EntryDate],DATE(2026,3,16),tblDaily[WardCode],"CW")),"")</f>
        <v/>
      </c>
      <c r="E100" s="29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29" t="str">
        <f>IFERROR(IF(SUMIFS(tblDaily[TransfersIn],tblDaily[EntryDate],DATE(2026,3,16),tblDaily[WardCode],"CW")=0,"",SUMIFS(tblDaily[TransfersIn],tblDaily[EntryDate],DATE(2026,3,16),tblDaily[WardCode],"CW")),"")</f>
        <v/>
      </c>
      <c r="G100" s="29" t="str">
        <f>IFERROR(IF(SUMIFS(tblDaily[TransfersOut],tblDaily[EntryDate],DATE(2026,3,16),tblDaily[WardCode],"CW")=0,"",SUMIFS(tblDaily[TransfersOut],tblDaily[EntryDate],DATE(2026,3,16),tblDaily[WardCode],"CW")),"")</f>
        <v/>
      </c>
      <c r="H100" s="29">
        <f>IFERROR(IF(SUMIFS(tblDaily[Remaining],tblDaily[EntryDate],DATE(2026,3,16),tblDaily[WardCode],"CW")=0,"",SUMIFS(tblDaily[Remaining],tblDaily[EntryDate],DATE(2026,3,16),tblDaily[WardCode],"CW")),"")</f>
        <v>9</v>
      </c>
    </row>
    <row r="101" spans="1:8" x14ac:dyDescent="0.25">
      <c r="A101" s="29">
        <v>17</v>
      </c>
      <c r="B101" s="29">
        <f>IFERROR(IF(SUMIFS(tblDaily[Admissions],tblDaily[EntryDate],DATE(2026,3,17),tblDaily[WardCode],"CW")=0,"",SUMIFS(tblDaily[Admissions],tblDaily[EntryDate],DATE(2026,3,17),tblDaily[WardCode],"CW")),"")</f>
        <v>1</v>
      </c>
      <c r="C101" s="29">
        <f>IFERROR(IF(SUMIFS(tblDaily[Discharges],tblDaily[EntryDate],DATE(2026,3,17),tblDaily[WardCode],"CW")=0,"",SUMIFS(tblDaily[Discharges],tblDaily[EntryDate],DATE(2026,3,17),tblDaily[WardCode],"CW")),"")</f>
        <v>3</v>
      </c>
      <c r="D101" s="29" t="str">
        <f>IFERROR(IF(SUMIFS(tblDaily[Deaths],tblDaily[EntryDate],DATE(2026,3,17),tblDaily[WardCode],"CW")=0,"",SUMIFS(tblDaily[Deaths],tblDaily[EntryDate],DATE(2026,3,17),tblDaily[WardCode],"CW")),"")</f>
        <v/>
      </c>
      <c r="E101" s="29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29" t="str">
        <f>IFERROR(IF(SUMIFS(tblDaily[TransfersIn],tblDaily[EntryDate],DATE(2026,3,17),tblDaily[WardCode],"CW")=0,"",SUMIFS(tblDaily[TransfersIn],tblDaily[EntryDate],DATE(2026,3,17),tblDaily[WardCode],"CW")),"")</f>
        <v/>
      </c>
      <c r="G101" s="29" t="str">
        <f>IFERROR(IF(SUMIFS(tblDaily[TransfersOut],tblDaily[EntryDate],DATE(2026,3,17),tblDaily[WardCode],"CW")=0,"",SUMIFS(tblDaily[TransfersOut],tblDaily[EntryDate],DATE(2026,3,17),tblDaily[WardCode],"CW")),"")</f>
        <v/>
      </c>
      <c r="H101" s="29">
        <f>IFERROR(IF(SUMIFS(tblDaily[Remaining],tblDaily[EntryDate],DATE(2026,3,17),tblDaily[WardCode],"CW")=0,"",SUMIFS(tblDaily[Remaining],tblDaily[EntryDate],DATE(2026,3,17),tblDaily[WardCode],"CW")),"")</f>
        <v>7</v>
      </c>
    </row>
    <row r="102" spans="1:8" x14ac:dyDescent="0.25">
      <c r="A102" s="29">
        <v>18</v>
      </c>
      <c r="B102" s="29">
        <f>IFERROR(IF(SUMIFS(tblDaily[Admissions],tblDaily[EntryDate],DATE(2026,3,18),tblDaily[WardCode],"CW")=0,"",SUMIFS(tblDaily[Admissions],tblDaily[EntryDate],DATE(2026,3,18),tblDaily[WardCode],"CW")),"")</f>
        <v>3</v>
      </c>
      <c r="C102" s="29">
        <f>IFERROR(IF(SUMIFS(tblDaily[Discharges],tblDaily[EntryDate],DATE(2026,3,18),tblDaily[WardCode],"CW")=0,"",SUMIFS(tblDaily[Discharges],tblDaily[EntryDate],DATE(2026,3,18),tblDaily[WardCode],"CW")),"")</f>
        <v>2</v>
      </c>
      <c r="D102" s="29" t="str">
        <f>IFERROR(IF(SUMIFS(tblDaily[Deaths],tblDaily[EntryDate],DATE(2026,3,18),tblDaily[WardCode],"CW")=0,"",SUMIFS(tblDaily[Deaths],tblDaily[EntryDate],DATE(2026,3,18),tblDaily[WardCode],"CW")),"")</f>
        <v/>
      </c>
      <c r="E102" s="29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29" t="str">
        <f>IFERROR(IF(SUMIFS(tblDaily[TransfersIn],tblDaily[EntryDate],DATE(2026,3,18),tblDaily[WardCode],"CW")=0,"",SUMIFS(tblDaily[TransfersIn],tblDaily[EntryDate],DATE(2026,3,18),tblDaily[WardCode],"CW")),"")</f>
        <v/>
      </c>
      <c r="G102" s="29" t="str">
        <f>IFERROR(IF(SUMIFS(tblDaily[TransfersOut],tblDaily[EntryDate],DATE(2026,3,18),tblDaily[WardCode],"CW")=0,"",SUMIFS(tblDaily[TransfersOut],tblDaily[EntryDate],DATE(2026,3,18),tblDaily[WardCode],"CW")),"")</f>
        <v/>
      </c>
      <c r="H102" s="29">
        <f>IFERROR(IF(SUMIFS(tblDaily[Remaining],tblDaily[EntryDate],DATE(2026,3,18),tblDaily[WardCode],"CW")=0,"",SUMIFS(tblDaily[Remaining],tblDaily[EntryDate],DATE(2026,3,18),tblDaily[WardCode],"CW")),"")</f>
        <v>8</v>
      </c>
    </row>
    <row r="103" spans="1:8" x14ac:dyDescent="0.25">
      <c r="A103" s="29">
        <v>19</v>
      </c>
      <c r="B103" s="29">
        <f>IFERROR(IF(SUMIFS(tblDaily[Admissions],tblDaily[EntryDate],DATE(2026,3,19),tblDaily[WardCode],"CW")=0,"",SUMIFS(tblDaily[Admissions],tblDaily[EntryDate],DATE(2026,3,19),tblDaily[WardCode],"CW")),"")</f>
        <v>5</v>
      </c>
      <c r="C103" s="29">
        <f>IFERROR(IF(SUMIFS(tblDaily[Discharges],tblDaily[EntryDate],DATE(2026,3,19),tblDaily[WardCode],"CW")=0,"",SUMIFS(tblDaily[Discharges],tblDaily[EntryDate],DATE(2026,3,19),tblDaily[WardCode],"CW")),"")</f>
        <v>3</v>
      </c>
      <c r="D103" s="29" t="str">
        <f>IFERROR(IF(SUMIFS(tblDaily[Deaths],tblDaily[EntryDate],DATE(2026,3,19),tblDaily[WardCode],"CW")=0,"",SUMIFS(tblDaily[Deaths],tblDaily[EntryDate],DATE(2026,3,19),tblDaily[WardCode],"CW")),"")</f>
        <v/>
      </c>
      <c r="E103" s="29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29" t="str">
        <f>IFERROR(IF(SUMIFS(tblDaily[TransfersIn],tblDaily[EntryDate],DATE(2026,3,19),tblDaily[WardCode],"CW")=0,"",SUMIFS(tblDaily[TransfersIn],tblDaily[EntryDate],DATE(2026,3,19),tblDaily[WardCode],"CW")),"")</f>
        <v/>
      </c>
      <c r="G103" s="29" t="str">
        <f>IFERROR(IF(SUMIFS(tblDaily[TransfersOut],tblDaily[EntryDate],DATE(2026,3,19),tblDaily[WardCode],"CW")=0,"",SUMIFS(tblDaily[TransfersOut],tblDaily[EntryDate],DATE(2026,3,19),tblDaily[WardCode],"CW")),"")</f>
        <v/>
      </c>
      <c r="H103" s="29">
        <f>IFERROR(IF(SUMIFS(tblDaily[Remaining],tblDaily[EntryDate],DATE(2026,3,19),tblDaily[WardCode],"CW")=0,"",SUMIFS(tblDaily[Remaining],tblDaily[EntryDate],DATE(2026,3,19),tblDaily[WardCode],"CW")),"")</f>
        <v>10</v>
      </c>
    </row>
    <row r="104" spans="1:8" x14ac:dyDescent="0.25">
      <c r="A104" s="29">
        <v>20</v>
      </c>
      <c r="B104" s="29">
        <f>IFERROR(IF(SUMIFS(tblDaily[Admissions],tblDaily[EntryDate],DATE(2026,3,20),tblDaily[WardCode],"CW")=0,"",SUMIFS(tblDaily[Admissions],tblDaily[EntryDate],DATE(2026,3,20),tblDaily[WardCode],"CW")),"")</f>
        <v>3</v>
      </c>
      <c r="C104" s="29" t="str">
        <f>IFERROR(IF(SUMIFS(tblDaily[Discharges],tblDaily[EntryDate],DATE(2026,3,20),tblDaily[WardCode],"CW")=0,"",SUMIFS(tblDaily[Discharges],tblDaily[EntryDate],DATE(2026,3,20),tblDaily[WardCode],"CW")),"")</f>
        <v/>
      </c>
      <c r="D104" s="29" t="str">
        <f>IFERROR(IF(SUMIFS(tblDaily[Deaths],tblDaily[EntryDate],DATE(2026,3,20),tblDaily[WardCode],"CW")=0,"",SUMIFS(tblDaily[Deaths],tblDaily[EntryDate],DATE(2026,3,20),tblDaily[WardCode],"CW")),"")</f>
        <v/>
      </c>
      <c r="E104" s="29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29">
        <f>IFERROR(IF(SUMIFS(tblDaily[TransfersIn],tblDaily[EntryDate],DATE(2026,3,20),tblDaily[WardCode],"CW")=0,"",SUMIFS(tblDaily[TransfersIn],tblDaily[EntryDate],DATE(2026,3,20),tblDaily[WardCode],"CW")),"")</f>
        <v>1</v>
      </c>
      <c r="G104" s="29" t="str">
        <f>IFERROR(IF(SUMIFS(tblDaily[TransfersOut],tblDaily[EntryDate],DATE(2026,3,20),tblDaily[WardCode],"CW")=0,"",SUMIFS(tblDaily[TransfersOut],tblDaily[EntryDate],DATE(2026,3,20),tblDaily[WardCode],"CW")),"")</f>
        <v/>
      </c>
      <c r="H104" s="29">
        <f>IFERROR(IF(SUMIFS(tblDaily[Remaining],tblDaily[EntryDate],DATE(2026,3,20),tblDaily[WardCode],"CW")=0,"",SUMIFS(tblDaily[Remaining],tblDaily[EntryDate],DATE(2026,3,20),tblDaily[WardCode],"CW")),"")</f>
        <v>14</v>
      </c>
    </row>
    <row r="105" spans="1:8" x14ac:dyDescent="0.25">
      <c r="A105" s="29">
        <v>21</v>
      </c>
      <c r="B105" s="29">
        <f>IFERROR(IF(SUMIFS(tblDaily[Admissions],tblDaily[EntryDate],DATE(2026,3,21),tblDaily[WardCode],"CW")=0,"",SUMIFS(tblDaily[Admissions],tblDaily[EntryDate],DATE(2026,3,21),tblDaily[WardCode],"CW")),"")</f>
        <v>2</v>
      </c>
      <c r="C105" s="29">
        <f>IFERROR(IF(SUMIFS(tblDaily[Discharges],tblDaily[EntryDate],DATE(2026,3,21),tblDaily[WardCode],"CW")=0,"",SUMIFS(tblDaily[Discharges],tblDaily[EntryDate],DATE(2026,3,21),tblDaily[WardCode],"CW")),"")</f>
        <v>3</v>
      </c>
      <c r="D105" s="29" t="str">
        <f>IFERROR(IF(SUMIFS(tblDaily[Deaths],tblDaily[EntryDate],DATE(2026,3,21),tblDaily[WardCode],"CW")=0,"",SUMIFS(tblDaily[Deaths],tblDaily[EntryDate],DATE(2026,3,21),tblDaily[WardCode],"CW")),"")</f>
        <v/>
      </c>
      <c r="E105" s="29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29" t="str">
        <f>IFERROR(IF(SUMIFS(tblDaily[TransfersIn],tblDaily[EntryDate],DATE(2026,3,21),tblDaily[WardCode],"CW")=0,"",SUMIFS(tblDaily[TransfersIn],tblDaily[EntryDate],DATE(2026,3,21),tblDaily[WardCode],"CW")),"")</f>
        <v/>
      </c>
      <c r="G105" s="29" t="str">
        <f>IFERROR(IF(SUMIFS(tblDaily[TransfersOut],tblDaily[EntryDate],DATE(2026,3,21),tblDaily[WardCode],"CW")=0,"",SUMIFS(tblDaily[TransfersOut],tblDaily[EntryDate],DATE(2026,3,21),tblDaily[WardCode],"CW")),"")</f>
        <v/>
      </c>
      <c r="H105" s="29">
        <f>IFERROR(IF(SUMIFS(tblDaily[Remaining],tblDaily[EntryDate],DATE(2026,3,21),tblDaily[WardCode],"CW")=0,"",SUMIFS(tblDaily[Remaining],tblDaily[EntryDate],DATE(2026,3,21),tblDaily[WardCode],"CW")),"")</f>
        <v>13</v>
      </c>
    </row>
    <row r="106" spans="1:8" x14ac:dyDescent="0.25">
      <c r="A106" s="29">
        <v>22</v>
      </c>
      <c r="B106" s="29">
        <f>IFERROR(IF(SUMIFS(tblDaily[Admissions],tblDaily[EntryDate],DATE(2026,3,22),tblDaily[WardCode],"CW")=0,"",SUMIFS(tblDaily[Admissions],tblDaily[EntryDate],DATE(2026,3,22),tblDaily[WardCode],"CW")),"")</f>
        <v>3</v>
      </c>
      <c r="C106" s="29">
        <f>IFERROR(IF(SUMIFS(tblDaily[Discharges],tblDaily[EntryDate],DATE(2026,3,22),tblDaily[WardCode],"CW")=0,"",SUMIFS(tblDaily[Discharges],tblDaily[EntryDate],DATE(2026,3,22),tblDaily[WardCode],"CW")),"")</f>
        <v>5</v>
      </c>
      <c r="D106" s="29" t="str">
        <f>IFERROR(IF(SUMIFS(tblDaily[Deaths],tblDaily[EntryDate],DATE(2026,3,22),tblDaily[WardCode],"CW")=0,"",SUMIFS(tblDaily[Deaths],tblDaily[EntryDate],DATE(2026,3,22),tblDaily[WardCode],"CW")),"")</f>
        <v/>
      </c>
      <c r="E106" s="29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29" t="str">
        <f>IFERROR(IF(SUMIFS(tblDaily[TransfersIn],tblDaily[EntryDate],DATE(2026,3,22),tblDaily[WardCode],"CW")=0,"",SUMIFS(tblDaily[TransfersIn],tblDaily[EntryDate],DATE(2026,3,22),tblDaily[WardCode],"CW")),"")</f>
        <v/>
      </c>
      <c r="G106" s="29" t="str">
        <f>IFERROR(IF(SUMIFS(tblDaily[TransfersOut],tblDaily[EntryDate],DATE(2026,3,22),tblDaily[WardCode],"CW")=0,"",SUMIFS(tblDaily[TransfersOut],tblDaily[EntryDate],DATE(2026,3,22),tblDaily[WardCode],"CW")),"")</f>
        <v/>
      </c>
      <c r="H106" s="29">
        <f>IFERROR(IF(SUMIFS(tblDaily[Remaining],tblDaily[EntryDate],DATE(2026,3,22),tblDaily[WardCode],"CW")=0,"",SUMIFS(tblDaily[Remaining],tblDaily[EntryDate],DATE(2026,3,22),tblDaily[WardCode],"CW")),"")</f>
        <v>11</v>
      </c>
    </row>
    <row r="107" spans="1:8" x14ac:dyDescent="0.25">
      <c r="A107" s="29">
        <v>23</v>
      </c>
      <c r="B107" s="29">
        <f>IFERROR(IF(SUMIFS(tblDaily[Admissions],tblDaily[EntryDate],DATE(2026,3,23),tblDaily[WardCode],"CW")=0,"",SUMIFS(tblDaily[Admissions],tblDaily[EntryDate],DATE(2026,3,23),tblDaily[WardCode],"CW")),"")</f>
        <v>1</v>
      </c>
      <c r="C107" s="29">
        <f>IFERROR(IF(SUMIFS(tblDaily[Discharges],tblDaily[EntryDate],DATE(2026,3,23),tblDaily[WardCode],"CW")=0,"",SUMIFS(tblDaily[Discharges],tblDaily[EntryDate],DATE(2026,3,23),tblDaily[WardCode],"CW")),"")</f>
        <v>3</v>
      </c>
      <c r="D107" s="29" t="str">
        <f>IFERROR(IF(SUMIFS(tblDaily[Deaths],tblDaily[EntryDate],DATE(2026,3,23),tblDaily[WardCode],"CW")=0,"",SUMIFS(tblDaily[Deaths],tblDaily[EntryDate],DATE(2026,3,23),tblDaily[WardCode],"CW")),"")</f>
        <v/>
      </c>
      <c r="E107" s="29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29" t="str">
        <f>IFERROR(IF(SUMIFS(tblDaily[TransfersIn],tblDaily[EntryDate],DATE(2026,3,23),tblDaily[WardCode],"CW")=0,"",SUMIFS(tblDaily[TransfersIn],tblDaily[EntryDate],DATE(2026,3,23),tblDaily[WardCode],"CW")),"")</f>
        <v/>
      </c>
      <c r="G107" s="29" t="str">
        <f>IFERROR(IF(SUMIFS(tblDaily[TransfersOut],tblDaily[EntryDate],DATE(2026,3,23),tblDaily[WardCode],"CW")=0,"",SUMIFS(tblDaily[TransfersOut],tblDaily[EntryDate],DATE(2026,3,23),tblDaily[WardCode],"CW")),"")</f>
        <v/>
      </c>
      <c r="H107" s="29">
        <f>IFERROR(IF(SUMIFS(tblDaily[Remaining],tblDaily[EntryDate],DATE(2026,3,23),tblDaily[WardCode],"CW")=0,"",SUMIFS(tblDaily[Remaining],tblDaily[EntryDate],DATE(2026,3,23),tblDaily[WardCode],"CW")),"")</f>
        <v>9</v>
      </c>
    </row>
    <row r="108" spans="1:8" x14ac:dyDescent="0.25">
      <c r="A108" s="29">
        <v>24</v>
      </c>
      <c r="B108" s="29">
        <f>IFERROR(IF(SUMIFS(tblDaily[Admissions],tblDaily[EntryDate],DATE(2026,3,24),tblDaily[WardCode],"CW")=0,"",SUMIFS(tblDaily[Admissions],tblDaily[EntryDate],DATE(2026,3,24),tblDaily[WardCode],"CW")),"")</f>
        <v>4</v>
      </c>
      <c r="C108" s="29">
        <f>IFERROR(IF(SUMIFS(tblDaily[Discharges],tblDaily[EntryDate],DATE(2026,3,24),tblDaily[WardCode],"CW")=0,"",SUMIFS(tblDaily[Discharges],tblDaily[EntryDate],DATE(2026,3,24),tblDaily[WardCode],"CW")),"")</f>
        <v>6</v>
      </c>
      <c r="D108" s="29" t="str">
        <f>IFERROR(IF(SUMIFS(tblDaily[Deaths],tblDaily[EntryDate],DATE(2026,3,24),tblDaily[WardCode],"CW")=0,"",SUMIFS(tblDaily[Deaths],tblDaily[EntryDate],DATE(2026,3,24),tblDaily[WardCode],"CW")),"")</f>
        <v/>
      </c>
      <c r="E108" s="29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29">
        <f>IFERROR(IF(SUMIFS(tblDaily[TransfersIn],tblDaily[EntryDate],DATE(2026,3,24),tblDaily[WardCode],"CW")=0,"",SUMIFS(tblDaily[TransfersIn],tblDaily[EntryDate],DATE(2026,3,24),tblDaily[WardCode],"CW")),"")</f>
        <v>2</v>
      </c>
      <c r="G108" s="29" t="str">
        <f>IFERROR(IF(SUMIFS(tblDaily[TransfersOut],tblDaily[EntryDate],DATE(2026,3,24),tblDaily[WardCode],"CW")=0,"",SUMIFS(tblDaily[TransfersOut],tblDaily[EntryDate],DATE(2026,3,24),tblDaily[WardCode],"CW")),"")</f>
        <v/>
      </c>
      <c r="H108" s="29">
        <f>IFERROR(IF(SUMIFS(tblDaily[Remaining],tblDaily[EntryDate],DATE(2026,3,24),tblDaily[WardCode],"CW")=0,"",SUMIFS(tblDaily[Remaining],tblDaily[EntryDate],DATE(2026,3,24),tblDaily[WardCode],"CW")),"")</f>
        <v>9</v>
      </c>
    </row>
    <row r="109" spans="1:8" x14ac:dyDescent="0.25">
      <c r="A109" s="29">
        <v>25</v>
      </c>
      <c r="B109" s="29">
        <f>IFERROR(IF(SUMIFS(tblDaily[Admissions],tblDaily[EntryDate],DATE(2026,3,25),tblDaily[WardCode],"CW")=0,"",SUMIFS(tblDaily[Admissions],tblDaily[EntryDate],DATE(2026,3,25),tblDaily[WardCode],"CW")),"")</f>
        <v>2</v>
      </c>
      <c r="C109" s="29">
        <f>IFERROR(IF(SUMIFS(tblDaily[Discharges],tblDaily[EntryDate],DATE(2026,3,25),tblDaily[WardCode],"CW")=0,"",SUMIFS(tblDaily[Discharges],tblDaily[EntryDate],DATE(2026,3,25),tblDaily[WardCode],"CW")),"")</f>
        <v>3</v>
      </c>
      <c r="D109" s="29" t="str">
        <f>IFERROR(IF(SUMIFS(tblDaily[Deaths],tblDaily[EntryDate],DATE(2026,3,25),tblDaily[WardCode],"CW")=0,"",SUMIFS(tblDaily[Deaths],tblDaily[EntryDate],DATE(2026,3,25),tblDaily[WardCode],"CW")),"")</f>
        <v/>
      </c>
      <c r="E109" s="29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29" t="str">
        <f>IFERROR(IF(SUMIFS(tblDaily[TransfersIn],tblDaily[EntryDate],DATE(2026,3,25),tblDaily[WardCode],"CW")=0,"",SUMIFS(tblDaily[TransfersIn],tblDaily[EntryDate],DATE(2026,3,25),tblDaily[WardCode],"CW")),"")</f>
        <v/>
      </c>
      <c r="G109" s="29" t="str">
        <f>IFERROR(IF(SUMIFS(tblDaily[TransfersOut],tblDaily[EntryDate],DATE(2026,3,25),tblDaily[WardCode],"CW")=0,"",SUMIFS(tblDaily[TransfersOut],tblDaily[EntryDate],DATE(2026,3,25),tblDaily[WardCode],"CW")),"")</f>
        <v/>
      </c>
      <c r="H109" s="29">
        <f>IFERROR(IF(SUMIFS(tblDaily[Remaining],tblDaily[EntryDate],DATE(2026,3,25),tblDaily[WardCode],"CW")=0,"",SUMIFS(tblDaily[Remaining],tblDaily[EntryDate],DATE(2026,3,25),tblDaily[WardCode],"CW")),"")</f>
        <v>8</v>
      </c>
    </row>
    <row r="110" spans="1:8" x14ac:dyDescent="0.25">
      <c r="A110" s="29">
        <v>26</v>
      </c>
      <c r="B110" s="29">
        <f>IFERROR(IF(SUMIFS(tblDaily[Admissions],tblDaily[EntryDate],DATE(2026,3,26),tblDaily[WardCode],"CW")=0,"",SUMIFS(tblDaily[Admissions],tblDaily[EntryDate],DATE(2026,3,26),tblDaily[WardCode],"CW")),"")</f>
        <v>3</v>
      </c>
      <c r="C110" s="29">
        <f>IFERROR(IF(SUMIFS(tblDaily[Discharges],tblDaily[EntryDate],DATE(2026,3,26),tblDaily[WardCode],"CW")=0,"",SUMIFS(tblDaily[Discharges],tblDaily[EntryDate],DATE(2026,3,26),tblDaily[WardCode],"CW")),"")</f>
        <v>2</v>
      </c>
      <c r="D110" s="29" t="str">
        <f>IFERROR(IF(SUMIFS(tblDaily[Deaths],tblDaily[EntryDate],DATE(2026,3,26),tblDaily[WardCode],"CW")=0,"",SUMIFS(tblDaily[Deaths],tblDaily[EntryDate],DATE(2026,3,26),tblDaily[WardCode],"CW")),"")</f>
        <v/>
      </c>
      <c r="E110" s="29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29" t="str">
        <f>IFERROR(IF(SUMIFS(tblDaily[TransfersIn],tblDaily[EntryDate],DATE(2026,3,26),tblDaily[WardCode],"CW")=0,"",SUMIFS(tblDaily[TransfersIn],tblDaily[EntryDate],DATE(2026,3,26),tblDaily[WardCode],"CW")),"")</f>
        <v/>
      </c>
      <c r="G110" s="29" t="str">
        <f>IFERROR(IF(SUMIFS(tblDaily[TransfersOut],tblDaily[EntryDate],DATE(2026,3,26),tblDaily[WardCode],"CW")=0,"",SUMIFS(tblDaily[TransfersOut],tblDaily[EntryDate],DATE(2026,3,26),tblDaily[WardCode],"CW")),"")</f>
        <v/>
      </c>
      <c r="H110" s="29">
        <f>IFERROR(IF(SUMIFS(tblDaily[Remaining],tblDaily[EntryDate],DATE(2026,3,26),tblDaily[WardCode],"CW")=0,"",SUMIFS(tblDaily[Remaining],tblDaily[EntryDate],DATE(2026,3,26),tblDaily[WardCode],"CW")),"")</f>
        <v>9</v>
      </c>
    </row>
    <row r="111" spans="1:8" x14ac:dyDescent="0.25">
      <c r="A111" s="29">
        <v>27</v>
      </c>
      <c r="B111" s="29">
        <f>IFERROR(IF(SUMIFS(tblDaily[Admissions],tblDaily[EntryDate],DATE(2026,3,27),tblDaily[WardCode],"CW")=0,"",SUMIFS(tblDaily[Admissions],tblDaily[EntryDate],DATE(2026,3,27),tblDaily[WardCode],"CW")),"")</f>
        <v>4</v>
      </c>
      <c r="C111" s="29">
        <f>IFERROR(IF(SUMIFS(tblDaily[Discharges],tblDaily[EntryDate],DATE(2026,3,27),tblDaily[WardCode],"CW")=0,"",SUMIFS(tblDaily[Discharges],tblDaily[EntryDate],DATE(2026,3,27),tblDaily[WardCode],"CW")),"")</f>
        <v>4</v>
      </c>
      <c r="D111" s="29" t="str">
        <f>IFERROR(IF(SUMIFS(tblDaily[Deaths],tblDaily[EntryDate],DATE(2026,3,27),tblDaily[WardCode],"CW")=0,"",SUMIFS(tblDaily[Deaths],tblDaily[EntryDate],DATE(2026,3,27),tblDaily[WardCode],"CW")),"")</f>
        <v/>
      </c>
      <c r="E111" s="29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29" t="str">
        <f>IFERROR(IF(SUMIFS(tblDaily[TransfersIn],tblDaily[EntryDate],DATE(2026,3,27),tblDaily[WardCode],"CW")=0,"",SUMIFS(tblDaily[TransfersIn],tblDaily[EntryDate],DATE(2026,3,27),tblDaily[WardCode],"CW")),"")</f>
        <v/>
      </c>
      <c r="G111" s="29" t="str">
        <f>IFERROR(IF(SUMIFS(tblDaily[TransfersOut],tblDaily[EntryDate],DATE(2026,3,27),tblDaily[WardCode],"CW")=0,"",SUMIFS(tblDaily[TransfersOut],tblDaily[EntryDate],DATE(2026,3,27),tblDaily[WardCode],"CW")),"")</f>
        <v/>
      </c>
      <c r="H111" s="29">
        <f>IFERROR(IF(SUMIFS(tblDaily[Remaining],tblDaily[EntryDate],DATE(2026,3,27),tblDaily[WardCode],"CW")=0,"",SUMIFS(tblDaily[Remaining],tblDaily[EntryDate],DATE(2026,3,27),tblDaily[WardCode],"CW")),"")</f>
        <v>9</v>
      </c>
    </row>
    <row r="112" spans="1:8" x14ac:dyDescent="0.25">
      <c r="A112" s="29">
        <v>28</v>
      </c>
      <c r="B112" s="29">
        <f>IFERROR(IF(SUMIFS(tblDaily[Admissions],tblDaily[EntryDate],DATE(2026,3,28),tblDaily[WardCode],"CW")=0,"",SUMIFS(tblDaily[Admissions],tblDaily[EntryDate],DATE(2026,3,28),tblDaily[WardCode],"CW")),"")</f>
        <v>2</v>
      </c>
      <c r="C112" s="29">
        <f>IFERROR(IF(SUMIFS(tblDaily[Discharges],tblDaily[EntryDate],DATE(2026,3,28),tblDaily[WardCode],"CW")=0,"",SUMIFS(tblDaily[Discharges],tblDaily[EntryDate],DATE(2026,3,28),tblDaily[WardCode],"CW")),"")</f>
        <v>1</v>
      </c>
      <c r="D112" s="29" t="str">
        <f>IFERROR(IF(SUMIFS(tblDaily[Deaths],tblDaily[EntryDate],DATE(2026,3,28),tblDaily[WardCode],"CW")=0,"",SUMIFS(tblDaily[Deaths],tblDaily[EntryDate],DATE(2026,3,28),tblDaily[WardCode],"CW")),"")</f>
        <v/>
      </c>
      <c r="E112" s="29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29" t="str">
        <f>IFERROR(IF(SUMIFS(tblDaily[TransfersIn],tblDaily[EntryDate],DATE(2026,3,28),tblDaily[WardCode],"CW")=0,"",SUMIFS(tblDaily[TransfersIn],tblDaily[EntryDate],DATE(2026,3,28),tblDaily[WardCode],"CW")),"")</f>
        <v/>
      </c>
      <c r="G112" s="29" t="str">
        <f>IFERROR(IF(SUMIFS(tblDaily[TransfersOut],tblDaily[EntryDate],DATE(2026,3,28),tblDaily[WardCode],"CW")=0,"",SUMIFS(tblDaily[TransfersOut],tblDaily[EntryDate],DATE(2026,3,28),tblDaily[WardCode],"CW")),"")</f>
        <v/>
      </c>
      <c r="H112" s="29">
        <f>IFERROR(IF(SUMIFS(tblDaily[Remaining],tblDaily[EntryDate],DATE(2026,3,28),tblDaily[WardCode],"CW")=0,"",SUMIFS(tblDaily[Remaining],tblDaily[EntryDate],DATE(2026,3,28),tblDaily[WardCode],"CW")),"")</f>
        <v>10</v>
      </c>
    </row>
    <row r="113" spans="1:8" x14ac:dyDescent="0.25">
      <c r="A113" s="29">
        <v>29</v>
      </c>
      <c r="B113" s="29">
        <f>IFERROR(IF(SUMIFS(tblDaily[Admissions],tblDaily[EntryDate],DATE(2026,3,29),tblDaily[WardCode],"CW")=0,"",SUMIFS(tblDaily[Admissions],tblDaily[EntryDate],DATE(2026,3,29),tblDaily[WardCode],"CW")),"")</f>
        <v>1</v>
      </c>
      <c r="C113" s="29">
        <f>IFERROR(IF(SUMIFS(tblDaily[Discharges],tblDaily[EntryDate],DATE(2026,3,29),tblDaily[WardCode],"CW")=0,"",SUMIFS(tblDaily[Discharges],tblDaily[EntryDate],DATE(2026,3,29),tblDaily[WardCode],"CW")),"")</f>
        <v>1</v>
      </c>
      <c r="D113" s="29" t="str">
        <f>IFERROR(IF(SUMIFS(tblDaily[Deaths],tblDaily[EntryDate],DATE(2026,3,29),tblDaily[WardCode],"CW")=0,"",SUMIFS(tblDaily[Deaths],tblDaily[EntryDate],DATE(2026,3,29),tblDaily[WardCode],"CW")),"")</f>
        <v/>
      </c>
      <c r="E113" s="29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29">
        <f>IFERROR(IF(SUMIFS(tblDaily[TransfersIn],tblDaily[EntryDate],DATE(2026,3,29),tblDaily[WardCode],"CW")=0,"",SUMIFS(tblDaily[TransfersIn],tblDaily[EntryDate],DATE(2026,3,29),tblDaily[WardCode],"CW")),"")</f>
        <v>1</v>
      </c>
      <c r="G113" s="29" t="str">
        <f>IFERROR(IF(SUMIFS(tblDaily[TransfersOut],tblDaily[EntryDate],DATE(2026,3,29),tblDaily[WardCode],"CW")=0,"",SUMIFS(tblDaily[TransfersOut],tblDaily[EntryDate],DATE(2026,3,29),tblDaily[WardCode],"CW")),"")</f>
        <v/>
      </c>
      <c r="H113" s="29">
        <f>IFERROR(IF(SUMIFS(tblDaily[Remaining],tblDaily[EntryDate],DATE(2026,3,29),tblDaily[WardCode],"CW")=0,"",SUMIFS(tblDaily[Remaining],tblDaily[EntryDate],DATE(2026,3,29),tblDaily[WardCode],"CW")),"")</f>
        <v>11</v>
      </c>
    </row>
    <row r="114" spans="1:8" x14ac:dyDescent="0.25">
      <c r="A114" s="29">
        <v>30</v>
      </c>
      <c r="B114" s="29">
        <f>IFERROR(IF(SUMIFS(tblDaily[Admissions],tblDaily[EntryDate],DATE(2026,3,30),tblDaily[WardCode],"CW")=0,"",SUMIFS(tblDaily[Admissions],tblDaily[EntryDate],DATE(2026,3,30),tblDaily[WardCode],"CW")),"")</f>
        <v>2</v>
      </c>
      <c r="C114" s="29">
        <f>IFERROR(IF(SUMIFS(tblDaily[Discharges],tblDaily[EntryDate],DATE(2026,3,30),tblDaily[WardCode],"CW")=0,"",SUMIFS(tblDaily[Discharges],tblDaily[EntryDate],DATE(2026,3,30),tblDaily[WardCode],"CW")),"")</f>
        <v>3</v>
      </c>
      <c r="D114" s="29" t="str">
        <f>IFERROR(IF(SUMIFS(tblDaily[Deaths],tblDaily[EntryDate],DATE(2026,3,30),tblDaily[WardCode],"CW")=0,"",SUMIFS(tblDaily[Deaths],tblDaily[EntryDate],DATE(2026,3,30),tblDaily[WardCode],"CW")),"")</f>
        <v/>
      </c>
      <c r="E114" s="29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29" t="str">
        <f>IFERROR(IF(SUMIFS(tblDaily[TransfersIn],tblDaily[EntryDate],DATE(2026,3,30),tblDaily[WardCode],"CW")=0,"",SUMIFS(tblDaily[TransfersIn],tblDaily[EntryDate],DATE(2026,3,30),tblDaily[WardCode],"CW")),"")</f>
        <v/>
      </c>
      <c r="G114" s="29" t="str">
        <f>IFERROR(IF(SUMIFS(tblDaily[TransfersOut],tblDaily[EntryDate],DATE(2026,3,30),tblDaily[WardCode],"CW")=0,"",SUMIFS(tblDaily[TransfersOut],tblDaily[EntryDate],DATE(2026,3,30),tblDaily[WardCode],"CW")),"")</f>
        <v/>
      </c>
      <c r="H114" s="29">
        <f>IFERROR(IF(SUMIFS(tblDaily[Remaining],tblDaily[EntryDate],DATE(2026,3,30),tblDaily[WardCode],"CW")=0,"",SUMIFS(tblDaily[Remaining],tblDaily[EntryDate],DATE(2026,3,30),tblDaily[WardCode],"CW")),"")</f>
        <v>10</v>
      </c>
    </row>
    <row r="115" spans="1:8" x14ac:dyDescent="0.25">
      <c r="A115" s="29">
        <v>31</v>
      </c>
      <c r="B115" s="29">
        <f>IFERROR(IF(SUMIFS(tblDaily[Admissions],tblDaily[EntryDate],DATE(2026,3,31),tblDaily[WardCode],"CW")=0,"",SUMIFS(tblDaily[Admissions],tblDaily[EntryDate],DATE(2026,3,31),tblDaily[WardCode],"CW")),"")</f>
        <v>3</v>
      </c>
      <c r="C115" s="29">
        <f>IFERROR(IF(SUMIFS(tblDaily[Discharges],tblDaily[EntryDate],DATE(2026,3,31),tblDaily[WardCode],"CW")=0,"",SUMIFS(tblDaily[Discharges],tblDaily[EntryDate],DATE(2026,3,31),tblDaily[WardCode],"CW")),"")</f>
        <v>3</v>
      </c>
      <c r="D115" s="29" t="str">
        <f>IFERROR(IF(SUMIFS(tblDaily[Deaths],tblDaily[EntryDate],DATE(2026,3,31),tblDaily[WardCode],"CW")=0,"",SUMIFS(tblDaily[Deaths],tblDaily[EntryDate],DATE(2026,3,31),tblDaily[WardCode],"CW")),"")</f>
        <v/>
      </c>
      <c r="E115" s="29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29" t="str">
        <f>IFERROR(IF(SUMIFS(tblDaily[TransfersIn],tblDaily[EntryDate],DATE(2026,3,31),tblDaily[WardCode],"CW")=0,"",SUMIFS(tblDaily[TransfersIn],tblDaily[EntryDate],DATE(2026,3,31),tblDaily[WardCode],"CW")),"")</f>
        <v/>
      </c>
      <c r="G115" s="29" t="str">
        <f>IFERROR(IF(SUMIFS(tblDaily[TransfersOut],tblDaily[EntryDate],DATE(2026,3,31),tblDaily[WardCode],"CW")=0,"",SUMIFS(tblDaily[TransfersOut],tblDaily[EntryDate],DATE(2026,3,31),tblDaily[WardCode],"CW")),"")</f>
        <v/>
      </c>
      <c r="H115" s="29">
        <f>IFERROR(IF(SUMIFS(tblDaily[Remaining],tblDaily[EntryDate],DATE(2026,3,31),tblDaily[WardCode],"CW")=0,"",SUMIFS(tblDaily[Remaining],tblDaily[EntryDate],DATE(2026,3,31),tblDaily[WardCode],"CW")),"")</f>
        <v>10</v>
      </c>
    </row>
    <row r="116" spans="1:8" x14ac:dyDescent="0.25">
      <c r="A116" s="30" t="s">
        <v>115</v>
      </c>
      <c r="B116" s="30">
        <f>SUMIFS(tblDaily[Admissions],tblDaily[Month],3,tblDaily[WardCode],"CW") - SUMIFS(tblDaily[DeathsUnder24Hrs],tblDaily[Month],3,tblDaily[WardCode],"CW")</f>
        <v>70</v>
      </c>
      <c r="C116" s="30">
        <f>SUMIFS(tblDaily[Discharges],tblDaily[Month],3,tblDaily[WardCode],"CW")</f>
        <v>76</v>
      </c>
      <c r="D116" s="30">
        <f>SUMIFS(tblDaily[Deaths],tblDaily[Month],3,tblDaily[WardCode],"CW")</f>
        <v>0</v>
      </c>
      <c r="E116" s="30">
        <f>SUMIFS(tblDaily[DeathsUnder24Hrs],tblDaily[Month],3,tblDaily[WardCode],"CW")</f>
        <v>1</v>
      </c>
      <c r="F116" s="30">
        <f>SUMIFS(tblDaily[TransfersIn],tblDaily[Month],3,tblDaily[WardCode],"CW")</f>
        <v>7</v>
      </c>
      <c r="G116" s="30">
        <f>SUMIFS(tblDaily[TransfersOut],tblDaily[Month],3,tblDaily[WardCode],"CW")</f>
        <v>0</v>
      </c>
      <c r="H116" s="30">
        <f>SUMIFS(tblDaily[Remaining],tblDaily[Month],3,tblDaily[WardCode],"CW")</f>
        <v>261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117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IFERROR(SUMIFS(tblDaily[Remaining],tblDaily[EntryDate],DATE(2026,3,31),tblDaily[WardCode],"CW"),0)</f>
        <v>10</v>
      </c>
    </row>
    <row r="122" spans="1:8" x14ac:dyDescent="0.25">
      <c r="A122" s="24" t="s">
        <v>109</v>
      </c>
      <c r="H122" s="27">
        <f>IFERROR(INDEX(tblWardConfig[BedComplement],MATCH("CW",tblWardConfig[WardCode],0)),0)</f>
        <v>27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IFERROR(IF(SUMIFS(tblDaily[Admissions],tblDaily[EntryDate],DATE(2026,4,1),tblDaily[WardCode],"CW")=0,"",SUMIFS(tblDaily[Admissions],tblDaily[EntryDate],DATE(2026,4,1),tblDaily[WardCode],"CW")),"")</f>
        <v>2</v>
      </c>
      <c r="C124" s="29">
        <f>IFERROR(IF(SUMIFS(tblDaily[Discharges],tblDaily[EntryDate],DATE(2026,4,1),tblDaily[WardCode],"CW")=0,"",SUMIFS(tblDaily[Discharges],tblDaily[EntryDate],DATE(2026,4,1),tblDaily[WardCode],"CW")),"")</f>
        <v>2</v>
      </c>
      <c r="D124" s="29">
        <f>IFERROR(IF(SUMIFS(tblDaily[Deaths],tblDaily[EntryDate],DATE(2026,4,1),tblDaily[WardCode],"CW")=0,"",SUMIFS(tblDaily[Deaths],tblDaily[EntryDate],DATE(2026,4,1),tblDaily[WardCode],"CW")),"")</f>
        <v>1</v>
      </c>
      <c r="E124" s="29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29" t="str">
        <f>IFERROR(IF(SUMIFS(tblDaily[TransfersIn],tblDaily[EntryDate],DATE(2026,4,1),tblDaily[WardCode],"CW")=0,"",SUMIFS(tblDaily[TransfersIn],tblDaily[EntryDate],DATE(2026,4,1),tblDaily[WardCode],"CW")),"")</f>
        <v/>
      </c>
      <c r="G124" s="29" t="str">
        <f>IFERROR(IF(SUMIFS(tblDaily[TransfersOut],tblDaily[EntryDate],DATE(2026,4,1),tblDaily[WardCode],"CW")=0,"",SUMIFS(tblDaily[TransfersOut],tblDaily[EntryDate],DATE(2026,4,1),tblDaily[WardCode],"CW")),"")</f>
        <v/>
      </c>
      <c r="H124" s="29">
        <f>IFERROR(IF(SUMIFS(tblDaily[Remaining],tblDaily[EntryDate],DATE(2026,4,1),tblDaily[WardCode],"CW")=0,"",SUMIFS(tblDaily[Remaining],tblDaily[EntryDate],DATE(2026,4,1),tblDaily[WardCode],"CW")),"")</f>
        <v>9</v>
      </c>
    </row>
    <row r="125" spans="1:8" x14ac:dyDescent="0.25">
      <c r="A125" s="29">
        <v>2</v>
      </c>
      <c r="B125" s="29">
        <f>IFERROR(IF(SUMIFS(tblDaily[Admissions],tblDaily[EntryDate],DATE(2026,4,2),tblDaily[WardCode],"CW")=0,"",SUMIFS(tblDaily[Admissions],tblDaily[EntryDate],DATE(2026,4,2),tblDaily[WardCode],"CW")),"")</f>
        <v>3</v>
      </c>
      <c r="C125" s="29">
        <f>IFERROR(IF(SUMIFS(tblDaily[Discharges],tblDaily[EntryDate],DATE(2026,4,2),tblDaily[WardCode],"CW")=0,"",SUMIFS(tblDaily[Discharges],tblDaily[EntryDate],DATE(2026,4,2),tblDaily[WardCode],"CW")),"")</f>
        <v>5</v>
      </c>
      <c r="D125" s="29" t="str">
        <f>IFERROR(IF(SUMIFS(tblDaily[Deaths],tblDaily[EntryDate],DATE(2026,4,2),tblDaily[WardCode],"CW")=0,"",SUMIFS(tblDaily[Deaths],tblDaily[EntryDate],DATE(2026,4,2),tblDaily[WardCode],"CW")),"")</f>
        <v/>
      </c>
      <c r="E125" s="29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29" t="str">
        <f>IFERROR(IF(SUMIFS(tblDaily[TransfersIn],tblDaily[EntryDate],DATE(2026,4,2),tblDaily[WardCode],"CW")=0,"",SUMIFS(tblDaily[TransfersIn],tblDaily[EntryDate],DATE(2026,4,2),tblDaily[WardCode],"CW")),"")</f>
        <v/>
      </c>
      <c r="G125" s="29" t="str">
        <f>IFERROR(IF(SUMIFS(tblDaily[TransfersOut],tblDaily[EntryDate],DATE(2026,4,2),tblDaily[WardCode],"CW")=0,"",SUMIFS(tblDaily[TransfersOut],tblDaily[EntryDate],DATE(2026,4,2),tblDaily[WardCode],"CW")),"")</f>
        <v/>
      </c>
      <c r="H125" s="29">
        <f>IFERROR(IF(SUMIFS(tblDaily[Remaining],tblDaily[EntryDate],DATE(2026,4,2),tblDaily[WardCode],"CW")=0,"",SUMIFS(tblDaily[Remaining],tblDaily[EntryDate],DATE(2026,4,2),tblDaily[WardCode],"CW")),"")</f>
        <v>7</v>
      </c>
    </row>
    <row r="126" spans="1:8" x14ac:dyDescent="0.25">
      <c r="A126" s="29">
        <v>3</v>
      </c>
      <c r="B126" s="29">
        <f>IFERROR(IF(SUMIFS(tblDaily[Admissions],tblDaily[EntryDate],DATE(2026,4,3),tblDaily[WardCode],"CW")=0,"",SUMIFS(tblDaily[Admissions],tblDaily[EntryDate],DATE(2026,4,3),tblDaily[WardCode],"CW")),"")</f>
        <v>5</v>
      </c>
      <c r="C126" s="29">
        <f>IFERROR(IF(SUMIFS(tblDaily[Discharges],tblDaily[EntryDate],DATE(2026,4,3),tblDaily[WardCode],"CW")=0,"",SUMIFS(tblDaily[Discharges],tblDaily[EntryDate],DATE(2026,4,3),tblDaily[WardCode],"CW")),"")</f>
        <v>1</v>
      </c>
      <c r="D126" s="29" t="str">
        <f>IFERROR(IF(SUMIFS(tblDaily[Deaths],tblDaily[EntryDate],DATE(2026,4,3),tblDaily[WardCode],"CW")=0,"",SUMIFS(tblDaily[Deaths],tblDaily[EntryDate],DATE(2026,4,3),tblDaily[WardCode],"CW")),"")</f>
        <v/>
      </c>
      <c r="E126" s="29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29" t="str">
        <f>IFERROR(IF(SUMIFS(tblDaily[TransfersIn],tblDaily[EntryDate],DATE(2026,4,3),tblDaily[WardCode],"CW")=0,"",SUMIFS(tblDaily[TransfersIn],tblDaily[EntryDate],DATE(2026,4,3),tblDaily[WardCode],"CW")),"")</f>
        <v/>
      </c>
      <c r="G126" s="29" t="str">
        <f>IFERROR(IF(SUMIFS(tblDaily[TransfersOut],tblDaily[EntryDate],DATE(2026,4,3),tblDaily[WardCode],"CW")=0,"",SUMIFS(tblDaily[TransfersOut],tblDaily[EntryDate],DATE(2026,4,3),tblDaily[WardCode],"CW")),"")</f>
        <v/>
      </c>
      <c r="H126" s="29">
        <f>IFERROR(IF(SUMIFS(tblDaily[Remaining],tblDaily[EntryDate],DATE(2026,4,3),tblDaily[WardCode],"CW")=0,"",SUMIFS(tblDaily[Remaining],tblDaily[EntryDate],DATE(2026,4,3),tblDaily[WardCode],"CW")),"")</f>
        <v>11</v>
      </c>
    </row>
    <row r="127" spans="1:8" x14ac:dyDescent="0.25">
      <c r="A127" s="29">
        <v>4</v>
      </c>
      <c r="B127" s="29">
        <f>IFERROR(IF(SUMIFS(tblDaily[Admissions],tblDaily[EntryDate],DATE(2026,4,4),tblDaily[WardCode],"CW")=0,"",SUMIFS(tblDaily[Admissions],tblDaily[EntryDate],DATE(2026,4,4),tblDaily[WardCode],"CW")),"")</f>
        <v>1</v>
      </c>
      <c r="C127" s="29">
        <f>IFERROR(IF(SUMIFS(tblDaily[Discharges],tblDaily[EntryDate],DATE(2026,4,4),tblDaily[WardCode],"CW")=0,"",SUMIFS(tblDaily[Discharges],tblDaily[EntryDate],DATE(2026,4,4),tblDaily[WardCode],"CW")),"")</f>
        <v>2</v>
      </c>
      <c r="D127" s="29">
        <f>IFERROR(IF(SUMIFS(tblDaily[Deaths],tblDaily[EntryDate],DATE(2026,4,4),tblDaily[WardCode],"CW")=0,"",SUMIFS(tblDaily[Deaths],tblDaily[EntryDate],DATE(2026,4,4),tblDaily[WardCode],"CW")),"")</f>
        <v>1</v>
      </c>
      <c r="E127" s="29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29" t="str">
        <f>IFERROR(IF(SUMIFS(tblDaily[TransfersIn],tblDaily[EntryDate],DATE(2026,4,4),tblDaily[WardCode],"CW")=0,"",SUMIFS(tblDaily[TransfersIn],tblDaily[EntryDate],DATE(2026,4,4),tblDaily[WardCode],"CW")),"")</f>
        <v/>
      </c>
      <c r="G127" s="29" t="str">
        <f>IFERROR(IF(SUMIFS(tblDaily[TransfersOut],tblDaily[EntryDate],DATE(2026,4,4),tblDaily[WardCode],"CW")=0,"",SUMIFS(tblDaily[TransfersOut],tblDaily[EntryDate],DATE(2026,4,4),tblDaily[WardCode],"CW")),"")</f>
        <v/>
      </c>
      <c r="H127" s="29">
        <f>IFERROR(IF(SUMIFS(tblDaily[Remaining],tblDaily[EntryDate],DATE(2026,4,4),tblDaily[WardCode],"CW")=0,"",SUMIFS(tblDaily[Remaining],tblDaily[EntryDate],DATE(2026,4,4),tblDaily[WardCode],"CW")),"")</f>
        <v>9</v>
      </c>
    </row>
    <row r="128" spans="1:8" x14ac:dyDescent="0.25">
      <c r="A128" s="29">
        <v>5</v>
      </c>
      <c r="B128" s="29">
        <f>IFERROR(IF(SUMIFS(tblDaily[Admissions],tblDaily[EntryDate],DATE(2026,4,5),tblDaily[WardCode],"CW")=0,"",SUMIFS(tblDaily[Admissions],tblDaily[EntryDate],DATE(2026,4,5),tblDaily[WardCode],"CW")),"")</f>
        <v>2</v>
      </c>
      <c r="C128" s="29">
        <f>IFERROR(IF(SUMIFS(tblDaily[Discharges],tblDaily[EntryDate],DATE(2026,4,5),tblDaily[WardCode],"CW")=0,"",SUMIFS(tblDaily[Discharges],tblDaily[EntryDate],DATE(2026,4,5),tblDaily[WardCode],"CW")),"")</f>
        <v>1</v>
      </c>
      <c r="D128" s="29" t="str">
        <f>IFERROR(IF(SUMIFS(tblDaily[Deaths],tblDaily[EntryDate],DATE(2026,4,5),tblDaily[WardCode],"CW")=0,"",SUMIFS(tblDaily[Deaths],tblDaily[EntryDate],DATE(2026,4,5),tblDaily[WardCode],"CW")),"")</f>
        <v/>
      </c>
      <c r="E128" s="29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29">
        <f>IFERROR(IF(SUMIFS(tblDaily[TransfersIn],tblDaily[EntryDate],DATE(2026,4,5),tblDaily[WardCode],"CW")=0,"",SUMIFS(tblDaily[TransfersIn],tblDaily[EntryDate],DATE(2026,4,5),tblDaily[WardCode],"CW")),"")</f>
        <v>1</v>
      </c>
      <c r="G128" s="29" t="str">
        <f>IFERROR(IF(SUMIFS(tblDaily[TransfersOut],tblDaily[EntryDate],DATE(2026,4,5),tblDaily[WardCode],"CW")=0,"",SUMIFS(tblDaily[TransfersOut],tblDaily[EntryDate],DATE(2026,4,5),tblDaily[WardCode],"CW")),"")</f>
        <v/>
      </c>
      <c r="H128" s="29">
        <f>IFERROR(IF(SUMIFS(tblDaily[Remaining],tblDaily[EntryDate],DATE(2026,4,5),tblDaily[WardCode],"CW")=0,"",SUMIFS(tblDaily[Remaining],tblDaily[EntryDate],DATE(2026,4,5),tblDaily[WardCode],"CW")),"")</f>
        <v>11</v>
      </c>
    </row>
    <row r="129" spans="1:8" x14ac:dyDescent="0.25">
      <c r="A129" s="29">
        <v>6</v>
      </c>
      <c r="B129" s="29">
        <f>IFERROR(IF(SUMIFS(tblDaily[Admissions],tblDaily[EntryDate],DATE(2026,4,6),tblDaily[WardCode],"CW")=0,"",SUMIFS(tblDaily[Admissions],tblDaily[EntryDate],DATE(2026,4,6),tblDaily[WardCode],"CW")),"")</f>
        <v>3</v>
      </c>
      <c r="C129" s="29">
        <f>IFERROR(IF(SUMIFS(tblDaily[Discharges],tblDaily[EntryDate],DATE(2026,4,6),tblDaily[WardCode],"CW")=0,"",SUMIFS(tblDaily[Discharges],tblDaily[EntryDate],DATE(2026,4,6),tblDaily[WardCode],"CW")),"")</f>
        <v>3</v>
      </c>
      <c r="D129" s="29" t="str">
        <f>IFERROR(IF(SUMIFS(tblDaily[Deaths],tblDaily[EntryDate],DATE(2026,4,6),tblDaily[WardCode],"CW")=0,"",SUMIFS(tblDaily[Deaths],tblDaily[EntryDate],DATE(2026,4,6),tblDaily[WardCode],"CW")),"")</f>
        <v/>
      </c>
      <c r="E129" s="29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29" t="str">
        <f>IFERROR(IF(SUMIFS(tblDaily[TransfersIn],tblDaily[EntryDate],DATE(2026,4,6),tblDaily[WardCode],"CW")=0,"",SUMIFS(tblDaily[TransfersIn],tblDaily[EntryDate],DATE(2026,4,6),tblDaily[WardCode],"CW")),"")</f>
        <v/>
      </c>
      <c r="G129" s="29" t="str">
        <f>IFERROR(IF(SUMIFS(tblDaily[TransfersOut],tblDaily[EntryDate],DATE(2026,4,6),tblDaily[WardCode],"CW")=0,"",SUMIFS(tblDaily[TransfersOut],tblDaily[EntryDate],DATE(2026,4,6),tblDaily[WardCode],"CW")),"")</f>
        <v/>
      </c>
      <c r="H129" s="29">
        <f>IFERROR(IF(SUMIFS(tblDaily[Remaining],tblDaily[EntryDate],DATE(2026,4,6),tblDaily[WardCode],"CW")=0,"",SUMIFS(tblDaily[Remaining],tblDaily[EntryDate],DATE(2026,4,6),tblDaily[WardCode],"CW")),"")</f>
        <v>11</v>
      </c>
    </row>
    <row r="130" spans="1:8" x14ac:dyDescent="0.25">
      <c r="A130" s="29">
        <v>7</v>
      </c>
      <c r="B130" s="29" t="str">
        <f>IFERROR(IF(SUMIFS(tblDaily[Admissions],tblDaily[EntryDate],DATE(2026,4,7),tblDaily[WardCode],"CW")=0,"",SUMIFS(tblDaily[Admissions],tblDaily[EntryDate],DATE(2026,4,7),tblDaily[WardCode],"CW")),"")</f>
        <v/>
      </c>
      <c r="C130" s="29" t="str">
        <f>IFERROR(IF(SUMIFS(tblDaily[Discharges],tblDaily[EntryDate],DATE(2026,4,7),tblDaily[WardCode],"CW")=0,"",SUMIFS(tblDaily[Discharges],tblDaily[EntryDate],DATE(2026,4,7),tblDaily[WardCode],"CW")),"")</f>
        <v/>
      </c>
      <c r="D130" s="29" t="str">
        <f>IFERROR(IF(SUMIFS(tblDaily[Deaths],tblDaily[EntryDate],DATE(2026,4,7),tblDaily[WardCode],"CW")=0,"",SUMIFS(tblDaily[Deaths],tblDaily[EntryDate],DATE(2026,4,7),tblDaily[WardCode],"CW")),"")</f>
        <v/>
      </c>
      <c r="E130" s="29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29" t="str">
        <f>IFERROR(IF(SUMIFS(tblDaily[TransfersIn],tblDaily[EntryDate],DATE(2026,4,7),tblDaily[WardCode],"CW")=0,"",SUMIFS(tblDaily[TransfersIn],tblDaily[EntryDate],DATE(2026,4,7),tblDaily[WardCode],"CW")),"")</f>
        <v/>
      </c>
      <c r="G130" s="29" t="str">
        <f>IFERROR(IF(SUMIFS(tblDaily[TransfersOut],tblDaily[EntryDate],DATE(2026,4,7),tblDaily[WardCode],"CW")=0,"",SUMIFS(tblDaily[TransfersOut],tblDaily[EntryDate],DATE(2026,4,7),tblDaily[WardCode],"CW")),"")</f>
        <v/>
      </c>
      <c r="H130" s="29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IFERROR(IF(SUMIFS(tblDaily[Admissions],tblDaily[EntryDate],DATE(2026,4,8),tblDaily[WardCode],"CW")=0,"",SUMIFS(tblDaily[Admissions],tblDaily[EntryDate],DATE(2026,4,8),tblDaily[WardCode],"CW")),"")</f>
        <v/>
      </c>
      <c r="C131" s="29" t="str">
        <f>IFERROR(IF(SUMIFS(tblDaily[Discharges],tblDaily[EntryDate],DATE(2026,4,8),tblDaily[WardCode],"CW")=0,"",SUMIFS(tblDaily[Discharges],tblDaily[EntryDate],DATE(2026,4,8),tblDaily[WardCode],"CW")),"")</f>
        <v/>
      </c>
      <c r="D131" s="29" t="str">
        <f>IFERROR(IF(SUMIFS(tblDaily[Deaths],tblDaily[EntryDate],DATE(2026,4,8),tblDaily[WardCode],"CW")=0,"",SUMIFS(tblDaily[Deaths],tblDaily[EntryDate],DATE(2026,4,8),tblDaily[WardCode],"CW")),"")</f>
        <v/>
      </c>
      <c r="E131" s="29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29" t="str">
        <f>IFERROR(IF(SUMIFS(tblDaily[TransfersIn],tblDaily[EntryDate],DATE(2026,4,8),tblDaily[WardCode],"CW")=0,"",SUMIFS(tblDaily[TransfersIn],tblDaily[EntryDate],DATE(2026,4,8),tblDaily[WardCode],"CW")),"")</f>
        <v/>
      </c>
      <c r="G131" s="29" t="str">
        <f>IFERROR(IF(SUMIFS(tblDaily[TransfersOut],tblDaily[EntryDate],DATE(2026,4,8),tblDaily[WardCode],"CW")=0,"",SUMIFS(tblDaily[TransfersOut],tblDaily[EntryDate],DATE(2026,4,8),tblDaily[WardCode],"CW")),"")</f>
        <v/>
      </c>
      <c r="H131" s="29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IFERROR(IF(SUMIFS(tblDaily[Admissions],tblDaily[EntryDate],DATE(2026,4,9),tblDaily[WardCode],"CW")=0,"",SUMIFS(tblDaily[Admissions],tblDaily[EntryDate],DATE(2026,4,9),tblDaily[WardCode],"CW")),"")</f>
        <v/>
      </c>
      <c r="C132" s="29" t="str">
        <f>IFERROR(IF(SUMIFS(tblDaily[Discharges],tblDaily[EntryDate],DATE(2026,4,9),tblDaily[WardCode],"CW")=0,"",SUMIFS(tblDaily[Discharges],tblDaily[EntryDate],DATE(2026,4,9),tblDaily[WardCode],"CW")),"")</f>
        <v/>
      </c>
      <c r="D132" s="29" t="str">
        <f>IFERROR(IF(SUMIFS(tblDaily[Deaths],tblDaily[EntryDate],DATE(2026,4,9),tblDaily[WardCode],"CW")=0,"",SUMIFS(tblDaily[Deaths],tblDaily[EntryDate],DATE(2026,4,9),tblDaily[WardCode],"CW")),"")</f>
        <v/>
      </c>
      <c r="E132" s="29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29" t="str">
        <f>IFERROR(IF(SUMIFS(tblDaily[TransfersIn],tblDaily[EntryDate],DATE(2026,4,9),tblDaily[WardCode],"CW")=0,"",SUMIFS(tblDaily[TransfersIn],tblDaily[EntryDate],DATE(2026,4,9),tblDaily[WardCode],"CW")),"")</f>
        <v/>
      </c>
      <c r="G132" s="29" t="str">
        <f>IFERROR(IF(SUMIFS(tblDaily[TransfersOut],tblDaily[EntryDate],DATE(2026,4,9),tblDaily[WardCode],"CW")=0,"",SUMIFS(tblDaily[TransfersOut],tblDaily[EntryDate],DATE(2026,4,9),tblDaily[WardCode],"CW")),"")</f>
        <v/>
      </c>
      <c r="H132" s="29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IFERROR(IF(SUMIFS(tblDaily[Admissions],tblDaily[EntryDate],DATE(2026,4,10),tblDaily[WardCode],"CW")=0,"",SUMIFS(tblDaily[Admissions],tblDaily[EntryDate],DATE(2026,4,10),tblDaily[WardCode],"CW")),"")</f>
        <v/>
      </c>
      <c r="C133" s="29" t="str">
        <f>IFERROR(IF(SUMIFS(tblDaily[Discharges],tblDaily[EntryDate],DATE(2026,4,10),tblDaily[WardCode],"CW")=0,"",SUMIFS(tblDaily[Discharges],tblDaily[EntryDate],DATE(2026,4,10),tblDaily[WardCode],"CW")),"")</f>
        <v/>
      </c>
      <c r="D133" s="29" t="str">
        <f>IFERROR(IF(SUMIFS(tblDaily[Deaths],tblDaily[EntryDate],DATE(2026,4,10),tblDaily[WardCode],"CW")=0,"",SUMIFS(tblDaily[Deaths],tblDaily[EntryDate],DATE(2026,4,10),tblDaily[WardCode],"CW")),"")</f>
        <v/>
      </c>
      <c r="E133" s="29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29" t="str">
        <f>IFERROR(IF(SUMIFS(tblDaily[TransfersIn],tblDaily[EntryDate],DATE(2026,4,10),tblDaily[WardCode],"CW")=0,"",SUMIFS(tblDaily[TransfersIn],tblDaily[EntryDate],DATE(2026,4,10),tblDaily[WardCode],"CW")),"")</f>
        <v/>
      </c>
      <c r="G133" s="29" t="str">
        <f>IFERROR(IF(SUMIFS(tblDaily[TransfersOut],tblDaily[EntryDate],DATE(2026,4,10),tblDaily[WardCode],"CW")=0,"",SUMIFS(tblDaily[TransfersOut],tblDaily[EntryDate],DATE(2026,4,10),tblDaily[WardCode],"CW")),"")</f>
        <v/>
      </c>
      <c r="H133" s="29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IFERROR(IF(SUMIFS(tblDaily[Admissions],tblDaily[EntryDate],DATE(2026,4,11),tblDaily[WardCode],"CW")=0,"",SUMIFS(tblDaily[Admissions],tblDaily[EntryDate],DATE(2026,4,11),tblDaily[WardCode],"CW")),"")</f>
        <v/>
      </c>
      <c r="C134" s="29" t="str">
        <f>IFERROR(IF(SUMIFS(tblDaily[Discharges],tblDaily[EntryDate],DATE(2026,4,11),tblDaily[WardCode],"CW")=0,"",SUMIFS(tblDaily[Discharges],tblDaily[EntryDate],DATE(2026,4,11),tblDaily[WardCode],"CW")),"")</f>
        <v/>
      </c>
      <c r="D134" s="29" t="str">
        <f>IFERROR(IF(SUMIFS(tblDaily[Deaths],tblDaily[EntryDate],DATE(2026,4,11),tblDaily[WardCode],"CW")=0,"",SUMIFS(tblDaily[Deaths],tblDaily[EntryDate],DATE(2026,4,11),tblDaily[WardCode],"CW")),"")</f>
        <v/>
      </c>
      <c r="E134" s="29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29" t="str">
        <f>IFERROR(IF(SUMIFS(tblDaily[TransfersIn],tblDaily[EntryDate],DATE(2026,4,11),tblDaily[WardCode],"CW")=0,"",SUMIFS(tblDaily[TransfersIn],tblDaily[EntryDate],DATE(2026,4,11),tblDaily[WardCode],"CW")),"")</f>
        <v/>
      </c>
      <c r="G134" s="29" t="str">
        <f>IFERROR(IF(SUMIFS(tblDaily[TransfersOut],tblDaily[EntryDate],DATE(2026,4,11),tblDaily[WardCode],"CW")=0,"",SUMIFS(tblDaily[TransfersOut],tblDaily[EntryDate],DATE(2026,4,11),tblDaily[WardCode],"CW")),"")</f>
        <v/>
      </c>
      <c r="H134" s="29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IFERROR(IF(SUMIFS(tblDaily[Admissions],tblDaily[EntryDate],DATE(2026,4,12),tblDaily[WardCode],"CW")=0,"",SUMIFS(tblDaily[Admissions],tblDaily[EntryDate],DATE(2026,4,12),tblDaily[WardCode],"CW")),"")</f>
        <v/>
      </c>
      <c r="C135" s="29" t="str">
        <f>IFERROR(IF(SUMIFS(tblDaily[Discharges],tblDaily[EntryDate],DATE(2026,4,12),tblDaily[WardCode],"CW")=0,"",SUMIFS(tblDaily[Discharges],tblDaily[EntryDate],DATE(2026,4,12),tblDaily[WardCode],"CW")),"")</f>
        <v/>
      </c>
      <c r="D135" s="29" t="str">
        <f>IFERROR(IF(SUMIFS(tblDaily[Deaths],tblDaily[EntryDate],DATE(2026,4,12),tblDaily[WardCode],"CW")=0,"",SUMIFS(tblDaily[Deaths],tblDaily[EntryDate],DATE(2026,4,12),tblDaily[WardCode],"CW")),"")</f>
        <v/>
      </c>
      <c r="E135" s="29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29" t="str">
        <f>IFERROR(IF(SUMIFS(tblDaily[TransfersIn],tblDaily[EntryDate],DATE(2026,4,12),tblDaily[WardCode],"CW")=0,"",SUMIFS(tblDaily[TransfersIn],tblDaily[EntryDate],DATE(2026,4,12),tblDaily[WardCode],"CW")),"")</f>
        <v/>
      </c>
      <c r="G135" s="29" t="str">
        <f>IFERROR(IF(SUMIFS(tblDaily[TransfersOut],tblDaily[EntryDate],DATE(2026,4,12),tblDaily[WardCode],"CW")=0,"",SUMIFS(tblDaily[TransfersOut],tblDaily[EntryDate],DATE(2026,4,12),tblDaily[WardCode],"CW")),"")</f>
        <v/>
      </c>
      <c r="H135" s="29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IFERROR(IF(SUMIFS(tblDaily[Admissions],tblDaily[EntryDate],DATE(2026,4,13),tblDaily[WardCode],"CW")=0,"",SUMIFS(tblDaily[Admissions],tblDaily[EntryDate],DATE(2026,4,13),tblDaily[WardCode],"CW")),"")</f>
        <v/>
      </c>
      <c r="C136" s="29" t="str">
        <f>IFERROR(IF(SUMIFS(tblDaily[Discharges],tblDaily[EntryDate],DATE(2026,4,13),tblDaily[WardCode],"CW")=0,"",SUMIFS(tblDaily[Discharges],tblDaily[EntryDate],DATE(2026,4,13),tblDaily[WardCode],"CW")),"")</f>
        <v/>
      </c>
      <c r="D136" s="29" t="str">
        <f>IFERROR(IF(SUMIFS(tblDaily[Deaths],tblDaily[EntryDate],DATE(2026,4,13),tblDaily[WardCode],"CW")=0,"",SUMIFS(tblDaily[Deaths],tblDaily[EntryDate],DATE(2026,4,13),tblDaily[WardCode],"CW")),"")</f>
        <v/>
      </c>
      <c r="E136" s="29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29" t="str">
        <f>IFERROR(IF(SUMIFS(tblDaily[TransfersIn],tblDaily[EntryDate],DATE(2026,4,13),tblDaily[WardCode],"CW")=0,"",SUMIFS(tblDaily[TransfersIn],tblDaily[EntryDate],DATE(2026,4,13),tblDaily[WardCode],"CW")),"")</f>
        <v/>
      </c>
      <c r="G136" s="29" t="str">
        <f>IFERROR(IF(SUMIFS(tblDaily[TransfersOut],tblDaily[EntryDate],DATE(2026,4,13),tblDaily[WardCode],"CW")=0,"",SUMIFS(tblDaily[TransfersOut],tblDaily[EntryDate],DATE(2026,4,13),tblDaily[WardCode],"CW")),"")</f>
        <v/>
      </c>
      <c r="H136" s="29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IFERROR(IF(SUMIFS(tblDaily[Admissions],tblDaily[EntryDate],DATE(2026,4,14),tblDaily[WardCode],"CW")=0,"",SUMIFS(tblDaily[Admissions],tblDaily[EntryDate],DATE(2026,4,14),tblDaily[WardCode],"CW")),"")</f>
        <v/>
      </c>
      <c r="C137" s="29" t="str">
        <f>IFERROR(IF(SUMIFS(tblDaily[Discharges],tblDaily[EntryDate],DATE(2026,4,14),tblDaily[WardCode],"CW")=0,"",SUMIFS(tblDaily[Discharges],tblDaily[EntryDate],DATE(2026,4,14),tblDaily[WardCode],"CW")),"")</f>
        <v/>
      </c>
      <c r="D137" s="29" t="str">
        <f>IFERROR(IF(SUMIFS(tblDaily[Deaths],tblDaily[EntryDate],DATE(2026,4,14),tblDaily[WardCode],"CW")=0,"",SUMIFS(tblDaily[Deaths],tblDaily[EntryDate],DATE(2026,4,14),tblDaily[WardCode],"CW")),"")</f>
        <v/>
      </c>
      <c r="E137" s="29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29" t="str">
        <f>IFERROR(IF(SUMIFS(tblDaily[TransfersIn],tblDaily[EntryDate],DATE(2026,4,14),tblDaily[WardCode],"CW")=0,"",SUMIFS(tblDaily[TransfersIn],tblDaily[EntryDate],DATE(2026,4,14),tblDaily[WardCode],"CW")),"")</f>
        <v/>
      </c>
      <c r="G137" s="29" t="str">
        <f>IFERROR(IF(SUMIFS(tblDaily[TransfersOut],tblDaily[EntryDate],DATE(2026,4,14),tblDaily[WardCode],"CW")=0,"",SUMIFS(tblDaily[TransfersOut],tblDaily[EntryDate],DATE(2026,4,14),tblDaily[WardCode],"CW")),"")</f>
        <v/>
      </c>
      <c r="H137" s="29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IFERROR(IF(SUMIFS(tblDaily[Admissions],tblDaily[EntryDate],DATE(2026,4,15),tblDaily[WardCode],"CW")=0,"",SUMIFS(tblDaily[Admissions],tblDaily[EntryDate],DATE(2026,4,15),tblDaily[WardCode],"CW")),"")</f>
        <v/>
      </c>
      <c r="C138" s="29" t="str">
        <f>IFERROR(IF(SUMIFS(tblDaily[Discharges],tblDaily[EntryDate],DATE(2026,4,15),tblDaily[WardCode],"CW")=0,"",SUMIFS(tblDaily[Discharges],tblDaily[EntryDate],DATE(2026,4,15),tblDaily[WardCode],"CW")),"")</f>
        <v/>
      </c>
      <c r="D138" s="29" t="str">
        <f>IFERROR(IF(SUMIFS(tblDaily[Deaths],tblDaily[EntryDate],DATE(2026,4,15),tblDaily[WardCode],"CW")=0,"",SUMIFS(tblDaily[Deaths],tblDaily[EntryDate],DATE(2026,4,15),tblDaily[WardCode],"CW")),"")</f>
        <v/>
      </c>
      <c r="E138" s="29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29" t="str">
        <f>IFERROR(IF(SUMIFS(tblDaily[TransfersIn],tblDaily[EntryDate],DATE(2026,4,15),tblDaily[WardCode],"CW")=0,"",SUMIFS(tblDaily[TransfersIn],tblDaily[EntryDate],DATE(2026,4,15),tblDaily[WardCode],"CW")),"")</f>
        <v/>
      </c>
      <c r="G138" s="29" t="str">
        <f>IFERROR(IF(SUMIFS(tblDaily[TransfersOut],tblDaily[EntryDate],DATE(2026,4,15),tblDaily[WardCode],"CW")=0,"",SUMIFS(tblDaily[TransfersOut],tblDaily[EntryDate],DATE(2026,4,15),tblDaily[WardCode],"CW")),"")</f>
        <v/>
      </c>
      <c r="H138" s="29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IFERROR(IF(SUMIFS(tblDaily[Admissions],tblDaily[EntryDate],DATE(2026,4,16),tblDaily[WardCode],"CW")=0,"",SUMIFS(tblDaily[Admissions],tblDaily[EntryDate],DATE(2026,4,16),tblDaily[WardCode],"CW")),"")</f>
        <v/>
      </c>
      <c r="C139" s="29" t="str">
        <f>IFERROR(IF(SUMIFS(tblDaily[Discharges],tblDaily[EntryDate],DATE(2026,4,16),tblDaily[WardCode],"CW")=0,"",SUMIFS(tblDaily[Discharges],tblDaily[EntryDate],DATE(2026,4,16),tblDaily[WardCode],"CW")),"")</f>
        <v/>
      </c>
      <c r="D139" s="29" t="str">
        <f>IFERROR(IF(SUMIFS(tblDaily[Deaths],tblDaily[EntryDate],DATE(2026,4,16),tblDaily[WardCode],"CW")=0,"",SUMIFS(tblDaily[Deaths],tblDaily[EntryDate],DATE(2026,4,16),tblDaily[WardCode],"CW")),"")</f>
        <v/>
      </c>
      <c r="E139" s="29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29" t="str">
        <f>IFERROR(IF(SUMIFS(tblDaily[TransfersIn],tblDaily[EntryDate],DATE(2026,4,16),tblDaily[WardCode],"CW")=0,"",SUMIFS(tblDaily[TransfersIn],tblDaily[EntryDate],DATE(2026,4,16),tblDaily[WardCode],"CW")),"")</f>
        <v/>
      </c>
      <c r="G139" s="29" t="str">
        <f>IFERROR(IF(SUMIFS(tblDaily[TransfersOut],tblDaily[EntryDate],DATE(2026,4,16),tblDaily[WardCode],"CW")=0,"",SUMIFS(tblDaily[TransfersOut],tblDaily[EntryDate],DATE(2026,4,16),tblDaily[WardCode],"CW")),"")</f>
        <v/>
      </c>
      <c r="H139" s="29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IFERROR(IF(SUMIFS(tblDaily[Admissions],tblDaily[EntryDate],DATE(2026,4,17),tblDaily[WardCode],"CW")=0,"",SUMIFS(tblDaily[Admissions],tblDaily[EntryDate],DATE(2026,4,17),tblDaily[WardCode],"CW")),"")</f>
        <v/>
      </c>
      <c r="C140" s="29" t="str">
        <f>IFERROR(IF(SUMIFS(tblDaily[Discharges],tblDaily[EntryDate],DATE(2026,4,17),tblDaily[WardCode],"CW")=0,"",SUMIFS(tblDaily[Discharges],tblDaily[EntryDate],DATE(2026,4,17),tblDaily[WardCode],"CW")),"")</f>
        <v/>
      </c>
      <c r="D140" s="29" t="str">
        <f>IFERROR(IF(SUMIFS(tblDaily[Deaths],tblDaily[EntryDate],DATE(2026,4,17),tblDaily[WardCode],"CW")=0,"",SUMIFS(tblDaily[Deaths],tblDaily[EntryDate],DATE(2026,4,17),tblDaily[WardCode],"CW")),"")</f>
        <v/>
      </c>
      <c r="E140" s="29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29" t="str">
        <f>IFERROR(IF(SUMIFS(tblDaily[TransfersIn],tblDaily[EntryDate],DATE(2026,4,17),tblDaily[WardCode],"CW")=0,"",SUMIFS(tblDaily[TransfersIn],tblDaily[EntryDate],DATE(2026,4,17),tblDaily[WardCode],"CW")),"")</f>
        <v/>
      </c>
      <c r="G140" s="29" t="str">
        <f>IFERROR(IF(SUMIFS(tblDaily[TransfersOut],tblDaily[EntryDate],DATE(2026,4,17),tblDaily[WardCode],"CW")=0,"",SUMIFS(tblDaily[TransfersOut],tblDaily[EntryDate],DATE(2026,4,17),tblDaily[WardCode],"CW")),"")</f>
        <v/>
      </c>
      <c r="H140" s="29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IFERROR(IF(SUMIFS(tblDaily[Admissions],tblDaily[EntryDate],DATE(2026,4,18),tblDaily[WardCode],"CW")=0,"",SUMIFS(tblDaily[Admissions],tblDaily[EntryDate],DATE(2026,4,18),tblDaily[WardCode],"CW")),"")</f>
        <v/>
      </c>
      <c r="C141" s="29" t="str">
        <f>IFERROR(IF(SUMIFS(tblDaily[Discharges],tblDaily[EntryDate],DATE(2026,4,18),tblDaily[WardCode],"CW")=0,"",SUMIFS(tblDaily[Discharges],tblDaily[EntryDate],DATE(2026,4,18),tblDaily[WardCode],"CW")),"")</f>
        <v/>
      </c>
      <c r="D141" s="29" t="str">
        <f>IFERROR(IF(SUMIFS(tblDaily[Deaths],tblDaily[EntryDate],DATE(2026,4,18),tblDaily[WardCode],"CW")=0,"",SUMIFS(tblDaily[Deaths],tblDaily[EntryDate],DATE(2026,4,18),tblDaily[WardCode],"CW")),"")</f>
        <v/>
      </c>
      <c r="E141" s="29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29" t="str">
        <f>IFERROR(IF(SUMIFS(tblDaily[TransfersIn],tblDaily[EntryDate],DATE(2026,4,18),tblDaily[WardCode],"CW")=0,"",SUMIFS(tblDaily[TransfersIn],tblDaily[EntryDate],DATE(2026,4,18),tblDaily[WardCode],"CW")),"")</f>
        <v/>
      </c>
      <c r="G141" s="29" t="str">
        <f>IFERROR(IF(SUMIFS(tblDaily[TransfersOut],tblDaily[EntryDate],DATE(2026,4,18),tblDaily[WardCode],"CW")=0,"",SUMIFS(tblDaily[TransfersOut],tblDaily[EntryDate],DATE(2026,4,18),tblDaily[WardCode],"CW")),"")</f>
        <v/>
      </c>
      <c r="H141" s="29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IFERROR(IF(SUMIFS(tblDaily[Admissions],tblDaily[EntryDate],DATE(2026,4,19),tblDaily[WardCode],"CW")=0,"",SUMIFS(tblDaily[Admissions],tblDaily[EntryDate],DATE(2026,4,19),tblDaily[WardCode],"CW")),"")</f>
        <v/>
      </c>
      <c r="C142" s="29" t="str">
        <f>IFERROR(IF(SUMIFS(tblDaily[Discharges],tblDaily[EntryDate],DATE(2026,4,19),tblDaily[WardCode],"CW")=0,"",SUMIFS(tblDaily[Discharges],tblDaily[EntryDate],DATE(2026,4,19),tblDaily[WardCode],"CW")),"")</f>
        <v/>
      </c>
      <c r="D142" s="29" t="str">
        <f>IFERROR(IF(SUMIFS(tblDaily[Deaths],tblDaily[EntryDate],DATE(2026,4,19),tblDaily[WardCode],"CW")=0,"",SUMIFS(tblDaily[Deaths],tblDaily[EntryDate],DATE(2026,4,19),tblDaily[WardCode],"CW")),"")</f>
        <v/>
      </c>
      <c r="E142" s="29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29" t="str">
        <f>IFERROR(IF(SUMIFS(tblDaily[TransfersIn],tblDaily[EntryDate],DATE(2026,4,19),tblDaily[WardCode],"CW")=0,"",SUMIFS(tblDaily[TransfersIn],tblDaily[EntryDate],DATE(2026,4,19),tblDaily[WardCode],"CW")),"")</f>
        <v/>
      </c>
      <c r="G142" s="29" t="str">
        <f>IFERROR(IF(SUMIFS(tblDaily[TransfersOut],tblDaily[EntryDate],DATE(2026,4,19),tblDaily[WardCode],"CW")=0,"",SUMIFS(tblDaily[TransfersOut],tblDaily[EntryDate],DATE(2026,4,19),tblDaily[WardCode],"CW")),"")</f>
        <v/>
      </c>
      <c r="H142" s="29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IFERROR(IF(SUMIFS(tblDaily[Admissions],tblDaily[EntryDate],DATE(2026,4,20),tblDaily[WardCode],"CW")=0,"",SUMIFS(tblDaily[Admissions],tblDaily[EntryDate],DATE(2026,4,20),tblDaily[WardCode],"CW")),"")</f>
        <v/>
      </c>
      <c r="C143" s="29" t="str">
        <f>IFERROR(IF(SUMIFS(tblDaily[Discharges],tblDaily[EntryDate],DATE(2026,4,20),tblDaily[WardCode],"CW")=0,"",SUMIFS(tblDaily[Discharges],tblDaily[EntryDate],DATE(2026,4,20),tblDaily[WardCode],"CW")),"")</f>
        <v/>
      </c>
      <c r="D143" s="29" t="str">
        <f>IFERROR(IF(SUMIFS(tblDaily[Deaths],tblDaily[EntryDate],DATE(2026,4,20),tblDaily[WardCode],"CW")=0,"",SUMIFS(tblDaily[Deaths],tblDaily[EntryDate],DATE(2026,4,20),tblDaily[WardCode],"CW")),"")</f>
        <v/>
      </c>
      <c r="E143" s="29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29" t="str">
        <f>IFERROR(IF(SUMIFS(tblDaily[TransfersIn],tblDaily[EntryDate],DATE(2026,4,20),tblDaily[WardCode],"CW")=0,"",SUMIFS(tblDaily[TransfersIn],tblDaily[EntryDate],DATE(2026,4,20),tblDaily[WardCode],"CW")),"")</f>
        <v/>
      </c>
      <c r="G143" s="29" t="str">
        <f>IFERROR(IF(SUMIFS(tblDaily[TransfersOut],tblDaily[EntryDate],DATE(2026,4,20),tblDaily[WardCode],"CW")=0,"",SUMIFS(tblDaily[TransfersOut],tblDaily[EntryDate],DATE(2026,4,20),tblDaily[WardCode],"CW")),"")</f>
        <v/>
      </c>
      <c r="H143" s="29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IFERROR(IF(SUMIFS(tblDaily[Admissions],tblDaily[EntryDate],DATE(2026,4,21),tblDaily[WardCode],"CW")=0,"",SUMIFS(tblDaily[Admissions],tblDaily[EntryDate],DATE(2026,4,21),tblDaily[WardCode],"CW")),"")</f>
        <v/>
      </c>
      <c r="C144" s="29" t="str">
        <f>IFERROR(IF(SUMIFS(tblDaily[Discharges],tblDaily[EntryDate],DATE(2026,4,21),tblDaily[WardCode],"CW")=0,"",SUMIFS(tblDaily[Discharges],tblDaily[EntryDate],DATE(2026,4,21),tblDaily[WardCode],"CW")),"")</f>
        <v/>
      </c>
      <c r="D144" s="29" t="str">
        <f>IFERROR(IF(SUMIFS(tblDaily[Deaths],tblDaily[EntryDate],DATE(2026,4,21),tblDaily[WardCode],"CW")=0,"",SUMIFS(tblDaily[Deaths],tblDaily[EntryDate],DATE(2026,4,21),tblDaily[WardCode],"CW")),"")</f>
        <v/>
      </c>
      <c r="E144" s="29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29" t="str">
        <f>IFERROR(IF(SUMIFS(tblDaily[TransfersIn],tblDaily[EntryDate],DATE(2026,4,21),tblDaily[WardCode],"CW")=0,"",SUMIFS(tblDaily[TransfersIn],tblDaily[EntryDate],DATE(2026,4,21),tblDaily[WardCode],"CW")),"")</f>
        <v/>
      </c>
      <c r="G144" s="29" t="str">
        <f>IFERROR(IF(SUMIFS(tblDaily[TransfersOut],tblDaily[EntryDate],DATE(2026,4,21),tblDaily[WardCode],"CW")=0,"",SUMIFS(tblDaily[TransfersOut],tblDaily[EntryDate],DATE(2026,4,21),tblDaily[WardCode],"CW")),"")</f>
        <v/>
      </c>
      <c r="H144" s="29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IFERROR(IF(SUMIFS(tblDaily[Admissions],tblDaily[EntryDate],DATE(2026,4,22),tblDaily[WardCode],"CW")=0,"",SUMIFS(tblDaily[Admissions],tblDaily[EntryDate],DATE(2026,4,22),tblDaily[WardCode],"CW")),"")</f>
        <v/>
      </c>
      <c r="C145" s="29" t="str">
        <f>IFERROR(IF(SUMIFS(tblDaily[Discharges],tblDaily[EntryDate],DATE(2026,4,22),tblDaily[WardCode],"CW")=0,"",SUMIFS(tblDaily[Discharges],tblDaily[EntryDate],DATE(2026,4,22),tblDaily[WardCode],"CW")),"")</f>
        <v/>
      </c>
      <c r="D145" s="29" t="str">
        <f>IFERROR(IF(SUMIFS(tblDaily[Deaths],tblDaily[EntryDate],DATE(2026,4,22),tblDaily[WardCode],"CW")=0,"",SUMIFS(tblDaily[Deaths],tblDaily[EntryDate],DATE(2026,4,22),tblDaily[WardCode],"CW")),"")</f>
        <v/>
      </c>
      <c r="E145" s="29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29" t="str">
        <f>IFERROR(IF(SUMIFS(tblDaily[TransfersIn],tblDaily[EntryDate],DATE(2026,4,22),tblDaily[WardCode],"CW")=0,"",SUMIFS(tblDaily[TransfersIn],tblDaily[EntryDate],DATE(2026,4,22),tblDaily[WardCode],"CW")),"")</f>
        <v/>
      </c>
      <c r="G145" s="29" t="str">
        <f>IFERROR(IF(SUMIFS(tblDaily[TransfersOut],tblDaily[EntryDate],DATE(2026,4,22),tblDaily[WardCode],"CW")=0,"",SUMIFS(tblDaily[TransfersOut],tblDaily[EntryDate],DATE(2026,4,22),tblDaily[WardCode],"CW")),"")</f>
        <v/>
      </c>
      <c r="H145" s="29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IFERROR(IF(SUMIFS(tblDaily[Admissions],tblDaily[EntryDate],DATE(2026,4,23),tblDaily[WardCode],"CW")=0,"",SUMIFS(tblDaily[Admissions],tblDaily[EntryDate],DATE(2026,4,23),tblDaily[WardCode],"CW")),"")</f>
        <v/>
      </c>
      <c r="C146" s="29" t="str">
        <f>IFERROR(IF(SUMIFS(tblDaily[Discharges],tblDaily[EntryDate],DATE(2026,4,23),tblDaily[WardCode],"CW")=0,"",SUMIFS(tblDaily[Discharges],tblDaily[EntryDate],DATE(2026,4,23),tblDaily[WardCode],"CW")),"")</f>
        <v/>
      </c>
      <c r="D146" s="29" t="str">
        <f>IFERROR(IF(SUMIFS(tblDaily[Deaths],tblDaily[EntryDate],DATE(2026,4,23),tblDaily[WardCode],"CW")=0,"",SUMIFS(tblDaily[Deaths],tblDaily[EntryDate],DATE(2026,4,23),tblDaily[WardCode],"CW")),"")</f>
        <v/>
      </c>
      <c r="E146" s="29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29" t="str">
        <f>IFERROR(IF(SUMIFS(tblDaily[TransfersIn],tblDaily[EntryDate],DATE(2026,4,23),tblDaily[WardCode],"CW")=0,"",SUMIFS(tblDaily[TransfersIn],tblDaily[EntryDate],DATE(2026,4,23),tblDaily[WardCode],"CW")),"")</f>
        <v/>
      </c>
      <c r="G146" s="29" t="str">
        <f>IFERROR(IF(SUMIFS(tblDaily[TransfersOut],tblDaily[EntryDate],DATE(2026,4,23),tblDaily[WardCode],"CW")=0,"",SUMIFS(tblDaily[TransfersOut],tblDaily[EntryDate],DATE(2026,4,23),tblDaily[WardCode],"CW")),"")</f>
        <v/>
      </c>
      <c r="H146" s="29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IFERROR(IF(SUMIFS(tblDaily[Admissions],tblDaily[EntryDate],DATE(2026,4,24),tblDaily[WardCode],"CW")=0,"",SUMIFS(tblDaily[Admissions],tblDaily[EntryDate],DATE(2026,4,24),tblDaily[WardCode],"CW")),"")</f>
        <v/>
      </c>
      <c r="C147" s="29" t="str">
        <f>IFERROR(IF(SUMIFS(tblDaily[Discharges],tblDaily[EntryDate],DATE(2026,4,24),tblDaily[WardCode],"CW")=0,"",SUMIFS(tblDaily[Discharges],tblDaily[EntryDate],DATE(2026,4,24),tblDaily[WardCode],"CW")),"")</f>
        <v/>
      </c>
      <c r="D147" s="29" t="str">
        <f>IFERROR(IF(SUMIFS(tblDaily[Deaths],tblDaily[EntryDate],DATE(2026,4,24),tblDaily[WardCode],"CW")=0,"",SUMIFS(tblDaily[Deaths],tblDaily[EntryDate],DATE(2026,4,24),tblDaily[WardCode],"CW")),"")</f>
        <v/>
      </c>
      <c r="E147" s="29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29" t="str">
        <f>IFERROR(IF(SUMIFS(tblDaily[TransfersIn],tblDaily[EntryDate],DATE(2026,4,24),tblDaily[WardCode],"CW")=0,"",SUMIFS(tblDaily[TransfersIn],tblDaily[EntryDate],DATE(2026,4,24),tblDaily[WardCode],"CW")),"")</f>
        <v/>
      </c>
      <c r="G147" s="29" t="str">
        <f>IFERROR(IF(SUMIFS(tblDaily[TransfersOut],tblDaily[EntryDate],DATE(2026,4,24),tblDaily[WardCode],"CW")=0,"",SUMIFS(tblDaily[TransfersOut],tblDaily[EntryDate],DATE(2026,4,24),tblDaily[WardCode],"CW")),"")</f>
        <v/>
      </c>
      <c r="H147" s="29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IFERROR(IF(SUMIFS(tblDaily[Admissions],tblDaily[EntryDate],DATE(2026,4,25),tblDaily[WardCode],"CW")=0,"",SUMIFS(tblDaily[Admissions],tblDaily[EntryDate],DATE(2026,4,25),tblDaily[WardCode],"CW")),"")</f>
        <v/>
      </c>
      <c r="C148" s="29" t="str">
        <f>IFERROR(IF(SUMIFS(tblDaily[Discharges],tblDaily[EntryDate],DATE(2026,4,25),tblDaily[WardCode],"CW")=0,"",SUMIFS(tblDaily[Discharges],tblDaily[EntryDate],DATE(2026,4,25),tblDaily[WardCode],"CW")),"")</f>
        <v/>
      </c>
      <c r="D148" s="29" t="str">
        <f>IFERROR(IF(SUMIFS(tblDaily[Deaths],tblDaily[EntryDate],DATE(2026,4,25),tblDaily[WardCode],"CW")=0,"",SUMIFS(tblDaily[Deaths],tblDaily[EntryDate],DATE(2026,4,25),tblDaily[WardCode],"CW")),"")</f>
        <v/>
      </c>
      <c r="E148" s="29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29" t="str">
        <f>IFERROR(IF(SUMIFS(tblDaily[TransfersIn],tblDaily[EntryDate],DATE(2026,4,25),tblDaily[WardCode],"CW")=0,"",SUMIFS(tblDaily[TransfersIn],tblDaily[EntryDate],DATE(2026,4,25),tblDaily[WardCode],"CW")),"")</f>
        <v/>
      </c>
      <c r="G148" s="29" t="str">
        <f>IFERROR(IF(SUMIFS(tblDaily[TransfersOut],tblDaily[EntryDate],DATE(2026,4,25),tblDaily[WardCode],"CW")=0,"",SUMIFS(tblDaily[TransfersOut],tblDaily[EntryDate],DATE(2026,4,25),tblDaily[WardCode],"CW")),"")</f>
        <v/>
      </c>
      <c r="H148" s="29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IFERROR(IF(SUMIFS(tblDaily[Admissions],tblDaily[EntryDate],DATE(2026,4,26),tblDaily[WardCode],"CW")=0,"",SUMIFS(tblDaily[Admissions],tblDaily[EntryDate],DATE(2026,4,26),tblDaily[WardCode],"CW")),"")</f>
        <v/>
      </c>
      <c r="C149" s="29" t="str">
        <f>IFERROR(IF(SUMIFS(tblDaily[Discharges],tblDaily[EntryDate],DATE(2026,4,26),tblDaily[WardCode],"CW")=0,"",SUMIFS(tblDaily[Discharges],tblDaily[EntryDate],DATE(2026,4,26),tblDaily[WardCode],"CW")),"")</f>
        <v/>
      </c>
      <c r="D149" s="29" t="str">
        <f>IFERROR(IF(SUMIFS(tblDaily[Deaths],tblDaily[EntryDate],DATE(2026,4,26),tblDaily[WardCode],"CW")=0,"",SUMIFS(tblDaily[Deaths],tblDaily[EntryDate],DATE(2026,4,26),tblDaily[WardCode],"CW")),"")</f>
        <v/>
      </c>
      <c r="E149" s="29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29" t="str">
        <f>IFERROR(IF(SUMIFS(tblDaily[TransfersIn],tblDaily[EntryDate],DATE(2026,4,26),tblDaily[WardCode],"CW")=0,"",SUMIFS(tblDaily[TransfersIn],tblDaily[EntryDate],DATE(2026,4,26),tblDaily[WardCode],"CW")),"")</f>
        <v/>
      </c>
      <c r="G149" s="29" t="str">
        <f>IFERROR(IF(SUMIFS(tblDaily[TransfersOut],tblDaily[EntryDate],DATE(2026,4,26),tblDaily[WardCode],"CW")=0,"",SUMIFS(tblDaily[TransfersOut],tblDaily[EntryDate],DATE(2026,4,26),tblDaily[WardCode],"CW")),"")</f>
        <v/>
      </c>
      <c r="H149" s="29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IFERROR(IF(SUMIFS(tblDaily[Admissions],tblDaily[EntryDate],DATE(2026,4,27),tblDaily[WardCode],"CW")=0,"",SUMIFS(tblDaily[Admissions],tblDaily[EntryDate],DATE(2026,4,27),tblDaily[WardCode],"CW")),"")</f>
        <v/>
      </c>
      <c r="C150" s="29" t="str">
        <f>IFERROR(IF(SUMIFS(tblDaily[Discharges],tblDaily[EntryDate],DATE(2026,4,27),tblDaily[WardCode],"CW")=0,"",SUMIFS(tblDaily[Discharges],tblDaily[EntryDate],DATE(2026,4,27),tblDaily[WardCode],"CW")),"")</f>
        <v/>
      </c>
      <c r="D150" s="29" t="str">
        <f>IFERROR(IF(SUMIFS(tblDaily[Deaths],tblDaily[EntryDate],DATE(2026,4,27),tblDaily[WardCode],"CW")=0,"",SUMIFS(tblDaily[Deaths],tblDaily[EntryDate],DATE(2026,4,27),tblDaily[WardCode],"CW")),"")</f>
        <v/>
      </c>
      <c r="E150" s="29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29" t="str">
        <f>IFERROR(IF(SUMIFS(tblDaily[TransfersIn],tblDaily[EntryDate],DATE(2026,4,27),tblDaily[WardCode],"CW")=0,"",SUMIFS(tblDaily[TransfersIn],tblDaily[EntryDate],DATE(2026,4,27),tblDaily[WardCode],"CW")),"")</f>
        <v/>
      </c>
      <c r="G150" s="29" t="str">
        <f>IFERROR(IF(SUMIFS(tblDaily[TransfersOut],tblDaily[EntryDate],DATE(2026,4,27),tblDaily[WardCode],"CW")=0,"",SUMIFS(tblDaily[TransfersOut],tblDaily[EntryDate],DATE(2026,4,27),tblDaily[WardCode],"CW")),"")</f>
        <v/>
      </c>
      <c r="H150" s="29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IFERROR(IF(SUMIFS(tblDaily[Admissions],tblDaily[EntryDate],DATE(2026,4,28),tblDaily[WardCode],"CW")=0,"",SUMIFS(tblDaily[Admissions],tblDaily[EntryDate],DATE(2026,4,28),tblDaily[WardCode],"CW")),"")</f>
        <v/>
      </c>
      <c r="C151" s="29" t="str">
        <f>IFERROR(IF(SUMIFS(tblDaily[Discharges],tblDaily[EntryDate],DATE(2026,4,28),tblDaily[WardCode],"CW")=0,"",SUMIFS(tblDaily[Discharges],tblDaily[EntryDate],DATE(2026,4,28),tblDaily[WardCode],"CW")),"")</f>
        <v/>
      </c>
      <c r="D151" s="29" t="str">
        <f>IFERROR(IF(SUMIFS(tblDaily[Deaths],tblDaily[EntryDate],DATE(2026,4,28),tblDaily[WardCode],"CW")=0,"",SUMIFS(tblDaily[Deaths],tblDaily[EntryDate],DATE(2026,4,28),tblDaily[WardCode],"CW")),"")</f>
        <v/>
      </c>
      <c r="E151" s="29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29" t="str">
        <f>IFERROR(IF(SUMIFS(tblDaily[TransfersIn],tblDaily[EntryDate],DATE(2026,4,28),tblDaily[WardCode],"CW")=0,"",SUMIFS(tblDaily[TransfersIn],tblDaily[EntryDate],DATE(2026,4,28),tblDaily[WardCode],"CW")),"")</f>
        <v/>
      </c>
      <c r="G151" s="29" t="str">
        <f>IFERROR(IF(SUMIFS(tblDaily[TransfersOut],tblDaily[EntryDate],DATE(2026,4,28),tblDaily[WardCode],"CW")=0,"",SUMIFS(tblDaily[TransfersOut],tblDaily[EntryDate],DATE(2026,4,28),tblDaily[WardCode],"CW")),"")</f>
        <v/>
      </c>
      <c r="H151" s="29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IFERROR(IF(SUMIFS(tblDaily[Admissions],tblDaily[EntryDate],DATE(2026,4,29),tblDaily[WardCode],"CW")=0,"",SUMIFS(tblDaily[Admissions],tblDaily[EntryDate],DATE(2026,4,29),tblDaily[WardCode],"CW")),"")</f>
        <v/>
      </c>
      <c r="C152" s="29" t="str">
        <f>IFERROR(IF(SUMIFS(tblDaily[Discharges],tblDaily[EntryDate],DATE(2026,4,29),tblDaily[WardCode],"CW")=0,"",SUMIFS(tblDaily[Discharges],tblDaily[EntryDate],DATE(2026,4,29),tblDaily[WardCode],"CW")),"")</f>
        <v/>
      </c>
      <c r="D152" s="29" t="str">
        <f>IFERROR(IF(SUMIFS(tblDaily[Deaths],tblDaily[EntryDate],DATE(2026,4,29),tblDaily[WardCode],"CW")=0,"",SUMIFS(tblDaily[Deaths],tblDaily[EntryDate],DATE(2026,4,29),tblDaily[WardCode],"CW")),"")</f>
        <v/>
      </c>
      <c r="E152" s="29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29" t="str">
        <f>IFERROR(IF(SUMIFS(tblDaily[TransfersIn],tblDaily[EntryDate],DATE(2026,4,29),tblDaily[WardCode],"CW")=0,"",SUMIFS(tblDaily[TransfersIn],tblDaily[EntryDate],DATE(2026,4,29),tblDaily[WardCode],"CW")),"")</f>
        <v/>
      </c>
      <c r="G152" s="29" t="str">
        <f>IFERROR(IF(SUMIFS(tblDaily[TransfersOut],tblDaily[EntryDate],DATE(2026,4,29),tblDaily[WardCode],"CW")=0,"",SUMIFS(tblDaily[TransfersOut],tblDaily[EntryDate],DATE(2026,4,29),tblDaily[WardCode],"CW")),"")</f>
        <v/>
      </c>
      <c r="H152" s="29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IFERROR(IF(SUMIFS(tblDaily[Admissions],tblDaily[EntryDate],DATE(2026,4,30),tblDaily[WardCode],"CW")=0,"",SUMIFS(tblDaily[Admissions],tblDaily[EntryDate],DATE(2026,4,30),tblDaily[WardCode],"CW")),"")</f>
        <v/>
      </c>
      <c r="C153" s="29" t="str">
        <f>IFERROR(IF(SUMIFS(tblDaily[Discharges],tblDaily[EntryDate],DATE(2026,4,30),tblDaily[WardCode],"CW")=0,"",SUMIFS(tblDaily[Discharges],tblDaily[EntryDate],DATE(2026,4,30),tblDaily[WardCode],"CW")),"")</f>
        <v/>
      </c>
      <c r="D153" s="29" t="str">
        <f>IFERROR(IF(SUMIFS(tblDaily[Deaths],tblDaily[EntryDate],DATE(2026,4,30),tblDaily[WardCode],"CW")=0,"",SUMIFS(tblDaily[Deaths],tblDaily[EntryDate],DATE(2026,4,30),tblDaily[WardCode],"CW")),"")</f>
        <v/>
      </c>
      <c r="E153" s="29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29" t="str">
        <f>IFERROR(IF(SUMIFS(tblDaily[TransfersIn],tblDaily[EntryDate],DATE(2026,4,30),tblDaily[WardCode],"CW")=0,"",SUMIFS(tblDaily[TransfersIn],tblDaily[EntryDate],DATE(2026,4,30),tblDaily[WardCode],"CW")),"")</f>
        <v/>
      </c>
      <c r="G153" s="29" t="str">
        <f>IFERROR(IF(SUMIFS(tblDaily[TransfersOut],tblDaily[EntryDate],DATE(2026,4,30),tblDaily[WardCode],"CW")=0,"",SUMIFS(tblDaily[TransfersOut],tblDaily[EntryDate],DATE(2026,4,30),tblDaily[WardCode],"CW")),"")</f>
        <v/>
      </c>
      <c r="H153" s="29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SUMIFS(tblDaily[Admissions],tblDaily[Month],4,tblDaily[WardCode],"CW") - SUMIFS(tblDaily[DeathsUnder24Hrs],tblDaily[Month],4,tblDaily[WardCode],"CW")</f>
        <v>16</v>
      </c>
      <c r="C155" s="30">
        <f>SUMIFS(tblDaily[Discharges],tblDaily[Month],4,tblDaily[WardCode],"CW")</f>
        <v>14</v>
      </c>
      <c r="D155" s="30">
        <f>SUMIFS(tblDaily[Deaths],tblDaily[Month],4,tblDaily[WardCode],"CW")</f>
        <v>2</v>
      </c>
      <c r="E155" s="30">
        <f>SUMIFS(tblDaily[DeathsUnder24Hrs],tblDaily[Month],4,tblDaily[WardCode],"CW")</f>
        <v>0</v>
      </c>
      <c r="F155" s="30">
        <f>SUMIFS(tblDaily[TransfersIn],tblDaily[Month],4,tblDaily[WardCode],"CW")</f>
        <v>1</v>
      </c>
      <c r="G155" s="30">
        <f>SUMIFS(tblDaily[TransfersOut],tblDaily[Month],4,tblDaily[WardCode],"CW")</f>
        <v>0</v>
      </c>
      <c r="H155" s="30">
        <f>SUMIFS(tblDaily[Remaining],tblDaily[Month],4,tblDaily[WardCode],"CW")</f>
        <v>58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117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IFERROR(SUMIFS(tblDaily[Remaining],tblDaily[EntryDate],DATE(2026,4,30),tblDaily[WardCode],"CW"),0)</f>
        <v>0</v>
      </c>
    </row>
    <row r="161" spans="1:8" x14ac:dyDescent="0.25">
      <c r="A161" s="24" t="s">
        <v>109</v>
      </c>
      <c r="H161" s="27">
        <f>IFERROR(INDEX(tblWardConfig[BedComplement],MATCH("CW",tblWardConfig[WardCode],0)),0)</f>
        <v>27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IFERROR(IF(SUMIFS(tblDaily[Admissions],tblDaily[EntryDate],DATE(2026,5,1),tblDaily[WardCode],"CW")=0,"",SUMIFS(tblDaily[Admissions],tblDaily[EntryDate],DATE(2026,5,1),tblDaily[WardCode],"CW")),"")</f>
        <v/>
      </c>
      <c r="C163" s="29" t="str">
        <f>IFERROR(IF(SUMIFS(tblDaily[Discharges],tblDaily[EntryDate],DATE(2026,5,1),tblDaily[WardCode],"CW")=0,"",SUMIFS(tblDaily[Discharges],tblDaily[EntryDate],DATE(2026,5,1),tblDaily[WardCode],"CW")),"")</f>
        <v/>
      </c>
      <c r="D163" s="29" t="str">
        <f>IFERROR(IF(SUMIFS(tblDaily[Deaths],tblDaily[EntryDate],DATE(2026,5,1),tblDaily[WardCode],"CW")=0,"",SUMIFS(tblDaily[Deaths],tblDaily[EntryDate],DATE(2026,5,1),tblDaily[WardCode],"CW")),"")</f>
        <v/>
      </c>
      <c r="E163" s="29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29" t="str">
        <f>IFERROR(IF(SUMIFS(tblDaily[TransfersIn],tblDaily[EntryDate],DATE(2026,5,1),tblDaily[WardCode],"CW")=0,"",SUMIFS(tblDaily[TransfersIn],tblDaily[EntryDate],DATE(2026,5,1),tblDaily[WardCode],"CW")),"")</f>
        <v/>
      </c>
      <c r="G163" s="29" t="str">
        <f>IFERROR(IF(SUMIFS(tblDaily[TransfersOut],tblDaily[EntryDate],DATE(2026,5,1),tblDaily[WardCode],"CW")=0,"",SUMIFS(tblDaily[TransfersOut],tblDaily[EntryDate],DATE(2026,5,1),tblDaily[WardCode],"CW")),"")</f>
        <v/>
      </c>
      <c r="H163" s="29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IFERROR(IF(SUMIFS(tblDaily[Admissions],tblDaily[EntryDate],DATE(2026,5,2),tblDaily[WardCode],"CW")=0,"",SUMIFS(tblDaily[Admissions],tblDaily[EntryDate],DATE(2026,5,2),tblDaily[WardCode],"CW")),"")</f>
        <v/>
      </c>
      <c r="C164" s="29" t="str">
        <f>IFERROR(IF(SUMIFS(tblDaily[Discharges],tblDaily[EntryDate],DATE(2026,5,2),tblDaily[WardCode],"CW")=0,"",SUMIFS(tblDaily[Discharges],tblDaily[EntryDate],DATE(2026,5,2),tblDaily[WardCode],"CW")),"")</f>
        <v/>
      </c>
      <c r="D164" s="29" t="str">
        <f>IFERROR(IF(SUMIFS(tblDaily[Deaths],tblDaily[EntryDate],DATE(2026,5,2),tblDaily[WardCode],"CW")=0,"",SUMIFS(tblDaily[Deaths],tblDaily[EntryDate],DATE(2026,5,2),tblDaily[WardCode],"CW")),"")</f>
        <v/>
      </c>
      <c r="E164" s="29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29" t="str">
        <f>IFERROR(IF(SUMIFS(tblDaily[TransfersIn],tblDaily[EntryDate],DATE(2026,5,2),tblDaily[WardCode],"CW")=0,"",SUMIFS(tblDaily[TransfersIn],tblDaily[EntryDate],DATE(2026,5,2),tblDaily[WardCode],"CW")),"")</f>
        <v/>
      </c>
      <c r="G164" s="29" t="str">
        <f>IFERROR(IF(SUMIFS(tblDaily[TransfersOut],tblDaily[EntryDate],DATE(2026,5,2),tblDaily[WardCode],"CW")=0,"",SUMIFS(tblDaily[TransfersOut],tblDaily[EntryDate],DATE(2026,5,2),tblDaily[WardCode],"CW")),"")</f>
        <v/>
      </c>
      <c r="H164" s="29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IFERROR(IF(SUMIFS(tblDaily[Admissions],tblDaily[EntryDate],DATE(2026,5,3),tblDaily[WardCode],"CW")=0,"",SUMIFS(tblDaily[Admissions],tblDaily[EntryDate],DATE(2026,5,3),tblDaily[WardCode],"CW")),"")</f>
        <v/>
      </c>
      <c r="C165" s="29" t="str">
        <f>IFERROR(IF(SUMIFS(tblDaily[Discharges],tblDaily[EntryDate],DATE(2026,5,3),tblDaily[WardCode],"CW")=0,"",SUMIFS(tblDaily[Discharges],tblDaily[EntryDate],DATE(2026,5,3),tblDaily[WardCode],"CW")),"")</f>
        <v/>
      </c>
      <c r="D165" s="29" t="str">
        <f>IFERROR(IF(SUMIFS(tblDaily[Deaths],tblDaily[EntryDate],DATE(2026,5,3),tblDaily[WardCode],"CW")=0,"",SUMIFS(tblDaily[Deaths],tblDaily[EntryDate],DATE(2026,5,3),tblDaily[WardCode],"CW")),"")</f>
        <v/>
      </c>
      <c r="E165" s="29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29" t="str">
        <f>IFERROR(IF(SUMIFS(tblDaily[TransfersIn],tblDaily[EntryDate],DATE(2026,5,3),tblDaily[WardCode],"CW")=0,"",SUMIFS(tblDaily[TransfersIn],tblDaily[EntryDate],DATE(2026,5,3),tblDaily[WardCode],"CW")),"")</f>
        <v/>
      </c>
      <c r="G165" s="29" t="str">
        <f>IFERROR(IF(SUMIFS(tblDaily[TransfersOut],tblDaily[EntryDate],DATE(2026,5,3),tblDaily[WardCode],"CW")=0,"",SUMIFS(tblDaily[TransfersOut],tblDaily[EntryDate],DATE(2026,5,3),tblDaily[WardCode],"CW")),"")</f>
        <v/>
      </c>
      <c r="H165" s="29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IFERROR(IF(SUMIFS(tblDaily[Admissions],tblDaily[EntryDate],DATE(2026,5,4),tblDaily[WardCode],"CW")=0,"",SUMIFS(tblDaily[Admissions],tblDaily[EntryDate],DATE(2026,5,4),tblDaily[WardCode],"CW")),"")</f>
        <v/>
      </c>
      <c r="C166" s="29" t="str">
        <f>IFERROR(IF(SUMIFS(tblDaily[Discharges],tblDaily[EntryDate],DATE(2026,5,4),tblDaily[WardCode],"CW")=0,"",SUMIFS(tblDaily[Discharges],tblDaily[EntryDate],DATE(2026,5,4),tblDaily[WardCode],"CW")),"")</f>
        <v/>
      </c>
      <c r="D166" s="29" t="str">
        <f>IFERROR(IF(SUMIFS(tblDaily[Deaths],tblDaily[EntryDate],DATE(2026,5,4),tblDaily[WardCode],"CW")=0,"",SUMIFS(tblDaily[Deaths],tblDaily[EntryDate],DATE(2026,5,4),tblDaily[WardCode],"CW")),"")</f>
        <v/>
      </c>
      <c r="E166" s="29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29" t="str">
        <f>IFERROR(IF(SUMIFS(tblDaily[TransfersIn],tblDaily[EntryDate],DATE(2026,5,4),tblDaily[WardCode],"CW")=0,"",SUMIFS(tblDaily[TransfersIn],tblDaily[EntryDate],DATE(2026,5,4),tblDaily[WardCode],"CW")),"")</f>
        <v/>
      </c>
      <c r="G166" s="29" t="str">
        <f>IFERROR(IF(SUMIFS(tblDaily[TransfersOut],tblDaily[EntryDate],DATE(2026,5,4),tblDaily[WardCode],"CW")=0,"",SUMIFS(tblDaily[TransfersOut],tblDaily[EntryDate],DATE(2026,5,4),tblDaily[WardCode],"CW")),"")</f>
        <v/>
      </c>
      <c r="H166" s="29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IFERROR(IF(SUMIFS(tblDaily[Admissions],tblDaily[EntryDate],DATE(2026,5,5),tblDaily[WardCode],"CW")=0,"",SUMIFS(tblDaily[Admissions],tblDaily[EntryDate],DATE(2026,5,5),tblDaily[WardCode],"CW")),"")</f>
        <v/>
      </c>
      <c r="C167" s="29" t="str">
        <f>IFERROR(IF(SUMIFS(tblDaily[Discharges],tblDaily[EntryDate],DATE(2026,5,5),tblDaily[WardCode],"CW")=0,"",SUMIFS(tblDaily[Discharges],tblDaily[EntryDate],DATE(2026,5,5),tblDaily[WardCode],"CW")),"")</f>
        <v/>
      </c>
      <c r="D167" s="29" t="str">
        <f>IFERROR(IF(SUMIFS(tblDaily[Deaths],tblDaily[EntryDate],DATE(2026,5,5),tblDaily[WardCode],"CW")=0,"",SUMIFS(tblDaily[Deaths],tblDaily[EntryDate],DATE(2026,5,5),tblDaily[WardCode],"CW")),"")</f>
        <v/>
      </c>
      <c r="E167" s="29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29" t="str">
        <f>IFERROR(IF(SUMIFS(tblDaily[TransfersIn],tblDaily[EntryDate],DATE(2026,5,5),tblDaily[WardCode],"CW")=0,"",SUMIFS(tblDaily[TransfersIn],tblDaily[EntryDate],DATE(2026,5,5),tblDaily[WardCode],"CW")),"")</f>
        <v/>
      </c>
      <c r="G167" s="29" t="str">
        <f>IFERROR(IF(SUMIFS(tblDaily[TransfersOut],tblDaily[EntryDate],DATE(2026,5,5),tblDaily[WardCode],"CW")=0,"",SUMIFS(tblDaily[TransfersOut],tblDaily[EntryDate],DATE(2026,5,5),tblDaily[WardCode],"CW")),"")</f>
        <v/>
      </c>
      <c r="H167" s="29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IFERROR(IF(SUMIFS(tblDaily[Admissions],tblDaily[EntryDate],DATE(2026,5,6),tblDaily[WardCode],"CW")=0,"",SUMIFS(tblDaily[Admissions],tblDaily[EntryDate],DATE(2026,5,6),tblDaily[WardCode],"CW")),"")</f>
        <v/>
      </c>
      <c r="C168" s="29" t="str">
        <f>IFERROR(IF(SUMIFS(tblDaily[Discharges],tblDaily[EntryDate],DATE(2026,5,6),tblDaily[WardCode],"CW")=0,"",SUMIFS(tblDaily[Discharges],tblDaily[EntryDate],DATE(2026,5,6),tblDaily[WardCode],"CW")),"")</f>
        <v/>
      </c>
      <c r="D168" s="29" t="str">
        <f>IFERROR(IF(SUMIFS(tblDaily[Deaths],tblDaily[EntryDate],DATE(2026,5,6),tblDaily[WardCode],"CW")=0,"",SUMIFS(tblDaily[Deaths],tblDaily[EntryDate],DATE(2026,5,6),tblDaily[WardCode],"CW")),"")</f>
        <v/>
      </c>
      <c r="E168" s="29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29" t="str">
        <f>IFERROR(IF(SUMIFS(tblDaily[TransfersIn],tblDaily[EntryDate],DATE(2026,5,6),tblDaily[WardCode],"CW")=0,"",SUMIFS(tblDaily[TransfersIn],tblDaily[EntryDate],DATE(2026,5,6),tblDaily[WardCode],"CW")),"")</f>
        <v/>
      </c>
      <c r="G168" s="29" t="str">
        <f>IFERROR(IF(SUMIFS(tblDaily[TransfersOut],tblDaily[EntryDate],DATE(2026,5,6),tblDaily[WardCode],"CW")=0,"",SUMIFS(tblDaily[TransfersOut],tblDaily[EntryDate],DATE(2026,5,6),tblDaily[WardCode],"CW")),"")</f>
        <v/>
      </c>
      <c r="H168" s="29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IFERROR(IF(SUMIFS(tblDaily[Admissions],tblDaily[EntryDate],DATE(2026,5,7),tblDaily[WardCode],"CW")=0,"",SUMIFS(tblDaily[Admissions],tblDaily[EntryDate],DATE(2026,5,7),tblDaily[WardCode],"CW")),"")</f>
        <v/>
      </c>
      <c r="C169" s="29" t="str">
        <f>IFERROR(IF(SUMIFS(tblDaily[Discharges],tblDaily[EntryDate],DATE(2026,5,7),tblDaily[WardCode],"CW")=0,"",SUMIFS(tblDaily[Discharges],tblDaily[EntryDate],DATE(2026,5,7),tblDaily[WardCode],"CW")),"")</f>
        <v/>
      </c>
      <c r="D169" s="29" t="str">
        <f>IFERROR(IF(SUMIFS(tblDaily[Deaths],tblDaily[EntryDate],DATE(2026,5,7),tblDaily[WardCode],"CW")=0,"",SUMIFS(tblDaily[Deaths],tblDaily[EntryDate],DATE(2026,5,7),tblDaily[WardCode],"CW")),"")</f>
        <v/>
      </c>
      <c r="E169" s="29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29" t="str">
        <f>IFERROR(IF(SUMIFS(tblDaily[TransfersIn],tblDaily[EntryDate],DATE(2026,5,7),tblDaily[WardCode],"CW")=0,"",SUMIFS(tblDaily[TransfersIn],tblDaily[EntryDate],DATE(2026,5,7),tblDaily[WardCode],"CW")),"")</f>
        <v/>
      </c>
      <c r="G169" s="29" t="str">
        <f>IFERROR(IF(SUMIFS(tblDaily[TransfersOut],tblDaily[EntryDate],DATE(2026,5,7),tblDaily[WardCode],"CW")=0,"",SUMIFS(tblDaily[TransfersOut],tblDaily[EntryDate],DATE(2026,5,7),tblDaily[WardCode],"CW")),"")</f>
        <v/>
      </c>
      <c r="H169" s="29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IFERROR(IF(SUMIFS(tblDaily[Admissions],tblDaily[EntryDate],DATE(2026,5,8),tblDaily[WardCode],"CW")=0,"",SUMIFS(tblDaily[Admissions],tblDaily[EntryDate],DATE(2026,5,8),tblDaily[WardCode],"CW")),"")</f>
        <v/>
      </c>
      <c r="C170" s="29" t="str">
        <f>IFERROR(IF(SUMIFS(tblDaily[Discharges],tblDaily[EntryDate],DATE(2026,5,8),tblDaily[WardCode],"CW")=0,"",SUMIFS(tblDaily[Discharges],tblDaily[EntryDate],DATE(2026,5,8),tblDaily[WardCode],"CW")),"")</f>
        <v/>
      </c>
      <c r="D170" s="29" t="str">
        <f>IFERROR(IF(SUMIFS(tblDaily[Deaths],tblDaily[EntryDate],DATE(2026,5,8),tblDaily[WardCode],"CW")=0,"",SUMIFS(tblDaily[Deaths],tblDaily[EntryDate],DATE(2026,5,8),tblDaily[WardCode],"CW")),"")</f>
        <v/>
      </c>
      <c r="E170" s="29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29" t="str">
        <f>IFERROR(IF(SUMIFS(tblDaily[TransfersIn],tblDaily[EntryDate],DATE(2026,5,8),tblDaily[WardCode],"CW")=0,"",SUMIFS(tblDaily[TransfersIn],tblDaily[EntryDate],DATE(2026,5,8),tblDaily[WardCode],"CW")),"")</f>
        <v/>
      </c>
      <c r="G170" s="29" t="str">
        <f>IFERROR(IF(SUMIFS(tblDaily[TransfersOut],tblDaily[EntryDate],DATE(2026,5,8),tblDaily[WardCode],"CW")=0,"",SUMIFS(tblDaily[TransfersOut],tblDaily[EntryDate],DATE(2026,5,8),tblDaily[WardCode],"CW")),"")</f>
        <v/>
      </c>
      <c r="H170" s="29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IFERROR(IF(SUMIFS(tblDaily[Admissions],tblDaily[EntryDate],DATE(2026,5,9),tblDaily[WardCode],"CW")=0,"",SUMIFS(tblDaily[Admissions],tblDaily[EntryDate],DATE(2026,5,9),tblDaily[WardCode],"CW")),"")</f>
        <v/>
      </c>
      <c r="C171" s="29" t="str">
        <f>IFERROR(IF(SUMIFS(tblDaily[Discharges],tblDaily[EntryDate],DATE(2026,5,9),tblDaily[WardCode],"CW")=0,"",SUMIFS(tblDaily[Discharges],tblDaily[EntryDate],DATE(2026,5,9),tblDaily[WardCode],"CW")),"")</f>
        <v/>
      </c>
      <c r="D171" s="29" t="str">
        <f>IFERROR(IF(SUMIFS(tblDaily[Deaths],tblDaily[EntryDate],DATE(2026,5,9),tblDaily[WardCode],"CW")=0,"",SUMIFS(tblDaily[Deaths],tblDaily[EntryDate],DATE(2026,5,9),tblDaily[WardCode],"CW")),"")</f>
        <v/>
      </c>
      <c r="E171" s="29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29" t="str">
        <f>IFERROR(IF(SUMIFS(tblDaily[TransfersIn],tblDaily[EntryDate],DATE(2026,5,9),tblDaily[WardCode],"CW")=0,"",SUMIFS(tblDaily[TransfersIn],tblDaily[EntryDate],DATE(2026,5,9),tblDaily[WardCode],"CW")),"")</f>
        <v/>
      </c>
      <c r="G171" s="29" t="str">
        <f>IFERROR(IF(SUMIFS(tblDaily[TransfersOut],tblDaily[EntryDate],DATE(2026,5,9),tblDaily[WardCode],"CW")=0,"",SUMIFS(tblDaily[TransfersOut],tblDaily[EntryDate],DATE(2026,5,9),tblDaily[WardCode],"CW")),"")</f>
        <v/>
      </c>
      <c r="H171" s="29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IFERROR(IF(SUMIFS(tblDaily[Admissions],tblDaily[EntryDate],DATE(2026,5,10),tblDaily[WardCode],"CW")=0,"",SUMIFS(tblDaily[Admissions],tblDaily[EntryDate],DATE(2026,5,10),tblDaily[WardCode],"CW")),"")</f>
        <v/>
      </c>
      <c r="C172" s="29" t="str">
        <f>IFERROR(IF(SUMIFS(tblDaily[Discharges],tblDaily[EntryDate],DATE(2026,5,10),tblDaily[WardCode],"CW")=0,"",SUMIFS(tblDaily[Discharges],tblDaily[EntryDate],DATE(2026,5,10),tblDaily[WardCode],"CW")),"")</f>
        <v/>
      </c>
      <c r="D172" s="29" t="str">
        <f>IFERROR(IF(SUMIFS(tblDaily[Deaths],tblDaily[EntryDate],DATE(2026,5,10),tblDaily[WardCode],"CW")=0,"",SUMIFS(tblDaily[Deaths],tblDaily[EntryDate],DATE(2026,5,10),tblDaily[WardCode],"CW")),"")</f>
        <v/>
      </c>
      <c r="E172" s="29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29" t="str">
        <f>IFERROR(IF(SUMIFS(tblDaily[TransfersIn],tblDaily[EntryDate],DATE(2026,5,10),tblDaily[WardCode],"CW")=0,"",SUMIFS(tblDaily[TransfersIn],tblDaily[EntryDate],DATE(2026,5,10),tblDaily[WardCode],"CW")),"")</f>
        <v/>
      </c>
      <c r="G172" s="29" t="str">
        <f>IFERROR(IF(SUMIFS(tblDaily[TransfersOut],tblDaily[EntryDate],DATE(2026,5,10),tblDaily[WardCode],"CW")=0,"",SUMIFS(tblDaily[TransfersOut],tblDaily[EntryDate],DATE(2026,5,10),tblDaily[WardCode],"CW")),"")</f>
        <v/>
      </c>
      <c r="H172" s="29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IFERROR(IF(SUMIFS(tblDaily[Admissions],tblDaily[EntryDate],DATE(2026,5,11),tblDaily[WardCode],"CW")=0,"",SUMIFS(tblDaily[Admissions],tblDaily[EntryDate],DATE(2026,5,11),tblDaily[WardCode],"CW")),"")</f>
        <v/>
      </c>
      <c r="C173" s="29" t="str">
        <f>IFERROR(IF(SUMIFS(tblDaily[Discharges],tblDaily[EntryDate],DATE(2026,5,11),tblDaily[WardCode],"CW")=0,"",SUMIFS(tblDaily[Discharges],tblDaily[EntryDate],DATE(2026,5,11),tblDaily[WardCode],"CW")),"")</f>
        <v/>
      </c>
      <c r="D173" s="29" t="str">
        <f>IFERROR(IF(SUMIFS(tblDaily[Deaths],tblDaily[EntryDate],DATE(2026,5,11),tblDaily[WardCode],"CW")=0,"",SUMIFS(tblDaily[Deaths],tblDaily[EntryDate],DATE(2026,5,11),tblDaily[WardCode],"CW")),"")</f>
        <v/>
      </c>
      <c r="E173" s="29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29" t="str">
        <f>IFERROR(IF(SUMIFS(tblDaily[TransfersIn],tblDaily[EntryDate],DATE(2026,5,11),tblDaily[WardCode],"CW")=0,"",SUMIFS(tblDaily[TransfersIn],tblDaily[EntryDate],DATE(2026,5,11),tblDaily[WardCode],"CW")),"")</f>
        <v/>
      </c>
      <c r="G173" s="29" t="str">
        <f>IFERROR(IF(SUMIFS(tblDaily[TransfersOut],tblDaily[EntryDate],DATE(2026,5,11),tblDaily[WardCode],"CW")=0,"",SUMIFS(tblDaily[TransfersOut],tblDaily[EntryDate],DATE(2026,5,11),tblDaily[WardCode],"CW")),"")</f>
        <v/>
      </c>
      <c r="H173" s="29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IFERROR(IF(SUMIFS(tblDaily[Admissions],tblDaily[EntryDate],DATE(2026,5,12),tblDaily[WardCode],"CW")=0,"",SUMIFS(tblDaily[Admissions],tblDaily[EntryDate],DATE(2026,5,12),tblDaily[WardCode],"CW")),"")</f>
        <v/>
      </c>
      <c r="C174" s="29" t="str">
        <f>IFERROR(IF(SUMIFS(tblDaily[Discharges],tblDaily[EntryDate],DATE(2026,5,12),tblDaily[WardCode],"CW")=0,"",SUMIFS(tblDaily[Discharges],tblDaily[EntryDate],DATE(2026,5,12),tblDaily[WardCode],"CW")),"")</f>
        <v/>
      </c>
      <c r="D174" s="29" t="str">
        <f>IFERROR(IF(SUMIFS(tblDaily[Deaths],tblDaily[EntryDate],DATE(2026,5,12),tblDaily[WardCode],"CW")=0,"",SUMIFS(tblDaily[Deaths],tblDaily[EntryDate],DATE(2026,5,12),tblDaily[WardCode],"CW")),"")</f>
        <v/>
      </c>
      <c r="E174" s="29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29" t="str">
        <f>IFERROR(IF(SUMIFS(tblDaily[TransfersIn],tblDaily[EntryDate],DATE(2026,5,12),tblDaily[WardCode],"CW")=0,"",SUMIFS(tblDaily[TransfersIn],tblDaily[EntryDate],DATE(2026,5,12),tblDaily[WardCode],"CW")),"")</f>
        <v/>
      </c>
      <c r="G174" s="29" t="str">
        <f>IFERROR(IF(SUMIFS(tblDaily[TransfersOut],tblDaily[EntryDate],DATE(2026,5,12),tblDaily[WardCode],"CW")=0,"",SUMIFS(tblDaily[TransfersOut],tblDaily[EntryDate],DATE(2026,5,12),tblDaily[WardCode],"CW")),"")</f>
        <v/>
      </c>
      <c r="H174" s="29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IFERROR(IF(SUMIFS(tblDaily[Admissions],tblDaily[EntryDate],DATE(2026,5,13),tblDaily[WardCode],"CW")=0,"",SUMIFS(tblDaily[Admissions],tblDaily[EntryDate],DATE(2026,5,13),tblDaily[WardCode],"CW")),"")</f>
        <v/>
      </c>
      <c r="C175" s="29" t="str">
        <f>IFERROR(IF(SUMIFS(tblDaily[Discharges],tblDaily[EntryDate],DATE(2026,5,13),tblDaily[WardCode],"CW")=0,"",SUMIFS(tblDaily[Discharges],tblDaily[EntryDate],DATE(2026,5,13),tblDaily[WardCode],"CW")),"")</f>
        <v/>
      </c>
      <c r="D175" s="29" t="str">
        <f>IFERROR(IF(SUMIFS(tblDaily[Deaths],tblDaily[EntryDate],DATE(2026,5,13),tblDaily[WardCode],"CW")=0,"",SUMIFS(tblDaily[Deaths],tblDaily[EntryDate],DATE(2026,5,13),tblDaily[WardCode],"CW")),"")</f>
        <v/>
      </c>
      <c r="E175" s="29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29" t="str">
        <f>IFERROR(IF(SUMIFS(tblDaily[TransfersIn],tblDaily[EntryDate],DATE(2026,5,13),tblDaily[WardCode],"CW")=0,"",SUMIFS(tblDaily[TransfersIn],tblDaily[EntryDate],DATE(2026,5,13),tblDaily[WardCode],"CW")),"")</f>
        <v/>
      </c>
      <c r="G175" s="29" t="str">
        <f>IFERROR(IF(SUMIFS(tblDaily[TransfersOut],tblDaily[EntryDate],DATE(2026,5,13),tblDaily[WardCode],"CW")=0,"",SUMIFS(tblDaily[TransfersOut],tblDaily[EntryDate],DATE(2026,5,13),tblDaily[WardCode],"CW")),"")</f>
        <v/>
      </c>
      <c r="H175" s="29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IFERROR(IF(SUMIFS(tblDaily[Admissions],tblDaily[EntryDate],DATE(2026,5,14),tblDaily[WardCode],"CW")=0,"",SUMIFS(tblDaily[Admissions],tblDaily[EntryDate],DATE(2026,5,14),tblDaily[WardCode],"CW")),"")</f>
        <v/>
      </c>
      <c r="C176" s="29" t="str">
        <f>IFERROR(IF(SUMIFS(tblDaily[Discharges],tblDaily[EntryDate],DATE(2026,5,14),tblDaily[WardCode],"CW")=0,"",SUMIFS(tblDaily[Discharges],tblDaily[EntryDate],DATE(2026,5,14),tblDaily[WardCode],"CW")),"")</f>
        <v/>
      </c>
      <c r="D176" s="29" t="str">
        <f>IFERROR(IF(SUMIFS(tblDaily[Deaths],tblDaily[EntryDate],DATE(2026,5,14),tblDaily[WardCode],"CW")=0,"",SUMIFS(tblDaily[Deaths],tblDaily[EntryDate],DATE(2026,5,14),tblDaily[WardCode],"CW")),"")</f>
        <v/>
      </c>
      <c r="E176" s="29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29" t="str">
        <f>IFERROR(IF(SUMIFS(tblDaily[TransfersIn],tblDaily[EntryDate],DATE(2026,5,14),tblDaily[WardCode],"CW")=0,"",SUMIFS(tblDaily[TransfersIn],tblDaily[EntryDate],DATE(2026,5,14),tblDaily[WardCode],"CW")),"")</f>
        <v/>
      </c>
      <c r="G176" s="29" t="str">
        <f>IFERROR(IF(SUMIFS(tblDaily[TransfersOut],tblDaily[EntryDate],DATE(2026,5,14),tblDaily[WardCode],"CW")=0,"",SUMIFS(tblDaily[TransfersOut],tblDaily[EntryDate],DATE(2026,5,14),tblDaily[WardCode],"CW")),"")</f>
        <v/>
      </c>
      <c r="H176" s="29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IFERROR(IF(SUMIFS(tblDaily[Admissions],tblDaily[EntryDate],DATE(2026,5,15),tblDaily[WardCode],"CW")=0,"",SUMIFS(tblDaily[Admissions],tblDaily[EntryDate],DATE(2026,5,15),tblDaily[WardCode],"CW")),"")</f>
        <v/>
      </c>
      <c r="C177" s="29" t="str">
        <f>IFERROR(IF(SUMIFS(tblDaily[Discharges],tblDaily[EntryDate],DATE(2026,5,15),tblDaily[WardCode],"CW")=0,"",SUMIFS(tblDaily[Discharges],tblDaily[EntryDate],DATE(2026,5,15),tblDaily[WardCode],"CW")),"")</f>
        <v/>
      </c>
      <c r="D177" s="29" t="str">
        <f>IFERROR(IF(SUMIFS(tblDaily[Deaths],tblDaily[EntryDate],DATE(2026,5,15),tblDaily[WardCode],"CW")=0,"",SUMIFS(tblDaily[Deaths],tblDaily[EntryDate],DATE(2026,5,15),tblDaily[WardCode],"CW")),"")</f>
        <v/>
      </c>
      <c r="E177" s="29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29" t="str">
        <f>IFERROR(IF(SUMIFS(tblDaily[TransfersIn],tblDaily[EntryDate],DATE(2026,5,15),tblDaily[WardCode],"CW")=0,"",SUMIFS(tblDaily[TransfersIn],tblDaily[EntryDate],DATE(2026,5,15),tblDaily[WardCode],"CW")),"")</f>
        <v/>
      </c>
      <c r="G177" s="29" t="str">
        <f>IFERROR(IF(SUMIFS(tblDaily[TransfersOut],tblDaily[EntryDate],DATE(2026,5,15),tblDaily[WardCode],"CW")=0,"",SUMIFS(tblDaily[TransfersOut],tblDaily[EntryDate],DATE(2026,5,15),tblDaily[WardCode],"CW")),"")</f>
        <v/>
      </c>
      <c r="H177" s="29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IFERROR(IF(SUMIFS(tblDaily[Admissions],tblDaily[EntryDate],DATE(2026,5,16),tblDaily[WardCode],"CW")=0,"",SUMIFS(tblDaily[Admissions],tblDaily[EntryDate],DATE(2026,5,16),tblDaily[WardCode],"CW")),"")</f>
        <v/>
      </c>
      <c r="C178" s="29" t="str">
        <f>IFERROR(IF(SUMIFS(tblDaily[Discharges],tblDaily[EntryDate],DATE(2026,5,16),tblDaily[WardCode],"CW")=0,"",SUMIFS(tblDaily[Discharges],tblDaily[EntryDate],DATE(2026,5,16),tblDaily[WardCode],"CW")),"")</f>
        <v/>
      </c>
      <c r="D178" s="29" t="str">
        <f>IFERROR(IF(SUMIFS(tblDaily[Deaths],tblDaily[EntryDate],DATE(2026,5,16),tblDaily[WardCode],"CW")=0,"",SUMIFS(tblDaily[Deaths],tblDaily[EntryDate],DATE(2026,5,16),tblDaily[WardCode],"CW")),"")</f>
        <v/>
      </c>
      <c r="E178" s="29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29" t="str">
        <f>IFERROR(IF(SUMIFS(tblDaily[TransfersIn],tblDaily[EntryDate],DATE(2026,5,16),tblDaily[WardCode],"CW")=0,"",SUMIFS(tblDaily[TransfersIn],tblDaily[EntryDate],DATE(2026,5,16),tblDaily[WardCode],"CW")),"")</f>
        <v/>
      </c>
      <c r="G178" s="29" t="str">
        <f>IFERROR(IF(SUMIFS(tblDaily[TransfersOut],tblDaily[EntryDate],DATE(2026,5,16),tblDaily[WardCode],"CW")=0,"",SUMIFS(tblDaily[TransfersOut],tblDaily[EntryDate],DATE(2026,5,16),tblDaily[WardCode],"CW")),"")</f>
        <v/>
      </c>
      <c r="H178" s="29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IFERROR(IF(SUMIFS(tblDaily[Admissions],tblDaily[EntryDate],DATE(2026,5,17),tblDaily[WardCode],"CW")=0,"",SUMIFS(tblDaily[Admissions],tblDaily[EntryDate],DATE(2026,5,17),tblDaily[WardCode],"CW")),"")</f>
        <v/>
      </c>
      <c r="C179" s="29" t="str">
        <f>IFERROR(IF(SUMIFS(tblDaily[Discharges],tblDaily[EntryDate],DATE(2026,5,17),tblDaily[WardCode],"CW")=0,"",SUMIFS(tblDaily[Discharges],tblDaily[EntryDate],DATE(2026,5,17),tblDaily[WardCode],"CW")),"")</f>
        <v/>
      </c>
      <c r="D179" s="29" t="str">
        <f>IFERROR(IF(SUMIFS(tblDaily[Deaths],tblDaily[EntryDate],DATE(2026,5,17),tblDaily[WardCode],"CW")=0,"",SUMIFS(tblDaily[Deaths],tblDaily[EntryDate],DATE(2026,5,17),tblDaily[WardCode],"CW")),"")</f>
        <v/>
      </c>
      <c r="E179" s="29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29" t="str">
        <f>IFERROR(IF(SUMIFS(tblDaily[TransfersIn],tblDaily[EntryDate],DATE(2026,5,17),tblDaily[WardCode],"CW")=0,"",SUMIFS(tblDaily[TransfersIn],tblDaily[EntryDate],DATE(2026,5,17),tblDaily[WardCode],"CW")),"")</f>
        <v/>
      </c>
      <c r="G179" s="29" t="str">
        <f>IFERROR(IF(SUMIFS(tblDaily[TransfersOut],tblDaily[EntryDate],DATE(2026,5,17),tblDaily[WardCode],"CW")=0,"",SUMIFS(tblDaily[TransfersOut],tblDaily[EntryDate],DATE(2026,5,17),tblDaily[WardCode],"CW")),"")</f>
        <v/>
      </c>
      <c r="H179" s="29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IFERROR(IF(SUMIFS(tblDaily[Admissions],tblDaily[EntryDate],DATE(2026,5,18),tblDaily[WardCode],"CW")=0,"",SUMIFS(tblDaily[Admissions],tblDaily[EntryDate],DATE(2026,5,18),tblDaily[WardCode],"CW")),"")</f>
        <v/>
      </c>
      <c r="C180" s="29" t="str">
        <f>IFERROR(IF(SUMIFS(tblDaily[Discharges],tblDaily[EntryDate],DATE(2026,5,18),tblDaily[WardCode],"CW")=0,"",SUMIFS(tblDaily[Discharges],tblDaily[EntryDate],DATE(2026,5,18),tblDaily[WardCode],"CW")),"")</f>
        <v/>
      </c>
      <c r="D180" s="29" t="str">
        <f>IFERROR(IF(SUMIFS(tblDaily[Deaths],tblDaily[EntryDate],DATE(2026,5,18),tblDaily[WardCode],"CW")=0,"",SUMIFS(tblDaily[Deaths],tblDaily[EntryDate],DATE(2026,5,18),tblDaily[WardCode],"CW")),"")</f>
        <v/>
      </c>
      <c r="E180" s="29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29" t="str">
        <f>IFERROR(IF(SUMIFS(tblDaily[TransfersIn],tblDaily[EntryDate],DATE(2026,5,18),tblDaily[WardCode],"CW")=0,"",SUMIFS(tblDaily[TransfersIn],tblDaily[EntryDate],DATE(2026,5,18),tblDaily[WardCode],"CW")),"")</f>
        <v/>
      </c>
      <c r="G180" s="29" t="str">
        <f>IFERROR(IF(SUMIFS(tblDaily[TransfersOut],tblDaily[EntryDate],DATE(2026,5,18),tblDaily[WardCode],"CW")=0,"",SUMIFS(tblDaily[TransfersOut],tblDaily[EntryDate],DATE(2026,5,18),tblDaily[WardCode],"CW")),"")</f>
        <v/>
      </c>
      <c r="H180" s="29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IFERROR(IF(SUMIFS(tblDaily[Admissions],tblDaily[EntryDate],DATE(2026,5,19),tblDaily[WardCode],"CW")=0,"",SUMIFS(tblDaily[Admissions],tblDaily[EntryDate],DATE(2026,5,19),tblDaily[WardCode],"CW")),"")</f>
        <v/>
      </c>
      <c r="C181" s="29" t="str">
        <f>IFERROR(IF(SUMIFS(tblDaily[Discharges],tblDaily[EntryDate],DATE(2026,5,19),tblDaily[WardCode],"CW")=0,"",SUMIFS(tblDaily[Discharges],tblDaily[EntryDate],DATE(2026,5,19),tblDaily[WardCode],"CW")),"")</f>
        <v/>
      </c>
      <c r="D181" s="29" t="str">
        <f>IFERROR(IF(SUMIFS(tblDaily[Deaths],tblDaily[EntryDate],DATE(2026,5,19),tblDaily[WardCode],"CW")=0,"",SUMIFS(tblDaily[Deaths],tblDaily[EntryDate],DATE(2026,5,19),tblDaily[WardCode],"CW")),"")</f>
        <v/>
      </c>
      <c r="E181" s="29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29" t="str">
        <f>IFERROR(IF(SUMIFS(tblDaily[TransfersIn],tblDaily[EntryDate],DATE(2026,5,19),tblDaily[WardCode],"CW")=0,"",SUMIFS(tblDaily[TransfersIn],tblDaily[EntryDate],DATE(2026,5,19),tblDaily[WardCode],"CW")),"")</f>
        <v/>
      </c>
      <c r="G181" s="29" t="str">
        <f>IFERROR(IF(SUMIFS(tblDaily[TransfersOut],tblDaily[EntryDate],DATE(2026,5,19),tblDaily[WardCode],"CW")=0,"",SUMIFS(tblDaily[TransfersOut],tblDaily[EntryDate],DATE(2026,5,19),tblDaily[WardCode],"CW")),"")</f>
        <v/>
      </c>
      <c r="H181" s="29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IFERROR(IF(SUMIFS(tblDaily[Admissions],tblDaily[EntryDate],DATE(2026,5,20),tblDaily[WardCode],"CW")=0,"",SUMIFS(tblDaily[Admissions],tblDaily[EntryDate],DATE(2026,5,20),tblDaily[WardCode],"CW")),"")</f>
        <v/>
      </c>
      <c r="C182" s="29" t="str">
        <f>IFERROR(IF(SUMIFS(tblDaily[Discharges],tblDaily[EntryDate],DATE(2026,5,20),tblDaily[WardCode],"CW")=0,"",SUMIFS(tblDaily[Discharges],tblDaily[EntryDate],DATE(2026,5,20),tblDaily[WardCode],"CW")),"")</f>
        <v/>
      </c>
      <c r="D182" s="29" t="str">
        <f>IFERROR(IF(SUMIFS(tblDaily[Deaths],tblDaily[EntryDate],DATE(2026,5,20),tblDaily[WardCode],"CW")=0,"",SUMIFS(tblDaily[Deaths],tblDaily[EntryDate],DATE(2026,5,20),tblDaily[WardCode],"CW")),"")</f>
        <v/>
      </c>
      <c r="E182" s="29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29" t="str">
        <f>IFERROR(IF(SUMIFS(tblDaily[TransfersIn],tblDaily[EntryDate],DATE(2026,5,20),tblDaily[WardCode],"CW")=0,"",SUMIFS(tblDaily[TransfersIn],tblDaily[EntryDate],DATE(2026,5,20),tblDaily[WardCode],"CW")),"")</f>
        <v/>
      </c>
      <c r="G182" s="29" t="str">
        <f>IFERROR(IF(SUMIFS(tblDaily[TransfersOut],tblDaily[EntryDate],DATE(2026,5,20),tblDaily[WardCode],"CW")=0,"",SUMIFS(tblDaily[TransfersOut],tblDaily[EntryDate],DATE(2026,5,20),tblDaily[WardCode],"CW")),"")</f>
        <v/>
      </c>
      <c r="H182" s="29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IFERROR(IF(SUMIFS(tblDaily[Admissions],tblDaily[EntryDate],DATE(2026,5,21),tblDaily[WardCode],"CW")=0,"",SUMIFS(tblDaily[Admissions],tblDaily[EntryDate],DATE(2026,5,21),tblDaily[WardCode],"CW")),"")</f>
        <v/>
      </c>
      <c r="C183" s="29" t="str">
        <f>IFERROR(IF(SUMIFS(tblDaily[Discharges],tblDaily[EntryDate],DATE(2026,5,21),tblDaily[WardCode],"CW")=0,"",SUMIFS(tblDaily[Discharges],tblDaily[EntryDate],DATE(2026,5,21),tblDaily[WardCode],"CW")),"")</f>
        <v/>
      </c>
      <c r="D183" s="29" t="str">
        <f>IFERROR(IF(SUMIFS(tblDaily[Deaths],tblDaily[EntryDate],DATE(2026,5,21),tblDaily[WardCode],"CW")=0,"",SUMIFS(tblDaily[Deaths],tblDaily[EntryDate],DATE(2026,5,21),tblDaily[WardCode],"CW")),"")</f>
        <v/>
      </c>
      <c r="E183" s="29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29" t="str">
        <f>IFERROR(IF(SUMIFS(tblDaily[TransfersIn],tblDaily[EntryDate],DATE(2026,5,21),tblDaily[WardCode],"CW")=0,"",SUMIFS(tblDaily[TransfersIn],tblDaily[EntryDate],DATE(2026,5,21),tblDaily[WardCode],"CW")),"")</f>
        <v/>
      </c>
      <c r="G183" s="29" t="str">
        <f>IFERROR(IF(SUMIFS(tblDaily[TransfersOut],tblDaily[EntryDate],DATE(2026,5,21),tblDaily[WardCode],"CW")=0,"",SUMIFS(tblDaily[TransfersOut],tblDaily[EntryDate],DATE(2026,5,21),tblDaily[WardCode],"CW")),"")</f>
        <v/>
      </c>
      <c r="H183" s="29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IFERROR(IF(SUMIFS(tblDaily[Admissions],tblDaily[EntryDate],DATE(2026,5,22),tblDaily[WardCode],"CW")=0,"",SUMIFS(tblDaily[Admissions],tblDaily[EntryDate],DATE(2026,5,22),tblDaily[WardCode],"CW")),"")</f>
        <v/>
      </c>
      <c r="C184" s="29" t="str">
        <f>IFERROR(IF(SUMIFS(tblDaily[Discharges],tblDaily[EntryDate],DATE(2026,5,22),tblDaily[WardCode],"CW")=0,"",SUMIFS(tblDaily[Discharges],tblDaily[EntryDate],DATE(2026,5,22),tblDaily[WardCode],"CW")),"")</f>
        <v/>
      </c>
      <c r="D184" s="29" t="str">
        <f>IFERROR(IF(SUMIFS(tblDaily[Deaths],tblDaily[EntryDate],DATE(2026,5,22),tblDaily[WardCode],"CW")=0,"",SUMIFS(tblDaily[Deaths],tblDaily[EntryDate],DATE(2026,5,22),tblDaily[WardCode],"CW")),"")</f>
        <v/>
      </c>
      <c r="E184" s="29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29" t="str">
        <f>IFERROR(IF(SUMIFS(tblDaily[TransfersIn],tblDaily[EntryDate],DATE(2026,5,22),tblDaily[WardCode],"CW")=0,"",SUMIFS(tblDaily[TransfersIn],tblDaily[EntryDate],DATE(2026,5,22),tblDaily[WardCode],"CW")),"")</f>
        <v/>
      </c>
      <c r="G184" s="29" t="str">
        <f>IFERROR(IF(SUMIFS(tblDaily[TransfersOut],tblDaily[EntryDate],DATE(2026,5,22),tblDaily[WardCode],"CW")=0,"",SUMIFS(tblDaily[TransfersOut],tblDaily[EntryDate],DATE(2026,5,22),tblDaily[WardCode],"CW")),"")</f>
        <v/>
      </c>
      <c r="H184" s="29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IFERROR(IF(SUMIFS(tblDaily[Admissions],tblDaily[EntryDate],DATE(2026,5,23),tblDaily[WardCode],"CW")=0,"",SUMIFS(tblDaily[Admissions],tblDaily[EntryDate],DATE(2026,5,23),tblDaily[WardCode],"CW")),"")</f>
        <v/>
      </c>
      <c r="C185" s="29" t="str">
        <f>IFERROR(IF(SUMIFS(tblDaily[Discharges],tblDaily[EntryDate],DATE(2026,5,23),tblDaily[WardCode],"CW")=0,"",SUMIFS(tblDaily[Discharges],tblDaily[EntryDate],DATE(2026,5,23),tblDaily[WardCode],"CW")),"")</f>
        <v/>
      </c>
      <c r="D185" s="29" t="str">
        <f>IFERROR(IF(SUMIFS(tblDaily[Deaths],tblDaily[EntryDate],DATE(2026,5,23),tblDaily[WardCode],"CW")=0,"",SUMIFS(tblDaily[Deaths],tblDaily[EntryDate],DATE(2026,5,23),tblDaily[WardCode],"CW")),"")</f>
        <v/>
      </c>
      <c r="E185" s="29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29" t="str">
        <f>IFERROR(IF(SUMIFS(tblDaily[TransfersIn],tblDaily[EntryDate],DATE(2026,5,23),tblDaily[WardCode],"CW")=0,"",SUMIFS(tblDaily[TransfersIn],tblDaily[EntryDate],DATE(2026,5,23),tblDaily[WardCode],"CW")),"")</f>
        <v/>
      </c>
      <c r="G185" s="29" t="str">
        <f>IFERROR(IF(SUMIFS(tblDaily[TransfersOut],tblDaily[EntryDate],DATE(2026,5,23),tblDaily[WardCode],"CW")=0,"",SUMIFS(tblDaily[TransfersOut],tblDaily[EntryDate],DATE(2026,5,23),tblDaily[WardCode],"CW")),"")</f>
        <v/>
      </c>
      <c r="H185" s="29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IFERROR(IF(SUMIFS(tblDaily[Admissions],tblDaily[EntryDate],DATE(2026,5,24),tblDaily[WardCode],"CW")=0,"",SUMIFS(tblDaily[Admissions],tblDaily[EntryDate],DATE(2026,5,24),tblDaily[WardCode],"CW")),"")</f>
        <v/>
      </c>
      <c r="C186" s="29" t="str">
        <f>IFERROR(IF(SUMIFS(tblDaily[Discharges],tblDaily[EntryDate],DATE(2026,5,24),tblDaily[WardCode],"CW")=0,"",SUMIFS(tblDaily[Discharges],tblDaily[EntryDate],DATE(2026,5,24),tblDaily[WardCode],"CW")),"")</f>
        <v/>
      </c>
      <c r="D186" s="29" t="str">
        <f>IFERROR(IF(SUMIFS(tblDaily[Deaths],tblDaily[EntryDate],DATE(2026,5,24),tblDaily[WardCode],"CW")=0,"",SUMIFS(tblDaily[Deaths],tblDaily[EntryDate],DATE(2026,5,24),tblDaily[WardCode],"CW")),"")</f>
        <v/>
      </c>
      <c r="E186" s="29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29" t="str">
        <f>IFERROR(IF(SUMIFS(tblDaily[TransfersIn],tblDaily[EntryDate],DATE(2026,5,24),tblDaily[WardCode],"CW")=0,"",SUMIFS(tblDaily[TransfersIn],tblDaily[EntryDate],DATE(2026,5,24),tblDaily[WardCode],"CW")),"")</f>
        <v/>
      </c>
      <c r="G186" s="29" t="str">
        <f>IFERROR(IF(SUMIFS(tblDaily[TransfersOut],tblDaily[EntryDate],DATE(2026,5,24),tblDaily[WardCode],"CW")=0,"",SUMIFS(tblDaily[TransfersOut],tblDaily[EntryDate],DATE(2026,5,24),tblDaily[WardCode],"CW")),"")</f>
        <v/>
      </c>
      <c r="H186" s="29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IFERROR(IF(SUMIFS(tblDaily[Admissions],tblDaily[EntryDate],DATE(2026,5,25),tblDaily[WardCode],"CW")=0,"",SUMIFS(tblDaily[Admissions],tblDaily[EntryDate],DATE(2026,5,25),tblDaily[WardCode],"CW")),"")</f>
        <v/>
      </c>
      <c r="C187" s="29" t="str">
        <f>IFERROR(IF(SUMIFS(tblDaily[Discharges],tblDaily[EntryDate],DATE(2026,5,25),tblDaily[WardCode],"CW")=0,"",SUMIFS(tblDaily[Discharges],tblDaily[EntryDate],DATE(2026,5,25),tblDaily[WardCode],"CW")),"")</f>
        <v/>
      </c>
      <c r="D187" s="29" t="str">
        <f>IFERROR(IF(SUMIFS(tblDaily[Deaths],tblDaily[EntryDate],DATE(2026,5,25),tblDaily[WardCode],"CW")=0,"",SUMIFS(tblDaily[Deaths],tblDaily[EntryDate],DATE(2026,5,25),tblDaily[WardCode],"CW")),"")</f>
        <v/>
      </c>
      <c r="E187" s="29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29" t="str">
        <f>IFERROR(IF(SUMIFS(tblDaily[TransfersIn],tblDaily[EntryDate],DATE(2026,5,25),tblDaily[WardCode],"CW")=0,"",SUMIFS(tblDaily[TransfersIn],tblDaily[EntryDate],DATE(2026,5,25),tblDaily[WardCode],"CW")),"")</f>
        <v/>
      </c>
      <c r="G187" s="29" t="str">
        <f>IFERROR(IF(SUMIFS(tblDaily[TransfersOut],tblDaily[EntryDate],DATE(2026,5,25),tblDaily[WardCode],"CW")=0,"",SUMIFS(tblDaily[TransfersOut],tblDaily[EntryDate],DATE(2026,5,25),tblDaily[WardCode],"CW")),"")</f>
        <v/>
      </c>
      <c r="H187" s="29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IFERROR(IF(SUMIFS(tblDaily[Admissions],tblDaily[EntryDate],DATE(2026,5,26),tblDaily[WardCode],"CW")=0,"",SUMIFS(tblDaily[Admissions],tblDaily[EntryDate],DATE(2026,5,26),tblDaily[WardCode],"CW")),"")</f>
        <v/>
      </c>
      <c r="C188" s="29" t="str">
        <f>IFERROR(IF(SUMIFS(tblDaily[Discharges],tblDaily[EntryDate],DATE(2026,5,26),tblDaily[WardCode],"CW")=0,"",SUMIFS(tblDaily[Discharges],tblDaily[EntryDate],DATE(2026,5,26),tblDaily[WardCode],"CW")),"")</f>
        <v/>
      </c>
      <c r="D188" s="29" t="str">
        <f>IFERROR(IF(SUMIFS(tblDaily[Deaths],tblDaily[EntryDate],DATE(2026,5,26),tblDaily[WardCode],"CW")=0,"",SUMIFS(tblDaily[Deaths],tblDaily[EntryDate],DATE(2026,5,26),tblDaily[WardCode],"CW")),"")</f>
        <v/>
      </c>
      <c r="E188" s="29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29" t="str">
        <f>IFERROR(IF(SUMIFS(tblDaily[TransfersIn],tblDaily[EntryDate],DATE(2026,5,26),tblDaily[WardCode],"CW")=0,"",SUMIFS(tblDaily[TransfersIn],tblDaily[EntryDate],DATE(2026,5,26),tblDaily[WardCode],"CW")),"")</f>
        <v/>
      </c>
      <c r="G188" s="29" t="str">
        <f>IFERROR(IF(SUMIFS(tblDaily[TransfersOut],tblDaily[EntryDate],DATE(2026,5,26),tblDaily[WardCode],"CW")=0,"",SUMIFS(tblDaily[TransfersOut],tblDaily[EntryDate],DATE(2026,5,26),tblDaily[WardCode],"CW")),"")</f>
        <v/>
      </c>
      <c r="H188" s="29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IFERROR(IF(SUMIFS(tblDaily[Admissions],tblDaily[EntryDate],DATE(2026,5,27),tblDaily[WardCode],"CW")=0,"",SUMIFS(tblDaily[Admissions],tblDaily[EntryDate],DATE(2026,5,27),tblDaily[WardCode],"CW")),"")</f>
        <v/>
      </c>
      <c r="C189" s="29" t="str">
        <f>IFERROR(IF(SUMIFS(tblDaily[Discharges],tblDaily[EntryDate],DATE(2026,5,27),tblDaily[WardCode],"CW")=0,"",SUMIFS(tblDaily[Discharges],tblDaily[EntryDate],DATE(2026,5,27),tblDaily[WardCode],"CW")),"")</f>
        <v/>
      </c>
      <c r="D189" s="29" t="str">
        <f>IFERROR(IF(SUMIFS(tblDaily[Deaths],tblDaily[EntryDate],DATE(2026,5,27),tblDaily[WardCode],"CW")=0,"",SUMIFS(tblDaily[Deaths],tblDaily[EntryDate],DATE(2026,5,27),tblDaily[WardCode],"CW")),"")</f>
        <v/>
      </c>
      <c r="E189" s="29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29" t="str">
        <f>IFERROR(IF(SUMIFS(tblDaily[TransfersIn],tblDaily[EntryDate],DATE(2026,5,27),tblDaily[WardCode],"CW")=0,"",SUMIFS(tblDaily[TransfersIn],tblDaily[EntryDate],DATE(2026,5,27),tblDaily[WardCode],"CW")),"")</f>
        <v/>
      </c>
      <c r="G189" s="29" t="str">
        <f>IFERROR(IF(SUMIFS(tblDaily[TransfersOut],tblDaily[EntryDate],DATE(2026,5,27),tblDaily[WardCode],"CW")=0,"",SUMIFS(tblDaily[TransfersOut],tblDaily[EntryDate],DATE(2026,5,27),tblDaily[WardCode],"CW")),"")</f>
        <v/>
      </c>
      <c r="H189" s="29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IFERROR(IF(SUMIFS(tblDaily[Admissions],tblDaily[EntryDate],DATE(2026,5,28),tblDaily[WardCode],"CW")=0,"",SUMIFS(tblDaily[Admissions],tblDaily[EntryDate],DATE(2026,5,28),tblDaily[WardCode],"CW")),"")</f>
        <v/>
      </c>
      <c r="C190" s="29" t="str">
        <f>IFERROR(IF(SUMIFS(tblDaily[Discharges],tblDaily[EntryDate],DATE(2026,5,28),tblDaily[WardCode],"CW")=0,"",SUMIFS(tblDaily[Discharges],tblDaily[EntryDate],DATE(2026,5,28),tblDaily[WardCode],"CW")),"")</f>
        <v/>
      </c>
      <c r="D190" s="29" t="str">
        <f>IFERROR(IF(SUMIFS(tblDaily[Deaths],tblDaily[EntryDate],DATE(2026,5,28),tblDaily[WardCode],"CW")=0,"",SUMIFS(tblDaily[Deaths],tblDaily[EntryDate],DATE(2026,5,28),tblDaily[WardCode],"CW")),"")</f>
        <v/>
      </c>
      <c r="E190" s="29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29" t="str">
        <f>IFERROR(IF(SUMIFS(tblDaily[TransfersIn],tblDaily[EntryDate],DATE(2026,5,28),tblDaily[WardCode],"CW")=0,"",SUMIFS(tblDaily[TransfersIn],tblDaily[EntryDate],DATE(2026,5,28),tblDaily[WardCode],"CW")),"")</f>
        <v/>
      </c>
      <c r="G190" s="29" t="str">
        <f>IFERROR(IF(SUMIFS(tblDaily[TransfersOut],tblDaily[EntryDate],DATE(2026,5,28),tblDaily[WardCode],"CW")=0,"",SUMIFS(tblDaily[TransfersOut],tblDaily[EntryDate],DATE(2026,5,28),tblDaily[WardCode],"CW")),"")</f>
        <v/>
      </c>
      <c r="H190" s="29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IFERROR(IF(SUMIFS(tblDaily[Admissions],tblDaily[EntryDate],DATE(2026,5,29),tblDaily[WardCode],"CW")=0,"",SUMIFS(tblDaily[Admissions],tblDaily[EntryDate],DATE(2026,5,29),tblDaily[WardCode],"CW")),"")</f>
        <v/>
      </c>
      <c r="C191" s="29" t="str">
        <f>IFERROR(IF(SUMIFS(tblDaily[Discharges],tblDaily[EntryDate],DATE(2026,5,29),tblDaily[WardCode],"CW")=0,"",SUMIFS(tblDaily[Discharges],tblDaily[EntryDate],DATE(2026,5,29),tblDaily[WardCode],"CW")),"")</f>
        <v/>
      </c>
      <c r="D191" s="29" t="str">
        <f>IFERROR(IF(SUMIFS(tblDaily[Deaths],tblDaily[EntryDate],DATE(2026,5,29),tblDaily[WardCode],"CW")=0,"",SUMIFS(tblDaily[Deaths],tblDaily[EntryDate],DATE(2026,5,29),tblDaily[WardCode],"CW")),"")</f>
        <v/>
      </c>
      <c r="E191" s="29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29" t="str">
        <f>IFERROR(IF(SUMIFS(tblDaily[TransfersIn],tblDaily[EntryDate],DATE(2026,5,29),tblDaily[WardCode],"CW")=0,"",SUMIFS(tblDaily[TransfersIn],tblDaily[EntryDate],DATE(2026,5,29),tblDaily[WardCode],"CW")),"")</f>
        <v/>
      </c>
      <c r="G191" s="29" t="str">
        <f>IFERROR(IF(SUMIFS(tblDaily[TransfersOut],tblDaily[EntryDate],DATE(2026,5,29),tblDaily[WardCode],"CW")=0,"",SUMIFS(tblDaily[TransfersOut],tblDaily[EntryDate],DATE(2026,5,29),tblDaily[WardCode],"CW")),"")</f>
        <v/>
      </c>
      <c r="H191" s="29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IFERROR(IF(SUMIFS(tblDaily[Admissions],tblDaily[EntryDate],DATE(2026,5,30),tblDaily[WardCode],"CW")=0,"",SUMIFS(tblDaily[Admissions],tblDaily[EntryDate],DATE(2026,5,30),tblDaily[WardCode],"CW")),"")</f>
        <v/>
      </c>
      <c r="C192" s="29" t="str">
        <f>IFERROR(IF(SUMIFS(tblDaily[Discharges],tblDaily[EntryDate],DATE(2026,5,30),tblDaily[WardCode],"CW")=0,"",SUMIFS(tblDaily[Discharges],tblDaily[EntryDate],DATE(2026,5,30),tblDaily[WardCode],"CW")),"")</f>
        <v/>
      </c>
      <c r="D192" s="29" t="str">
        <f>IFERROR(IF(SUMIFS(tblDaily[Deaths],tblDaily[EntryDate],DATE(2026,5,30),tblDaily[WardCode],"CW")=0,"",SUMIFS(tblDaily[Deaths],tblDaily[EntryDate],DATE(2026,5,30),tblDaily[WardCode],"CW")),"")</f>
        <v/>
      </c>
      <c r="E192" s="29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29" t="str">
        <f>IFERROR(IF(SUMIFS(tblDaily[TransfersIn],tblDaily[EntryDate],DATE(2026,5,30),tblDaily[WardCode],"CW")=0,"",SUMIFS(tblDaily[TransfersIn],tblDaily[EntryDate],DATE(2026,5,30),tblDaily[WardCode],"CW")),"")</f>
        <v/>
      </c>
      <c r="G192" s="29" t="str">
        <f>IFERROR(IF(SUMIFS(tblDaily[TransfersOut],tblDaily[EntryDate],DATE(2026,5,30),tblDaily[WardCode],"CW")=0,"",SUMIFS(tblDaily[TransfersOut],tblDaily[EntryDate],DATE(2026,5,30),tblDaily[WardCode],"CW")),"")</f>
        <v/>
      </c>
      <c r="H192" s="29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IFERROR(IF(SUMIFS(tblDaily[Admissions],tblDaily[EntryDate],DATE(2026,5,31),tblDaily[WardCode],"CW")=0,"",SUMIFS(tblDaily[Admissions],tblDaily[EntryDate],DATE(2026,5,31),tblDaily[WardCode],"CW")),"")</f>
        <v/>
      </c>
      <c r="C193" s="29" t="str">
        <f>IFERROR(IF(SUMIFS(tblDaily[Discharges],tblDaily[EntryDate],DATE(2026,5,31),tblDaily[WardCode],"CW")=0,"",SUMIFS(tblDaily[Discharges],tblDaily[EntryDate],DATE(2026,5,31),tblDaily[WardCode],"CW")),"")</f>
        <v/>
      </c>
      <c r="D193" s="29" t="str">
        <f>IFERROR(IF(SUMIFS(tblDaily[Deaths],tblDaily[EntryDate],DATE(2026,5,31),tblDaily[WardCode],"CW")=0,"",SUMIFS(tblDaily[Deaths],tblDaily[EntryDate],DATE(2026,5,31),tblDaily[WardCode],"CW")),"")</f>
        <v/>
      </c>
      <c r="E193" s="29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29" t="str">
        <f>IFERROR(IF(SUMIFS(tblDaily[TransfersIn],tblDaily[EntryDate],DATE(2026,5,31),tblDaily[WardCode],"CW")=0,"",SUMIFS(tblDaily[TransfersIn],tblDaily[EntryDate],DATE(2026,5,31),tblDaily[WardCode],"CW")),"")</f>
        <v/>
      </c>
      <c r="G193" s="29" t="str">
        <f>IFERROR(IF(SUMIFS(tblDaily[TransfersOut],tblDaily[EntryDate],DATE(2026,5,31),tblDaily[WardCode],"CW")=0,"",SUMIFS(tblDaily[TransfersOut],tblDaily[EntryDate],DATE(2026,5,31),tblDaily[WardCode],"CW")),"")</f>
        <v/>
      </c>
      <c r="H193" s="29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30" t="s">
        <v>115</v>
      </c>
      <c r="B194" s="30">
        <f>SUMIFS(tblDaily[Admissions],tblDaily[Month],5,tblDaily[WardCode],"CW") - SUMIFS(tblDaily[DeathsUnder24Hrs],tblDaily[Month],5,tblDaily[WardCode],"CW")</f>
        <v>0</v>
      </c>
      <c r="C194" s="30">
        <f>SUMIFS(tblDaily[Discharges],tblDaily[Month],5,tblDaily[WardCode],"CW")</f>
        <v>0</v>
      </c>
      <c r="D194" s="30">
        <f>SUMIFS(tblDaily[Deaths],tblDaily[Month],5,tblDaily[WardCode],"CW")</f>
        <v>0</v>
      </c>
      <c r="E194" s="30">
        <f>SUMIFS(tblDaily[DeathsUnder24Hrs],tblDaily[Month],5,tblDaily[WardCode],"CW")</f>
        <v>0</v>
      </c>
      <c r="F194" s="30">
        <f>SUMIFS(tblDaily[TransfersIn],tblDaily[Month],5,tblDaily[WardCode],"CW")</f>
        <v>0</v>
      </c>
      <c r="G194" s="30">
        <f>SUMIFS(tblDaily[TransfersOut],tblDaily[Month],5,tblDaily[WardCode],"CW")</f>
        <v>0</v>
      </c>
      <c r="H194" s="30">
        <f>SUMIFS(tblDaily[Remaining],tblDaily[Month],5,tblDaily[WardCode],"CW")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117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IFERROR(SUMIFS(tblDaily[Remaining],tblDaily[EntryDate],DATE(2026,5,31),tblDaily[WardCode],"CW"),0)</f>
        <v>0</v>
      </c>
    </row>
    <row r="200" spans="1:8" x14ac:dyDescent="0.25">
      <c r="A200" s="24" t="s">
        <v>109</v>
      </c>
      <c r="H200" s="27">
        <f>IFERROR(INDEX(tblWardConfig[BedComplement],MATCH("CW",tblWardConfig[WardCode],0)),0)</f>
        <v>27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IFERROR(IF(SUMIFS(tblDaily[Admissions],tblDaily[EntryDate],DATE(2026,6,1),tblDaily[WardCode],"CW")=0,"",SUMIFS(tblDaily[Admissions],tblDaily[EntryDate],DATE(2026,6,1),tblDaily[WardCode],"CW")),"")</f>
        <v/>
      </c>
      <c r="C202" s="29" t="str">
        <f>IFERROR(IF(SUMIFS(tblDaily[Discharges],tblDaily[EntryDate],DATE(2026,6,1),tblDaily[WardCode],"CW")=0,"",SUMIFS(tblDaily[Discharges],tblDaily[EntryDate],DATE(2026,6,1),tblDaily[WardCode],"CW")),"")</f>
        <v/>
      </c>
      <c r="D202" s="29" t="str">
        <f>IFERROR(IF(SUMIFS(tblDaily[Deaths],tblDaily[EntryDate],DATE(2026,6,1),tblDaily[WardCode],"CW")=0,"",SUMIFS(tblDaily[Deaths],tblDaily[EntryDate],DATE(2026,6,1),tblDaily[WardCode],"CW")),"")</f>
        <v/>
      </c>
      <c r="E202" s="29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29" t="str">
        <f>IFERROR(IF(SUMIFS(tblDaily[TransfersIn],tblDaily[EntryDate],DATE(2026,6,1),tblDaily[WardCode],"CW")=0,"",SUMIFS(tblDaily[TransfersIn],tblDaily[EntryDate],DATE(2026,6,1),tblDaily[WardCode],"CW")),"")</f>
        <v/>
      </c>
      <c r="G202" s="29" t="str">
        <f>IFERROR(IF(SUMIFS(tblDaily[TransfersOut],tblDaily[EntryDate],DATE(2026,6,1),tblDaily[WardCode],"CW")=0,"",SUMIFS(tblDaily[TransfersOut],tblDaily[EntryDate],DATE(2026,6,1),tblDaily[WardCode],"CW")),"")</f>
        <v/>
      </c>
      <c r="H202" s="29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IFERROR(IF(SUMIFS(tblDaily[Admissions],tblDaily[EntryDate],DATE(2026,6,2),tblDaily[WardCode],"CW")=0,"",SUMIFS(tblDaily[Admissions],tblDaily[EntryDate],DATE(2026,6,2),tblDaily[WardCode],"CW")),"")</f>
        <v/>
      </c>
      <c r="C203" s="29" t="str">
        <f>IFERROR(IF(SUMIFS(tblDaily[Discharges],tblDaily[EntryDate],DATE(2026,6,2),tblDaily[WardCode],"CW")=0,"",SUMIFS(tblDaily[Discharges],tblDaily[EntryDate],DATE(2026,6,2),tblDaily[WardCode],"CW")),"")</f>
        <v/>
      </c>
      <c r="D203" s="29" t="str">
        <f>IFERROR(IF(SUMIFS(tblDaily[Deaths],tblDaily[EntryDate],DATE(2026,6,2),tblDaily[WardCode],"CW")=0,"",SUMIFS(tblDaily[Deaths],tblDaily[EntryDate],DATE(2026,6,2),tblDaily[WardCode],"CW")),"")</f>
        <v/>
      </c>
      <c r="E203" s="29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29" t="str">
        <f>IFERROR(IF(SUMIFS(tblDaily[TransfersIn],tblDaily[EntryDate],DATE(2026,6,2),tblDaily[WardCode],"CW")=0,"",SUMIFS(tblDaily[TransfersIn],tblDaily[EntryDate],DATE(2026,6,2),tblDaily[WardCode],"CW")),"")</f>
        <v/>
      </c>
      <c r="G203" s="29" t="str">
        <f>IFERROR(IF(SUMIFS(tblDaily[TransfersOut],tblDaily[EntryDate],DATE(2026,6,2),tblDaily[WardCode],"CW")=0,"",SUMIFS(tblDaily[TransfersOut],tblDaily[EntryDate],DATE(2026,6,2),tblDaily[WardCode],"CW")),"")</f>
        <v/>
      </c>
      <c r="H203" s="29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IFERROR(IF(SUMIFS(tblDaily[Admissions],tblDaily[EntryDate],DATE(2026,6,3),tblDaily[WardCode],"CW")=0,"",SUMIFS(tblDaily[Admissions],tblDaily[EntryDate],DATE(2026,6,3),tblDaily[WardCode],"CW")),"")</f>
        <v/>
      </c>
      <c r="C204" s="29" t="str">
        <f>IFERROR(IF(SUMIFS(tblDaily[Discharges],tblDaily[EntryDate],DATE(2026,6,3),tblDaily[WardCode],"CW")=0,"",SUMIFS(tblDaily[Discharges],tblDaily[EntryDate],DATE(2026,6,3),tblDaily[WardCode],"CW")),"")</f>
        <v/>
      </c>
      <c r="D204" s="29" t="str">
        <f>IFERROR(IF(SUMIFS(tblDaily[Deaths],tblDaily[EntryDate],DATE(2026,6,3),tblDaily[WardCode],"CW")=0,"",SUMIFS(tblDaily[Deaths],tblDaily[EntryDate],DATE(2026,6,3),tblDaily[WardCode],"CW")),"")</f>
        <v/>
      </c>
      <c r="E204" s="29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29" t="str">
        <f>IFERROR(IF(SUMIFS(tblDaily[TransfersIn],tblDaily[EntryDate],DATE(2026,6,3),tblDaily[WardCode],"CW")=0,"",SUMIFS(tblDaily[TransfersIn],tblDaily[EntryDate],DATE(2026,6,3),tblDaily[WardCode],"CW")),"")</f>
        <v/>
      </c>
      <c r="G204" s="29" t="str">
        <f>IFERROR(IF(SUMIFS(tblDaily[TransfersOut],tblDaily[EntryDate],DATE(2026,6,3),tblDaily[WardCode],"CW")=0,"",SUMIFS(tblDaily[TransfersOut],tblDaily[EntryDate],DATE(2026,6,3),tblDaily[WardCode],"CW")),"")</f>
        <v/>
      </c>
      <c r="H204" s="29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IFERROR(IF(SUMIFS(tblDaily[Admissions],tblDaily[EntryDate],DATE(2026,6,4),tblDaily[WardCode],"CW")=0,"",SUMIFS(tblDaily[Admissions],tblDaily[EntryDate],DATE(2026,6,4),tblDaily[WardCode],"CW")),"")</f>
        <v/>
      </c>
      <c r="C205" s="29" t="str">
        <f>IFERROR(IF(SUMIFS(tblDaily[Discharges],tblDaily[EntryDate],DATE(2026,6,4),tblDaily[WardCode],"CW")=0,"",SUMIFS(tblDaily[Discharges],tblDaily[EntryDate],DATE(2026,6,4),tblDaily[WardCode],"CW")),"")</f>
        <v/>
      </c>
      <c r="D205" s="29" t="str">
        <f>IFERROR(IF(SUMIFS(tblDaily[Deaths],tblDaily[EntryDate],DATE(2026,6,4),tblDaily[WardCode],"CW")=0,"",SUMIFS(tblDaily[Deaths],tblDaily[EntryDate],DATE(2026,6,4),tblDaily[WardCode],"CW")),"")</f>
        <v/>
      </c>
      <c r="E205" s="29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29" t="str">
        <f>IFERROR(IF(SUMIFS(tblDaily[TransfersIn],tblDaily[EntryDate],DATE(2026,6,4),tblDaily[WardCode],"CW")=0,"",SUMIFS(tblDaily[TransfersIn],tblDaily[EntryDate],DATE(2026,6,4),tblDaily[WardCode],"CW")),"")</f>
        <v/>
      </c>
      <c r="G205" s="29" t="str">
        <f>IFERROR(IF(SUMIFS(tblDaily[TransfersOut],tblDaily[EntryDate],DATE(2026,6,4),tblDaily[WardCode],"CW")=0,"",SUMIFS(tblDaily[TransfersOut],tblDaily[EntryDate],DATE(2026,6,4),tblDaily[WardCode],"CW")),"")</f>
        <v/>
      </c>
      <c r="H205" s="29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IFERROR(IF(SUMIFS(tblDaily[Admissions],tblDaily[EntryDate],DATE(2026,6,5),tblDaily[WardCode],"CW")=0,"",SUMIFS(tblDaily[Admissions],tblDaily[EntryDate],DATE(2026,6,5),tblDaily[WardCode],"CW")),"")</f>
        <v/>
      </c>
      <c r="C206" s="29" t="str">
        <f>IFERROR(IF(SUMIFS(tblDaily[Discharges],tblDaily[EntryDate],DATE(2026,6,5),tblDaily[WardCode],"CW")=0,"",SUMIFS(tblDaily[Discharges],tblDaily[EntryDate],DATE(2026,6,5),tblDaily[WardCode],"CW")),"")</f>
        <v/>
      </c>
      <c r="D206" s="29" t="str">
        <f>IFERROR(IF(SUMIFS(tblDaily[Deaths],tblDaily[EntryDate],DATE(2026,6,5),tblDaily[WardCode],"CW")=0,"",SUMIFS(tblDaily[Deaths],tblDaily[EntryDate],DATE(2026,6,5),tblDaily[WardCode],"CW")),"")</f>
        <v/>
      </c>
      <c r="E206" s="29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29" t="str">
        <f>IFERROR(IF(SUMIFS(tblDaily[TransfersIn],tblDaily[EntryDate],DATE(2026,6,5),tblDaily[WardCode],"CW")=0,"",SUMIFS(tblDaily[TransfersIn],tblDaily[EntryDate],DATE(2026,6,5),tblDaily[WardCode],"CW")),"")</f>
        <v/>
      </c>
      <c r="G206" s="29" t="str">
        <f>IFERROR(IF(SUMIFS(tblDaily[TransfersOut],tblDaily[EntryDate],DATE(2026,6,5),tblDaily[WardCode],"CW")=0,"",SUMIFS(tblDaily[TransfersOut],tblDaily[EntryDate],DATE(2026,6,5),tblDaily[WardCode],"CW")),"")</f>
        <v/>
      </c>
      <c r="H206" s="29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IFERROR(IF(SUMIFS(tblDaily[Admissions],tblDaily[EntryDate],DATE(2026,6,6),tblDaily[WardCode],"CW")=0,"",SUMIFS(tblDaily[Admissions],tblDaily[EntryDate],DATE(2026,6,6),tblDaily[WardCode],"CW")),"")</f>
        <v/>
      </c>
      <c r="C207" s="29" t="str">
        <f>IFERROR(IF(SUMIFS(tblDaily[Discharges],tblDaily[EntryDate],DATE(2026,6,6),tblDaily[WardCode],"CW")=0,"",SUMIFS(tblDaily[Discharges],tblDaily[EntryDate],DATE(2026,6,6),tblDaily[WardCode],"CW")),"")</f>
        <v/>
      </c>
      <c r="D207" s="29" t="str">
        <f>IFERROR(IF(SUMIFS(tblDaily[Deaths],tblDaily[EntryDate],DATE(2026,6,6),tblDaily[WardCode],"CW")=0,"",SUMIFS(tblDaily[Deaths],tblDaily[EntryDate],DATE(2026,6,6),tblDaily[WardCode],"CW")),"")</f>
        <v/>
      </c>
      <c r="E207" s="29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29" t="str">
        <f>IFERROR(IF(SUMIFS(tblDaily[TransfersIn],tblDaily[EntryDate],DATE(2026,6,6),tblDaily[WardCode],"CW")=0,"",SUMIFS(tblDaily[TransfersIn],tblDaily[EntryDate],DATE(2026,6,6),tblDaily[WardCode],"CW")),"")</f>
        <v/>
      </c>
      <c r="G207" s="29" t="str">
        <f>IFERROR(IF(SUMIFS(tblDaily[TransfersOut],tblDaily[EntryDate],DATE(2026,6,6),tblDaily[WardCode],"CW")=0,"",SUMIFS(tblDaily[TransfersOut],tblDaily[EntryDate],DATE(2026,6,6),tblDaily[WardCode],"CW")),"")</f>
        <v/>
      </c>
      <c r="H207" s="29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IFERROR(IF(SUMIFS(tblDaily[Admissions],tblDaily[EntryDate],DATE(2026,6,7),tblDaily[WardCode],"CW")=0,"",SUMIFS(tblDaily[Admissions],tblDaily[EntryDate],DATE(2026,6,7),tblDaily[WardCode],"CW")),"")</f>
        <v/>
      </c>
      <c r="C208" s="29" t="str">
        <f>IFERROR(IF(SUMIFS(tblDaily[Discharges],tblDaily[EntryDate],DATE(2026,6,7),tblDaily[WardCode],"CW")=0,"",SUMIFS(tblDaily[Discharges],tblDaily[EntryDate],DATE(2026,6,7),tblDaily[WardCode],"CW")),"")</f>
        <v/>
      </c>
      <c r="D208" s="29" t="str">
        <f>IFERROR(IF(SUMIFS(tblDaily[Deaths],tblDaily[EntryDate],DATE(2026,6,7),tblDaily[WardCode],"CW")=0,"",SUMIFS(tblDaily[Deaths],tblDaily[EntryDate],DATE(2026,6,7),tblDaily[WardCode],"CW")),"")</f>
        <v/>
      </c>
      <c r="E208" s="29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29" t="str">
        <f>IFERROR(IF(SUMIFS(tblDaily[TransfersIn],tblDaily[EntryDate],DATE(2026,6,7),tblDaily[WardCode],"CW")=0,"",SUMIFS(tblDaily[TransfersIn],tblDaily[EntryDate],DATE(2026,6,7),tblDaily[WardCode],"CW")),"")</f>
        <v/>
      </c>
      <c r="G208" s="29" t="str">
        <f>IFERROR(IF(SUMIFS(tblDaily[TransfersOut],tblDaily[EntryDate],DATE(2026,6,7),tblDaily[WardCode],"CW")=0,"",SUMIFS(tblDaily[TransfersOut],tblDaily[EntryDate],DATE(2026,6,7),tblDaily[WardCode],"CW")),"")</f>
        <v/>
      </c>
      <c r="H208" s="29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IFERROR(IF(SUMIFS(tblDaily[Admissions],tblDaily[EntryDate],DATE(2026,6,8),tblDaily[WardCode],"CW")=0,"",SUMIFS(tblDaily[Admissions],tblDaily[EntryDate],DATE(2026,6,8),tblDaily[WardCode],"CW")),"")</f>
        <v/>
      </c>
      <c r="C209" s="29" t="str">
        <f>IFERROR(IF(SUMIFS(tblDaily[Discharges],tblDaily[EntryDate],DATE(2026,6,8),tblDaily[WardCode],"CW")=0,"",SUMIFS(tblDaily[Discharges],tblDaily[EntryDate],DATE(2026,6,8),tblDaily[WardCode],"CW")),"")</f>
        <v/>
      </c>
      <c r="D209" s="29" t="str">
        <f>IFERROR(IF(SUMIFS(tblDaily[Deaths],tblDaily[EntryDate],DATE(2026,6,8),tblDaily[WardCode],"CW")=0,"",SUMIFS(tblDaily[Deaths],tblDaily[EntryDate],DATE(2026,6,8),tblDaily[WardCode],"CW")),"")</f>
        <v/>
      </c>
      <c r="E209" s="29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29" t="str">
        <f>IFERROR(IF(SUMIFS(tblDaily[TransfersIn],tblDaily[EntryDate],DATE(2026,6,8),tblDaily[WardCode],"CW")=0,"",SUMIFS(tblDaily[TransfersIn],tblDaily[EntryDate],DATE(2026,6,8),tblDaily[WardCode],"CW")),"")</f>
        <v/>
      </c>
      <c r="G209" s="29" t="str">
        <f>IFERROR(IF(SUMIFS(tblDaily[TransfersOut],tblDaily[EntryDate],DATE(2026,6,8),tblDaily[WardCode],"CW")=0,"",SUMIFS(tblDaily[TransfersOut],tblDaily[EntryDate],DATE(2026,6,8),tblDaily[WardCode],"CW")),"")</f>
        <v/>
      </c>
      <c r="H209" s="29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IFERROR(IF(SUMIFS(tblDaily[Admissions],tblDaily[EntryDate],DATE(2026,6,9),tblDaily[WardCode],"CW")=0,"",SUMIFS(tblDaily[Admissions],tblDaily[EntryDate],DATE(2026,6,9),tblDaily[WardCode],"CW")),"")</f>
        <v/>
      </c>
      <c r="C210" s="29" t="str">
        <f>IFERROR(IF(SUMIFS(tblDaily[Discharges],tblDaily[EntryDate],DATE(2026,6,9),tblDaily[WardCode],"CW")=0,"",SUMIFS(tblDaily[Discharges],tblDaily[EntryDate],DATE(2026,6,9),tblDaily[WardCode],"CW")),"")</f>
        <v/>
      </c>
      <c r="D210" s="29" t="str">
        <f>IFERROR(IF(SUMIFS(tblDaily[Deaths],tblDaily[EntryDate],DATE(2026,6,9),tblDaily[WardCode],"CW")=0,"",SUMIFS(tblDaily[Deaths],tblDaily[EntryDate],DATE(2026,6,9),tblDaily[WardCode],"CW")),"")</f>
        <v/>
      </c>
      <c r="E210" s="29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29" t="str">
        <f>IFERROR(IF(SUMIFS(tblDaily[TransfersIn],tblDaily[EntryDate],DATE(2026,6,9),tblDaily[WardCode],"CW")=0,"",SUMIFS(tblDaily[TransfersIn],tblDaily[EntryDate],DATE(2026,6,9),tblDaily[WardCode],"CW")),"")</f>
        <v/>
      </c>
      <c r="G210" s="29" t="str">
        <f>IFERROR(IF(SUMIFS(tblDaily[TransfersOut],tblDaily[EntryDate],DATE(2026,6,9),tblDaily[WardCode],"CW")=0,"",SUMIFS(tblDaily[TransfersOut],tblDaily[EntryDate],DATE(2026,6,9),tblDaily[WardCode],"CW")),"")</f>
        <v/>
      </c>
      <c r="H210" s="29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IFERROR(IF(SUMIFS(tblDaily[Admissions],tblDaily[EntryDate],DATE(2026,6,10),tblDaily[WardCode],"CW")=0,"",SUMIFS(tblDaily[Admissions],tblDaily[EntryDate],DATE(2026,6,10),tblDaily[WardCode],"CW")),"")</f>
        <v/>
      </c>
      <c r="C211" s="29" t="str">
        <f>IFERROR(IF(SUMIFS(tblDaily[Discharges],tblDaily[EntryDate],DATE(2026,6,10),tblDaily[WardCode],"CW")=0,"",SUMIFS(tblDaily[Discharges],tblDaily[EntryDate],DATE(2026,6,10),tblDaily[WardCode],"CW")),"")</f>
        <v/>
      </c>
      <c r="D211" s="29" t="str">
        <f>IFERROR(IF(SUMIFS(tblDaily[Deaths],tblDaily[EntryDate],DATE(2026,6,10),tblDaily[WardCode],"CW")=0,"",SUMIFS(tblDaily[Deaths],tblDaily[EntryDate],DATE(2026,6,10),tblDaily[WardCode],"CW")),"")</f>
        <v/>
      </c>
      <c r="E211" s="29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29" t="str">
        <f>IFERROR(IF(SUMIFS(tblDaily[TransfersIn],tblDaily[EntryDate],DATE(2026,6,10),tblDaily[WardCode],"CW")=0,"",SUMIFS(tblDaily[TransfersIn],tblDaily[EntryDate],DATE(2026,6,10),tblDaily[WardCode],"CW")),"")</f>
        <v/>
      </c>
      <c r="G211" s="29" t="str">
        <f>IFERROR(IF(SUMIFS(tblDaily[TransfersOut],tblDaily[EntryDate],DATE(2026,6,10),tblDaily[WardCode],"CW")=0,"",SUMIFS(tblDaily[TransfersOut],tblDaily[EntryDate],DATE(2026,6,10),tblDaily[WardCode],"CW")),"")</f>
        <v/>
      </c>
      <c r="H211" s="29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IFERROR(IF(SUMIFS(tblDaily[Admissions],tblDaily[EntryDate],DATE(2026,6,11),tblDaily[WardCode],"CW")=0,"",SUMIFS(tblDaily[Admissions],tblDaily[EntryDate],DATE(2026,6,11),tblDaily[WardCode],"CW")),"")</f>
        <v/>
      </c>
      <c r="C212" s="29" t="str">
        <f>IFERROR(IF(SUMIFS(tblDaily[Discharges],tblDaily[EntryDate],DATE(2026,6,11),tblDaily[WardCode],"CW")=0,"",SUMIFS(tblDaily[Discharges],tblDaily[EntryDate],DATE(2026,6,11),tblDaily[WardCode],"CW")),"")</f>
        <v/>
      </c>
      <c r="D212" s="29" t="str">
        <f>IFERROR(IF(SUMIFS(tblDaily[Deaths],tblDaily[EntryDate],DATE(2026,6,11),tblDaily[WardCode],"CW")=0,"",SUMIFS(tblDaily[Deaths],tblDaily[EntryDate],DATE(2026,6,11),tblDaily[WardCode],"CW")),"")</f>
        <v/>
      </c>
      <c r="E212" s="29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29" t="str">
        <f>IFERROR(IF(SUMIFS(tblDaily[TransfersIn],tblDaily[EntryDate],DATE(2026,6,11),tblDaily[WardCode],"CW")=0,"",SUMIFS(tblDaily[TransfersIn],tblDaily[EntryDate],DATE(2026,6,11),tblDaily[WardCode],"CW")),"")</f>
        <v/>
      </c>
      <c r="G212" s="29" t="str">
        <f>IFERROR(IF(SUMIFS(tblDaily[TransfersOut],tblDaily[EntryDate],DATE(2026,6,11),tblDaily[WardCode],"CW")=0,"",SUMIFS(tblDaily[TransfersOut],tblDaily[EntryDate],DATE(2026,6,11),tblDaily[WardCode],"CW")),"")</f>
        <v/>
      </c>
      <c r="H212" s="29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IFERROR(IF(SUMIFS(tblDaily[Admissions],tblDaily[EntryDate],DATE(2026,6,12),tblDaily[WardCode],"CW")=0,"",SUMIFS(tblDaily[Admissions],tblDaily[EntryDate],DATE(2026,6,12),tblDaily[WardCode],"CW")),"")</f>
        <v/>
      </c>
      <c r="C213" s="29" t="str">
        <f>IFERROR(IF(SUMIFS(tblDaily[Discharges],tblDaily[EntryDate],DATE(2026,6,12),tblDaily[WardCode],"CW")=0,"",SUMIFS(tblDaily[Discharges],tblDaily[EntryDate],DATE(2026,6,12),tblDaily[WardCode],"CW")),"")</f>
        <v/>
      </c>
      <c r="D213" s="29" t="str">
        <f>IFERROR(IF(SUMIFS(tblDaily[Deaths],tblDaily[EntryDate],DATE(2026,6,12),tblDaily[WardCode],"CW")=0,"",SUMIFS(tblDaily[Deaths],tblDaily[EntryDate],DATE(2026,6,12),tblDaily[WardCode],"CW")),"")</f>
        <v/>
      </c>
      <c r="E213" s="29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29" t="str">
        <f>IFERROR(IF(SUMIFS(tblDaily[TransfersIn],tblDaily[EntryDate],DATE(2026,6,12),tblDaily[WardCode],"CW")=0,"",SUMIFS(tblDaily[TransfersIn],tblDaily[EntryDate],DATE(2026,6,12),tblDaily[WardCode],"CW")),"")</f>
        <v/>
      </c>
      <c r="G213" s="29" t="str">
        <f>IFERROR(IF(SUMIFS(tblDaily[TransfersOut],tblDaily[EntryDate],DATE(2026,6,12),tblDaily[WardCode],"CW")=0,"",SUMIFS(tblDaily[TransfersOut],tblDaily[EntryDate],DATE(2026,6,12),tblDaily[WardCode],"CW")),"")</f>
        <v/>
      </c>
      <c r="H213" s="29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IFERROR(IF(SUMIFS(tblDaily[Admissions],tblDaily[EntryDate],DATE(2026,6,13),tblDaily[WardCode],"CW")=0,"",SUMIFS(tblDaily[Admissions],tblDaily[EntryDate],DATE(2026,6,13),tblDaily[WardCode],"CW")),"")</f>
        <v/>
      </c>
      <c r="C214" s="29" t="str">
        <f>IFERROR(IF(SUMIFS(tblDaily[Discharges],tblDaily[EntryDate],DATE(2026,6,13),tblDaily[WardCode],"CW")=0,"",SUMIFS(tblDaily[Discharges],tblDaily[EntryDate],DATE(2026,6,13),tblDaily[WardCode],"CW")),"")</f>
        <v/>
      </c>
      <c r="D214" s="29" t="str">
        <f>IFERROR(IF(SUMIFS(tblDaily[Deaths],tblDaily[EntryDate],DATE(2026,6,13),tblDaily[WardCode],"CW")=0,"",SUMIFS(tblDaily[Deaths],tblDaily[EntryDate],DATE(2026,6,13),tblDaily[WardCode],"CW")),"")</f>
        <v/>
      </c>
      <c r="E214" s="29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29" t="str">
        <f>IFERROR(IF(SUMIFS(tblDaily[TransfersIn],tblDaily[EntryDate],DATE(2026,6,13),tblDaily[WardCode],"CW")=0,"",SUMIFS(tblDaily[TransfersIn],tblDaily[EntryDate],DATE(2026,6,13),tblDaily[WardCode],"CW")),"")</f>
        <v/>
      </c>
      <c r="G214" s="29" t="str">
        <f>IFERROR(IF(SUMIFS(tblDaily[TransfersOut],tblDaily[EntryDate],DATE(2026,6,13),tblDaily[WardCode],"CW")=0,"",SUMIFS(tblDaily[TransfersOut],tblDaily[EntryDate],DATE(2026,6,13),tblDaily[WardCode],"CW")),"")</f>
        <v/>
      </c>
      <c r="H214" s="29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IFERROR(IF(SUMIFS(tblDaily[Admissions],tblDaily[EntryDate],DATE(2026,6,14),tblDaily[WardCode],"CW")=0,"",SUMIFS(tblDaily[Admissions],tblDaily[EntryDate],DATE(2026,6,14),tblDaily[WardCode],"CW")),"")</f>
        <v/>
      </c>
      <c r="C215" s="29" t="str">
        <f>IFERROR(IF(SUMIFS(tblDaily[Discharges],tblDaily[EntryDate],DATE(2026,6,14),tblDaily[WardCode],"CW")=0,"",SUMIFS(tblDaily[Discharges],tblDaily[EntryDate],DATE(2026,6,14),tblDaily[WardCode],"CW")),"")</f>
        <v/>
      </c>
      <c r="D215" s="29" t="str">
        <f>IFERROR(IF(SUMIFS(tblDaily[Deaths],tblDaily[EntryDate],DATE(2026,6,14),tblDaily[WardCode],"CW")=0,"",SUMIFS(tblDaily[Deaths],tblDaily[EntryDate],DATE(2026,6,14),tblDaily[WardCode],"CW")),"")</f>
        <v/>
      </c>
      <c r="E215" s="29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29" t="str">
        <f>IFERROR(IF(SUMIFS(tblDaily[TransfersIn],tblDaily[EntryDate],DATE(2026,6,14),tblDaily[WardCode],"CW")=0,"",SUMIFS(tblDaily[TransfersIn],tblDaily[EntryDate],DATE(2026,6,14),tblDaily[WardCode],"CW")),"")</f>
        <v/>
      </c>
      <c r="G215" s="29" t="str">
        <f>IFERROR(IF(SUMIFS(tblDaily[TransfersOut],tblDaily[EntryDate],DATE(2026,6,14),tblDaily[WardCode],"CW")=0,"",SUMIFS(tblDaily[TransfersOut],tblDaily[EntryDate],DATE(2026,6,14),tblDaily[WardCode],"CW")),"")</f>
        <v/>
      </c>
      <c r="H215" s="29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IFERROR(IF(SUMIFS(tblDaily[Admissions],tblDaily[EntryDate],DATE(2026,6,15),tblDaily[WardCode],"CW")=0,"",SUMIFS(tblDaily[Admissions],tblDaily[EntryDate],DATE(2026,6,15),tblDaily[WardCode],"CW")),"")</f>
        <v/>
      </c>
      <c r="C216" s="29" t="str">
        <f>IFERROR(IF(SUMIFS(tblDaily[Discharges],tblDaily[EntryDate],DATE(2026,6,15),tblDaily[WardCode],"CW")=0,"",SUMIFS(tblDaily[Discharges],tblDaily[EntryDate],DATE(2026,6,15),tblDaily[WardCode],"CW")),"")</f>
        <v/>
      </c>
      <c r="D216" s="29" t="str">
        <f>IFERROR(IF(SUMIFS(tblDaily[Deaths],tblDaily[EntryDate],DATE(2026,6,15),tblDaily[WardCode],"CW")=0,"",SUMIFS(tblDaily[Deaths],tblDaily[EntryDate],DATE(2026,6,15),tblDaily[WardCode],"CW")),"")</f>
        <v/>
      </c>
      <c r="E216" s="29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29" t="str">
        <f>IFERROR(IF(SUMIFS(tblDaily[TransfersIn],tblDaily[EntryDate],DATE(2026,6,15),tblDaily[WardCode],"CW")=0,"",SUMIFS(tblDaily[TransfersIn],tblDaily[EntryDate],DATE(2026,6,15),tblDaily[WardCode],"CW")),"")</f>
        <v/>
      </c>
      <c r="G216" s="29" t="str">
        <f>IFERROR(IF(SUMIFS(tblDaily[TransfersOut],tblDaily[EntryDate],DATE(2026,6,15),tblDaily[WardCode],"CW")=0,"",SUMIFS(tblDaily[TransfersOut],tblDaily[EntryDate],DATE(2026,6,15),tblDaily[WardCode],"CW")),"")</f>
        <v/>
      </c>
      <c r="H216" s="29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IFERROR(IF(SUMIFS(tblDaily[Admissions],tblDaily[EntryDate],DATE(2026,6,16),tblDaily[WardCode],"CW")=0,"",SUMIFS(tblDaily[Admissions],tblDaily[EntryDate],DATE(2026,6,16),tblDaily[WardCode],"CW")),"")</f>
        <v/>
      </c>
      <c r="C217" s="29" t="str">
        <f>IFERROR(IF(SUMIFS(tblDaily[Discharges],tblDaily[EntryDate],DATE(2026,6,16),tblDaily[WardCode],"CW")=0,"",SUMIFS(tblDaily[Discharges],tblDaily[EntryDate],DATE(2026,6,16),tblDaily[WardCode],"CW")),"")</f>
        <v/>
      </c>
      <c r="D217" s="29" t="str">
        <f>IFERROR(IF(SUMIFS(tblDaily[Deaths],tblDaily[EntryDate],DATE(2026,6,16),tblDaily[WardCode],"CW")=0,"",SUMIFS(tblDaily[Deaths],tblDaily[EntryDate],DATE(2026,6,16),tblDaily[WardCode],"CW")),"")</f>
        <v/>
      </c>
      <c r="E217" s="29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29" t="str">
        <f>IFERROR(IF(SUMIFS(tblDaily[TransfersIn],tblDaily[EntryDate],DATE(2026,6,16),tblDaily[WardCode],"CW")=0,"",SUMIFS(tblDaily[TransfersIn],tblDaily[EntryDate],DATE(2026,6,16),tblDaily[WardCode],"CW")),"")</f>
        <v/>
      </c>
      <c r="G217" s="29" t="str">
        <f>IFERROR(IF(SUMIFS(tblDaily[TransfersOut],tblDaily[EntryDate],DATE(2026,6,16),tblDaily[WardCode],"CW")=0,"",SUMIFS(tblDaily[TransfersOut],tblDaily[EntryDate],DATE(2026,6,16),tblDaily[WardCode],"CW")),"")</f>
        <v/>
      </c>
      <c r="H217" s="29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IFERROR(IF(SUMIFS(tblDaily[Admissions],tblDaily[EntryDate],DATE(2026,6,17),tblDaily[WardCode],"CW")=0,"",SUMIFS(tblDaily[Admissions],tblDaily[EntryDate],DATE(2026,6,17),tblDaily[WardCode],"CW")),"")</f>
        <v/>
      </c>
      <c r="C218" s="29" t="str">
        <f>IFERROR(IF(SUMIFS(tblDaily[Discharges],tblDaily[EntryDate],DATE(2026,6,17),tblDaily[WardCode],"CW")=0,"",SUMIFS(tblDaily[Discharges],tblDaily[EntryDate],DATE(2026,6,17),tblDaily[WardCode],"CW")),"")</f>
        <v/>
      </c>
      <c r="D218" s="29" t="str">
        <f>IFERROR(IF(SUMIFS(tblDaily[Deaths],tblDaily[EntryDate],DATE(2026,6,17),tblDaily[WardCode],"CW")=0,"",SUMIFS(tblDaily[Deaths],tblDaily[EntryDate],DATE(2026,6,17),tblDaily[WardCode],"CW")),"")</f>
        <v/>
      </c>
      <c r="E218" s="29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29" t="str">
        <f>IFERROR(IF(SUMIFS(tblDaily[TransfersIn],tblDaily[EntryDate],DATE(2026,6,17),tblDaily[WardCode],"CW")=0,"",SUMIFS(tblDaily[TransfersIn],tblDaily[EntryDate],DATE(2026,6,17),tblDaily[WardCode],"CW")),"")</f>
        <v/>
      </c>
      <c r="G218" s="29" t="str">
        <f>IFERROR(IF(SUMIFS(tblDaily[TransfersOut],tblDaily[EntryDate],DATE(2026,6,17),tblDaily[WardCode],"CW")=0,"",SUMIFS(tblDaily[TransfersOut],tblDaily[EntryDate],DATE(2026,6,17),tblDaily[WardCode],"CW")),"")</f>
        <v/>
      </c>
      <c r="H218" s="29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IFERROR(IF(SUMIFS(tblDaily[Admissions],tblDaily[EntryDate],DATE(2026,6,18),tblDaily[WardCode],"CW")=0,"",SUMIFS(tblDaily[Admissions],tblDaily[EntryDate],DATE(2026,6,18),tblDaily[WardCode],"CW")),"")</f>
        <v/>
      </c>
      <c r="C219" s="29" t="str">
        <f>IFERROR(IF(SUMIFS(tblDaily[Discharges],tblDaily[EntryDate],DATE(2026,6,18),tblDaily[WardCode],"CW")=0,"",SUMIFS(tblDaily[Discharges],tblDaily[EntryDate],DATE(2026,6,18),tblDaily[WardCode],"CW")),"")</f>
        <v/>
      </c>
      <c r="D219" s="29" t="str">
        <f>IFERROR(IF(SUMIFS(tblDaily[Deaths],tblDaily[EntryDate],DATE(2026,6,18),tblDaily[WardCode],"CW")=0,"",SUMIFS(tblDaily[Deaths],tblDaily[EntryDate],DATE(2026,6,18),tblDaily[WardCode],"CW")),"")</f>
        <v/>
      </c>
      <c r="E219" s="29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29" t="str">
        <f>IFERROR(IF(SUMIFS(tblDaily[TransfersIn],tblDaily[EntryDate],DATE(2026,6,18),tblDaily[WardCode],"CW")=0,"",SUMIFS(tblDaily[TransfersIn],tblDaily[EntryDate],DATE(2026,6,18),tblDaily[WardCode],"CW")),"")</f>
        <v/>
      </c>
      <c r="G219" s="29" t="str">
        <f>IFERROR(IF(SUMIFS(tblDaily[TransfersOut],tblDaily[EntryDate],DATE(2026,6,18),tblDaily[WardCode],"CW")=0,"",SUMIFS(tblDaily[TransfersOut],tblDaily[EntryDate],DATE(2026,6,18),tblDaily[WardCode],"CW")),"")</f>
        <v/>
      </c>
      <c r="H219" s="29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IFERROR(IF(SUMIFS(tblDaily[Admissions],tblDaily[EntryDate],DATE(2026,6,19),tblDaily[WardCode],"CW")=0,"",SUMIFS(tblDaily[Admissions],tblDaily[EntryDate],DATE(2026,6,19),tblDaily[WardCode],"CW")),"")</f>
        <v/>
      </c>
      <c r="C220" s="29" t="str">
        <f>IFERROR(IF(SUMIFS(tblDaily[Discharges],tblDaily[EntryDate],DATE(2026,6,19),tblDaily[WardCode],"CW")=0,"",SUMIFS(tblDaily[Discharges],tblDaily[EntryDate],DATE(2026,6,19),tblDaily[WardCode],"CW")),"")</f>
        <v/>
      </c>
      <c r="D220" s="29" t="str">
        <f>IFERROR(IF(SUMIFS(tblDaily[Deaths],tblDaily[EntryDate],DATE(2026,6,19),tblDaily[WardCode],"CW")=0,"",SUMIFS(tblDaily[Deaths],tblDaily[EntryDate],DATE(2026,6,19),tblDaily[WardCode],"CW")),"")</f>
        <v/>
      </c>
      <c r="E220" s="29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29" t="str">
        <f>IFERROR(IF(SUMIFS(tblDaily[TransfersIn],tblDaily[EntryDate],DATE(2026,6,19),tblDaily[WardCode],"CW")=0,"",SUMIFS(tblDaily[TransfersIn],tblDaily[EntryDate],DATE(2026,6,19),tblDaily[WardCode],"CW")),"")</f>
        <v/>
      </c>
      <c r="G220" s="29" t="str">
        <f>IFERROR(IF(SUMIFS(tblDaily[TransfersOut],tblDaily[EntryDate],DATE(2026,6,19),tblDaily[WardCode],"CW")=0,"",SUMIFS(tblDaily[TransfersOut],tblDaily[EntryDate],DATE(2026,6,19),tblDaily[WardCode],"CW")),"")</f>
        <v/>
      </c>
      <c r="H220" s="29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IFERROR(IF(SUMIFS(tblDaily[Admissions],tblDaily[EntryDate],DATE(2026,6,20),tblDaily[WardCode],"CW")=0,"",SUMIFS(tblDaily[Admissions],tblDaily[EntryDate],DATE(2026,6,20),tblDaily[WardCode],"CW")),"")</f>
        <v/>
      </c>
      <c r="C221" s="29" t="str">
        <f>IFERROR(IF(SUMIFS(tblDaily[Discharges],tblDaily[EntryDate],DATE(2026,6,20),tblDaily[WardCode],"CW")=0,"",SUMIFS(tblDaily[Discharges],tblDaily[EntryDate],DATE(2026,6,20),tblDaily[WardCode],"CW")),"")</f>
        <v/>
      </c>
      <c r="D221" s="29" t="str">
        <f>IFERROR(IF(SUMIFS(tblDaily[Deaths],tblDaily[EntryDate],DATE(2026,6,20),tblDaily[WardCode],"CW")=0,"",SUMIFS(tblDaily[Deaths],tblDaily[EntryDate],DATE(2026,6,20),tblDaily[WardCode],"CW")),"")</f>
        <v/>
      </c>
      <c r="E221" s="29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29" t="str">
        <f>IFERROR(IF(SUMIFS(tblDaily[TransfersIn],tblDaily[EntryDate],DATE(2026,6,20),tblDaily[WardCode],"CW")=0,"",SUMIFS(tblDaily[TransfersIn],tblDaily[EntryDate],DATE(2026,6,20),tblDaily[WardCode],"CW")),"")</f>
        <v/>
      </c>
      <c r="G221" s="29" t="str">
        <f>IFERROR(IF(SUMIFS(tblDaily[TransfersOut],tblDaily[EntryDate],DATE(2026,6,20),tblDaily[WardCode],"CW")=0,"",SUMIFS(tblDaily[TransfersOut],tblDaily[EntryDate],DATE(2026,6,20),tblDaily[WardCode],"CW")),"")</f>
        <v/>
      </c>
      <c r="H221" s="29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IFERROR(IF(SUMIFS(tblDaily[Admissions],tblDaily[EntryDate],DATE(2026,6,21),tblDaily[WardCode],"CW")=0,"",SUMIFS(tblDaily[Admissions],tblDaily[EntryDate],DATE(2026,6,21),tblDaily[WardCode],"CW")),"")</f>
        <v/>
      </c>
      <c r="C222" s="29" t="str">
        <f>IFERROR(IF(SUMIFS(tblDaily[Discharges],tblDaily[EntryDate],DATE(2026,6,21),tblDaily[WardCode],"CW")=0,"",SUMIFS(tblDaily[Discharges],tblDaily[EntryDate],DATE(2026,6,21),tblDaily[WardCode],"CW")),"")</f>
        <v/>
      </c>
      <c r="D222" s="29" t="str">
        <f>IFERROR(IF(SUMIFS(tblDaily[Deaths],tblDaily[EntryDate],DATE(2026,6,21),tblDaily[WardCode],"CW")=0,"",SUMIFS(tblDaily[Deaths],tblDaily[EntryDate],DATE(2026,6,21),tblDaily[WardCode],"CW")),"")</f>
        <v/>
      </c>
      <c r="E222" s="29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29" t="str">
        <f>IFERROR(IF(SUMIFS(tblDaily[TransfersIn],tblDaily[EntryDate],DATE(2026,6,21),tblDaily[WardCode],"CW")=0,"",SUMIFS(tblDaily[TransfersIn],tblDaily[EntryDate],DATE(2026,6,21),tblDaily[WardCode],"CW")),"")</f>
        <v/>
      </c>
      <c r="G222" s="29" t="str">
        <f>IFERROR(IF(SUMIFS(tblDaily[TransfersOut],tblDaily[EntryDate],DATE(2026,6,21),tblDaily[WardCode],"CW")=0,"",SUMIFS(tblDaily[TransfersOut],tblDaily[EntryDate],DATE(2026,6,21),tblDaily[WardCode],"CW")),"")</f>
        <v/>
      </c>
      <c r="H222" s="29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IFERROR(IF(SUMIFS(tblDaily[Admissions],tblDaily[EntryDate],DATE(2026,6,22),tblDaily[WardCode],"CW")=0,"",SUMIFS(tblDaily[Admissions],tblDaily[EntryDate],DATE(2026,6,22),tblDaily[WardCode],"CW")),"")</f>
        <v/>
      </c>
      <c r="C223" s="29" t="str">
        <f>IFERROR(IF(SUMIFS(tblDaily[Discharges],tblDaily[EntryDate],DATE(2026,6,22),tblDaily[WardCode],"CW")=0,"",SUMIFS(tblDaily[Discharges],tblDaily[EntryDate],DATE(2026,6,22),tblDaily[WardCode],"CW")),"")</f>
        <v/>
      </c>
      <c r="D223" s="29" t="str">
        <f>IFERROR(IF(SUMIFS(tblDaily[Deaths],tblDaily[EntryDate],DATE(2026,6,22),tblDaily[WardCode],"CW")=0,"",SUMIFS(tblDaily[Deaths],tblDaily[EntryDate],DATE(2026,6,22),tblDaily[WardCode],"CW")),"")</f>
        <v/>
      </c>
      <c r="E223" s="29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29" t="str">
        <f>IFERROR(IF(SUMIFS(tblDaily[TransfersIn],tblDaily[EntryDate],DATE(2026,6,22),tblDaily[WardCode],"CW")=0,"",SUMIFS(tblDaily[TransfersIn],tblDaily[EntryDate],DATE(2026,6,22),tblDaily[WardCode],"CW")),"")</f>
        <v/>
      </c>
      <c r="G223" s="29" t="str">
        <f>IFERROR(IF(SUMIFS(tblDaily[TransfersOut],tblDaily[EntryDate],DATE(2026,6,22),tblDaily[WardCode],"CW")=0,"",SUMIFS(tblDaily[TransfersOut],tblDaily[EntryDate],DATE(2026,6,22),tblDaily[WardCode],"CW")),"")</f>
        <v/>
      </c>
      <c r="H223" s="29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IFERROR(IF(SUMIFS(tblDaily[Admissions],tblDaily[EntryDate],DATE(2026,6,23),tblDaily[WardCode],"CW")=0,"",SUMIFS(tblDaily[Admissions],tblDaily[EntryDate],DATE(2026,6,23),tblDaily[WardCode],"CW")),"")</f>
        <v/>
      </c>
      <c r="C224" s="29" t="str">
        <f>IFERROR(IF(SUMIFS(tblDaily[Discharges],tblDaily[EntryDate],DATE(2026,6,23),tblDaily[WardCode],"CW")=0,"",SUMIFS(tblDaily[Discharges],tblDaily[EntryDate],DATE(2026,6,23),tblDaily[WardCode],"CW")),"")</f>
        <v/>
      </c>
      <c r="D224" s="29" t="str">
        <f>IFERROR(IF(SUMIFS(tblDaily[Deaths],tblDaily[EntryDate],DATE(2026,6,23),tblDaily[WardCode],"CW")=0,"",SUMIFS(tblDaily[Deaths],tblDaily[EntryDate],DATE(2026,6,23),tblDaily[WardCode],"CW")),"")</f>
        <v/>
      </c>
      <c r="E224" s="29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29" t="str">
        <f>IFERROR(IF(SUMIFS(tblDaily[TransfersIn],tblDaily[EntryDate],DATE(2026,6,23),tblDaily[WardCode],"CW")=0,"",SUMIFS(tblDaily[TransfersIn],tblDaily[EntryDate],DATE(2026,6,23),tblDaily[WardCode],"CW")),"")</f>
        <v/>
      </c>
      <c r="G224" s="29" t="str">
        <f>IFERROR(IF(SUMIFS(tblDaily[TransfersOut],tblDaily[EntryDate],DATE(2026,6,23),tblDaily[WardCode],"CW")=0,"",SUMIFS(tblDaily[TransfersOut],tblDaily[EntryDate],DATE(2026,6,23),tblDaily[WardCode],"CW")),"")</f>
        <v/>
      </c>
      <c r="H224" s="29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IFERROR(IF(SUMIFS(tblDaily[Admissions],tblDaily[EntryDate],DATE(2026,6,24),tblDaily[WardCode],"CW")=0,"",SUMIFS(tblDaily[Admissions],tblDaily[EntryDate],DATE(2026,6,24),tblDaily[WardCode],"CW")),"")</f>
        <v/>
      </c>
      <c r="C225" s="29" t="str">
        <f>IFERROR(IF(SUMIFS(tblDaily[Discharges],tblDaily[EntryDate],DATE(2026,6,24),tblDaily[WardCode],"CW")=0,"",SUMIFS(tblDaily[Discharges],tblDaily[EntryDate],DATE(2026,6,24),tblDaily[WardCode],"CW")),"")</f>
        <v/>
      </c>
      <c r="D225" s="29" t="str">
        <f>IFERROR(IF(SUMIFS(tblDaily[Deaths],tblDaily[EntryDate],DATE(2026,6,24),tblDaily[WardCode],"CW")=0,"",SUMIFS(tblDaily[Deaths],tblDaily[EntryDate],DATE(2026,6,24),tblDaily[WardCode],"CW")),"")</f>
        <v/>
      </c>
      <c r="E225" s="29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29" t="str">
        <f>IFERROR(IF(SUMIFS(tblDaily[TransfersIn],tblDaily[EntryDate],DATE(2026,6,24),tblDaily[WardCode],"CW")=0,"",SUMIFS(tblDaily[TransfersIn],tblDaily[EntryDate],DATE(2026,6,24),tblDaily[WardCode],"CW")),"")</f>
        <v/>
      </c>
      <c r="G225" s="29" t="str">
        <f>IFERROR(IF(SUMIFS(tblDaily[TransfersOut],tblDaily[EntryDate],DATE(2026,6,24),tblDaily[WardCode],"CW")=0,"",SUMIFS(tblDaily[TransfersOut],tblDaily[EntryDate],DATE(2026,6,24),tblDaily[WardCode],"CW")),"")</f>
        <v/>
      </c>
      <c r="H225" s="29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IFERROR(IF(SUMIFS(tblDaily[Admissions],tblDaily[EntryDate],DATE(2026,6,25),tblDaily[WardCode],"CW")=0,"",SUMIFS(tblDaily[Admissions],tblDaily[EntryDate],DATE(2026,6,25),tblDaily[WardCode],"CW")),"")</f>
        <v/>
      </c>
      <c r="C226" s="29" t="str">
        <f>IFERROR(IF(SUMIFS(tblDaily[Discharges],tblDaily[EntryDate],DATE(2026,6,25),tblDaily[WardCode],"CW")=0,"",SUMIFS(tblDaily[Discharges],tblDaily[EntryDate],DATE(2026,6,25),tblDaily[WardCode],"CW")),"")</f>
        <v/>
      </c>
      <c r="D226" s="29" t="str">
        <f>IFERROR(IF(SUMIFS(tblDaily[Deaths],tblDaily[EntryDate],DATE(2026,6,25),tblDaily[WardCode],"CW")=0,"",SUMIFS(tblDaily[Deaths],tblDaily[EntryDate],DATE(2026,6,25),tblDaily[WardCode],"CW")),"")</f>
        <v/>
      </c>
      <c r="E226" s="29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29" t="str">
        <f>IFERROR(IF(SUMIFS(tblDaily[TransfersIn],tblDaily[EntryDate],DATE(2026,6,25),tblDaily[WardCode],"CW")=0,"",SUMIFS(tblDaily[TransfersIn],tblDaily[EntryDate],DATE(2026,6,25),tblDaily[WardCode],"CW")),"")</f>
        <v/>
      </c>
      <c r="G226" s="29" t="str">
        <f>IFERROR(IF(SUMIFS(tblDaily[TransfersOut],tblDaily[EntryDate],DATE(2026,6,25),tblDaily[WardCode],"CW")=0,"",SUMIFS(tblDaily[TransfersOut],tblDaily[EntryDate],DATE(2026,6,25),tblDaily[WardCode],"CW")),"")</f>
        <v/>
      </c>
      <c r="H226" s="29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IFERROR(IF(SUMIFS(tblDaily[Admissions],tblDaily[EntryDate],DATE(2026,6,26),tblDaily[WardCode],"CW")=0,"",SUMIFS(tblDaily[Admissions],tblDaily[EntryDate],DATE(2026,6,26),tblDaily[WardCode],"CW")),"")</f>
        <v/>
      </c>
      <c r="C227" s="29" t="str">
        <f>IFERROR(IF(SUMIFS(tblDaily[Discharges],tblDaily[EntryDate],DATE(2026,6,26),tblDaily[WardCode],"CW")=0,"",SUMIFS(tblDaily[Discharges],tblDaily[EntryDate],DATE(2026,6,26),tblDaily[WardCode],"CW")),"")</f>
        <v/>
      </c>
      <c r="D227" s="29" t="str">
        <f>IFERROR(IF(SUMIFS(tblDaily[Deaths],tblDaily[EntryDate],DATE(2026,6,26),tblDaily[WardCode],"CW")=0,"",SUMIFS(tblDaily[Deaths],tblDaily[EntryDate],DATE(2026,6,26),tblDaily[WardCode],"CW")),"")</f>
        <v/>
      </c>
      <c r="E227" s="29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29" t="str">
        <f>IFERROR(IF(SUMIFS(tblDaily[TransfersIn],tblDaily[EntryDate],DATE(2026,6,26),tblDaily[WardCode],"CW")=0,"",SUMIFS(tblDaily[TransfersIn],tblDaily[EntryDate],DATE(2026,6,26),tblDaily[WardCode],"CW")),"")</f>
        <v/>
      </c>
      <c r="G227" s="29" t="str">
        <f>IFERROR(IF(SUMIFS(tblDaily[TransfersOut],tblDaily[EntryDate],DATE(2026,6,26),tblDaily[WardCode],"CW")=0,"",SUMIFS(tblDaily[TransfersOut],tblDaily[EntryDate],DATE(2026,6,26),tblDaily[WardCode],"CW")),"")</f>
        <v/>
      </c>
      <c r="H227" s="29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IFERROR(IF(SUMIFS(tblDaily[Admissions],tblDaily[EntryDate],DATE(2026,6,27),tblDaily[WardCode],"CW")=0,"",SUMIFS(tblDaily[Admissions],tblDaily[EntryDate],DATE(2026,6,27),tblDaily[WardCode],"CW")),"")</f>
        <v/>
      </c>
      <c r="C228" s="29" t="str">
        <f>IFERROR(IF(SUMIFS(tblDaily[Discharges],tblDaily[EntryDate],DATE(2026,6,27),tblDaily[WardCode],"CW")=0,"",SUMIFS(tblDaily[Discharges],tblDaily[EntryDate],DATE(2026,6,27),tblDaily[WardCode],"CW")),"")</f>
        <v/>
      </c>
      <c r="D228" s="29" t="str">
        <f>IFERROR(IF(SUMIFS(tblDaily[Deaths],tblDaily[EntryDate],DATE(2026,6,27),tblDaily[WardCode],"CW")=0,"",SUMIFS(tblDaily[Deaths],tblDaily[EntryDate],DATE(2026,6,27),tblDaily[WardCode],"CW")),"")</f>
        <v/>
      </c>
      <c r="E228" s="29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29" t="str">
        <f>IFERROR(IF(SUMIFS(tblDaily[TransfersIn],tblDaily[EntryDate],DATE(2026,6,27),tblDaily[WardCode],"CW")=0,"",SUMIFS(tblDaily[TransfersIn],tblDaily[EntryDate],DATE(2026,6,27),tblDaily[WardCode],"CW")),"")</f>
        <v/>
      </c>
      <c r="G228" s="29" t="str">
        <f>IFERROR(IF(SUMIFS(tblDaily[TransfersOut],tblDaily[EntryDate],DATE(2026,6,27),tblDaily[WardCode],"CW")=0,"",SUMIFS(tblDaily[TransfersOut],tblDaily[EntryDate],DATE(2026,6,27),tblDaily[WardCode],"CW")),"")</f>
        <v/>
      </c>
      <c r="H228" s="29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IFERROR(IF(SUMIFS(tblDaily[Admissions],tblDaily[EntryDate],DATE(2026,6,28),tblDaily[WardCode],"CW")=0,"",SUMIFS(tblDaily[Admissions],tblDaily[EntryDate],DATE(2026,6,28),tblDaily[WardCode],"CW")),"")</f>
        <v/>
      </c>
      <c r="C229" s="29" t="str">
        <f>IFERROR(IF(SUMIFS(tblDaily[Discharges],tblDaily[EntryDate],DATE(2026,6,28),tblDaily[WardCode],"CW")=0,"",SUMIFS(tblDaily[Discharges],tblDaily[EntryDate],DATE(2026,6,28),tblDaily[WardCode],"CW")),"")</f>
        <v/>
      </c>
      <c r="D229" s="29" t="str">
        <f>IFERROR(IF(SUMIFS(tblDaily[Deaths],tblDaily[EntryDate],DATE(2026,6,28),tblDaily[WardCode],"CW")=0,"",SUMIFS(tblDaily[Deaths],tblDaily[EntryDate],DATE(2026,6,28),tblDaily[WardCode],"CW")),"")</f>
        <v/>
      </c>
      <c r="E229" s="29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29" t="str">
        <f>IFERROR(IF(SUMIFS(tblDaily[TransfersIn],tblDaily[EntryDate],DATE(2026,6,28),tblDaily[WardCode],"CW")=0,"",SUMIFS(tblDaily[TransfersIn],tblDaily[EntryDate],DATE(2026,6,28),tblDaily[WardCode],"CW")),"")</f>
        <v/>
      </c>
      <c r="G229" s="29" t="str">
        <f>IFERROR(IF(SUMIFS(tblDaily[TransfersOut],tblDaily[EntryDate],DATE(2026,6,28),tblDaily[WardCode],"CW")=0,"",SUMIFS(tblDaily[TransfersOut],tblDaily[EntryDate],DATE(2026,6,28),tblDaily[WardCode],"CW")),"")</f>
        <v/>
      </c>
      <c r="H229" s="29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IFERROR(IF(SUMIFS(tblDaily[Admissions],tblDaily[EntryDate],DATE(2026,6,29),tblDaily[WardCode],"CW")=0,"",SUMIFS(tblDaily[Admissions],tblDaily[EntryDate],DATE(2026,6,29),tblDaily[WardCode],"CW")),"")</f>
        <v/>
      </c>
      <c r="C230" s="29" t="str">
        <f>IFERROR(IF(SUMIFS(tblDaily[Discharges],tblDaily[EntryDate],DATE(2026,6,29),tblDaily[WardCode],"CW")=0,"",SUMIFS(tblDaily[Discharges],tblDaily[EntryDate],DATE(2026,6,29),tblDaily[WardCode],"CW")),"")</f>
        <v/>
      </c>
      <c r="D230" s="29" t="str">
        <f>IFERROR(IF(SUMIFS(tblDaily[Deaths],tblDaily[EntryDate],DATE(2026,6,29),tblDaily[WardCode],"CW")=0,"",SUMIFS(tblDaily[Deaths],tblDaily[EntryDate],DATE(2026,6,29),tblDaily[WardCode],"CW")),"")</f>
        <v/>
      </c>
      <c r="E230" s="29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29" t="str">
        <f>IFERROR(IF(SUMIFS(tblDaily[TransfersIn],tblDaily[EntryDate],DATE(2026,6,29),tblDaily[WardCode],"CW")=0,"",SUMIFS(tblDaily[TransfersIn],tblDaily[EntryDate],DATE(2026,6,29),tblDaily[WardCode],"CW")),"")</f>
        <v/>
      </c>
      <c r="G230" s="29" t="str">
        <f>IFERROR(IF(SUMIFS(tblDaily[TransfersOut],tblDaily[EntryDate],DATE(2026,6,29),tblDaily[WardCode],"CW")=0,"",SUMIFS(tblDaily[TransfersOut],tblDaily[EntryDate],DATE(2026,6,29),tblDaily[WardCode],"CW")),"")</f>
        <v/>
      </c>
      <c r="H230" s="29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IFERROR(IF(SUMIFS(tblDaily[Admissions],tblDaily[EntryDate],DATE(2026,6,30),tblDaily[WardCode],"CW")=0,"",SUMIFS(tblDaily[Admissions],tblDaily[EntryDate],DATE(2026,6,30),tblDaily[WardCode],"CW")),"")</f>
        <v/>
      </c>
      <c r="C231" s="29" t="str">
        <f>IFERROR(IF(SUMIFS(tblDaily[Discharges],tblDaily[EntryDate],DATE(2026,6,30),tblDaily[WardCode],"CW")=0,"",SUMIFS(tblDaily[Discharges],tblDaily[EntryDate],DATE(2026,6,30),tblDaily[WardCode],"CW")),"")</f>
        <v/>
      </c>
      <c r="D231" s="29" t="str">
        <f>IFERROR(IF(SUMIFS(tblDaily[Deaths],tblDaily[EntryDate],DATE(2026,6,30),tblDaily[WardCode],"CW")=0,"",SUMIFS(tblDaily[Deaths],tblDaily[EntryDate],DATE(2026,6,30),tblDaily[WardCode],"CW")),"")</f>
        <v/>
      </c>
      <c r="E231" s="29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29" t="str">
        <f>IFERROR(IF(SUMIFS(tblDaily[TransfersIn],tblDaily[EntryDate],DATE(2026,6,30),tblDaily[WardCode],"CW")=0,"",SUMIFS(tblDaily[TransfersIn],tblDaily[EntryDate],DATE(2026,6,30),tblDaily[WardCode],"CW")),"")</f>
        <v/>
      </c>
      <c r="G231" s="29" t="str">
        <f>IFERROR(IF(SUMIFS(tblDaily[TransfersOut],tblDaily[EntryDate],DATE(2026,6,30),tblDaily[WardCode],"CW")=0,"",SUMIFS(tblDaily[TransfersOut],tblDaily[EntryDate],DATE(2026,6,30),tblDaily[WardCode],"CW")),"")</f>
        <v/>
      </c>
      <c r="H231" s="29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SUMIFS(tblDaily[Admissions],tblDaily[Month],6,tblDaily[WardCode],"CW") - SUMIFS(tblDaily[DeathsUnder24Hrs],tblDaily[Month],6,tblDaily[WardCode],"CW")</f>
        <v>0</v>
      </c>
      <c r="C233" s="30">
        <f>SUMIFS(tblDaily[Discharges],tblDaily[Month],6,tblDaily[WardCode],"CW")</f>
        <v>0</v>
      </c>
      <c r="D233" s="30">
        <f>SUMIFS(tblDaily[Deaths],tblDaily[Month],6,tblDaily[WardCode],"CW")</f>
        <v>0</v>
      </c>
      <c r="E233" s="30">
        <f>SUMIFS(tblDaily[DeathsUnder24Hrs],tblDaily[Month],6,tblDaily[WardCode],"CW")</f>
        <v>0</v>
      </c>
      <c r="F233" s="30">
        <f>SUMIFS(tblDaily[TransfersIn],tblDaily[Month],6,tblDaily[WardCode],"CW")</f>
        <v>0</v>
      </c>
      <c r="G233" s="30">
        <f>SUMIFS(tblDaily[TransfersOut],tblDaily[Month],6,tblDaily[WardCode],"CW")</f>
        <v>0</v>
      </c>
      <c r="H233" s="30">
        <f>SUMIFS(tblDaily[Remaining],tblDaily[Month],6,tblDaily[WardCode],"CW")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117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IFERROR(SUMIFS(tblDaily[Remaining],tblDaily[EntryDate],DATE(2026,6,30),tblDaily[WardCode],"CW"),0)</f>
        <v>0</v>
      </c>
    </row>
    <row r="239" spans="1:8" x14ac:dyDescent="0.25">
      <c r="A239" s="24" t="s">
        <v>109</v>
      </c>
      <c r="H239" s="27">
        <f>IFERROR(INDEX(tblWardConfig[BedComplement],MATCH("CW",tblWardConfig[WardCode],0)),0)</f>
        <v>27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IFERROR(IF(SUMIFS(tblDaily[Admissions],tblDaily[EntryDate],DATE(2026,7,1),tblDaily[WardCode],"CW")=0,"",SUMIFS(tblDaily[Admissions],tblDaily[EntryDate],DATE(2026,7,1),tblDaily[WardCode],"CW")),"")</f>
        <v/>
      </c>
      <c r="C241" s="29" t="str">
        <f>IFERROR(IF(SUMIFS(tblDaily[Discharges],tblDaily[EntryDate],DATE(2026,7,1),tblDaily[WardCode],"CW")=0,"",SUMIFS(tblDaily[Discharges],tblDaily[EntryDate],DATE(2026,7,1),tblDaily[WardCode],"CW")),"")</f>
        <v/>
      </c>
      <c r="D241" s="29" t="str">
        <f>IFERROR(IF(SUMIFS(tblDaily[Deaths],tblDaily[EntryDate],DATE(2026,7,1),tblDaily[WardCode],"CW")=0,"",SUMIFS(tblDaily[Deaths],tblDaily[EntryDate],DATE(2026,7,1),tblDaily[WardCode],"CW")),"")</f>
        <v/>
      </c>
      <c r="E241" s="29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29" t="str">
        <f>IFERROR(IF(SUMIFS(tblDaily[TransfersIn],tblDaily[EntryDate],DATE(2026,7,1),tblDaily[WardCode],"CW")=0,"",SUMIFS(tblDaily[TransfersIn],tblDaily[EntryDate],DATE(2026,7,1),tblDaily[WardCode],"CW")),"")</f>
        <v/>
      </c>
      <c r="G241" s="29" t="str">
        <f>IFERROR(IF(SUMIFS(tblDaily[TransfersOut],tblDaily[EntryDate],DATE(2026,7,1),tblDaily[WardCode],"CW")=0,"",SUMIFS(tblDaily[TransfersOut],tblDaily[EntryDate],DATE(2026,7,1),tblDaily[WardCode],"CW")),"")</f>
        <v/>
      </c>
      <c r="H241" s="29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IFERROR(IF(SUMIFS(tblDaily[Admissions],tblDaily[EntryDate],DATE(2026,7,2),tblDaily[WardCode],"CW")=0,"",SUMIFS(tblDaily[Admissions],tblDaily[EntryDate],DATE(2026,7,2),tblDaily[WardCode],"CW")),"")</f>
        <v/>
      </c>
      <c r="C242" s="29" t="str">
        <f>IFERROR(IF(SUMIFS(tblDaily[Discharges],tblDaily[EntryDate],DATE(2026,7,2),tblDaily[WardCode],"CW")=0,"",SUMIFS(tblDaily[Discharges],tblDaily[EntryDate],DATE(2026,7,2),tblDaily[WardCode],"CW")),"")</f>
        <v/>
      </c>
      <c r="D242" s="29" t="str">
        <f>IFERROR(IF(SUMIFS(tblDaily[Deaths],tblDaily[EntryDate],DATE(2026,7,2),tblDaily[WardCode],"CW")=0,"",SUMIFS(tblDaily[Deaths],tblDaily[EntryDate],DATE(2026,7,2),tblDaily[WardCode],"CW")),"")</f>
        <v/>
      </c>
      <c r="E242" s="29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29" t="str">
        <f>IFERROR(IF(SUMIFS(tblDaily[TransfersIn],tblDaily[EntryDate],DATE(2026,7,2),tblDaily[WardCode],"CW")=0,"",SUMIFS(tblDaily[TransfersIn],tblDaily[EntryDate],DATE(2026,7,2),tblDaily[WardCode],"CW")),"")</f>
        <v/>
      </c>
      <c r="G242" s="29" t="str">
        <f>IFERROR(IF(SUMIFS(tblDaily[TransfersOut],tblDaily[EntryDate],DATE(2026,7,2),tblDaily[WardCode],"CW")=0,"",SUMIFS(tblDaily[TransfersOut],tblDaily[EntryDate],DATE(2026,7,2),tblDaily[WardCode],"CW")),"")</f>
        <v/>
      </c>
      <c r="H242" s="29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IFERROR(IF(SUMIFS(tblDaily[Admissions],tblDaily[EntryDate],DATE(2026,7,3),tblDaily[WardCode],"CW")=0,"",SUMIFS(tblDaily[Admissions],tblDaily[EntryDate],DATE(2026,7,3),tblDaily[WardCode],"CW")),"")</f>
        <v/>
      </c>
      <c r="C243" s="29" t="str">
        <f>IFERROR(IF(SUMIFS(tblDaily[Discharges],tblDaily[EntryDate],DATE(2026,7,3),tblDaily[WardCode],"CW")=0,"",SUMIFS(tblDaily[Discharges],tblDaily[EntryDate],DATE(2026,7,3),tblDaily[WardCode],"CW")),"")</f>
        <v/>
      </c>
      <c r="D243" s="29" t="str">
        <f>IFERROR(IF(SUMIFS(tblDaily[Deaths],tblDaily[EntryDate],DATE(2026,7,3),tblDaily[WardCode],"CW")=0,"",SUMIFS(tblDaily[Deaths],tblDaily[EntryDate],DATE(2026,7,3),tblDaily[WardCode],"CW")),"")</f>
        <v/>
      </c>
      <c r="E243" s="29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29" t="str">
        <f>IFERROR(IF(SUMIFS(tblDaily[TransfersIn],tblDaily[EntryDate],DATE(2026,7,3),tblDaily[WardCode],"CW")=0,"",SUMIFS(tblDaily[TransfersIn],tblDaily[EntryDate],DATE(2026,7,3),tblDaily[WardCode],"CW")),"")</f>
        <v/>
      </c>
      <c r="G243" s="29" t="str">
        <f>IFERROR(IF(SUMIFS(tblDaily[TransfersOut],tblDaily[EntryDate],DATE(2026,7,3),tblDaily[WardCode],"CW")=0,"",SUMIFS(tblDaily[TransfersOut],tblDaily[EntryDate],DATE(2026,7,3),tblDaily[WardCode],"CW")),"")</f>
        <v/>
      </c>
      <c r="H243" s="29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IFERROR(IF(SUMIFS(tblDaily[Admissions],tblDaily[EntryDate],DATE(2026,7,4),tblDaily[WardCode],"CW")=0,"",SUMIFS(tblDaily[Admissions],tblDaily[EntryDate],DATE(2026,7,4),tblDaily[WardCode],"CW")),"")</f>
        <v/>
      </c>
      <c r="C244" s="29" t="str">
        <f>IFERROR(IF(SUMIFS(tblDaily[Discharges],tblDaily[EntryDate],DATE(2026,7,4),tblDaily[WardCode],"CW")=0,"",SUMIFS(tblDaily[Discharges],tblDaily[EntryDate],DATE(2026,7,4),tblDaily[WardCode],"CW")),"")</f>
        <v/>
      </c>
      <c r="D244" s="29" t="str">
        <f>IFERROR(IF(SUMIFS(tblDaily[Deaths],tblDaily[EntryDate],DATE(2026,7,4),tblDaily[WardCode],"CW")=0,"",SUMIFS(tblDaily[Deaths],tblDaily[EntryDate],DATE(2026,7,4),tblDaily[WardCode],"CW")),"")</f>
        <v/>
      </c>
      <c r="E244" s="29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29" t="str">
        <f>IFERROR(IF(SUMIFS(tblDaily[TransfersIn],tblDaily[EntryDate],DATE(2026,7,4),tblDaily[WardCode],"CW")=0,"",SUMIFS(tblDaily[TransfersIn],tblDaily[EntryDate],DATE(2026,7,4),tblDaily[WardCode],"CW")),"")</f>
        <v/>
      </c>
      <c r="G244" s="29" t="str">
        <f>IFERROR(IF(SUMIFS(tblDaily[TransfersOut],tblDaily[EntryDate],DATE(2026,7,4),tblDaily[WardCode],"CW")=0,"",SUMIFS(tblDaily[TransfersOut],tblDaily[EntryDate],DATE(2026,7,4),tblDaily[WardCode],"CW")),"")</f>
        <v/>
      </c>
      <c r="H244" s="29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IFERROR(IF(SUMIFS(tblDaily[Admissions],tblDaily[EntryDate],DATE(2026,7,5),tblDaily[WardCode],"CW")=0,"",SUMIFS(tblDaily[Admissions],tblDaily[EntryDate],DATE(2026,7,5),tblDaily[WardCode],"CW")),"")</f>
        <v/>
      </c>
      <c r="C245" s="29" t="str">
        <f>IFERROR(IF(SUMIFS(tblDaily[Discharges],tblDaily[EntryDate],DATE(2026,7,5),tblDaily[WardCode],"CW")=0,"",SUMIFS(tblDaily[Discharges],tblDaily[EntryDate],DATE(2026,7,5),tblDaily[WardCode],"CW")),"")</f>
        <v/>
      </c>
      <c r="D245" s="29" t="str">
        <f>IFERROR(IF(SUMIFS(tblDaily[Deaths],tblDaily[EntryDate],DATE(2026,7,5),tblDaily[WardCode],"CW")=0,"",SUMIFS(tblDaily[Deaths],tblDaily[EntryDate],DATE(2026,7,5),tblDaily[WardCode],"CW")),"")</f>
        <v/>
      </c>
      <c r="E245" s="29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29" t="str">
        <f>IFERROR(IF(SUMIFS(tblDaily[TransfersIn],tblDaily[EntryDate],DATE(2026,7,5),tblDaily[WardCode],"CW")=0,"",SUMIFS(tblDaily[TransfersIn],tblDaily[EntryDate],DATE(2026,7,5),tblDaily[WardCode],"CW")),"")</f>
        <v/>
      </c>
      <c r="G245" s="29" t="str">
        <f>IFERROR(IF(SUMIFS(tblDaily[TransfersOut],tblDaily[EntryDate],DATE(2026,7,5),tblDaily[WardCode],"CW")=0,"",SUMIFS(tblDaily[TransfersOut],tblDaily[EntryDate],DATE(2026,7,5),tblDaily[WardCode],"CW")),"")</f>
        <v/>
      </c>
      <c r="H245" s="29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IFERROR(IF(SUMIFS(tblDaily[Admissions],tblDaily[EntryDate],DATE(2026,7,6),tblDaily[WardCode],"CW")=0,"",SUMIFS(tblDaily[Admissions],tblDaily[EntryDate],DATE(2026,7,6),tblDaily[WardCode],"CW")),"")</f>
        <v/>
      </c>
      <c r="C246" s="29" t="str">
        <f>IFERROR(IF(SUMIFS(tblDaily[Discharges],tblDaily[EntryDate],DATE(2026,7,6),tblDaily[WardCode],"CW")=0,"",SUMIFS(tblDaily[Discharges],tblDaily[EntryDate],DATE(2026,7,6),tblDaily[WardCode],"CW")),"")</f>
        <v/>
      </c>
      <c r="D246" s="29" t="str">
        <f>IFERROR(IF(SUMIFS(tblDaily[Deaths],tblDaily[EntryDate],DATE(2026,7,6),tblDaily[WardCode],"CW")=0,"",SUMIFS(tblDaily[Deaths],tblDaily[EntryDate],DATE(2026,7,6),tblDaily[WardCode],"CW")),"")</f>
        <v/>
      </c>
      <c r="E246" s="29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29" t="str">
        <f>IFERROR(IF(SUMIFS(tblDaily[TransfersIn],tblDaily[EntryDate],DATE(2026,7,6),tblDaily[WardCode],"CW")=0,"",SUMIFS(tblDaily[TransfersIn],tblDaily[EntryDate],DATE(2026,7,6),tblDaily[WardCode],"CW")),"")</f>
        <v/>
      </c>
      <c r="G246" s="29" t="str">
        <f>IFERROR(IF(SUMIFS(tblDaily[TransfersOut],tblDaily[EntryDate],DATE(2026,7,6),tblDaily[WardCode],"CW")=0,"",SUMIFS(tblDaily[TransfersOut],tblDaily[EntryDate],DATE(2026,7,6),tblDaily[WardCode],"CW")),"")</f>
        <v/>
      </c>
      <c r="H246" s="29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IFERROR(IF(SUMIFS(tblDaily[Admissions],tblDaily[EntryDate],DATE(2026,7,7),tblDaily[WardCode],"CW")=0,"",SUMIFS(tblDaily[Admissions],tblDaily[EntryDate],DATE(2026,7,7),tblDaily[WardCode],"CW")),"")</f>
        <v/>
      </c>
      <c r="C247" s="29" t="str">
        <f>IFERROR(IF(SUMIFS(tblDaily[Discharges],tblDaily[EntryDate],DATE(2026,7,7),tblDaily[WardCode],"CW")=0,"",SUMIFS(tblDaily[Discharges],tblDaily[EntryDate],DATE(2026,7,7),tblDaily[WardCode],"CW")),"")</f>
        <v/>
      </c>
      <c r="D247" s="29" t="str">
        <f>IFERROR(IF(SUMIFS(tblDaily[Deaths],tblDaily[EntryDate],DATE(2026,7,7),tblDaily[WardCode],"CW")=0,"",SUMIFS(tblDaily[Deaths],tblDaily[EntryDate],DATE(2026,7,7),tblDaily[WardCode],"CW")),"")</f>
        <v/>
      </c>
      <c r="E247" s="29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29" t="str">
        <f>IFERROR(IF(SUMIFS(tblDaily[TransfersIn],tblDaily[EntryDate],DATE(2026,7,7),tblDaily[WardCode],"CW")=0,"",SUMIFS(tblDaily[TransfersIn],tblDaily[EntryDate],DATE(2026,7,7),tblDaily[WardCode],"CW")),"")</f>
        <v/>
      </c>
      <c r="G247" s="29" t="str">
        <f>IFERROR(IF(SUMIFS(tblDaily[TransfersOut],tblDaily[EntryDate],DATE(2026,7,7),tblDaily[WardCode],"CW")=0,"",SUMIFS(tblDaily[TransfersOut],tblDaily[EntryDate],DATE(2026,7,7),tblDaily[WardCode],"CW")),"")</f>
        <v/>
      </c>
      <c r="H247" s="29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IFERROR(IF(SUMIFS(tblDaily[Admissions],tblDaily[EntryDate],DATE(2026,7,8),tblDaily[WardCode],"CW")=0,"",SUMIFS(tblDaily[Admissions],tblDaily[EntryDate],DATE(2026,7,8),tblDaily[WardCode],"CW")),"")</f>
        <v/>
      </c>
      <c r="C248" s="29" t="str">
        <f>IFERROR(IF(SUMIFS(tblDaily[Discharges],tblDaily[EntryDate],DATE(2026,7,8),tblDaily[WardCode],"CW")=0,"",SUMIFS(tblDaily[Discharges],tblDaily[EntryDate],DATE(2026,7,8),tblDaily[WardCode],"CW")),"")</f>
        <v/>
      </c>
      <c r="D248" s="29" t="str">
        <f>IFERROR(IF(SUMIFS(tblDaily[Deaths],tblDaily[EntryDate],DATE(2026,7,8),tblDaily[WardCode],"CW")=0,"",SUMIFS(tblDaily[Deaths],tblDaily[EntryDate],DATE(2026,7,8),tblDaily[WardCode],"CW")),"")</f>
        <v/>
      </c>
      <c r="E248" s="29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29" t="str">
        <f>IFERROR(IF(SUMIFS(tblDaily[TransfersIn],tblDaily[EntryDate],DATE(2026,7,8),tblDaily[WardCode],"CW")=0,"",SUMIFS(tblDaily[TransfersIn],tblDaily[EntryDate],DATE(2026,7,8),tblDaily[WardCode],"CW")),"")</f>
        <v/>
      </c>
      <c r="G248" s="29" t="str">
        <f>IFERROR(IF(SUMIFS(tblDaily[TransfersOut],tblDaily[EntryDate],DATE(2026,7,8),tblDaily[WardCode],"CW")=0,"",SUMIFS(tblDaily[TransfersOut],tblDaily[EntryDate],DATE(2026,7,8),tblDaily[WardCode],"CW")),"")</f>
        <v/>
      </c>
      <c r="H248" s="29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IFERROR(IF(SUMIFS(tblDaily[Admissions],tblDaily[EntryDate],DATE(2026,7,9),tblDaily[WardCode],"CW")=0,"",SUMIFS(tblDaily[Admissions],tblDaily[EntryDate],DATE(2026,7,9),tblDaily[WardCode],"CW")),"")</f>
        <v/>
      </c>
      <c r="C249" s="29" t="str">
        <f>IFERROR(IF(SUMIFS(tblDaily[Discharges],tblDaily[EntryDate],DATE(2026,7,9),tblDaily[WardCode],"CW")=0,"",SUMIFS(tblDaily[Discharges],tblDaily[EntryDate],DATE(2026,7,9),tblDaily[WardCode],"CW")),"")</f>
        <v/>
      </c>
      <c r="D249" s="29" t="str">
        <f>IFERROR(IF(SUMIFS(tblDaily[Deaths],tblDaily[EntryDate],DATE(2026,7,9),tblDaily[WardCode],"CW")=0,"",SUMIFS(tblDaily[Deaths],tblDaily[EntryDate],DATE(2026,7,9),tblDaily[WardCode],"CW")),"")</f>
        <v/>
      </c>
      <c r="E249" s="29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29" t="str">
        <f>IFERROR(IF(SUMIFS(tblDaily[TransfersIn],tblDaily[EntryDate],DATE(2026,7,9),tblDaily[WardCode],"CW")=0,"",SUMIFS(tblDaily[TransfersIn],tblDaily[EntryDate],DATE(2026,7,9),tblDaily[WardCode],"CW")),"")</f>
        <v/>
      </c>
      <c r="G249" s="29" t="str">
        <f>IFERROR(IF(SUMIFS(tblDaily[TransfersOut],tblDaily[EntryDate],DATE(2026,7,9),tblDaily[WardCode],"CW")=0,"",SUMIFS(tblDaily[TransfersOut],tblDaily[EntryDate],DATE(2026,7,9),tblDaily[WardCode],"CW")),"")</f>
        <v/>
      </c>
      <c r="H249" s="29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IFERROR(IF(SUMIFS(tblDaily[Admissions],tblDaily[EntryDate],DATE(2026,7,10),tblDaily[WardCode],"CW")=0,"",SUMIFS(tblDaily[Admissions],tblDaily[EntryDate],DATE(2026,7,10),tblDaily[WardCode],"CW")),"")</f>
        <v/>
      </c>
      <c r="C250" s="29" t="str">
        <f>IFERROR(IF(SUMIFS(tblDaily[Discharges],tblDaily[EntryDate],DATE(2026,7,10),tblDaily[WardCode],"CW")=0,"",SUMIFS(tblDaily[Discharges],tblDaily[EntryDate],DATE(2026,7,10),tblDaily[WardCode],"CW")),"")</f>
        <v/>
      </c>
      <c r="D250" s="29" t="str">
        <f>IFERROR(IF(SUMIFS(tblDaily[Deaths],tblDaily[EntryDate],DATE(2026,7,10),tblDaily[WardCode],"CW")=0,"",SUMIFS(tblDaily[Deaths],tblDaily[EntryDate],DATE(2026,7,10),tblDaily[WardCode],"CW")),"")</f>
        <v/>
      </c>
      <c r="E250" s="29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29" t="str">
        <f>IFERROR(IF(SUMIFS(tblDaily[TransfersIn],tblDaily[EntryDate],DATE(2026,7,10),tblDaily[WardCode],"CW")=0,"",SUMIFS(tblDaily[TransfersIn],tblDaily[EntryDate],DATE(2026,7,10),tblDaily[WardCode],"CW")),"")</f>
        <v/>
      </c>
      <c r="G250" s="29" t="str">
        <f>IFERROR(IF(SUMIFS(tblDaily[TransfersOut],tblDaily[EntryDate],DATE(2026,7,10),tblDaily[WardCode],"CW")=0,"",SUMIFS(tblDaily[TransfersOut],tblDaily[EntryDate],DATE(2026,7,10),tblDaily[WardCode],"CW")),"")</f>
        <v/>
      </c>
      <c r="H250" s="29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IFERROR(IF(SUMIFS(tblDaily[Admissions],tblDaily[EntryDate],DATE(2026,7,11),tblDaily[WardCode],"CW")=0,"",SUMIFS(tblDaily[Admissions],tblDaily[EntryDate],DATE(2026,7,11),tblDaily[WardCode],"CW")),"")</f>
        <v/>
      </c>
      <c r="C251" s="29" t="str">
        <f>IFERROR(IF(SUMIFS(tblDaily[Discharges],tblDaily[EntryDate],DATE(2026,7,11),tblDaily[WardCode],"CW")=0,"",SUMIFS(tblDaily[Discharges],tblDaily[EntryDate],DATE(2026,7,11),tblDaily[WardCode],"CW")),"")</f>
        <v/>
      </c>
      <c r="D251" s="29" t="str">
        <f>IFERROR(IF(SUMIFS(tblDaily[Deaths],tblDaily[EntryDate],DATE(2026,7,11),tblDaily[WardCode],"CW")=0,"",SUMIFS(tblDaily[Deaths],tblDaily[EntryDate],DATE(2026,7,11),tblDaily[WardCode],"CW")),"")</f>
        <v/>
      </c>
      <c r="E251" s="29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29" t="str">
        <f>IFERROR(IF(SUMIFS(tblDaily[TransfersIn],tblDaily[EntryDate],DATE(2026,7,11),tblDaily[WardCode],"CW")=0,"",SUMIFS(tblDaily[TransfersIn],tblDaily[EntryDate],DATE(2026,7,11),tblDaily[WardCode],"CW")),"")</f>
        <v/>
      </c>
      <c r="G251" s="29" t="str">
        <f>IFERROR(IF(SUMIFS(tblDaily[TransfersOut],tblDaily[EntryDate],DATE(2026,7,11),tblDaily[WardCode],"CW")=0,"",SUMIFS(tblDaily[TransfersOut],tblDaily[EntryDate],DATE(2026,7,11),tblDaily[WardCode],"CW")),"")</f>
        <v/>
      </c>
      <c r="H251" s="29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IFERROR(IF(SUMIFS(tblDaily[Admissions],tblDaily[EntryDate],DATE(2026,7,12),tblDaily[WardCode],"CW")=0,"",SUMIFS(tblDaily[Admissions],tblDaily[EntryDate],DATE(2026,7,12),tblDaily[WardCode],"CW")),"")</f>
        <v/>
      </c>
      <c r="C252" s="29" t="str">
        <f>IFERROR(IF(SUMIFS(tblDaily[Discharges],tblDaily[EntryDate],DATE(2026,7,12),tblDaily[WardCode],"CW")=0,"",SUMIFS(tblDaily[Discharges],tblDaily[EntryDate],DATE(2026,7,12),tblDaily[WardCode],"CW")),"")</f>
        <v/>
      </c>
      <c r="D252" s="29" t="str">
        <f>IFERROR(IF(SUMIFS(tblDaily[Deaths],tblDaily[EntryDate],DATE(2026,7,12),tblDaily[WardCode],"CW")=0,"",SUMIFS(tblDaily[Deaths],tblDaily[EntryDate],DATE(2026,7,12),tblDaily[WardCode],"CW")),"")</f>
        <v/>
      </c>
      <c r="E252" s="29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29" t="str">
        <f>IFERROR(IF(SUMIFS(tblDaily[TransfersIn],tblDaily[EntryDate],DATE(2026,7,12),tblDaily[WardCode],"CW")=0,"",SUMIFS(tblDaily[TransfersIn],tblDaily[EntryDate],DATE(2026,7,12),tblDaily[WardCode],"CW")),"")</f>
        <v/>
      </c>
      <c r="G252" s="29" t="str">
        <f>IFERROR(IF(SUMIFS(tblDaily[TransfersOut],tblDaily[EntryDate],DATE(2026,7,12),tblDaily[WardCode],"CW")=0,"",SUMIFS(tblDaily[TransfersOut],tblDaily[EntryDate],DATE(2026,7,12),tblDaily[WardCode],"CW")),"")</f>
        <v/>
      </c>
      <c r="H252" s="29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IFERROR(IF(SUMIFS(tblDaily[Admissions],tblDaily[EntryDate],DATE(2026,7,13),tblDaily[WardCode],"CW")=0,"",SUMIFS(tblDaily[Admissions],tblDaily[EntryDate],DATE(2026,7,13),tblDaily[WardCode],"CW")),"")</f>
        <v/>
      </c>
      <c r="C253" s="29" t="str">
        <f>IFERROR(IF(SUMIFS(tblDaily[Discharges],tblDaily[EntryDate],DATE(2026,7,13),tblDaily[WardCode],"CW")=0,"",SUMIFS(tblDaily[Discharges],tblDaily[EntryDate],DATE(2026,7,13),tblDaily[WardCode],"CW")),"")</f>
        <v/>
      </c>
      <c r="D253" s="29" t="str">
        <f>IFERROR(IF(SUMIFS(tblDaily[Deaths],tblDaily[EntryDate],DATE(2026,7,13),tblDaily[WardCode],"CW")=0,"",SUMIFS(tblDaily[Deaths],tblDaily[EntryDate],DATE(2026,7,13),tblDaily[WardCode],"CW")),"")</f>
        <v/>
      </c>
      <c r="E253" s="29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29" t="str">
        <f>IFERROR(IF(SUMIFS(tblDaily[TransfersIn],tblDaily[EntryDate],DATE(2026,7,13),tblDaily[WardCode],"CW")=0,"",SUMIFS(tblDaily[TransfersIn],tblDaily[EntryDate],DATE(2026,7,13),tblDaily[WardCode],"CW")),"")</f>
        <v/>
      </c>
      <c r="G253" s="29" t="str">
        <f>IFERROR(IF(SUMIFS(tblDaily[TransfersOut],tblDaily[EntryDate],DATE(2026,7,13),tblDaily[WardCode],"CW")=0,"",SUMIFS(tblDaily[TransfersOut],tblDaily[EntryDate],DATE(2026,7,13),tblDaily[WardCode],"CW")),"")</f>
        <v/>
      </c>
      <c r="H253" s="29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IFERROR(IF(SUMIFS(tblDaily[Admissions],tblDaily[EntryDate],DATE(2026,7,14),tblDaily[WardCode],"CW")=0,"",SUMIFS(tblDaily[Admissions],tblDaily[EntryDate],DATE(2026,7,14),tblDaily[WardCode],"CW")),"")</f>
        <v/>
      </c>
      <c r="C254" s="29" t="str">
        <f>IFERROR(IF(SUMIFS(tblDaily[Discharges],tblDaily[EntryDate],DATE(2026,7,14),tblDaily[WardCode],"CW")=0,"",SUMIFS(tblDaily[Discharges],tblDaily[EntryDate],DATE(2026,7,14),tblDaily[WardCode],"CW")),"")</f>
        <v/>
      </c>
      <c r="D254" s="29" t="str">
        <f>IFERROR(IF(SUMIFS(tblDaily[Deaths],tblDaily[EntryDate],DATE(2026,7,14),tblDaily[WardCode],"CW")=0,"",SUMIFS(tblDaily[Deaths],tblDaily[EntryDate],DATE(2026,7,14),tblDaily[WardCode],"CW")),"")</f>
        <v/>
      </c>
      <c r="E254" s="29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29" t="str">
        <f>IFERROR(IF(SUMIFS(tblDaily[TransfersIn],tblDaily[EntryDate],DATE(2026,7,14),tblDaily[WardCode],"CW")=0,"",SUMIFS(tblDaily[TransfersIn],tblDaily[EntryDate],DATE(2026,7,14),tblDaily[WardCode],"CW")),"")</f>
        <v/>
      </c>
      <c r="G254" s="29" t="str">
        <f>IFERROR(IF(SUMIFS(tblDaily[TransfersOut],tblDaily[EntryDate],DATE(2026,7,14),tblDaily[WardCode],"CW")=0,"",SUMIFS(tblDaily[TransfersOut],tblDaily[EntryDate],DATE(2026,7,14),tblDaily[WardCode],"CW")),"")</f>
        <v/>
      </c>
      <c r="H254" s="29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IFERROR(IF(SUMIFS(tblDaily[Admissions],tblDaily[EntryDate],DATE(2026,7,15),tblDaily[WardCode],"CW")=0,"",SUMIFS(tblDaily[Admissions],tblDaily[EntryDate],DATE(2026,7,15),tblDaily[WardCode],"CW")),"")</f>
        <v/>
      </c>
      <c r="C255" s="29" t="str">
        <f>IFERROR(IF(SUMIFS(tblDaily[Discharges],tblDaily[EntryDate],DATE(2026,7,15),tblDaily[WardCode],"CW")=0,"",SUMIFS(tblDaily[Discharges],tblDaily[EntryDate],DATE(2026,7,15),tblDaily[WardCode],"CW")),"")</f>
        <v/>
      </c>
      <c r="D255" s="29" t="str">
        <f>IFERROR(IF(SUMIFS(tblDaily[Deaths],tblDaily[EntryDate],DATE(2026,7,15),tblDaily[WardCode],"CW")=0,"",SUMIFS(tblDaily[Deaths],tblDaily[EntryDate],DATE(2026,7,15),tblDaily[WardCode],"CW")),"")</f>
        <v/>
      </c>
      <c r="E255" s="29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29" t="str">
        <f>IFERROR(IF(SUMIFS(tblDaily[TransfersIn],tblDaily[EntryDate],DATE(2026,7,15),tblDaily[WardCode],"CW")=0,"",SUMIFS(tblDaily[TransfersIn],tblDaily[EntryDate],DATE(2026,7,15),tblDaily[WardCode],"CW")),"")</f>
        <v/>
      </c>
      <c r="G255" s="29" t="str">
        <f>IFERROR(IF(SUMIFS(tblDaily[TransfersOut],tblDaily[EntryDate],DATE(2026,7,15),tblDaily[WardCode],"CW")=0,"",SUMIFS(tblDaily[TransfersOut],tblDaily[EntryDate],DATE(2026,7,15),tblDaily[WardCode],"CW")),"")</f>
        <v/>
      </c>
      <c r="H255" s="29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IFERROR(IF(SUMIFS(tblDaily[Admissions],tblDaily[EntryDate],DATE(2026,7,16),tblDaily[WardCode],"CW")=0,"",SUMIFS(tblDaily[Admissions],tblDaily[EntryDate],DATE(2026,7,16),tblDaily[WardCode],"CW")),"")</f>
        <v/>
      </c>
      <c r="C256" s="29" t="str">
        <f>IFERROR(IF(SUMIFS(tblDaily[Discharges],tblDaily[EntryDate],DATE(2026,7,16),tblDaily[WardCode],"CW")=0,"",SUMIFS(tblDaily[Discharges],tblDaily[EntryDate],DATE(2026,7,16),tblDaily[WardCode],"CW")),"")</f>
        <v/>
      </c>
      <c r="D256" s="29" t="str">
        <f>IFERROR(IF(SUMIFS(tblDaily[Deaths],tblDaily[EntryDate],DATE(2026,7,16),tblDaily[WardCode],"CW")=0,"",SUMIFS(tblDaily[Deaths],tblDaily[EntryDate],DATE(2026,7,16),tblDaily[WardCode],"CW")),"")</f>
        <v/>
      </c>
      <c r="E256" s="29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29" t="str">
        <f>IFERROR(IF(SUMIFS(tblDaily[TransfersIn],tblDaily[EntryDate],DATE(2026,7,16),tblDaily[WardCode],"CW")=0,"",SUMIFS(tblDaily[TransfersIn],tblDaily[EntryDate],DATE(2026,7,16),tblDaily[WardCode],"CW")),"")</f>
        <v/>
      </c>
      <c r="G256" s="29" t="str">
        <f>IFERROR(IF(SUMIFS(tblDaily[TransfersOut],tblDaily[EntryDate],DATE(2026,7,16),tblDaily[WardCode],"CW")=0,"",SUMIFS(tblDaily[TransfersOut],tblDaily[EntryDate],DATE(2026,7,16),tblDaily[WardCode],"CW")),"")</f>
        <v/>
      </c>
      <c r="H256" s="29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IFERROR(IF(SUMIFS(tblDaily[Admissions],tblDaily[EntryDate],DATE(2026,7,17),tblDaily[WardCode],"CW")=0,"",SUMIFS(tblDaily[Admissions],tblDaily[EntryDate],DATE(2026,7,17),tblDaily[WardCode],"CW")),"")</f>
        <v/>
      </c>
      <c r="C257" s="29" t="str">
        <f>IFERROR(IF(SUMIFS(tblDaily[Discharges],tblDaily[EntryDate],DATE(2026,7,17),tblDaily[WardCode],"CW")=0,"",SUMIFS(tblDaily[Discharges],tblDaily[EntryDate],DATE(2026,7,17),tblDaily[WardCode],"CW")),"")</f>
        <v/>
      </c>
      <c r="D257" s="29" t="str">
        <f>IFERROR(IF(SUMIFS(tblDaily[Deaths],tblDaily[EntryDate],DATE(2026,7,17),tblDaily[WardCode],"CW")=0,"",SUMIFS(tblDaily[Deaths],tblDaily[EntryDate],DATE(2026,7,17),tblDaily[WardCode],"CW")),"")</f>
        <v/>
      </c>
      <c r="E257" s="29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29" t="str">
        <f>IFERROR(IF(SUMIFS(tblDaily[TransfersIn],tblDaily[EntryDate],DATE(2026,7,17),tblDaily[WardCode],"CW")=0,"",SUMIFS(tblDaily[TransfersIn],tblDaily[EntryDate],DATE(2026,7,17),tblDaily[WardCode],"CW")),"")</f>
        <v/>
      </c>
      <c r="G257" s="29" t="str">
        <f>IFERROR(IF(SUMIFS(tblDaily[TransfersOut],tblDaily[EntryDate],DATE(2026,7,17),tblDaily[WardCode],"CW")=0,"",SUMIFS(tblDaily[TransfersOut],tblDaily[EntryDate],DATE(2026,7,17),tblDaily[WardCode],"CW")),"")</f>
        <v/>
      </c>
      <c r="H257" s="29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IFERROR(IF(SUMIFS(tblDaily[Admissions],tblDaily[EntryDate],DATE(2026,7,18),tblDaily[WardCode],"CW")=0,"",SUMIFS(tblDaily[Admissions],tblDaily[EntryDate],DATE(2026,7,18),tblDaily[WardCode],"CW")),"")</f>
        <v/>
      </c>
      <c r="C258" s="29" t="str">
        <f>IFERROR(IF(SUMIFS(tblDaily[Discharges],tblDaily[EntryDate],DATE(2026,7,18),tblDaily[WardCode],"CW")=0,"",SUMIFS(tblDaily[Discharges],tblDaily[EntryDate],DATE(2026,7,18),tblDaily[WardCode],"CW")),"")</f>
        <v/>
      </c>
      <c r="D258" s="29" t="str">
        <f>IFERROR(IF(SUMIFS(tblDaily[Deaths],tblDaily[EntryDate],DATE(2026,7,18),tblDaily[WardCode],"CW")=0,"",SUMIFS(tblDaily[Deaths],tblDaily[EntryDate],DATE(2026,7,18),tblDaily[WardCode],"CW")),"")</f>
        <v/>
      </c>
      <c r="E258" s="29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29" t="str">
        <f>IFERROR(IF(SUMIFS(tblDaily[TransfersIn],tblDaily[EntryDate],DATE(2026,7,18),tblDaily[WardCode],"CW")=0,"",SUMIFS(tblDaily[TransfersIn],tblDaily[EntryDate],DATE(2026,7,18),tblDaily[WardCode],"CW")),"")</f>
        <v/>
      </c>
      <c r="G258" s="29" t="str">
        <f>IFERROR(IF(SUMIFS(tblDaily[TransfersOut],tblDaily[EntryDate],DATE(2026,7,18),tblDaily[WardCode],"CW")=0,"",SUMIFS(tblDaily[TransfersOut],tblDaily[EntryDate],DATE(2026,7,18),tblDaily[WardCode],"CW")),"")</f>
        <v/>
      </c>
      <c r="H258" s="29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IFERROR(IF(SUMIFS(tblDaily[Admissions],tblDaily[EntryDate],DATE(2026,7,19),tblDaily[WardCode],"CW")=0,"",SUMIFS(tblDaily[Admissions],tblDaily[EntryDate],DATE(2026,7,19),tblDaily[WardCode],"CW")),"")</f>
        <v/>
      </c>
      <c r="C259" s="29" t="str">
        <f>IFERROR(IF(SUMIFS(tblDaily[Discharges],tblDaily[EntryDate],DATE(2026,7,19),tblDaily[WardCode],"CW")=0,"",SUMIFS(tblDaily[Discharges],tblDaily[EntryDate],DATE(2026,7,19),tblDaily[WardCode],"CW")),"")</f>
        <v/>
      </c>
      <c r="D259" s="29" t="str">
        <f>IFERROR(IF(SUMIFS(tblDaily[Deaths],tblDaily[EntryDate],DATE(2026,7,19),tblDaily[WardCode],"CW")=0,"",SUMIFS(tblDaily[Deaths],tblDaily[EntryDate],DATE(2026,7,19),tblDaily[WardCode],"CW")),"")</f>
        <v/>
      </c>
      <c r="E259" s="29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29" t="str">
        <f>IFERROR(IF(SUMIFS(tblDaily[TransfersIn],tblDaily[EntryDate],DATE(2026,7,19),tblDaily[WardCode],"CW")=0,"",SUMIFS(tblDaily[TransfersIn],tblDaily[EntryDate],DATE(2026,7,19),tblDaily[WardCode],"CW")),"")</f>
        <v/>
      </c>
      <c r="G259" s="29" t="str">
        <f>IFERROR(IF(SUMIFS(tblDaily[TransfersOut],tblDaily[EntryDate],DATE(2026,7,19),tblDaily[WardCode],"CW")=0,"",SUMIFS(tblDaily[TransfersOut],tblDaily[EntryDate],DATE(2026,7,19),tblDaily[WardCode],"CW")),"")</f>
        <v/>
      </c>
      <c r="H259" s="29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IFERROR(IF(SUMIFS(tblDaily[Admissions],tblDaily[EntryDate],DATE(2026,7,20),tblDaily[WardCode],"CW")=0,"",SUMIFS(tblDaily[Admissions],tblDaily[EntryDate],DATE(2026,7,20),tblDaily[WardCode],"CW")),"")</f>
        <v/>
      </c>
      <c r="C260" s="29" t="str">
        <f>IFERROR(IF(SUMIFS(tblDaily[Discharges],tblDaily[EntryDate],DATE(2026,7,20),tblDaily[WardCode],"CW")=0,"",SUMIFS(tblDaily[Discharges],tblDaily[EntryDate],DATE(2026,7,20),tblDaily[WardCode],"CW")),"")</f>
        <v/>
      </c>
      <c r="D260" s="29" t="str">
        <f>IFERROR(IF(SUMIFS(tblDaily[Deaths],tblDaily[EntryDate],DATE(2026,7,20),tblDaily[WardCode],"CW")=0,"",SUMIFS(tblDaily[Deaths],tblDaily[EntryDate],DATE(2026,7,20),tblDaily[WardCode],"CW")),"")</f>
        <v/>
      </c>
      <c r="E260" s="29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29" t="str">
        <f>IFERROR(IF(SUMIFS(tblDaily[TransfersIn],tblDaily[EntryDate],DATE(2026,7,20),tblDaily[WardCode],"CW")=0,"",SUMIFS(tblDaily[TransfersIn],tblDaily[EntryDate],DATE(2026,7,20),tblDaily[WardCode],"CW")),"")</f>
        <v/>
      </c>
      <c r="G260" s="29" t="str">
        <f>IFERROR(IF(SUMIFS(tblDaily[TransfersOut],tblDaily[EntryDate],DATE(2026,7,20),tblDaily[WardCode],"CW")=0,"",SUMIFS(tblDaily[TransfersOut],tblDaily[EntryDate],DATE(2026,7,20),tblDaily[WardCode],"CW")),"")</f>
        <v/>
      </c>
      <c r="H260" s="29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IFERROR(IF(SUMIFS(tblDaily[Admissions],tblDaily[EntryDate],DATE(2026,7,21),tblDaily[WardCode],"CW")=0,"",SUMIFS(tblDaily[Admissions],tblDaily[EntryDate],DATE(2026,7,21),tblDaily[WardCode],"CW")),"")</f>
        <v/>
      </c>
      <c r="C261" s="29" t="str">
        <f>IFERROR(IF(SUMIFS(tblDaily[Discharges],tblDaily[EntryDate],DATE(2026,7,21),tblDaily[WardCode],"CW")=0,"",SUMIFS(tblDaily[Discharges],tblDaily[EntryDate],DATE(2026,7,21),tblDaily[WardCode],"CW")),"")</f>
        <v/>
      </c>
      <c r="D261" s="29" t="str">
        <f>IFERROR(IF(SUMIFS(tblDaily[Deaths],tblDaily[EntryDate],DATE(2026,7,21),tblDaily[WardCode],"CW")=0,"",SUMIFS(tblDaily[Deaths],tblDaily[EntryDate],DATE(2026,7,21),tblDaily[WardCode],"CW")),"")</f>
        <v/>
      </c>
      <c r="E261" s="29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29" t="str">
        <f>IFERROR(IF(SUMIFS(tblDaily[TransfersIn],tblDaily[EntryDate],DATE(2026,7,21),tblDaily[WardCode],"CW")=0,"",SUMIFS(tblDaily[TransfersIn],tblDaily[EntryDate],DATE(2026,7,21),tblDaily[WardCode],"CW")),"")</f>
        <v/>
      </c>
      <c r="G261" s="29" t="str">
        <f>IFERROR(IF(SUMIFS(tblDaily[TransfersOut],tblDaily[EntryDate],DATE(2026,7,21),tblDaily[WardCode],"CW")=0,"",SUMIFS(tblDaily[TransfersOut],tblDaily[EntryDate],DATE(2026,7,21),tblDaily[WardCode],"CW")),"")</f>
        <v/>
      </c>
      <c r="H261" s="29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IFERROR(IF(SUMIFS(tblDaily[Admissions],tblDaily[EntryDate],DATE(2026,7,22),tblDaily[WardCode],"CW")=0,"",SUMIFS(tblDaily[Admissions],tblDaily[EntryDate],DATE(2026,7,22),tblDaily[WardCode],"CW")),"")</f>
        <v/>
      </c>
      <c r="C262" s="29" t="str">
        <f>IFERROR(IF(SUMIFS(tblDaily[Discharges],tblDaily[EntryDate],DATE(2026,7,22),tblDaily[WardCode],"CW")=0,"",SUMIFS(tblDaily[Discharges],tblDaily[EntryDate],DATE(2026,7,22),tblDaily[WardCode],"CW")),"")</f>
        <v/>
      </c>
      <c r="D262" s="29" t="str">
        <f>IFERROR(IF(SUMIFS(tblDaily[Deaths],tblDaily[EntryDate],DATE(2026,7,22),tblDaily[WardCode],"CW")=0,"",SUMIFS(tblDaily[Deaths],tblDaily[EntryDate],DATE(2026,7,22),tblDaily[WardCode],"CW")),"")</f>
        <v/>
      </c>
      <c r="E262" s="29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29" t="str">
        <f>IFERROR(IF(SUMIFS(tblDaily[TransfersIn],tblDaily[EntryDate],DATE(2026,7,22),tblDaily[WardCode],"CW")=0,"",SUMIFS(tblDaily[TransfersIn],tblDaily[EntryDate],DATE(2026,7,22),tblDaily[WardCode],"CW")),"")</f>
        <v/>
      </c>
      <c r="G262" s="29" t="str">
        <f>IFERROR(IF(SUMIFS(tblDaily[TransfersOut],tblDaily[EntryDate],DATE(2026,7,22),tblDaily[WardCode],"CW")=0,"",SUMIFS(tblDaily[TransfersOut],tblDaily[EntryDate],DATE(2026,7,22),tblDaily[WardCode],"CW")),"")</f>
        <v/>
      </c>
      <c r="H262" s="29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IFERROR(IF(SUMIFS(tblDaily[Admissions],tblDaily[EntryDate],DATE(2026,7,23),tblDaily[WardCode],"CW")=0,"",SUMIFS(tblDaily[Admissions],tblDaily[EntryDate],DATE(2026,7,23),tblDaily[WardCode],"CW")),"")</f>
        <v/>
      </c>
      <c r="C263" s="29" t="str">
        <f>IFERROR(IF(SUMIFS(tblDaily[Discharges],tblDaily[EntryDate],DATE(2026,7,23),tblDaily[WardCode],"CW")=0,"",SUMIFS(tblDaily[Discharges],tblDaily[EntryDate],DATE(2026,7,23),tblDaily[WardCode],"CW")),"")</f>
        <v/>
      </c>
      <c r="D263" s="29" t="str">
        <f>IFERROR(IF(SUMIFS(tblDaily[Deaths],tblDaily[EntryDate],DATE(2026,7,23),tblDaily[WardCode],"CW")=0,"",SUMIFS(tblDaily[Deaths],tblDaily[EntryDate],DATE(2026,7,23),tblDaily[WardCode],"CW")),"")</f>
        <v/>
      </c>
      <c r="E263" s="29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29" t="str">
        <f>IFERROR(IF(SUMIFS(tblDaily[TransfersIn],tblDaily[EntryDate],DATE(2026,7,23),tblDaily[WardCode],"CW")=0,"",SUMIFS(tblDaily[TransfersIn],tblDaily[EntryDate],DATE(2026,7,23),tblDaily[WardCode],"CW")),"")</f>
        <v/>
      </c>
      <c r="G263" s="29" t="str">
        <f>IFERROR(IF(SUMIFS(tblDaily[TransfersOut],tblDaily[EntryDate],DATE(2026,7,23),tblDaily[WardCode],"CW")=0,"",SUMIFS(tblDaily[TransfersOut],tblDaily[EntryDate],DATE(2026,7,23),tblDaily[WardCode],"CW")),"")</f>
        <v/>
      </c>
      <c r="H263" s="29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IFERROR(IF(SUMIFS(tblDaily[Admissions],tblDaily[EntryDate],DATE(2026,7,24),tblDaily[WardCode],"CW")=0,"",SUMIFS(tblDaily[Admissions],tblDaily[EntryDate],DATE(2026,7,24),tblDaily[WardCode],"CW")),"")</f>
        <v/>
      </c>
      <c r="C264" s="29" t="str">
        <f>IFERROR(IF(SUMIFS(tblDaily[Discharges],tblDaily[EntryDate],DATE(2026,7,24),tblDaily[WardCode],"CW")=0,"",SUMIFS(tblDaily[Discharges],tblDaily[EntryDate],DATE(2026,7,24),tblDaily[WardCode],"CW")),"")</f>
        <v/>
      </c>
      <c r="D264" s="29" t="str">
        <f>IFERROR(IF(SUMIFS(tblDaily[Deaths],tblDaily[EntryDate],DATE(2026,7,24),tblDaily[WardCode],"CW")=0,"",SUMIFS(tblDaily[Deaths],tblDaily[EntryDate],DATE(2026,7,24),tblDaily[WardCode],"CW")),"")</f>
        <v/>
      </c>
      <c r="E264" s="29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29" t="str">
        <f>IFERROR(IF(SUMIFS(tblDaily[TransfersIn],tblDaily[EntryDate],DATE(2026,7,24),tblDaily[WardCode],"CW")=0,"",SUMIFS(tblDaily[TransfersIn],tblDaily[EntryDate],DATE(2026,7,24),tblDaily[WardCode],"CW")),"")</f>
        <v/>
      </c>
      <c r="G264" s="29" t="str">
        <f>IFERROR(IF(SUMIFS(tblDaily[TransfersOut],tblDaily[EntryDate],DATE(2026,7,24),tblDaily[WardCode],"CW")=0,"",SUMIFS(tblDaily[TransfersOut],tblDaily[EntryDate],DATE(2026,7,24),tblDaily[WardCode],"CW")),"")</f>
        <v/>
      </c>
      <c r="H264" s="29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IFERROR(IF(SUMIFS(tblDaily[Admissions],tblDaily[EntryDate],DATE(2026,7,25),tblDaily[WardCode],"CW")=0,"",SUMIFS(tblDaily[Admissions],tblDaily[EntryDate],DATE(2026,7,25),tblDaily[WardCode],"CW")),"")</f>
        <v/>
      </c>
      <c r="C265" s="29" t="str">
        <f>IFERROR(IF(SUMIFS(tblDaily[Discharges],tblDaily[EntryDate],DATE(2026,7,25),tblDaily[WardCode],"CW")=0,"",SUMIFS(tblDaily[Discharges],tblDaily[EntryDate],DATE(2026,7,25),tblDaily[WardCode],"CW")),"")</f>
        <v/>
      </c>
      <c r="D265" s="29" t="str">
        <f>IFERROR(IF(SUMIFS(tblDaily[Deaths],tblDaily[EntryDate],DATE(2026,7,25),tblDaily[WardCode],"CW")=0,"",SUMIFS(tblDaily[Deaths],tblDaily[EntryDate],DATE(2026,7,25),tblDaily[WardCode],"CW")),"")</f>
        <v/>
      </c>
      <c r="E265" s="29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29" t="str">
        <f>IFERROR(IF(SUMIFS(tblDaily[TransfersIn],tblDaily[EntryDate],DATE(2026,7,25),tblDaily[WardCode],"CW")=0,"",SUMIFS(tblDaily[TransfersIn],tblDaily[EntryDate],DATE(2026,7,25),tblDaily[WardCode],"CW")),"")</f>
        <v/>
      </c>
      <c r="G265" s="29" t="str">
        <f>IFERROR(IF(SUMIFS(tblDaily[TransfersOut],tblDaily[EntryDate],DATE(2026,7,25),tblDaily[WardCode],"CW")=0,"",SUMIFS(tblDaily[TransfersOut],tblDaily[EntryDate],DATE(2026,7,25),tblDaily[WardCode],"CW")),"")</f>
        <v/>
      </c>
      <c r="H265" s="29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IFERROR(IF(SUMIFS(tblDaily[Admissions],tblDaily[EntryDate],DATE(2026,7,26),tblDaily[WardCode],"CW")=0,"",SUMIFS(tblDaily[Admissions],tblDaily[EntryDate],DATE(2026,7,26),tblDaily[WardCode],"CW")),"")</f>
        <v/>
      </c>
      <c r="C266" s="29" t="str">
        <f>IFERROR(IF(SUMIFS(tblDaily[Discharges],tblDaily[EntryDate],DATE(2026,7,26),tblDaily[WardCode],"CW")=0,"",SUMIFS(tblDaily[Discharges],tblDaily[EntryDate],DATE(2026,7,26),tblDaily[WardCode],"CW")),"")</f>
        <v/>
      </c>
      <c r="D266" s="29" t="str">
        <f>IFERROR(IF(SUMIFS(tblDaily[Deaths],tblDaily[EntryDate],DATE(2026,7,26),tblDaily[WardCode],"CW")=0,"",SUMIFS(tblDaily[Deaths],tblDaily[EntryDate],DATE(2026,7,26),tblDaily[WardCode],"CW")),"")</f>
        <v/>
      </c>
      <c r="E266" s="29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29" t="str">
        <f>IFERROR(IF(SUMIFS(tblDaily[TransfersIn],tblDaily[EntryDate],DATE(2026,7,26),tblDaily[WardCode],"CW")=0,"",SUMIFS(tblDaily[TransfersIn],tblDaily[EntryDate],DATE(2026,7,26),tblDaily[WardCode],"CW")),"")</f>
        <v/>
      </c>
      <c r="G266" s="29" t="str">
        <f>IFERROR(IF(SUMIFS(tblDaily[TransfersOut],tblDaily[EntryDate],DATE(2026,7,26),tblDaily[WardCode],"CW")=0,"",SUMIFS(tblDaily[TransfersOut],tblDaily[EntryDate],DATE(2026,7,26),tblDaily[WardCode],"CW")),"")</f>
        <v/>
      </c>
      <c r="H266" s="29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IFERROR(IF(SUMIFS(tblDaily[Admissions],tblDaily[EntryDate],DATE(2026,7,27),tblDaily[WardCode],"CW")=0,"",SUMIFS(tblDaily[Admissions],tblDaily[EntryDate],DATE(2026,7,27),tblDaily[WardCode],"CW")),"")</f>
        <v/>
      </c>
      <c r="C267" s="29" t="str">
        <f>IFERROR(IF(SUMIFS(tblDaily[Discharges],tblDaily[EntryDate],DATE(2026,7,27),tblDaily[WardCode],"CW")=0,"",SUMIFS(tblDaily[Discharges],tblDaily[EntryDate],DATE(2026,7,27),tblDaily[WardCode],"CW")),"")</f>
        <v/>
      </c>
      <c r="D267" s="29" t="str">
        <f>IFERROR(IF(SUMIFS(tblDaily[Deaths],tblDaily[EntryDate],DATE(2026,7,27),tblDaily[WardCode],"CW")=0,"",SUMIFS(tblDaily[Deaths],tblDaily[EntryDate],DATE(2026,7,27),tblDaily[WardCode],"CW")),"")</f>
        <v/>
      </c>
      <c r="E267" s="29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29" t="str">
        <f>IFERROR(IF(SUMIFS(tblDaily[TransfersIn],tblDaily[EntryDate],DATE(2026,7,27),tblDaily[WardCode],"CW")=0,"",SUMIFS(tblDaily[TransfersIn],tblDaily[EntryDate],DATE(2026,7,27),tblDaily[WardCode],"CW")),"")</f>
        <v/>
      </c>
      <c r="G267" s="29" t="str">
        <f>IFERROR(IF(SUMIFS(tblDaily[TransfersOut],tblDaily[EntryDate],DATE(2026,7,27),tblDaily[WardCode],"CW")=0,"",SUMIFS(tblDaily[TransfersOut],tblDaily[EntryDate],DATE(2026,7,27),tblDaily[WardCode],"CW")),"")</f>
        <v/>
      </c>
      <c r="H267" s="29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IFERROR(IF(SUMIFS(tblDaily[Admissions],tblDaily[EntryDate],DATE(2026,7,28),tblDaily[WardCode],"CW")=0,"",SUMIFS(tblDaily[Admissions],tblDaily[EntryDate],DATE(2026,7,28),tblDaily[WardCode],"CW")),"")</f>
        <v/>
      </c>
      <c r="C268" s="29" t="str">
        <f>IFERROR(IF(SUMIFS(tblDaily[Discharges],tblDaily[EntryDate],DATE(2026,7,28),tblDaily[WardCode],"CW")=0,"",SUMIFS(tblDaily[Discharges],tblDaily[EntryDate],DATE(2026,7,28),tblDaily[WardCode],"CW")),"")</f>
        <v/>
      </c>
      <c r="D268" s="29" t="str">
        <f>IFERROR(IF(SUMIFS(tblDaily[Deaths],tblDaily[EntryDate],DATE(2026,7,28),tblDaily[WardCode],"CW")=0,"",SUMIFS(tblDaily[Deaths],tblDaily[EntryDate],DATE(2026,7,28),tblDaily[WardCode],"CW")),"")</f>
        <v/>
      </c>
      <c r="E268" s="29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29" t="str">
        <f>IFERROR(IF(SUMIFS(tblDaily[TransfersIn],tblDaily[EntryDate],DATE(2026,7,28),tblDaily[WardCode],"CW")=0,"",SUMIFS(tblDaily[TransfersIn],tblDaily[EntryDate],DATE(2026,7,28),tblDaily[WardCode],"CW")),"")</f>
        <v/>
      </c>
      <c r="G268" s="29" t="str">
        <f>IFERROR(IF(SUMIFS(tblDaily[TransfersOut],tblDaily[EntryDate],DATE(2026,7,28),tblDaily[WardCode],"CW")=0,"",SUMIFS(tblDaily[TransfersOut],tblDaily[EntryDate],DATE(2026,7,28),tblDaily[WardCode],"CW")),"")</f>
        <v/>
      </c>
      <c r="H268" s="29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IFERROR(IF(SUMIFS(tblDaily[Admissions],tblDaily[EntryDate],DATE(2026,7,29),tblDaily[WardCode],"CW")=0,"",SUMIFS(tblDaily[Admissions],tblDaily[EntryDate],DATE(2026,7,29),tblDaily[WardCode],"CW")),"")</f>
        <v/>
      </c>
      <c r="C269" s="29" t="str">
        <f>IFERROR(IF(SUMIFS(tblDaily[Discharges],tblDaily[EntryDate],DATE(2026,7,29),tblDaily[WardCode],"CW")=0,"",SUMIFS(tblDaily[Discharges],tblDaily[EntryDate],DATE(2026,7,29),tblDaily[WardCode],"CW")),"")</f>
        <v/>
      </c>
      <c r="D269" s="29" t="str">
        <f>IFERROR(IF(SUMIFS(tblDaily[Deaths],tblDaily[EntryDate],DATE(2026,7,29),tblDaily[WardCode],"CW")=0,"",SUMIFS(tblDaily[Deaths],tblDaily[EntryDate],DATE(2026,7,29),tblDaily[WardCode],"CW")),"")</f>
        <v/>
      </c>
      <c r="E269" s="29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29" t="str">
        <f>IFERROR(IF(SUMIFS(tblDaily[TransfersIn],tblDaily[EntryDate],DATE(2026,7,29),tblDaily[WardCode],"CW")=0,"",SUMIFS(tblDaily[TransfersIn],tblDaily[EntryDate],DATE(2026,7,29),tblDaily[WardCode],"CW")),"")</f>
        <v/>
      </c>
      <c r="G269" s="29" t="str">
        <f>IFERROR(IF(SUMIFS(tblDaily[TransfersOut],tblDaily[EntryDate],DATE(2026,7,29),tblDaily[WardCode],"CW")=0,"",SUMIFS(tblDaily[TransfersOut],tblDaily[EntryDate],DATE(2026,7,29),tblDaily[WardCode],"CW")),"")</f>
        <v/>
      </c>
      <c r="H269" s="29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IFERROR(IF(SUMIFS(tblDaily[Admissions],tblDaily[EntryDate],DATE(2026,7,30),tblDaily[WardCode],"CW")=0,"",SUMIFS(tblDaily[Admissions],tblDaily[EntryDate],DATE(2026,7,30),tblDaily[WardCode],"CW")),"")</f>
        <v/>
      </c>
      <c r="C270" s="29" t="str">
        <f>IFERROR(IF(SUMIFS(tblDaily[Discharges],tblDaily[EntryDate],DATE(2026,7,30),tblDaily[WardCode],"CW")=0,"",SUMIFS(tblDaily[Discharges],tblDaily[EntryDate],DATE(2026,7,30),tblDaily[WardCode],"CW")),"")</f>
        <v/>
      </c>
      <c r="D270" s="29" t="str">
        <f>IFERROR(IF(SUMIFS(tblDaily[Deaths],tblDaily[EntryDate],DATE(2026,7,30),tblDaily[WardCode],"CW")=0,"",SUMIFS(tblDaily[Deaths],tblDaily[EntryDate],DATE(2026,7,30),tblDaily[WardCode],"CW")),"")</f>
        <v/>
      </c>
      <c r="E270" s="29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29" t="str">
        <f>IFERROR(IF(SUMIFS(tblDaily[TransfersIn],tblDaily[EntryDate],DATE(2026,7,30),tblDaily[WardCode],"CW")=0,"",SUMIFS(tblDaily[TransfersIn],tblDaily[EntryDate],DATE(2026,7,30),tblDaily[WardCode],"CW")),"")</f>
        <v/>
      </c>
      <c r="G270" s="29" t="str">
        <f>IFERROR(IF(SUMIFS(tblDaily[TransfersOut],tblDaily[EntryDate],DATE(2026,7,30),tblDaily[WardCode],"CW")=0,"",SUMIFS(tblDaily[TransfersOut],tblDaily[EntryDate],DATE(2026,7,30),tblDaily[WardCode],"CW")),"")</f>
        <v/>
      </c>
      <c r="H270" s="29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IFERROR(IF(SUMIFS(tblDaily[Admissions],tblDaily[EntryDate],DATE(2026,7,31),tblDaily[WardCode],"CW")=0,"",SUMIFS(tblDaily[Admissions],tblDaily[EntryDate],DATE(2026,7,31),tblDaily[WardCode],"CW")),"")</f>
        <v/>
      </c>
      <c r="C271" s="29" t="str">
        <f>IFERROR(IF(SUMIFS(tblDaily[Discharges],tblDaily[EntryDate],DATE(2026,7,31),tblDaily[WardCode],"CW")=0,"",SUMIFS(tblDaily[Discharges],tblDaily[EntryDate],DATE(2026,7,31),tblDaily[WardCode],"CW")),"")</f>
        <v/>
      </c>
      <c r="D271" s="29" t="str">
        <f>IFERROR(IF(SUMIFS(tblDaily[Deaths],tblDaily[EntryDate],DATE(2026,7,31),tblDaily[WardCode],"CW")=0,"",SUMIFS(tblDaily[Deaths],tblDaily[EntryDate],DATE(2026,7,31),tblDaily[WardCode],"CW")),"")</f>
        <v/>
      </c>
      <c r="E271" s="29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29" t="str">
        <f>IFERROR(IF(SUMIFS(tblDaily[TransfersIn],tblDaily[EntryDate],DATE(2026,7,31),tblDaily[WardCode],"CW")=0,"",SUMIFS(tblDaily[TransfersIn],tblDaily[EntryDate],DATE(2026,7,31),tblDaily[WardCode],"CW")),"")</f>
        <v/>
      </c>
      <c r="G271" s="29" t="str">
        <f>IFERROR(IF(SUMIFS(tblDaily[TransfersOut],tblDaily[EntryDate],DATE(2026,7,31),tblDaily[WardCode],"CW")=0,"",SUMIFS(tblDaily[TransfersOut],tblDaily[EntryDate],DATE(2026,7,31),tblDaily[WardCode],"CW")),"")</f>
        <v/>
      </c>
      <c r="H271" s="29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30" t="s">
        <v>115</v>
      </c>
      <c r="B272" s="30">
        <f>SUMIFS(tblDaily[Admissions],tblDaily[Month],7,tblDaily[WardCode],"CW") - SUMIFS(tblDaily[DeathsUnder24Hrs],tblDaily[Month],7,tblDaily[WardCode],"CW")</f>
        <v>0</v>
      </c>
      <c r="C272" s="30">
        <f>SUMIFS(tblDaily[Discharges],tblDaily[Month],7,tblDaily[WardCode],"CW")</f>
        <v>0</v>
      </c>
      <c r="D272" s="30">
        <f>SUMIFS(tblDaily[Deaths],tblDaily[Month],7,tblDaily[WardCode],"CW")</f>
        <v>0</v>
      </c>
      <c r="E272" s="30">
        <f>SUMIFS(tblDaily[DeathsUnder24Hrs],tblDaily[Month],7,tblDaily[WardCode],"CW")</f>
        <v>0</v>
      </c>
      <c r="F272" s="30">
        <f>SUMIFS(tblDaily[TransfersIn],tblDaily[Month],7,tblDaily[WardCode],"CW")</f>
        <v>0</v>
      </c>
      <c r="G272" s="30">
        <f>SUMIFS(tblDaily[TransfersOut],tblDaily[Month],7,tblDaily[WardCode],"CW")</f>
        <v>0</v>
      </c>
      <c r="H272" s="30">
        <f>SUMIFS(tblDaily[Remaining],tblDaily[Month],7,tblDaily[WardCode],"CW")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117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IFERROR(SUMIFS(tblDaily[Remaining],tblDaily[EntryDate],DATE(2026,7,31),tblDaily[WardCode],"CW"),0)</f>
        <v>0</v>
      </c>
    </row>
    <row r="278" spans="1:8" x14ac:dyDescent="0.25">
      <c r="A278" s="24" t="s">
        <v>109</v>
      </c>
      <c r="H278" s="27">
        <f>IFERROR(INDEX(tblWardConfig[BedComplement],MATCH("CW",tblWardConfig[WardCode],0)),0)</f>
        <v>27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IFERROR(IF(SUMIFS(tblDaily[Admissions],tblDaily[EntryDate],DATE(2026,8,1),tblDaily[WardCode],"CW")=0,"",SUMIFS(tblDaily[Admissions],tblDaily[EntryDate],DATE(2026,8,1),tblDaily[WardCode],"CW")),"")</f>
        <v/>
      </c>
      <c r="C280" s="29" t="str">
        <f>IFERROR(IF(SUMIFS(tblDaily[Discharges],tblDaily[EntryDate],DATE(2026,8,1),tblDaily[WardCode],"CW")=0,"",SUMIFS(tblDaily[Discharges],tblDaily[EntryDate],DATE(2026,8,1),tblDaily[WardCode],"CW")),"")</f>
        <v/>
      </c>
      <c r="D280" s="29" t="str">
        <f>IFERROR(IF(SUMIFS(tblDaily[Deaths],tblDaily[EntryDate],DATE(2026,8,1),tblDaily[WardCode],"CW")=0,"",SUMIFS(tblDaily[Deaths],tblDaily[EntryDate],DATE(2026,8,1),tblDaily[WardCode],"CW")),"")</f>
        <v/>
      </c>
      <c r="E280" s="29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29" t="str">
        <f>IFERROR(IF(SUMIFS(tblDaily[TransfersIn],tblDaily[EntryDate],DATE(2026,8,1),tblDaily[WardCode],"CW")=0,"",SUMIFS(tblDaily[TransfersIn],tblDaily[EntryDate],DATE(2026,8,1),tblDaily[WardCode],"CW")),"")</f>
        <v/>
      </c>
      <c r="G280" s="29" t="str">
        <f>IFERROR(IF(SUMIFS(tblDaily[TransfersOut],tblDaily[EntryDate],DATE(2026,8,1),tblDaily[WardCode],"CW")=0,"",SUMIFS(tblDaily[TransfersOut],tblDaily[EntryDate],DATE(2026,8,1),tblDaily[WardCode],"CW")),"")</f>
        <v/>
      </c>
      <c r="H280" s="29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IFERROR(IF(SUMIFS(tblDaily[Admissions],tblDaily[EntryDate],DATE(2026,8,2),tblDaily[WardCode],"CW")=0,"",SUMIFS(tblDaily[Admissions],tblDaily[EntryDate],DATE(2026,8,2),tblDaily[WardCode],"CW")),"")</f>
        <v/>
      </c>
      <c r="C281" s="29" t="str">
        <f>IFERROR(IF(SUMIFS(tblDaily[Discharges],tblDaily[EntryDate],DATE(2026,8,2),tblDaily[WardCode],"CW")=0,"",SUMIFS(tblDaily[Discharges],tblDaily[EntryDate],DATE(2026,8,2),tblDaily[WardCode],"CW")),"")</f>
        <v/>
      </c>
      <c r="D281" s="29" t="str">
        <f>IFERROR(IF(SUMIFS(tblDaily[Deaths],tblDaily[EntryDate],DATE(2026,8,2),tblDaily[WardCode],"CW")=0,"",SUMIFS(tblDaily[Deaths],tblDaily[EntryDate],DATE(2026,8,2),tblDaily[WardCode],"CW")),"")</f>
        <v/>
      </c>
      <c r="E281" s="29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29" t="str">
        <f>IFERROR(IF(SUMIFS(tblDaily[TransfersIn],tblDaily[EntryDate],DATE(2026,8,2),tblDaily[WardCode],"CW")=0,"",SUMIFS(tblDaily[TransfersIn],tblDaily[EntryDate],DATE(2026,8,2),tblDaily[WardCode],"CW")),"")</f>
        <v/>
      </c>
      <c r="G281" s="29" t="str">
        <f>IFERROR(IF(SUMIFS(tblDaily[TransfersOut],tblDaily[EntryDate],DATE(2026,8,2),tblDaily[WardCode],"CW")=0,"",SUMIFS(tblDaily[TransfersOut],tblDaily[EntryDate],DATE(2026,8,2),tblDaily[WardCode],"CW")),"")</f>
        <v/>
      </c>
      <c r="H281" s="29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IFERROR(IF(SUMIFS(tblDaily[Admissions],tblDaily[EntryDate],DATE(2026,8,3),tblDaily[WardCode],"CW")=0,"",SUMIFS(tblDaily[Admissions],tblDaily[EntryDate],DATE(2026,8,3),tblDaily[WardCode],"CW")),"")</f>
        <v/>
      </c>
      <c r="C282" s="29" t="str">
        <f>IFERROR(IF(SUMIFS(tblDaily[Discharges],tblDaily[EntryDate],DATE(2026,8,3),tblDaily[WardCode],"CW")=0,"",SUMIFS(tblDaily[Discharges],tblDaily[EntryDate],DATE(2026,8,3),tblDaily[WardCode],"CW")),"")</f>
        <v/>
      </c>
      <c r="D282" s="29" t="str">
        <f>IFERROR(IF(SUMIFS(tblDaily[Deaths],tblDaily[EntryDate],DATE(2026,8,3),tblDaily[WardCode],"CW")=0,"",SUMIFS(tblDaily[Deaths],tblDaily[EntryDate],DATE(2026,8,3),tblDaily[WardCode],"CW")),"")</f>
        <v/>
      </c>
      <c r="E282" s="29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29" t="str">
        <f>IFERROR(IF(SUMIFS(tblDaily[TransfersIn],tblDaily[EntryDate],DATE(2026,8,3),tblDaily[WardCode],"CW")=0,"",SUMIFS(tblDaily[TransfersIn],tblDaily[EntryDate],DATE(2026,8,3),tblDaily[WardCode],"CW")),"")</f>
        <v/>
      </c>
      <c r="G282" s="29" t="str">
        <f>IFERROR(IF(SUMIFS(tblDaily[TransfersOut],tblDaily[EntryDate],DATE(2026,8,3),tblDaily[WardCode],"CW")=0,"",SUMIFS(tblDaily[TransfersOut],tblDaily[EntryDate],DATE(2026,8,3),tblDaily[WardCode],"CW")),"")</f>
        <v/>
      </c>
      <c r="H282" s="29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IFERROR(IF(SUMIFS(tblDaily[Admissions],tblDaily[EntryDate],DATE(2026,8,4),tblDaily[WardCode],"CW")=0,"",SUMIFS(tblDaily[Admissions],tblDaily[EntryDate],DATE(2026,8,4),tblDaily[WardCode],"CW")),"")</f>
        <v/>
      </c>
      <c r="C283" s="29" t="str">
        <f>IFERROR(IF(SUMIFS(tblDaily[Discharges],tblDaily[EntryDate],DATE(2026,8,4),tblDaily[WardCode],"CW")=0,"",SUMIFS(tblDaily[Discharges],tblDaily[EntryDate],DATE(2026,8,4),tblDaily[WardCode],"CW")),"")</f>
        <v/>
      </c>
      <c r="D283" s="29" t="str">
        <f>IFERROR(IF(SUMIFS(tblDaily[Deaths],tblDaily[EntryDate],DATE(2026,8,4),tblDaily[WardCode],"CW")=0,"",SUMIFS(tblDaily[Deaths],tblDaily[EntryDate],DATE(2026,8,4),tblDaily[WardCode],"CW")),"")</f>
        <v/>
      </c>
      <c r="E283" s="29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29" t="str">
        <f>IFERROR(IF(SUMIFS(tblDaily[TransfersIn],tblDaily[EntryDate],DATE(2026,8,4),tblDaily[WardCode],"CW")=0,"",SUMIFS(tblDaily[TransfersIn],tblDaily[EntryDate],DATE(2026,8,4),tblDaily[WardCode],"CW")),"")</f>
        <v/>
      </c>
      <c r="G283" s="29" t="str">
        <f>IFERROR(IF(SUMIFS(tblDaily[TransfersOut],tblDaily[EntryDate],DATE(2026,8,4),tblDaily[WardCode],"CW")=0,"",SUMIFS(tblDaily[TransfersOut],tblDaily[EntryDate],DATE(2026,8,4),tblDaily[WardCode],"CW")),"")</f>
        <v/>
      </c>
      <c r="H283" s="29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IFERROR(IF(SUMIFS(tblDaily[Admissions],tblDaily[EntryDate],DATE(2026,8,5),tblDaily[WardCode],"CW")=0,"",SUMIFS(tblDaily[Admissions],tblDaily[EntryDate],DATE(2026,8,5),tblDaily[WardCode],"CW")),"")</f>
        <v/>
      </c>
      <c r="C284" s="29" t="str">
        <f>IFERROR(IF(SUMIFS(tblDaily[Discharges],tblDaily[EntryDate],DATE(2026,8,5),tblDaily[WardCode],"CW")=0,"",SUMIFS(tblDaily[Discharges],tblDaily[EntryDate],DATE(2026,8,5),tblDaily[WardCode],"CW")),"")</f>
        <v/>
      </c>
      <c r="D284" s="29" t="str">
        <f>IFERROR(IF(SUMIFS(tblDaily[Deaths],tblDaily[EntryDate],DATE(2026,8,5),tblDaily[WardCode],"CW")=0,"",SUMIFS(tblDaily[Deaths],tblDaily[EntryDate],DATE(2026,8,5),tblDaily[WardCode],"CW")),"")</f>
        <v/>
      </c>
      <c r="E284" s="29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29" t="str">
        <f>IFERROR(IF(SUMIFS(tblDaily[TransfersIn],tblDaily[EntryDate],DATE(2026,8,5),tblDaily[WardCode],"CW")=0,"",SUMIFS(tblDaily[TransfersIn],tblDaily[EntryDate],DATE(2026,8,5),tblDaily[WardCode],"CW")),"")</f>
        <v/>
      </c>
      <c r="G284" s="29" t="str">
        <f>IFERROR(IF(SUMIFS(tblDaily[TransfersOut],tblDaily[EntryDate],DATE(2026,8,5),tblDaily[WardCode],"CW")=0,"",SUMIFS(tblDaily[TransfersOut],tblDaily[EntryDate],DATE(2026,8,5),tblDaily[WardCode],"CW")),"")</f>
        <v/>
      </c>
      <c r="H284" s="29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IFERROR(IF(SUMIFS(tblDaily[Admissions],tblDaily[EntryDate],DATE(2026,8,6),tblDaily[WardCode],"CW")=0,"",SUMIFS(tblDaily[Admissions],tblDaily[EntryDate],DATE(2026,8,6),tblDaily[WardCode],"CW")),"")</f>
        <v/>
      </c>
      <c r="C285" s="29" t="str">
        <f>IFERROR(IF(SUMIFS(tblDaily[Discharges],tblDaily[EntryDate],DATE(2026,8,6),tblDaily[WardCode],"CW")=0,"",SUMIFS(tblDaily[Discharges],tblDaily[EntryDate],DATE(2026,8,6),tblDaily[WardCode],"CW")),"")</f>
        <v/>
      </c>
      <c r="D285" s="29" t="str">
        <f>IFERROR(IF(SUMIFS(tblDaily[Deaths],tblDaily[EntryDate],DATE(2026,8,6),tblDaily[WardCode],"CW")=0,"",SUMIFS(tblDaily[Deaths],tblDaily[EntryDate],DATE(2026,8,6),tblDaily[WardCode],"CW")),"")</f>
        <v/>
      </c>
      <c r="E285" s="29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29" t="str">
        <f>IFERROR(IF(SUMIFS(tblDaily[TransfersIn],tblDaily[EntryDate],DATE(2026,8,6),tblDaily[WardCode],"CW")=0,"",SUMIFS(tblDaily[TransfersIn],tblDaily[EntryDate],DATE(2026,8,6),tblDaily[WardCode],"CW")),"")</f>
        <v/>
      </c>
      <c r="G285" s="29" t="str">
        <f>IFERROR(IF(SUMIFS(tblDaily[TransfersOut],tblDaily[EntryDate],DATE(2026,8,6),tblDaily[WardCode],"CW")=0,"",SUMIFS(tblDaily[TransfersOut],tblDaily[EntryDate],DATE(2026,8,6),tblDaily[WardCode],"CW")),"")</f>
        <v/>
      </c>
      <c r="H285" s="29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IFERROR(IF(SUMIFS(tblDaily[Admissions],tblDaily[EntryDate],DATE(2026,8,7),tblDaily[WardCode],"CW")=0,"",SUMIFS(tblDaily[Admissions],tblDaily[EntryDate],DATE(2026,8,7),tblDaily[WardCode],"CW")),"")</f>
        <v/>
      </c>
      <c r="C286" s="29" t="str">
        <f>IFERROR(IF(SUMIFS(tblDaily[Discharges],tblDaily[EntryDate],DATE(2026,8,7),tblDaily[WardCode],"CW")=0,"",SUMIFS(tblDaily[Discharges],tblDaily[EntryDate],DATE(2026,8,7),tblDaily[WardCode],"CW")),"")</f>
        <v/>
      </c>
      <c r="D286" s="29" t="str">
        <f>IFERROR(IF(SUMIFS(tblDaily[Deaths],tblDaily[EntryDate],DATE(2026,8,7),tblDaily[WardCode],"CW")=0,"",SUMIFS(tblDaily[Deaths],tblDaily[EntryDate],DATE(2026,8,7),tblDaily[WardCode],"CW")),"")</f>
        <v/>
      </c>
      <c r="E286" s="29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29" t="str">
        <f>IFERROR(IF(SUMIFS(tblDaily[TransfersIn],tblDaily[EntryDate],DATE(2026,8,7),tblDaily[WardCode],"CW")=0,"",SUMIFS(tblDaily[TransfersIn],tblDaily[EntryDate],DATE(2026,8,7),tblDaily[WardCode],"CW")),"")</f>
        <v/>
      </c>
      <c r="G286" s="29" t="str">
        <f>IFERROR(IF(SUMIFS(tblDaily[TransfersOut],tblDaily[EntryDate],DATE(2026,8,7),tblDaily[WardCode],"CW")=0,"",SUMIFS(tblDaily[TransfersOut],tblDaily[EntryDate],DATE(2026,8,7),tblDaily[WardCode],"CW")),"")</f>
        <v/>
      </c>
      <c r="H286" s="29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IFERROR(IF(SUMIFS(tblDaily[Admissions],tblDaily[EntryDate],DATE(2026,8,8),tblDaily[WardCode],"CW")=0,"",SUMIFS(tblDaily[Admissions],tblDaily[EntryDate],DATE(2026,8,8),tblDaily[WardCode],"CW")),"")</f>
        <v/>
      </c>
      <c r="C287" s="29" t="str">
        <f>IFERROR(IF(SUMIFS(tblDaily[Discharges],tblDaily[EntryDate],DATE(2026,8,8),tblDaily[WardCode],"CW")=0,"",SUMIFS(tblDaily[Discharges],tblDaily[EntryDate],DATE(2026,8,8),tblDaily[WardCode],"CW")),"")</f>
        <v/>
      </c>
      <c r="D287" s="29" t="str">
        <f>IFERROR(IF(SUMIFS(tblDaily[Deaths],tblDaily[EntryDate],DATE(2026,8,8),tblDaily[WardCode],"CW")=0,"",SUMIFS(tblDaily[Deaths],tblDaily[EntryDate],DATE(2026,8,8),tblDaily[WardCode],"CW")),"")</f>
        <v/>
      </c>
      <c r="E287" s="29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29" t="str">
        <f>IFERROR(IF(SUMIFS(tblDaily[TransfersIn],tblDaily[EntryDate],DATE(2026,8,8),tblDaily[WardCode],"CW")=0,"",SUMIFS(tblDaily[TransfersIn],tblDaily[EntryDate],DATE(2026,8,8),tblDaily[WardCode],"CW")),"")</f>
        <v/>
      </c>
      <c r="G287" s="29" t="str">
        <f>IFERROR(IF(SUMIFS(tblDaily[TransfersOut],tblDaily[EntryDate],DATE(2026,8,8),tblDaily[WardCode],"CW")=0,"",SUMIFS(tblDaily[TransfersOut],tblDaily[EntryDate],DATE(2026,8,8),tblDaily[WardCode],"CW")),"")</f>
        <v/>
      </c>
      <c r="H287" s="29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IFERROR(IF(SUMIFS(tblDaily[Admissions],tblDaily[EntryDate],DATE(2026,8,9),tblDaily[WardCode],"CW")=0,"",SUMIFS(tblDaily[Admissions],tblDaily[EntryDate],DATE(2026,8,9),tblDaily[WardCode],"CW")),"")</f>
        <v/>
      </c>
      <c r="C288" s="29" t="str">
        <f>IFERROR(IF(SUMIFS(tblDaily[Discharges],tblDaily[EntryDate],DATE(2026,8,9),tblDaily[WardCode],"CW")=0,"",SUMIFS(tblDaily[Discharges],tblDaily[EntryDate],DATE(2026,8,9),tblDaily[WardCode],"CW")),"")</f>
        <v/>
      </c>
      <c r="D288" s="29" t="str">
        <f>IFERROR(IF(SUMIFS(tblDaily[Deaths],tblDaily[EntryDate],DATE(2026,8,9),tblDaily[WardCode],"CW")=0,"",SUMIFS(tblDaily[Deaths],tblDaily[EntryDate],DATE(2026,8,9),tblDaily[WardCode],"CW")),"")</f>
        <v/>
      </c>
      <c r="E288" s="29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29" t="str">
        <f>IFERROR(IF(SUMIFS(tblDaily[TransfersIn],tblDaily[EntryDate],DATE(2026,8,9),tblDaily[WardCode],"CW")=0,"",SUMIFS(tblDaily[TransfersIn],tblDaily[EntryDate],DATE(2026,8,9),tblDaily[WardCode],"CW")),"")</f>
        <v/>
      </c>
      <c r="G288" s="29" t="str">
        <f>IFERROR(IF(SUMIFS(tblDaily[TransfersOut],tblDaily[EntryDate],DATE(2026,8,9),tblDaily[WardCode],"CW")=0,"",SUMIFS(tblDaily[TransfersOut],tblDaily[EntryDate],DATE(2026,8,9),tblDaily[WardCode],"CW")),"")</f>
        <v/>
      </c>
      <c r="H288" s="29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IFERROR(IF(SUMIFS(tblDaily[Admissions],tblDaily[EntryDate],DATE(2026,8,10),tblDaily[WardCode],"CW")=0,"",SUMIFS(tblDaily[Admissions],tblDaily[EntryDate],DATE(2026,8,10),tblDaily[WardCode],"CW")),"")</f>
        <v/>
      </c>
      <c r="C289" s="29" t="str">
        <f>IFERROR(IF(SUMIFS(tblDaily[Discharges],tblDaily[EntryDate],DATE(2026,8,10),tblDaily[WardCode],"CW")=0,"",SUMIFS(tblDaily[Discharges],tblDaily[EntryDate],DATE(2026,8,10),tblDaily[WardCode],"CW")),"")</f>
        <v/>
      </c>
      <c r="D289" s="29" t="str">
        <f>IFERROR(IF(SUMIFS(tblDaily[Deaths],tblDaily[EntryDate],DATE(2026,8,10),tblDaily[WardCode],"CW")=0,"",SUMIFS(tblDaily[Deaths],tblDaily[EntryDate],DATE(2026,8,10),tblDaily[WardCode],"CW")),"")</f>
        <v/>
      </c>
      <c r="E289" s="29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29" t="str">
        <f>IFERROR(IF(SUMIFS(tblDaily[TransfersIn],tblDaily[EntryDate],DATE(2026,8,10),tblDaily[WardCode],"CW")=0,"",SUMIFS(tblDaily[TransfersIn],tblDaily[EntryDate],DATE(2026,8,10),tblDaily[WardCode],"CW")),"")</f>
        <v/>
      </c>
      <c r="G289" s="29" t="str">
        <f>IFERROR(IF(SUMIFS(tblDaily[TransfersOut],tblDaily[EntryDate],DATE(2026,8,10),tblDaily[WardCode],"CW")=0,"",SUMIFS(tblDaily[TransfersOut],tblDaily[EntryDate],DATE(2026,8,10),tblDaily[WardCode],"CW")),"")</f>
        <v/>
      </c>
      <c r="H289" s="29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IFERROR(IF(SUMIFS(tblDaily[Admissions],tblDaily[EntryDate],DATE(2026,8,11),tblDaily[WardCode],"CW")=0,"",SUMIFS(tblDaily[Admissions],tblDaily[EntryDate],DATE(2026,8,11),tblDaily[WardCode],"CW")),"")</f>
        <v/>
      </c>
      <c r="C290" s="29" t="str">
        <f>IFERROR(IF(SUMIFS(tblDaily[Discharges],tblDaily[EntryDate],DATE(2026,8,11),tblDaily[WardCode],"CW")=0,"",SUMIFS(tblDaily[Discharges],tblDaily[EntryDate],DATE(2026,8,11),tblDaily[WardCode],"CW")),"")</f>
        <v/>
      </c>
      <c r="D290" s="29" t="str">
        <f>IFERROR(IF(SUMIFS(tblDaily[Deaths],tblDaily[EntryDate],DATE(2026,8,11),tblDaily[WardCode],"CW")=0,"",SUMIFS(tblDaily[Deaths],tblDaily[EntryDate],DATE(2026,8,11),tblDaily[WardCode],"CW")),"")</f>
        <v/>
      </c>
      <c r="E290" s="29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29" t="str">
        <f>IFERROR(IF(SUMIFS(tblDaily[TransfersIn],tblDaily[EntryDate],DATE(2026,8,11),tblDaily[WardCode],"CW")=0,"",SUMIFS(tblDaily[TransfersIn],tblDaily[EntryDate],DATE(2026,8,11),tblDaily[WardCode],"CW")),"")</f>
        <v/>
      </c>
      <c r="G290" s="29" t="str">
        <f>IFERROR(IF(SUMIFS(tblDaily[TransfersOut],tblDaily[EntryDate],DATE(2026,8,11),tblDaily[WardCode],"CW")=0,"",SUMIFS(tblDaily[TransfersOut],tblDaily[EntryDate],DATE(2026,8,11),tblDaily[WardCode],"CW")),"")</f>
        <v/>
      </c>
      <c r="H290" s="29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IFERROR(IF(SUMIFS(tblDaily[Admissions],tblDaily[EntryDate],DATE(2026,8,12),tblDaily[WardCode],"CW")=0,"",SUMIFS(tblDaily[Admissions],tblDaily[EntryDate],DATE(2026,8,12),tblDaily[WardCode],"CW")),"")</f>
        <v/>
      </c>
      <c r="C291" s="29" t="str">
        <f>IFERROR(IF(SUMIFS(tblDaily[Discharges],tblDaily[EntryDate],DATE(2026,8,12),tblDaily[WardCode],"CW")=0,"",SUMIFS(tblDaily[Discharges],tblDaily[EntryDate],DATE(2026,8,12),tblDaily[WardCode],"CW")),"")</f>
        <v/>
      </c>
      <c r="D291" s="29" t="str">
        <f>IFERROR(IF(SUMIFS(tblDaily[Deaths],tblDaily[EntryDate],DATE(2026,8,12),tblDaily[WardCode],"CW")=0,"",SUMIFS(tblDaily[Deaths],tblDaily[EntryDate],DATE(2026,8,12),tblDaily[WardCode],"CW")),"")</f>
        <v/>
      </c>
      <c r="E291" s="29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29" t="str">
        <f>IFERROR(IF(SUMIFS(tblDaily[TransfersIn],tblDaily[EntryDate],DATE(2026,8,12),tblDaily[WardCode],"CW")=0,"",SUMIFS(tblDaily[TransfersIn],tblDaily[EntryDate],DATE(2026,8,12),tblDaily[WardCode],"CW")),"")</f>
        <v/>
      </c>
      <c r="G291" s="29" t="str">
        <f>IFERROR(IF(SUMIFS(tblDaily[TransfersOut],tblDaily[EntryDate],DATE(2026,8,12),tblDaily[WardCode],"CW")=0,"",SUMIFS(tblDaily[TransfersOut],tblDaily[EntryDate],DATE(2026,8,12),tblDaily[WardCode],"CW")),"")</f>
        <v/>
      </c>
      <c r="H291" s="29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IFERROR(IF(SUMIFS(tblDaily[Admissions],tblDaily[EntryDate],DATE(2026,8,13),tblDaily[WardCode],"CW")=0,"",SUMIFS(tblDaily[Admissions],tblDaily[EntryDate],DATE(2026,8,13),tblDaily[WardCode],"CW")),"")</f>
        <v/>
      </c>
      <c r="C292" s="29" t="str">
        <f>IFERROR(IF(SUMIFS(tblDaily[Discharges],tblDaily[EntryDate],DATE(2026,8,13),tblDaily[WardCode],"CW")=0,"",SUMIFS(tblDaily[Discharges],tblDaily[EntryDate],DATE(2026,8,13),tblDaily[WardCode],"CW")),"")</f>
        <v/>
      </c>
      <c r="D292" s="29" t="str">
        <f>IFERROR(IF(SUMIFS(tblDaily[Deaths],tblDaily[EntryDate],DATE(2026,8,13),tblDaily[WardCode],"CW")=0,"",SUMIFS(tblDaily[Deaths],tblDaily[EntryDate],DATE(2026,8,13),tblDaily[WardCode],"CW")),"")</f>
        <v/>
      </c>
      <c r="E292" s="29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29" t="str">
        <f>IFERROR(IF(SUMIFS(tblDaily[TransfersIn],tblDaily[EntryDate],DATE(2026,8,13),tblDaily[WardCode],"CW")=0,"",SUMIFS(tblDaily[TransfersIn],tblDaily[EntryDate],DATE(2026,8,13),tblDaily[WardCode],"CW")),"")</f>
        <v/>
      </c>
      <c r="G292" s="29" t="str">
        <f>IFERROR(IF(SUMIFS(tblDaily[TransfersOut],tblDaily[EntryDate],DATE(2026,8,13),tblDaily[WardCode],"CW")=0,"",SUMIFS(tblDaily[TransfersOut],tblDaily[EntryDate],DATE(2026,8,13),tblDaily[WardCode],"CW")),"")</f>
        <v/>
      </c>
      <c r="H292" s="29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IFERROR(IF(SUMIFS(tblDaily[Admissions],tblDaily[EntryDate],DATE(2026,8,14),tblDaily[WardCode],"CW")=0,"",SUMIFS(tblDaily[Admissions],tblDaily[EntryDate],DATE(2026,8,14),tblDaily[WardCode],"CW")),"")</f>
        <v/>
      </c>
      <c r="C293" s="29" t="str">
        <f>IFERROR(IF(SUMIFS(tblDaily[Discharges],tblDaily[EntryDate],DATE(2026,8,14),tblDaily[WardCode],"CW")=0,"",SUMIFS(tblDaily[Discharges],tblDaily[EntryDate],DATE(2026,8,14),tblDaily[WardCode],"CW")),"")</f>
        <v/>
      </c>
      <c r="D293" s="29" t="str">
        <f>IFERROR(IF(SUMIFS(tblDaily[Deaths],tblDaily[EntryDate],DATE(2026,8,14),tblDaily[WardCode],"CW")=0,"",SUMIFS(tblDaily[Deaths],tblDaily[EntryDate],DATE(2026,8,14),tblDaily[WardCode],"CW")),"")</f>
        <v/>
      </c>
      <c r="E293" s="29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29" t="str">
        <f>IFERROR(IF(SUMIFS(tblDaily[TransfersIn],tblDaily[EntryDate],DATE(2026,8,14),tblDaily[WardCode],"CW")=0,"",SUMIFS(tblDaily[TransfersIn],tblDaily[EntryDate],DATE(2026,8,14),tblDaily[WardCode],"CW")),"")</f>
        <v/>
      </c>
      <c r="G293" s="29" t="str">
        <f>IFERROR(IF(SUMIFS(tblDaily[TransfersOut],tblDaily[EntryDate],DATE(2026,8,14),tblDaily[WardCode],"CW")=0,"",SUMIFS(tblDaily[TransfersOut],tblDaily[EntryDate],DATE(2026,8,14),tblDaily[WardCode],"CW")),"")</f>
        <v/>
      </c>
      <c r="H293" s="29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IFERROR(IF(SUMIFS(tblDaily[Admissions],tblDaily[EntryDate],DATE(2026,8,15),tblDaily[WardCode],"CW")=0,"",SUMIFS(tblDaily[Admissions],tblDaily[EntryDate],DATE(2026,8,15),tblDaily[WardCode],"CW")),"")</f>
        <v/>
      </c>
      <c r="C294" s="29" t="str">
        <f>IFERROR(IF(SUMIFS(tblDaily[Discharges],tblDaily[EntryDate],DATE(2026,8,15),tblDaily[WardCode],"CW")=0,"",SUMIFS(tblDaily[Discharges],tblDaily[EntryDate],DATE(2026,8,15),tblDaily[WardCode],"CW")),"")</f>
        <v/>
      </c>
      <c r="D294" s="29" t="str">
        <f>IFERROR(IF(SUMIFS(tblDaily[Deaths],tblDaily[EntryDate],DATE(2026,8,15),tblDaily[WardCode],"CW")=0,"",SUMIFS(tblDaily[Deaths],tblDaily[EntryDate],DATE(2026,8,15),tblDaily[WardCode],"CW")),"")</f>
        <v/>
      </c>
      <c r="E294" s="29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29" t="str">
        <f>IFERROR(IF(SUMIFS(tblDaily[TransfersIn],tblDaily[EntryDate],DATE(2026,8,15),tblDaily[WardCode],"CW")=0,"",SUMIFS(tblDaily[TransfersIn],tblDaily[EntryDate],DATE(2026,8,15),tblDaily[WardCode],"CW")),"")</f>
        <v/>
      </c>
      <c r="G294" s="29" t="str">
        <f>IFERROR(IF(SUMIFS(tblDaily[TransfersOut],tblDaily[EntryDate],DATE(2026,8,15),tblDaily[WardCode],"CW")=0,"",SUMIFS(tblDaily[TransfersOut],tblDaily[EntryDate],DATE(2026,8,15),tblDaily[WardCode],"CW")),"")</f>
        <v/>
      </c>
      <c r="H294" s="29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IFERROR(IF(SUMIFS(tblDaily[Admissions],tblDaily[EntryDate],DATE(2026,8,16),tblDaily[WardCode],"CW")=0,"",SUMIFS(tblDaily[Admissions],tblDaily[EntryDate],DATE(2026,8,16),tblDaily[WardCode],"CW")),"")</f>
        <v/>
      </c>
      <c r="C295" s="29" t="str">
        <f>IFERROR(IF(SUMIFS(tblDaily[Discharges],tblDaily[EntryDate],DATE(2026,8,16),tblDaily[WardCode],"CW")=0,"",SUMIFS(tblDaily[Discharges],tblDaily[EntryDate],DATE(2026,8,16),tblDaily[WardCode],"CW")),"")</f>
        <v/>
      </c>
      <c r="D295" s="29" t="str">
        <f>IFERROR(IF(SUMIFS(tblDaily[Deaths],tblDaily[EntryDate],DATE(2026,8,16),tblDaily[WardCode],"CW")=0,"",SUMIFS(tblDaily[Deaths],tblDaily[EntryDate],DATE(2026,8,16),tblDaily[WardCode],"CW")),"")</f>
        <v/>
      </c>
      <c r="E295" s="29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29" t="str">
        <f>IFERROR(IF(SUMIFS(tblDaily[TransfersIn],tblDaily[EntryDate],DATE(2026,8,16),tblDaily[WardCode],"CW")=0,"",SUMIFS(tblDaily[TransfersIn],tblDaily[EntryDate],DATE(2026,8,16),tblDaily[WardCode],"CW")),"")</f>
        <v/>
      </c>
      <c r="G295" s="29" t="str">
        <f>IFERROR(IF(SUMIFS(tblDaily[TransfersOut],tblDaily[EntryDate],DATE(2026,8,16),tblDaily[WardCode],"CW")=0,"",SUMIFS(tblDaily[TransfersOut],tblDaily[EntryDate],DATE(2026,8,16),tblDaily[WardCode],"CW")),"")</f>
        <v/>
      </c>
      <c r="H295" s="29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IFERROR(IF(SUMIFS(tblDaily[Admissions],tblDaily[EntryDate],DATE(2026,8,17),tblDaily[WardCode],"CW")=0,"",SUMIFS(tblDaily[Admissions],tblDaily[EntryDate],DATE(2026,8,17),tblDaily[WardCode],"CW")),"")</f>
        <v/>
      </c>
      <c r="C296" s="29" t="str">
        <f>IFERROR(IF(SUMIFS(tblDaily[Discharges],tblDaily[EntryDate],DATE(2026,8,17),tblDaily[WardCode],"CW")=0,"",SUMIFS(tblDaily[Discharges],tblDaily[EntryDate],DATE(2026,8,17),tblDaily[WardCode],"CW")),"")</f>
        <v/>
      </c>
      <c r="D296" s="29" t="str">
        <f>IFERROR(IF(SUMIFS(tblDaily[Deaths],tblDaily[EntryDate],DATE(2026,8,17),tblDaily[WardCode],"CW")=0,"",SUMIFS(tblDaily[Deaths],tblDaily[EntryDate],DATE(2026,8,17),tblDaily[WardCode],"CW")),"")</f>
        <v/>
      </c>
      <c r="E296" s="29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29" t="str">
        <f>IFERROR(IF(SUMIFS(tblDaily[TransfersIn],tblDaily[EntryDate],DATE(2026,8,17),tblDaily[WardCode],"CW")=0,"",SUMIFS(tblDaily[TransfersIn],tblDaily[EntryDate],DATE(2026,8,17),tblDaily[WardCode],"CW")),"")</f>
        <v/>
      </c>
      <c r="G296" s="29" t="str">
        <f>IFERROR(IF(SUMIFS(tblDaily[TransfersOut],tblDaily[EntryDate],DATE(2026,8,17),tblDaily[WardCode],"CW")=0,"",SUMIFS(tblDaily[TransfersOut],tblDaily[EntryDate],DATE(2026,8,17),tblDaily[WardCode],"CW")),"")</f>
        <v/>
      </c>
      <c r="H296" s="29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IFERROR(IF(SUMIFS(tblDaily[Admissions],tblDaily[EntryDate],DATE(2026,8,18),tblDaily[WardCode],"CW")=0,"",SUMIFS(tblDaily[Admissions],tblDaily[EntryDate],DATE(2026,8,18),tblDaily[WardCode],"CW")),"")</f>
        <v/>
      </c>
      <c r="C297" s="29" t="str">
        <f>IFERROR(IF(SUMIFS(tblDaily[Discharges],tblDaily[EntryDate],DATE(2026,8,18),tblDaily[WardCode],"CW")=0,"",SUMIFS(tblDaily[Discharges],tblDaily[EntryDate],DATE(2026,8,18),tblDaily[WardCode],"CW")),"")</f>
        <v/>
      </c>
      <c r="D297" s="29" t="str">
        <f>IFERROR(IF(SUMIFS(tblDaily[Deaths],tblDaily[EntryDate],DATE(2026,8,18),tblDaily[WardCode],"CW")=0,"",SUMIFS(tblDaily[Deaths],tblDaily[EntryDate],DATE(2026,8,18),tblDaily[WardCode],"CW")),"")</f>
        <v/>
      </c>
      <c r="E297" s="29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29" t="str">
        <f>IFERROR(IF(SUMIFS(tblDaily[TransfersIn],tblDaily[EntryDate],DATE(2026,8,18),tblDaily[WardCode],"CW")=0,"",SUMIFS(tblDaily[TransfersIn],tblDaily[EntryDate],DATE(2026,8,18),tblDaily[WardCode],"CW")),"")</f>
        <v/>
      </c>
      <c r="G297" s="29" t="str">
        <f>IFERROR(IF(SUMIFS(tblDaily[TransfersOut],tblDaily[EntryDate],DATE(2026,8,18),tblDaily[WardCode],"CW")=0,"",SUMIFS(tblDaily[TransfersOut],tblDaily[EntryDate],DATE(2026,8,18),tblDaily[WardCode],"CW")),"")</f>
        <v/>
      </c>
      <c r="H297" s="29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IFERROR(IF(SUMIFS(tblDaily[Admissions],tblDaily[EntryDate],DATE(2026,8,19),tblDaily[WardCode],"CW")=0,"",SUMIFS(tblDaily[Admissions],tblDaily[EntryDate],DATE(2026,8,19),tblDaily[WardCode],"CW")),"")</f>
        <v/>
      </c>
      <c r="C298" s="29" t="str">
        <f>IFERROR(IF(SUMIFS(tblDaily[Discharges],tblDaily[EntryDate],DATE(2026,8,19),tblDaily[WardCode],"CW")=0,"",SUMIFS(tblDaily[Discharges],tblDaily[EntryDate],DATE(2026,8,19),tblDaily[WardCode],"CW")),"")</f>
        <v/>
      </c>
      <c r="D298" s="29" t="str">
        <f>IFERROR(IF(SUMIFS(tblDaily[Deaths],tblDaily[EntryDate],DATE(2026,8,19),tblDaily[WardCode],"CW")=0,"",SUMIFS(tblDaily[Deaths],tblDaily[EntryDate],DATE(2026,8,19),tblDaily[WardCode],"CW")),"")</f>
        <v/>
      </c>
      <c r="E298" s="29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29" t="str">
        <f>IFERROR(IF(SUMIFS(tblDaily[TransfersIn],tblDaily[EntryDate],DATE(2026,8,19),tblDaily[WardCode],"CW")=0,"",SUMIFS(tblDaily[TransfersIn],tblDaily[EntryDate],DATE(2026,8,19),tblDaily[WardCode],"CW")),"")</f>
        <v/>
      </c>
      <c r="G298" s="29" t="str">
        <f>IFERROR(IF(SUMIFS(tblDaily[TransfersOut],tblDaily[EntryDate],DATE(2026,8,19),tblDaily[WardCode],"CW")=0,"",SUMIFS(tblDaily[TransfersOut],tblDaily[EntryDate],DATE(2026,8,19),tblDaily[WardCode],"CW")),"")</f>
        <v/>
      </c>
      <c r="H298" s="29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IFERROR(IF(SUMIFS(tblDaily[Admissions],tblDaily[EntryDate],DATE(2026,8,20),tblDaily[WardCode],"CW")=0,"",SUMIFS(tblDaily[Admissions],tblDaily[EntryDate],DATE(2026,8,20),tblDaily[WardCode],"CW")),"")</f>
        <v/>
      </c>
      <c r="C299" s="29" t="str">
        <f>IFERROR(IF(SUMIFS(tblDaily[Discharges],tblDaily[EntryDate],DATE(2026,8,20),tblDaily[WardCode],"CW")=0,"",SUMIFS(tblDaily[Discharges],tblDaily[EntryDate],DATE(2026,8,20),tblDaily[WardCode],"CW")),"")</f>
        <v/>
      </c>
      <c r="D299" s="29" t="str">
        <f>IFERROR(IF(SUMIFS(tblDaily[Deaths],tblDaily[EntryDate],DATE(2026,8,20),tblDaily[WardCode],"CW")=0,"",SUMIFS(tblDaily[Deaths],tblDaily[EntryDate],DATE(2026,8,20),tblDaily[WardCode],"CW")),"")</f>
        <v/>
      </c>
      <c r="E299" s="29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29" t="str">
        <f>IFERROR(IF(SUMIFS(tblDaily[TransfersIn],tblDaily[EntryDate],DATE(2026,8,20),tblDaily[WardCode],"CW")=0,"",SUMIFS(tblDaily[TransfersIn],tblDaily[EntryDate],DATE(2026,8,20),tblDaily[WardCode],"CW")),"")</f>
        <v/>
      </c>
      <c r="G299" s="29" t="str">
        <f>IFERROR(IF(SUMIFS(tblDaily[TransfersOut],tblDaily[EntryDate],DATE(2026,8,20),tblDaily[WardCode],"CW")=0,"",SUMIFS(tblDaily[TransfersOut],tblDaily[EntryDate],DATE(2026,8,20),tblDaily[WardCode],"CW")),"")</f>
        <v/>
      </c>
      <c r="H299" s="29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IFERROR(IF(SUMIFS(tblDaily[Admissions],tblDaily[EntryDate],DATE(2026,8,21),tblDaily[WardCode],"CW")=0,"",SUMIFS(tblDaily[Admissions],tblDaily[EntryDate],DATE(2026,8,21),tblDaily[WardCode],"CW")),"")</f>
        <v/>
      </c>
      <c r="C300" s="29" t="str">
        <f>IFERROR(IF(SUMIFS(tblDaily[Discharges],tblDaily[EntryDate],DATE(2026,8,21),tblDaily[WardCode],"CW")=0,"",SUMIFS(tblDaily[Discharges],tblDaily[EntryDate],DATE(2026,8,21),tblDaily[WardCode],"CW")),"")</f>
        <v/>
      </c>
      <c r="D300" s="29" t="str">
        <f>IFERROR(IF(SUMIFS(tblDaily[Deaths],tblDaily[EntryDate],DATE(2026,8,21),tblDaily[WardCode],"CW")=0,"",SUMIFS(tblDaily[Deaths],tblDaily[EntryDate],DATE(2026,8,21),tblDaily[WardCode],"CW")),"")</f>
        <v/>
      </c>
      <c r="E300" s="29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29" t="str">
        <f>IFERROR(IF(SUMIFS(tblDaily[TransfersIn],tblDaily[EntryDate],DATE(2026,8,21),tblDaily[WardCode],"CW")=0,"",SUMIFS(tblDaily[TransfersIn],tblDaily[EntryDate],DATE(2026,8,21),tblDaily[WardCode],"CW")),"")</f>
        <v/>
      </c>
      <c r="G300" s="29" t="str">
        <f>IFERROR(IF(SUMIFS(tblDaily[TransfersOut],tblDaily[EntryDate],DATE(2026,8,21),tblDaily[WardCode],"CW")=0,"",SUMIFS(tblDaily[TransfersOut],tblDaily[EntryDate],DATE(2026,8,21),tblDaily[WardCode],"CW")),"")</f>
        <v/>
      </c>
      <c r="H300" s="29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IFERROR(IF(SUMIFS(tblDaily[Admissions],tblDaily[EntryDate],DATE(2026,8,22),tblDaily[WardCode],"CW")=0,"",SUMIFS(tblDaily[Admissions],tblDaily[EntryDate],DATE(2026,8,22),tblDaily[WardCode],"CW")),"")</f>
        <v/>
      </c>
      <c r="C301" s="29" t="str">
        <f>IFERROR(IF(SUMIFS(tblDaily[Discharges],tblDaily[EntryDate],DATE(2026,8,22),tblDaily[WardCode],"CW")=0,"",SUMIFS(tblDaily[Discharges],tblDaily[EntryDate],DATE(2026,8,22),tblDaily[WardCode],"CW")),"")</f>
        <v/>
      </c>
      <c r="D301" s="29" t="str">
        <f>IFERROR(IF(SUMIFS(tblDaily[Deaths],tblDaily[EntryDate],DATE(2026,8,22),tblDaily[WardCode],"CW")=0,"",SUMIFS(tblDaily[Deaths],tblDaily[EntryDate],DATE(2026,8,22),tblDaily[WardCode],"CW")),"")</f>
        <v/>
      </c>
      <c r="E301" s="29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29" t="str">
        <f>IFERROR(IF(SUMIFS(tblDaily[TransfersIn],tblDaily[EntryDate],DATE(2026,8,22),tblDaily[WardCode],"CW")=0,"",SUMIFS(tblDaily[TransfersIn],tblDaily[EntryDate],DATE(2026,8,22),tblDaily[WardCode],"CW")),"")</f>
        <v/>
      </c>
      <c r="G301" s="29" t="str">
        <f>IFERROR(IF(SUMIFS(tblDaily[TransfersOut],tblDaily[EntryDate],DATE(2026,8,22),tblDaily[WardCode],"CW")=0,"",SUMIFS(tblDaily[TransfersOut],tblDaily[EntryDate],DATE(2026,8,22),tblDaily[WardCode],"CW")),"")</f>
        <v/>
      </c>
      <c r="H301" s="29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IFERROR(IF(SUMIFS(tblDaily[Admissions],tblDaily[EntryDate],DATE(2026,8,23),tblDaily[WardCode],"CW")=0,"",SUMIFS(tblDaily[Admissions],tblDaily[EntryDate],DATE(2026,8,23),tblDaily[WardCode],"CW")),"")</f>
        <v/>
      </c>
      <c r="C302" s="29" t="str">
        <f>IFERROR(IF(SUMIFS(tblDaily[Discharges],tblDaily[EntryDate],DATE(2026,8,23),tblDaily[WardCode],"CW")=0,"",SUMIFS(tblDaily[Discharges],tblDaily[EntryDate],DATE(2026,8,23),tblDaily[WardCode],"CW")),"")</f>
        <v/>
      </c>
      <c r="D302" s="29" t="str">
        <f>IFERROR(IF(SUMIFS(tblDaily[Deaths],tblDaily[EntryDate],DATE(2026,8,23),tblDaily[WardCode],"CW")=0,"",SUMIFS(tblDaily[Deaths],tblDaily[EntryDate],DATE(2026,8,23),tblDaily[WardCode],"CW")),"")</f>
        <v/>
      </c>
      <c r="E302" s="29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29" t="str">
        <f>IFERROR(IF(SUMIFS(tblDaily[TransfersIn],tblDaily[EntryDate],DATE(2026,8,23),tblDaily[WardCode],"CW")=0,"",SUMIFS(tblDaily[TransfersIn],tblDaily[EntryDate],DATE(2026,8,23),tblDaily[WardCode],"CW")),"")</f>
        <v/>
      </c>
      <c r="G302" s="29" t="str">
        <f>IFERROR(IF(SUMIFS(tblDaily[TransfersOut],tblDaily[EntryDate],DATE(2026,8,23),tblDaily[WardCode],"CW")=0,"",SUMIFS(tblDaily[TransfersOut],tblDaily[EntryDate],DATE(2026,8,23),tblDaily[WardCode],"CW")),"")</f>
        <v/>
      </c>
      <c r="H302" s="29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IFERROR(IF(SUMIFS(tblDaily[Admissions],tblDaily[EntryDate],DATE(2026,8,24),tblDaily[WardCode],"CW")=0,"",SUMIFS(tblDaily[Admissions],tblDaily[EntryDate],DATE(2026,8,24),tblDaily[WardCode],"CW")),"")</f>
        <v/>
      </c>
      <c r="C303" s="29" t="str">
        <f>IFERROR(IF(SUMIFS(tblDaily[Discharges],tblDaily[EntryDate],DATE(2026,8,24),tblDaily[WardCode],"CW")=0,"",SUMIFS(tblDaily[Discharges],tblDaily[EntryDate],DATE(2026,8,24),tblDaily[WardCode],"CW")),"")</f>
        <v/>
      </c>
      <c r="D303" s="29" t="str">
        <f>IFERROR(IF(SUMIFS(tblDaily[Deaths],tblDaily[EntryDate],DATE(2026,8,24),tblDaily[WardCode],"CW")=0,"",SUMIFS(tblDaily[Deaths],tblDaily[EntryDate],DATE(2026,8,24),tblDaily[WardCode],"CW")),"")</f>
        <v/>
      </c>
      <c r="E303" s="29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29" t="str">
        <f>IFERROR(IF(SUMIFS(tblDaily[TransfersIn],tblDaily[EntryDate],DATE(2026,8,24),tblDaily[WardCode],"CW")=0,"",SUMIFS(tblDaily[TransfersIn],tblDaily[EntryDate],DATE(2026,8,24),tblDaily[WardCode],"CW")),"")</f>
        <v/>
      </c>
      <c r="G303" s="29" t="str">
        <f>IFERROR(IF(SUMIFS(tblDaily[TransfersOut],tblDaily[EntryDate],DATE(2026,8,24),tblDaily[WardCode],"CW")=0,"",SUMIFS(tblDaily[TransfersOut],tblDaily[EntryDate],DATE(2026,8,24),tblDaily[WardCode],"CW")),"")</f>
        <v/>
      </c>
      <c r="H303" s="29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IFERROR(IF(SUMIFS(tblDaily[Admissions],tblDaily[EntryDate],DATE(2026,8,25),tblDaily[WardCode],"CW")=0,"",SUMIFS(tblDaily[Admissions],tblDaily[EntryDate],DATE(2026,8,25),tblDaily[WardCode],"CW")),"")</f>
        <v/>
      </c>
      <c r="C304" s="29" t="str">
        <f>IFERROR(IF(SUMIFS(tblDaily[Discharges],tblDaily[EntryDate],DATE(2026,8,25),tblDaily[WardCode],"CW")=0,"",SUMIFS(tblDaily[Discharges],tblDaily[EntryDate],DATE(2026,8,25),tblDaily[WardCode],"CW")),"")</f>
        <v/>
      </c>
      <c r="D304" s="29" t="str">
        <f>IFERROR(IF(SUMIFS(tblDaily[Deaths],tblDaily[EntryDate],DATE(2026,8,25),tblDaily[WardCode],"CW")=0,"",SUMIFS(tblDaily[Deaths],tblDaily[EntryDate],DATE(2026,8,25),tblDaily[WardCode],"CW")),"")</f>
        <v/>
      </c>
      <c r="E304" s="29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29" t="str">
        <f>IFERROR(IF(SUMIFS(tblDaily[TransfersIn],tblDaily[EntryDate],DATE(2026,8,25),tblDaily[WardCode],"CW")=0,"",SUMIFS(tblDaily[TransfersIn],tblDaily[EntryDate],DATE(2026,8,25),tblDaily[WardCode],"CW")),"")</f>
        <v/>
      </c>
      <c r="G304" s="29" t="str">
        <f>IFERROR(IF(SUMIFS(tblDaily[TransfersOut],tblDaily[EntryDate],DATE(2026,8,25),tblDaily[WardCode],"CW")=0,"",SUMIFS(tblDaily[TransfersOut],tblDaily[EntryDate],DATE(2026,8,25),tblDaily[WardCode],"CW")),"")</f>
        <v/>
      </c>
      <c r="H304" s="29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IFERROR(IF(SUMIFS(tblDaily[Admissions],tblDaily[EntryDate],DATE(2026,8,26),tblDaily[WardCode],"CW")=0,"",SUMIFS(tblDaily[Admissions],tblDaily[EntryDate],DATE(2026,8,26),tblDaily[WardCode],"CW")),"")</f>
        <v/>
      </c>
      <c r="C305" s="29" t="str">
        <f>IFERROR(IF(SUMIFS(tblDaily[Discharges],tblDaily[EntryDate],DATE(2026,8,26),tblDaily[WardCode],"CW")=0,"",SUMIFS(tblDaily[Discharges],tblDaily[EntryDate],DATE(2026,8,26),tblDaily[WardCode],"CW")),"")</f>
        <v/>
      </c>
      <c r="D305" s="29" t="str">
        <f>IFERROR(IF(SUMIFS(tblDaily[Deaths],tblDaily[EntryDate],DATE(2026,8,26),tblDaily[WardCode],"CW")=0,"",SUMIFS(tblDaily[Deaths],tblDaily[EntryDate],DATE(2026,8,26),tblDaily[WardCode],"CW")),"")</f>
        <v/>
      </c>
      <c r="E305" s="29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29" t="str">
        <f>IFERROR(IF(SUMIFS(tblDaily[TransfersIn],tblDaily[EntryDate],DATE(2026,8,26),tblDaily[WardCode],"CW")=0,"",SUMIFS(tblDaily[TransfersIn],tblDaily[EntryDate],DATE(2026,8,26),tblDaily[WardCode],"CW")),"")</f>
        <v/>
      </c>
      <c r="G305" s="29" t="str">
        <f>IFERROR(IF(SUMIFS(tblDaily[TransfersOut],tblDaily[EntryDate],DATE(2026,8,26),tblDaily[WardCode],"CW")=0,"",SUMIFS(tblDaily[TransfersOut],tblDaily[EntryDate],DATE(2026,8,26),tblDaily[WardCode],"CW")),"")</f>
        <v/>
      </c>
      <c r="H305" s="29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IFERROR(IF(SUMIFS(tblDaily[Admissions],tblDaily[EntryDate],DATE(2026,8,27),tblDaily[WardCode],"CW")=0,"",SUMIFS(tblDaily[Admissions],tblDaily[EntryDate],DATE(2026,8,27),tblDaily[WardCode],"CW")),"")</f>
        <v/>
      </c>
      <c r="C306" s="29" t="str">
        <f>IFERROR(IF(SUMIFS(tblDaily[Discharges],tblDaily[EntryDate],DATE(2026,8,27),tblDaily[WardCode],"CW")=0,"",SUMIFS(tblDaily[Discharges],tblDaily[EntryDate],DATE(2026,8,27),tblDaily[WardCode],"CW")),"")</f>
        <v/>
      </c>
      <c r="D306" s="29" t="str">
        <f>IFERROR(IF(SUMIFS(tblDaily[Deaths],tblDaily[EntryDate],DATE(2026,8,27),tblDaily[WardCode],"CW")=0,"",SUMIFS(tblDaily[Deaths],tblDaily[EntryDate],DATE(2026,8,27),tblDaily[WardCode],"CW")),"")</f>
        <v/>
      </c>
      <c r="E306" s="29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29" t="str">
        <f>IFERROR(IF(SUMIFS(tblDaily[TransfersIn],tblDaily[EntryDate],DATE(2026,8,27),tblDaily[WardCode],"CW")=0,"",SUMIFS(tblDaily[TransfersIn],tblDaily[EntryDate],DATE(2026,8,27),tblDaily[WardCode],"CW")),"")</f>
        <v/>
      </c>
      <c r="G306" s="29" t="str">
        <f>IFERROR(IF(SUMIFS(tblDaily[TransfersOut],tblDaily[EntryDate],DATE(2026,8,27),tblDaily[WardCode],"CW")=0,"",SUMIFS(tblDaily[TransfersOut],tblDaily[EntryDate],DATE(2026,8,27),tblDaily[WardCode],"CW")),"")</f>
        <v/>
      </c>
      <c r="H306" s="29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IFERROR(IF(SUMIFS(tblDaily[Admissions],tblDaily[EntryDate],DATE(2026,8,28),tblDaily[WardCode],"CW")=0,"",SUMIFS(tblDaily[Admissions],tblDaily[EntryDate],DATE(2026,8,28),tblDaily[WardCode],"CW")),"")</f>
        <v/>
      </c>
      <c r="C307" s="29" t="str">
        <f>IFERROR(IF(SUMIFS(tblDaily[Discharges],tblDaily[EntryDate],DATE(2026,8,28),tblDaily[WardCode],"CW")=0,"",SUMIFS(tblDaily[Discharges],tblDaily[EntryDate],DATE(2026,8,28),tblDaily[WardCode],"CW")),"")</f>
        <v/>
      </c>
      <c r="D307" s="29" t="str">
        <f>IFERROR(IF(SUMIFS(tblDaily[Deaths],tblDaily[EntryDate],DATE(2026,8,28),tblDaily[WardCode],"CW")=0,"",SUMIFS(tblDaily[Deaths],tblDaily[EntryDate],DATE(2026,8,28),tblDaily[WardCode],"CW")),"")</f>
        <v/>
      </c>
      <c r="E307" s="29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29" t="str">
        <f>IFERROR(IF(SUMIFS(tblDaily[TransfersIn],tblDaily[EntryDate],DATE(2026,8,28),tblDaily[WardCode],"CW")=0,"",SUMIFS(tblDaily[TransfersIn],tblDaily[EntryDate],DATE(2026,8,28),tblDaily[WardCode],"CW")),"")</f>
        <v/>
      </c>
      <c r="G307" s="29" t="str">
        <f>IFERROR(IF(SUMIFS(tblDaily[TransfersOut],tblDaily[EntryDate],DATE(2026,8,28),tblDaily[WardCode],"CW")=0,"",SUMIFS(tblDaily[TransfersOut],tblDaily[EntryDate],DATE(2026,8,28),tblDaily[WardCode],"CW")),"")</f>
        <v/>
      </c>
      <c r="H307" s="29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IFERROR(IF(SUMIFS(tblDaily[Admissions],tblDaily[EntryDate],DATE(2026,8,29),tblDaily[WardCode],"CW")=0,"",SUMIFS(tblDaily[Admissions],tblDaily[EntryDate],DATE(2026,8,29),tblDaily[WardCode],"CW")),"")</f>
        <v/>
      </c>
      <c r="C308" s="29" t="str">
        <f>IFERROR(IF(SUMIFS(tblDaily[Discharges],tblDaily[EntryDate],DATE(2026,8,29),tblDaily[WardCode],"CW")=0,"",SUMIFS(tblDaily[Discharges],tblDaily[EntryDate],DATE(2026,8,29),tblDaily[WardCode],"CW")),"")</f>
        <v/>
      </c>
      <c r="D308" s="29" t="str">
        <f>IFERROR(IF(SUMIFS(tblDaily[Deaths],tblDaily[EntryDate],DATE(2026,8,29),tblDaily[WardCode],"CW")=0,"",SUMIFS(tblDaily[Deaths],tblDaily[EntryDate],DATE(2026,8,29),tblDaily[WardCode],"CW")),"")</f>
        <v/>
      </c>
      <c r="E308" s="29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29" t="str">
        <f>IFERROR(IF(SUMIFS(tblDaily[TransfersIn],tblDaily[EntryDate],DATE(2026,8,29),tblDaily[WardCode],"CW")=0,"",SUMIFS(tblDaily[TransfersIn],tblDaily[EntryDate],DATE(2026,8,29),tblDaily[WardCode],"CW")),"")</f>
        <v/>
      </c>
      <c r="G308" s="29" t="str">
        <f>IFERROR(IF(SUMIFS(tblDaily[TransfersOut],tblDaily[EntryDate],DATE(2026,8,29),tblDaily[WardCode],"CW")=0,"",SUMIFS(tblDaily[TransfersOut],tblDaily[EntryDate],DATE(2026,8,29),tblDaily[WardCode],"CW")),"")</f>
        <v/>
      </c>
      <c r="H308" s="29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IFERROR(IF(SUMIFS(tblDaily[Admissions],tblDaily[EntryDate],DATE(2026,8,30),tblDaily[WardCode],"CW")=0,"",SUMIFS(tblDaily[Admissions],tblDaily[EntryDate],DATE(2026,8,30),tblDaily[WardCode],"CW")),"")</f>
        <v/>
      </c>
      <c r="C309" s="29" t="str">
        <f>IFERROR(IF(SUMIFS(tblDaily[Discharges],tblDaily[EntryDate],DATE(2026,8,30),tblDaily[WardCode],"CW")=0,"",SUMIFS(tblDaily[Discharges],tblDaily[EntryDate],DATE(2026,8,30),tblDaily[WardCode],"CW")),"")</f>
        <v/>
      </c>
      <c r="D309" s="29" t="str">
        <f>IFERROR(IF(SUMIFS(tblDaily[Deaths],tblDaily[EntryDate],DATE(2026,8,30),tblDaily[WardCode],"CW")=0,"",SUMIFS(tblDaily[Deaths],tblDaily[EntryDate],DATE(2026,8,30),tblDaily[WardCode],"CW")),"")</f>
        <v/>
      </c>
      <c r="E309" s="29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29" t="str">
        <f>IFERROR(IF(SUMIFS(tblDaily[TransfersIn],tblDaily[EntryDate],DATE(2026,8,30),tblDaily[WardCode],"CW")=0,"",SUMIFS(tblDaily[TransfersIn],tblDaily[EntryDate],DATE(2026,8,30),tblDaily[WardCode],"CW")),"")</f>
        <v/>
      </c>
      <c r="G309" s="29" t="str">
        <f>IFERROR(IF(SUMIFS(tblDaily[TransfersOut],tblDaily[EntryDate],DATE(2026,8,30),tblDaily[WardCode],"CW")=0,"",SUMIFS(tblDaily[TransfersOut],tblDaily[EntryDate],DATE(2026,8,30),tblDaily[WardCode],"CW")),"")</f>
        <v/>
      </c>
      <c r="H309" s="29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IFERROR(IF(SUMIFS(tblDaily[Admissions],tblDaily[EntryDate],DATE(2026,8,31),tblDaily[WardCode],"CW")=0,"",SUMIFS(tblDaily[Admissions],tblDaily[EntryDate],DATE(2026,8,31),tblDaily[WardCode],"CW")),"")</f>
        <v/>
      </c>
      <c r="C310" s="29" t="str">
        <f>IFERROR(IF(SUMIFS(tblDaily[Discharges],tblDaily[EntryDate],DATE(2026,8,31),tblDaily[WardCode],"CW")=0,"",SUMIFS(tblDaily[Discharges],tblDaily[EntryDate],DATE(2026,8,31),tblDaily[WardCode],"CW")),"")</f>
        <v/>
      </c>
      <c r="D310" s="29" t="str">
        <f>IFERROR(IF(SUMIFS(tblDaily[Deaths],tblDaily[EntryDate],DATE(2026,8,31),tblDaily[WardCode],"CW")=0,"",SUMIFS(tblDaily[Deaths],tblDaily[EntryDate],DATE(2026,8,31),tblDaily[WardCode],"CW")),"")</f>
        <v/>
      </c>
      <c r="E310" s="29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29" t="str">
        <f>IFERROR(IF(SUMIFS(tblDaily[TransfersIn],tblDaily[EntryDate],DATE(2026,8,31),tblDaily[WardCode],"CW")=0,"",SUMIFS(tblDaily[TransfersIn],tblDaily[EntryDate],DATE(2026,8,31),tblDaily[WardCode],"CW")),"")</f>
        <v/>
      </c>
      <c r="G310" s="29" t="str">
        <f>IFERROR(IF(SUMIFS(tblDaily[TransfersOut],tblDaily[EntryDate],DATE(2026,8,31),tblDaily[WardCode],"CW")=0,"",SUMIFS(tblDaily[TransfersOut],tblDaily[EntryDate],DATE(2026,8,31),tblDaily[WardCode],"CW")),"")</f>
        <v/>
      </c>
      <c r="H310" s="29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30" t="s">
        <v>115</v>
      </c>
      <c r="B311" s="30">
        <f>SUMIFS(tblDaily[Admissions],tblDaily[Month],8,tblDaily[WardCode],"CW") - SUMIFS(tblDaily[DeathsUnder24Hrs],tblDaily[Month],8,tblDaily[WardCode],"CW")</f>
        <v>0</v>
      </c>
      <c r="C311" s="30">
        <f>SUMIFS(tblDaily[Discharges],tblDaily[Month],8,tblDaily[WardCode],"CW")</f>
        <v>0</v>
      </c>
      <c r="D311" s="30">
        <f>SUMIFS(tblDaily[Deaths],tblDaily[Month],8,tblDaily[WardCode],"CW")</f>
        <v>0</v>
      </c>
      <c r="E311" s="30">
        <f>SUMIFS(tblDaily[DeathsUnder24Hrs],tblDaily[Month],8,tblDaily[WardCode],"CW")</f>
        <v>0</v>
      </c>
      <c r="F311" s="30">
        <f>SUMIFS(tblDaily[TransfersIn],tblDaily[Month],8,tblDaily[WardCode],"CW")</f>
        <v>0</v>
      </c>
      <c r="G311" s="30">
        <f>SUMIFS(tblDaily[TransfersOut],tblDaily[Month],8,tblDaily[WardCode],"CW")</f>
        <v>0</v>
      </c>
      <c r="H311" s="30">
        <f>SUMIFS(tblDaily[Remaining],tblDaily[Month],8,tblDaily[WardCode],"CW")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117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IFERROR(SUMIFS(tblDaily[Remaining],tblDaily[EntryDate],DATE(2026,8,31),tblDaily[WardCode],"CW"),0)</f>
        <v>0</v>
      </c>
    </row>
    <row r="317" spans="1:8" x14ac:dyDescent="0.25">
      <c r="A317" s="24" t="s">
        <v>109</v>
      </c>
      <c r="H317" s="27">
        <f>IFERROR(INDEX(tblWardConfig[BedComplement],MATCH("CW",tblWardConfig[WardCode],0)),0)</f>
        <v>27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IFERROR(IF(SUMIFS(tblDaily[Admissions],tblDaily[EntryDate],DATE(2026,9,1),tblDaily[WardCode],"CW")=0,"",SUMIFS(tblDaily[Admissions],tblDaily[EntryDate],DATE(2026,9,1),tblDaily[WardCode],"CW")),"")</f>
        <v/>
      </c>
      <c r="C319" s="29" t="str">
        <f>IFERROR(IF(SUMIFS(tblDaily[Discharges],tblDaily[EntryDate],DATE(2026,9,1),tblDaily[WardCode],"CW")=0,"",SUMIFS(tblDaily[Discharges],tblDaily[EntryDate],DATE(2026,9,1),tblDaily[WardCode],"CW")),"")</f>
        <v/>
      </c>
      <c r="D319" s="29" t="str">
        <f>IFERROR(IF(SUMIFS(tblDaily[Deaths],tblDaily[EntryDate],DATE(2026,9,1),tblDaily[WardCode],"CW")=0,"",SUMIFS(tblDaily[Deaths],tblDaily[EntryDate],DATE(2026,9,1),tblDaily[WardCode],"CW")),"")</f>
        <v/>
      </c>
      <c r="E319" s="29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29" t="str">
        <f>IFERROR(IF(SUMIFS(tblDaily[TransfersIn],tblDaily[EntryDate],DATE(2026,9,1),tblDaily[WardCode],"CW")=0,"",SUMIFS(tblDaily[TransfersIn],tblDaily[EntryDate],DATE(2026,9,1),tblDaily[WardCode],"CW")),"")</f>
        <v/>
      </c>
      <c r="G319" s="29" t="str">
        <f>IFERROR(IF(SUMIFS(tblDaily[TransfersOut],tblDaily[EntryDate],DATE(2026,9,1),tblDaily[WardCode],"CW")=0,"",SUMIFS(tblDaily[TransfersOut],tblDaily[EntryDate],DATE(2026,9,1),tblDaily[WardCode],"CW")),"")</f>
        <v/>
      </c>
      <c r="H319" s="29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IFERROR(IF(SUMIFS(tblDaily[Admissions],tblDaily[EntryDate],DATE(2026,9,2),tblDaily[WardCode],"CW")=0,"",SUMIFS(tblDaily[Admissions],tblDaily[EntryDate],DATE(2026,9,2),tblDaily[WardCode],"CW")),"")</f>
        <v/>
      </c>
      <c r="C320" s="29" t="str">
        <f>IFERROR(IF(SUMIFS(tblDaily[Discharges],tblDaily[EntryDate],DATE(2026,9,2),tblDaily[WardCode],"CW")=0,"",SUMIFS(tblDaily[Discharges],tblDaily[EntryDate],DATE(2026,9,2),tblDaily[WardCode],"CW")),"")</f>
        <v/>
      </c>
      <c r="D320" s="29" t="str">
        <f>IFERROR(IF(SUMIFS(tblDaily[Deaths],tblDaily[EntryDate],DATE(2026,9,2),tblDaily[WardCode],"CW")=0,"",SUMIFS(tblDaily[Deaths],tblDaily[EntryDate],DATE(2026,9,2),tblDaily[WardCode],"CW")),"")</f>
        <v/>
      </c>
      <c r="E320" s="29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29" t="str">
        <f>IFERROR(IF(SUMIFS(tblDaily[TransfersIn],tblDaily[EntryDate],DATE(2026,9,2),tblDaily[WardCode],"CW")=0,"",SUMIFS(tblDaily[TransfersIn],tblDaily[EntryDate],DATE(2026,9,2),tblDaily[WardCode],"CW")),"")</f>
        <v/>
      </c>
      <c r="G320" s="29" t="str">
        <f>IFERROR(IF(SUMIFS(tblDaily[TransfersOut],tblDaily[EntryDate],DATE(2026,9,2),tblDaily[WardCode],"CW")=0,"",SUMIFS(tblDaily[TransfersOut],tblDaily[EntryDate],DATE(2026,9,2),tblDaily[WardCode],"CW")),"")</f>
        <v/>
      </c>
      <c r="H320" s="29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IFERROR(IF(SUMIFS(tblDaily[Admissions],tblDaily[EntryDate],DATE(2026,9,3),tblDaily[WardCode],"CW")=0,"",SUMIFS(tblDaily[Admissions],tblDaily[EntryDate],DATE(2026,9,3),tblDaily[WardCode],"CW")),"")</f>
        <v/>
      </c>
      <c r="C321" s="29" t="str">
        <f>IFERROR(IF(SUMIFS(tblDaily[Discharges],tblDaily[EntryDate],DATE(2026,9,3),tblDaily[WardCode],"CW")=0,"",SUMIFS(tblDaily[Discharges],tblDaily[EntryDate],DATE(2026,9,3),tblDaily[WardCode],"CW")),"")</f>
        <v/>
      </c>
      <c r="D321" s="29" t="str">
        <f>IFERROR(IF(SUMIFS(tblDaily[Deaths],tblDaily[EntryDate],DATE(2026,9,3),tblDaily[WardCode],"CW")=0,"",SUMIFS(tblDaily[Deaths],tblDaily[EntryDate],DATE(2026,9,3),tblDaily[WardCode],"CW")),"")</f>
        <v/>
      </c>
      <c r="E321" s="29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29" t="str">
        <f>IFERROR(IF(SUMIFS(tblDaily[TransfersIn],tblDaily[EntryDate],DATE(2026,9,3),tblDaily[WardCode],"CW")=0,"",SUMIFS(tblDaily[TransfersIn],tblDaily[EntryDate],DATE(2026,9,3),tblDaily[WardCode],"CW")),"")</f>
        <v/>
      </c>
      <c r="G321" s="29" t="str">
        <f>IFERROR(IF(SUMIFS(tblDaily[TransfersOut],tblDaily[EntryDate],DATE(2026,9,3),tblDaily[WardCode],"CW")=0,"",SUMIFS(tblDaily[TransfersOut],tblDaily[EntryDate],DATE(2026,9,3),tblDaily[WardCode],"CW")),"")</f>
        <v/>
      </c>
      <c r="H321" s="29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IFERROR(IF(SUMIFS(tblDaily[Admissions],tblDaily[EntryDate],DATE(2026,9,4),tblDaily[WardCode],"CW")=0,"",SUMIFS(tblDaily[Admissions],tblDaily[EntryDate],DATE(2026,9,4),tblDaily[WardCode],"CW")),"")</f>
        <v/>
      </c>
      <c r="C322" s="29" t="str">
        <f>IFERROR(IF(SUMIFS(tblDaily[Discharges],tblDaily[EntryDate],DATE(2026,9,4),tblDaily[WardCode],"CW")=0,"",SUMIFS(tblDaily[Discharges],tblDaily[EntryDate],DATE(2026,9,4),tblDaily[WardCode],"CW")),"")</f>
        <v/>
      </c>
      <c r="D322" s="29" t="str">
        <f>IFERROR(IF(SUMIFS(tblDaily[Deaths],tblDaily[EntryDate],DATE(2026,9,4),tblDaily[WardCode],"CW")=0,"",SUMIFS(tblDaily[Deaths],tblDaily[EntryDate],DATE(2026,9,4),tblDaily[WardCode],"CW")),"")</f>
        <v/>
      </c>
      <c r="E322" s="29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29" t="str">
        <f>IFERROR(IF(SUMIFS(tblDaily[TransfersIn],tblDaily[EntryDate],DATE(2026,9,4),tblDaily[WardCode],"CW")=0,"",SUMIFS(tblDaily[TransfersIn],tblDaily[EntryDate],DATE(2026,9,4),tblDaily[WardCode],"CW")),"")</f>
        <v/>
      </c>
      <c r="G322" s="29" t="str">
        <f>IFERROR(IF(SUMIFS(tblDaily[TransfersOut],tblDaily[EntryDate],DATE(2026,9,4),tblDaily[WardCode],"CW")=0,"",SUMIFS(tblDaily[TransfersOut],tblDaily[EntryDate],DATE(2026,9,4),tblDaily[WardCode],"CW")),"")</f>
        <v/>
      </c>
      <c r="H322" s="29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IFERROR(IF(SUMIFS(tblDaily[Admissions],tblDaily[EntryDate],DATE(2026,9,5),tblDaily[WardCode],"CW")=0,"",SUMIFS(tblDaily[Admissions],tblDaily[EntryDate],DATE(2026,9,5),tblDaily[WardCode],"CW")),"")</f>
        <v/>
      </c>
      <c r="C323" s="29" t="str">
        <f>IFERROR(IF(SUMIFS(tblDaily[Discharges],tblDaily[EntryDate],DATE(2026,9,5),tblDaily[WardCode],"CW")=0,"",SUMIFS(tblDaily[Discharges],tblDaily[EntryDate],DATE(2026,9,5),tblDaily[WardCode],"CW")),"")</f>
        <v/>
      </c>
      <c r="D323" s="29" t="str">
        <f>IFERROR(IF(SUMIFS(tblDaily[Deaths],tblDaily[EntryDate],DATE(2026,9,5),tblDaily[WardCode],"CW")=0,"",SUMIFS(tblDaily[Deaths],tblDaily[EntryDate],DATE(2026,9,5),tblDaily[WardCode],"CW")),"")</f>
        <v/>
      </c>
      <c r="E323" s="29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29" t="str">
        <f>IFERROR(IF(SUMIFS(tblDaily[TransfersIn],tblDaily[EntryDate],DATE(2026,9,5),tblDaily[WardCode],"CW")=0,"",SUMIFS(tblDaily[TransfersIn],tblDaily[EntryDate],DATE(2026,9,5),tblDaily[WardCode],"CW")),"")</f>
        <v/>
      </c>
      <c r="G323" s="29" t="str">
        <f>IFERROR(IF(SUMIFS(tblDaily[TransfersOut],tblDaily[EntryDate],DATE(2026,9,5),tblDaily[WardCode],"CW")=0,"",SUMIFS(tblDaily[TransfersOut],tblDaily[EntryDate],DATE(2026,9,5),tblDaily[WardCode],"CW")),"")</f>
        <v/>
      </c>
      <c r="H323" s="29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IFERROR(IF(SUMIFS(tblDaily[Admissions],tblDaily[EntryDate],DATE(2026,9,6),tblDaily[WardCode],"CW")=0,"",SUMIFS(tblDaily[Admissions],tblDaily[EntryDate],DATE(2026,9,6),tblDaily[WardCode],"CW")),"")</f>
        <v/>
      </c>
      <c r="C324" s="29" t="str">
        <f>IFERROR(IF(SUMIFS(tblDaily[Discharges],tblDaily[EntryDate],DATE(2026,9,6),tblDaily[WardCode],"CW")=0,"",SUMIFS(tblDaily[Discharges],tblDaily[EntryDate],DATE(2026,9,6),tblDaily[WardCode],"CW")),"")</f>
        <v/>
      </c>
      <c r="D324" s="29" t="str">
        <f>IFERROR(IF(SUMIFS(tblDaily[Deaths],tblDaily[EntryDate],DATE(2026,9,6),tblDaily[WardCode],"CW")=0,"",SUMIFS(tblDaily[Deaths],tblDaily[EntryDate],DATE(2026,9,6),tblDaily[WardCode],"CW")),"")</f>
        <v/>
      </c>
      <c r="E324" s="29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29" t="str">
        <f>IFERROR(IF(SUMIFS(tblDaily[TransfersIn],tblDaily[EntryDate],DATE(2026,9,6),tblDaily[WardCode],"CW")=0,"",SUMIFS(tblDaily[TransfersIn],tblDaily[EntryDate],DATE(2026,9,6),tblDaily[WardCode],"CW")),"")</f>
        <v/>
      </c>
      <c r="G324" s="29" t="str">
        <f>IFERROR(IF(SUMIFS(tblDaily[TransfersOut],tblDaily[EntryDate],DATE(2026,9,6),tblDaily[WardCode],"CW")=0,"",SUMIFS(tblDaily[TransfersOut],tblDaily[EntryDate],DATE(2026,9,6),tblDaily[WardCode],"CW")),"")</f>
        <v/>
      </c>
      <c r="H324" s="29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IFERROR(IF(SUMIFS(tblDaily[Admissions],tblDaily[EntryDate],DATE(2026,9,7),tblDaily[WardCode],"CW")=0,"",SUMIFS(tblDaily[Admissions],tblDaily[EntryDate],DATE(2026,9,7),tblDaily[WardCode],"CW")),"")</f>
        <v/>
      </c>
      <c r="C325" s="29" t="str">
        <f>IFERROR(IF(SUMIFS(tblDaily[Discharges],tblDaily[EntryDate],DATE(2026,9,7),tblDaily[WardCode],"CW")=0,"",SUMIFS(tblDaily[Discharges],tblDaily[EntryDate],DATE(2026,9,7),tblDaily[WardCode],"CW")),"")</f>
        <v/>
      </c>
      <c r="D325" s="29" t="str">
        <f>IFERROR(IF(SUMIFS(tblDaily[Deaths],tblDaily[EntryDate],DATE(2026,9,7),tblDaily[WardCode],"CW")=0,"",SUMIFS(tblDaily[Deaths],tblDaily[EntryDate],DATE(2026,9,7),tblDaily[WardCode],"CW")),"")</f>
        <v/>
      </c>
      <c r="E325" s="29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29" t="str">
        <f>IFERROR(IF(SUMIFS(tblDaily[TransfersIn],tblDaily[EntryDate],DATE(2026,9,7),tblDaily[WardCode],"CW")=0,"",SUMIFS(tblDaily[TransfersIn],tblDaily[EntryDate],DATE(2026,9,7),tblDaily[WardCode],"CW")),"")</f>
        <v/>
      </c>
      <c r="G325" s="29" t="str">
        <f>IFERROR(IF(SUMIFS(tblDaily[TransfersOut],tblDaily[EntryDate],DATE(2026,9,7),tblDaily[WardCode],"CW")=0,"",SUMIFS(tblDaily[TransfersOut],tblDaily[EntryDate],DATE(2026,9,7),tblDaily[WardCode],"CW")),"")</f>
        <v/>
      </c>
      <c r="H325" s="29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IFERROR(IF(SUMIFS(tblDaily[Admissions],tblDaily[EntryDate],DATE(2026,9,8),tblDaily[WardCode],"CW")=0,"",SUMIFS(tblDaily[Admissions],tblDaily[EntryDate],DATE(2026,9,8),tblDaily[WardCode],"CW")),"")</f>
        <v/>
      </c>
      <c r="C326" s="29" t="str">
        <f>IFERROR(IF(SUMIFS(tblDaily[Discharges],tblDaily[EntryDate],DATE(2026,9,8),tblDaily[WardCode],"CW")=0,"",SUMIFS(tblDaily[Discharges],tblDaily[EntryDate],DATE(2026,9,8),tblDaily[WardCode],"CW")),"")</f>
        <v/>
      </c>
      <c r="D326" s="29" t="str">
        <f>IFERROR(IF(SUMIFS(tblDaily[Deaths],tblDaily[EntryDate],DATE(2026,9,8),tblDaily[WardCode],"CW")=0,"",SUMIFS(tblDaily[Deaths],tblDaily[EntryDate],DATE(2026,9,8),tblDaily[WardCode],"CW")),"")</f>
        <v/>
      </c>
      <c r="E326" s="29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29" t="str">
        <f>IFERROR(IF(SUMIFS(tblDaily[TransfersIn],tblDaily[EntryDate],DATE(2026,9,8),tblDaily[WardCode],"CW")=0,"",SUMIFS(tblDaily[TransfersIn],tblDaily[EntryDate],DATE(2026,9,8),tblDaily[WardCode],"CW")),"")</f>
        <v/>
      </c>
      <c r="G326" s="29" t="str">
        <f>IFERROR(IF(SUMIFS(tblDaily[TransfersOut],tblDaily[EntryDate],DATE(2026,9,8),tblDaily[WardCode],"CW")=0,"",SUMIFS(tblDaily[TransfersOut],tblDaily[EntryDate],DATE(2026,9,8),tblDaily[WardCode],"CW")),"")</f>
        <v/>
      </c>
      <c r="H326" s="29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IFERROR(IF(SUMIFS(tblDaily[Admissions],tblDaily[EntryDate],DATE(2026,9,9),tblDaily[WardCode],"CW")=0,"",SUMIFS(tblDaily[Admissions],tblDaily[EntryDate],DATE(2026,9,9),tblDaily[WardCode],"CW")),"")</f>
        <v/>
      </c>
      <c r="C327" s="29" t="str">
        <f>IFERROR(IF(SUMIFS(tblDaily[Discharges],tblDaily[EntryDate],DATE(2026,9,9),tblDaily[WardCode],"CW")=0,"",SUMIFS(tblDaily[Discharges],tblDaily[EntryDate],DATE(2026,9,9),tblDaily[WardCode],"CW")),"")</f>
        <v/>
      </c>
      <c r="D327" s="29" t="str">
        <f>IFERROR(IF(SUMIFS(tblDaily[Deaths],tblDaily[EntryDate],DATE(2026,9,9),tblDaily[WardCode],"CW")=0,"",SUMIFS(tblDaily[Deaths],tblDaily[EntryDate],DATE(2026,9,9),tblDaily[WardCode],"CW")),"")</f>
        <v/>
      </c>
      <c r="E327" s="29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29" t="str">
        <f>IFERROR(IF(SUMIFS(tblDaily[TransfersIn],tblDaily[EntryDate],DATE(2026,9,9),tblDaily[WardCode],"CW")=0,"",SUMIFS(tblDaily[TransfersIn],tblDaily[EntryDate],DATE(2026,9,9),tblDaily[WardCode],"CW")),"")</f>
        <v/>
      </c>
      <c r="G327" s="29" t="str">
        <f>IFERROR(IF(SUMIFS(tblDaily[TransfersOut],tblDaily[EntryDate],DATE(2026,9,9),tblDaily[WardCode],"CW")=0,"",SUMIFS(tblDaily[TransfersOut],tblDaily[EntryDate],DATE(2026,9,9),tblDaily[WardCode],"CW")),"")</f>
        <v/>
      </c>
      <c r="H327" s="29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IFERROR(IF(SUMIFS(tblDaily[Admissions],tblDaily[EntryDate],DATE(2026,9,10),tblDaily[WardCode],"CW")=0,"",SUMIFS(tblDaily[Admissions],tblDaily[EntryDate],DATE(2026,9,10),tblDaily[WardCode],"CW")),"")</f>
        <v/>
      </c>
      <c r="C328" s="29" t="str">
        <f>IFERROR(IF(SUMIFS(tblDaily[Discharges],tblDaily[EntryDate],DATE(2026,9,10),tblDaily[WardCode],"CW")=0,"",SUMIFS(tblDaily[Discharges],tblDaily[EntryDate],DATE(2026,9,10),tblDaily[WardCode],"CW")),"")</f>
        <v/>
      </c>
      <c r="D328" s="29" t="str">
        <f>IFERROR(IF(SUMIFS(tblDaily[Deaths],tblDaily[EntryDate],DATE(2026,9,10),tblDaily[WardCode],"CW")=0,"",SUMIFS(tblDaily[Deaths],tblDaily[EntryDate],DATE(2026,9,10),tblDaily[WardCode],"CW")),"")</f>
        <v/>
      </c>
      <c r="E328" s="29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29" t="str">
        <f>IFERROR(IF(SUMIFS(tblDaily[TransfersIn],tblDaily[EntryDate],DATE(2026,9,10),tblDaily[WardCode],"CW")=0,"",SUMIFS(tblDaily[TransfersIn],tblDaily[EntryDate],DATE(2026,9,10),tblDaily[WardCode],"CW")),"")</f>
        <v/>
      </c>
      <c r="G328" s="29" t="str">
        <f>IFERROR(IF(SUMIFS(tblDaily[TransfersOut],tblDaily[EntryDate],DATE(2026,9,10),tblDaily[WardCode],"CW")=0,"",SUMIFS(tblDaily[TransfersOut],tblDaily[EntryDate],DATE(2026,9,10),tblDaily[WardCode],"CW")),"")</f>
        <v/>
      </c>
      <c r="H328" s="29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IFERROR(IF(SUMIFS(tblDaily[Admissions],tblDaily[EntryDate],DATE(2026,9,11),tblDaily[WardCode],"CW")=0,"",SUMIFS(tblDaily[Admissions],tblDaily[EntryDate],DATE(2026,9,11),tblDaily[WardCode],"CW")),"")</f>
        <v/>
      </c>
      <c r="C329" s="29" t="str">
        <f>IFERROR(IF(SUMIFS(tblDaily[Discharges],tblDaily[EntryDate],DATE(2026,9,11),tblDaily[WardCode],"CW")=0,"",SUMIFS(tblDaily[Discharges],tblDaily[EntryDate],DATE(2026,9,11),tblDaily[WardCode],"CW")),"")</f>
        <v/>
      </c>
      <c r="D329" s="29" t="str">
        <f>IFERROR(IF(SUMIFS(tblDaily[Deaths],tblDaily[EntryDate],DATE(2026,9,11),tblDaily[WardCode],"CW")=0,"",SUMIFS(tblDaily[Deaths],tblDaily[EntryDate],DATE(2026,9,11),tblDaily[WardCode],"CW")),"")</f>
        <v/>
      </c>
      <c r="E329" s="29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29" t="str">
        <f>IFERROR(IF(SUMIFS(tblDaily[TransfersIn],tblDaily[EntryDate],DATE(2026,9,11),tblDaily[WardCode],"CW")=0,"",SUMIFS(tblDaily[TransfersIn],tblDaily[EntryDate],DATE(2026,9,11),tblDaily[WardCode],"CW")),"")</f>
        <v/>
      </c>
      <c r="G329" s="29" t="str">
        <f>IFERROR(IF(SUMIFS(tblDaily[TransfersOut],tblDaily[EntryDate],DATE(2026,9,11),tblDaily[WardCode],"CW")=0,"",SUMIFS(tblDaily[TransfersOut],tblDaily[EntryDate],DATE(2026,9,11),tblDaily[WardCode],"CW")),"")</f>
        <v/>
      </c>
      <c r="H329" s="29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IFERROR(IF(SUMIFS(tblDaily[Admissions],tblDaily[EntryDate],DATE(2026,9,12),tblDaily[WardCode],"CW")=0,"",SUMIFS(tblDaily[Admissions],tblDaily[EntryDate],DATE(2026,9,12),tblDaily[WardCode],"CW")),"")</f>
        <v/>
      </c>
      <c r="C330" s="29" t="str">
        <f>IFERROR(IF(SUMIFS(tblDaily[Discharges],tblDaily[EntryDate],DATE(2026,9,12),tblDaily[WardCode],"CW")=0,"",SUMIFS(tblDaily[Discharges],tblDaily[EntryDate],DATE(2026,9,12),tblDaily[WardCode],"CW")),"")</f>
        <v/>
      </c>
      <c r="D330" s="29" t="str">
        <f>IFERROR(IF(SUMIFS(tblDaily[Deaths],tblDaily[EntryDate],DATE(2026,9,12),tblDaily[WardCode],"CW")=0,"",SUMIFS(tblDaily[Deaths],tblDaily[EntryDate],DATE(2026,9,12),tblDaily[WardCode],"CW")),"")</f>
        <v/>
      </c>
      <c r="E330" s="29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29" t="str">
        <f>IFERROR(IF(SUMIFS(tblDaily[TransfersIn],tblDaily[EntryDate],DATE(2026,9,12),tblDaily[WardCode],"CW")=0,"",SUMIFS(tblDaily[TransfersIn],tblDaily[EntryDate],DATE(2026,9,12),tblDaily[WardCode],"CW")),"")</f>
        <v/>
      </c>
      <c r="G330" s="29" t="str">
        <f>IFERROR(IF(SUMIFS(tblDaily[TransfersOut],tblDaily[EntryDate],DATE(2026,9,12),tblDaily[WardCode],"CW")=0,"",SUMIFS(tblDaily[TransfersOut],tblDaily[EntryDate],DATE(2026,9,12),tblDaily[WardCode],"CW")),"")</f>
        <v/>
      </c>
      <c r="H330" s="29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IFERROR(IF(SUMIFS(tblDaily[Admissions],tblDaily[EntryDate],DATE(2026,9,13),tblDaily[WardCode],"CW")=0,"",SUMIFS(tblDaily[Admissions],tblDaily[EntryDate],DATE(2026,9,13),tblDaily[WardCode],"CW")),"")</f>
        <v/>
      </c>
      <c r="C331" s="29" t="str">
        <f>IFERROR(IF(SUMIFS(tblDaily[Discharges],tblDaily[EntryDate],DATE(2026,9,13),tblDaily[WardCode],"CW")=0,"",SUMIFS(tblDaily[Discharges],tblDaily[EntryDate],DATE(2026,9,13),tblDaily[WardCode],"CW")),"")</f>
        <v/>
      </c>
      <c r="D331" s="29" t="str">
        <f>IFERROR(IF(SUMIFS(tblDaily[Deaths],tblDaily[EntryDate],DATE(2026,9,13),tblDaily[WardCode],"CW")=0,"",SUMIFS(tblDaily[Deaths],tblDaily[EntryDate],DATE(2026,9,13),tblDaily[WardCode],"CW")),"")</f>
        <v/>
      </c>
      <c r="E331" s="29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29" t="str">
        <f>IFERROR(IF(SUMIFS(tblDaily[TransfersIn],tblDaily[EntryDate],DATE(2026,9,13),tblDaily[WardCode],"CW")=0,"",SUMIFS(tblDaily[TransfersIn],tblDaily[EntryDate],DATE(2026,9,13),tblDaily[WardCode],"CW")),"")</f>
        <v/>
      </c>
      <c r="G331" s="29" t="str">
        <f>IFERROR(IF(SUMIFS(tblDaily[TransfersOut],tblDaily[EntryDate],DATE(2026,9,13),tblDaily[WardCode],"CW")=0,"",SUMIFS(tblDaily[TransfersOut],tblDaily[EntryDate],DATE(2026,9,13),tblDaily[WardCode],"CW")),"")</f>
        <v/>
      </c>
      <c r="H331" s="29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IFERROR(IF(SUMIFS(tblDaily[Admissions],tblDaily[EntryDate],DATE(2026,9,14),tblDaily[WardCode],"CW")=0,"",SUMIFS(tblDaily[Admissions],tblDaily[EntryDate],DATE(2026,9,14),tblDaily[WardCode],"CW")),"")</f>
        <v/>
      </c>
      <c r="C332" s="29" t="str">
        <f>IFERROR(IF(SUMIFS(tblDaily[Discharges],tblDaily[EntryDate],DATE(2026,9,14),tblDaily[WardCode],"CW")=0,"",SUMIFS(tblDaily[Discharges],tblDaily[EntryDate],DATE(2026,9,14),tblDaily[WardCode],"CW")),"")</f>
        <v/>
      </c>
      <c r="D332" s="29" t="str">
        <f>IFERROR(IF(SUMIFS(tblDaily[Deaths],tblDaily[EntryDate],DATE(2026,9,14),tblDaily[WardCode],"CW")=0,"",SUMIFS(tblDaily[Deaths],tblDaily[EntryDate],DATE(2026,9,14),tblDaily[WardCode],"CW")),"")</f>
        <v/>
      </c>
      <c r="E332" s="29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29" t="str">
        <f>IFERROR(IF(SUMIFS(tblDaily[TransfersIn],tblDaily[EntryDate],DATE(2026,9,14),tblDaily[WardCode],"CW")=0,"",SUMIFS(tblDaily[TransfersIn],tblDaily[EntryDate],DATE(2026,9,14),tblDaily[WardCode],"CW")),"")</f>
        <v/>
      </c>
      <c r="G332" s="29" t="str">
        <f>IFERROR(IF(SUMIFS(tblDaily[TransfersOut],tblDaily[EntryDate],DATE(2026,9,14),tblDaily[WardCode],"CW")=0,"",SUMIFS(tblDaily[TransfersOut],tblDaily[EntryDate],DATE(2026,9,14),tblDaily[WardCode],"CW")),"")</f>
        <v/>
      </c>
      <c r="H332" s="29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IFERROR(IF(SUMIFS(tblDaily[Admissions],tblDaily[EntryDate],DATE(2026,9,15),tblDaily[WardCode],"CW")=0,"",SUMIFS(tblDaily[Admissions],tblDaily[EntryDate],DATE(2026,9,15),tblDaily[WardCode],"CW")),"")</f>
        <v/>
      </c>
      <c r="C333" s="29" t="str">
        <f>IFERROR(IF(SUMIFS(tblDaily[Discharges],tblDaily[EntryDate],DATE(2026,9,15),tblDaily[WardCode],"CW")=0,"",SUMIFS(tblDaily[Discharges],tblDaily[EntryDate],DATE(2026,9,15),tblDaily[WardCode],"CW")),"")</f>
        <v/>
      </c>
      <c r="D333" s="29" t="str">
        <f>IFERROR(IF(SUMIFS(tblDaily[Deaths],tblDaily[EntryDate],DATE(2026,9,15),tblDaily[WardCode],"CW")=0,"",SUMIFS(tblDaily[Deaths],tblDaily[EntryDate],DATE(2026,9,15),tblDaily[WardCode],"CW")),"")</f>
        <v/>
      </c>
      <c r="E333" s="29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29" t="str">
        <f>IFERROR(IF(SUMIFS(tblDaily[TransfersIn],tblDaily[EntryDate],DATE(2026,9,15),tblDaily[WardCode],"CW")=0,"",SUMIFS(tblDaily[TransfersIn],tblDaily[EntryDate],DATE(2026,9,15),tblDaily[WardCode],"CW")),"")</f>
        <v/>
      </c>
      <c r="G333" s="29" t="str">
        <f>IFERROR(IF(SUMIFS(tblDaily[TransfersOut],tblDaily[EntryDate],DATE(2026,9,15),tblDaily[WardCode],"CW")=0,"",SUMIFS(tblDaily[TransfersOut],tblDaily[EntryDate],DATE(2026,9,15),tblDaily[WardCode],"CW")),"")</f>
        <v/>
      </c>
      <c r="H333" s="29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IFERROR(IF(SUMIFS(tblDaily[Admissions],tblDaily[EntryDate],DATE(2026,9,16),tblDaily[WardCode],"CW")=0,"",SUMIFS(tblDaily[Admissions],tblDaily[EntryDate],DATE(2026,9,16),tblDaily[WardCode],"CW")),"")</f>
        <v/>
      </c>
      <c r="C334" s="29" t="str">
        <f>IFERROR(IF(SUMIFS(tblDaily[Discharges],tblDaily[EntryDate],DATE(2026,9,16),tblDaily[WardCode],"CW")=0,"",SUMIFS(tblDaily[Discharges],tblDaily[EntryDate],DATE(2026,9,16),tblDaily[WardCode],"CW")),"")</f>
        <v/>
      </c>
      <c r="D334" s="29" t="str">
        <f>IFERROR(IF(SUMIFS(tblDaily[Deaths],tblDaily[EntryDate],DATE(2026,9,16),tblDaily[WardCode],"CW")=0,"",SUMIFS(tblDaily[Deaths],tblDaily[EntryDate],DATE(2026,9,16),tblDaily[WardCode],"CW")),"")</f>
        <v/>
      </c>
      <c r="E334" s="29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29" t="str">
        <f>IFERROR(IF(SUMIFS(tblDaily[TransfersIn],tblDaily[EntryDate],DATE(2026,9,16),tblDaily[WardCode],"CW")=0,"",SUMIFS(tblDaily[TransfersIn],tblDaily[EntryDate],DATE(2026,9,16),tblDaily[WardCode],"CW")),"")</f>
        <v/>
      </c>
      <c r="G334" s="29" t="str">
        <f>IFERROR(IF(SUMIFS(tblDaily[TransfersOut],tblDaily[EntryDate],DATE(2026,9,16),tblDaily[WardCode],"CW")=0,"",SUMIFS(tblDaily[TransfersOut],tblDaily[EntryDate],DATE(2026,9,16),tblDaily[WardCode],"CW")),"")</f>
        <v/>
      </c>
      <c r="H334" s="29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IFERROR(IF(SUMIFS(tblDaily[Admissions],tblDaily[EntryDate],DATE(2026,9,17),tblDaily[WardCode],"CW")=0,"",SUMIFS(tblDaily[Admissions],tblDaily[EntryDate],DATE(2026,9,17),tblDaily[WardCode],"CW")),"")</f>
        <v/>
      </c>
      <c r="C335" s="29" t="str">
        <f>IFERROR(IF(SUMIFS(tblDaily[Discharges],tblDaily[EntryDate],DATE(2026,9,17),tblDaily[WardCode],"CW")=0,"",SUMIFS(tblDaily[Discharges],tblDaily[EntryDate],DATE(2026,9,17),tblDaily[WardCode],"CW")),"")</f>
        <v/>
      </c>
      <c r="D335" s="29" t="str">
        <f>IFERROR(IF(SUMIFS(tblDaily[Deaths],tblDaily[EntryDate],DATE(2026,9,17),tblDaily[WardCode],"CW")=0,"",SUMIFS(tblDaily[Deaths],tblDaily[EntryDate],DATE(2026,9,17),tblDaily[WardCode],"CW")),"")</f>
        <v/>
      </c>
      <c r="E335" s="29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29" t="str">
        <f>IFERROR(IF(SUMIFS(tblDaily[TransfersIn],tblDaily[EntryDate],DATE(2026,9,17),tblDaily[WardCode],"CW")=0,"",SUMIFS(tblDaily[TransfersIn],tblDaily[EntryDate],DATE(2026,9,17),tblDaily[WardCode],"CW")),"")</f>
        <v/>
      </c>
      <c r="G335" s="29" t="str">
        <f>IFERROR(IF(SUMIFS(tblDaily[TransfersOut],tblDaily[EntryDate],DATE(2026,9,17),tblDaily[WardCode],"CW")=0,"",SUMIFS(tblDaily[TransfersOut],tblDaily[EntryDate],DATE(2026,9,17),tblDaily[WardCode],"CW")),"")</f>
        <v/>
      </c>
      <c r="H335" s="29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IFERROR(IF(SUMIFS(tblDaily[Admissions],tblDaily[EntryDate],DATE(2026,9,18),tblDaily[WardCode],"CW")=0,"",SUMIFS(tblDaily[Admissions],tblDaily[EntryDate],DATE(2026,9,18),tblDaily[WardCode],"CW")),"")</f>
        <v/>
      </c>
      <c r="C336" s="29" t="str">
        <f>IFERROR(IF(SUMIFS(tblDaily[Discharges],tblDaily[EntryDate],DATE(2026,9,18),tblDaily[WardCode],"CW")=0,"",SUMIFS(tblDaily[Discharges],tblDaily[EntryDate],DATE(2026,9,18),tblDaily[WardCode],"CW")),"")</f>
        <v/>
      </c>
      <c r="D336" s="29" t="str">
        <f>IFERROR(IF(SUMIFS(tblDaily[Deaths],tblDaily[EntryDate],DATE(2026,9,18),tblDaily[WardCode],"CW")=0,"",SUMIFS(tblDaily[Deaths],tblDaily[EntryDate],DATE(2026,9,18),tblDaily[WardCode],"CW")),"")</f>
        <v/>
      </c>
      <c r="E336" s="29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29" t="str">
        <f>IFERROR(IF(SUMIFS(tblDaily[TransfersIn],tblDaily[EntryDate],DATE(2026,9,18),tblDaily[WardCode],"CW")=0,"",SUMIFS(tblDaily[TransfersIn],tblDaily[EntryDate],DATE(2026,9,18),tblDaily[WardCode],"CW")),"")</f>
        <v/>
      </c>
      <c r="G336" s="29" t="str">
        <f>IFERROR(IF(SUMIFS(tblDaily[TransfersOut],tblDaily[EntryDate],DATE(2026,9,18),tblDaily[WardCode],"CW")=0,"",SUMIFS(tblDaily[TransfersOut],tblDaily[EntryDate],DATE(2026,9,18),tblDaily[WardCode],"CW")),"")</f>
        <v/>
      </c>
      <c r="H336" s="29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IFERROR(IF(SUMIFS(tblDaily[Admissions],tblDaily[EntryDate],DATE(2026,9,19),tblDaily[WardCode],"CW")=0,"",SUMIFS(tblDaily[Admissions],tblDaily[EntryDate],DATE(2026,9,19),tblDaily[WardCode],"CW")),"")</f>
        <v/>
      </c>
      <c r="C337" s="29" t="str">
        <f>IFERROR(IF(SUMIFS(tblDaily[Discharges],tblDaily[EntryDate],DATE(2026,9,19),tblDaily[WardCode],"CW")=0,"",SUMIFS(tblDaily[Discharges],tblDaily[EntryDate],DATE(2026,9,19),tblDaily[WardCode],"CW")),"")</f>
        <v/>
      </c>
      <c r="D337" s="29" t="str">
        <f>IFERROR(IF(SUMIFS(tblDaily[Deaths],tblDaily[EntryDate],DATE(2026,9,19),tblDaily[WardCode],"CW")=0,"",SUMIFS(tblDaily[Deaths],tblDaily[EntryDate],DATE(2026,9,19),tblDaily[WardCode],"CW")),"")</f>
        <v/>
      </c>
      <c r="E337" s="29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29" t="str">
        <f>IFERROR(IF(SUMIFS(tblDaily[TransfersIn],tblDaily[EntryDate],DATE(2026,9,19),tblDaily[WardCode],"CW")=0,"",SUMIFS(tblDaily[TransfersIn],tblDaily[EntryDate],DATE(2026,9,19),tblDaily[WardCode],"CW")),"")</f>
        <v/>
      </c>
      <c r="G337" s="29" t="str">
        <f>IFERROR(IF(SUMIFS(tblDaily[TransfersOut],tblDaily[EntryDate],DATE(2026,9,19),tblDaily[WardCode],"CW")=0,"",SUMIFS(tblDaily[TransfersOut],tblDaily[EntryDate],DATE(2026,9,19),tblDaily[WardCode],"CW")),"")</f>
        <v/>
      </c>
      <c r="H337" s="29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IFERROR(IF(SUMIFS(tblDaily[Admissions],tblDaily[EntryDate],DATE(2026,9,20),tblDaily[WardCode],"CW")=0,"",SUMIFS(tblDaily[Admissions],tblDaily[EntryDate],DATE(2026,9,20),tblDaily[WardCode],"CW")),"")</f>
        <v/>
      </c>
      <c r="C338" s="29" t="str">
        <f>IFERROR(IF(SUMIFS(tblDaily[Discharges],tblDaily[EntryDate],DATE(2026,9,20),tblDaily[WardCode],"CW")=0,"",SUMIFS(tblDaily[Discharges],tblDaily[EntryDate],DATE(2026,9,20),tblDaily[WardCode],"CW")),"")</f>
        <v/>
      </c>
      <c r="D338" s="29" t="str">
        <f>IFERROR(IF(SUMIFS(tblDaily[Deaths],tblDaily[EntryDate],DATE(2026,9,20),tblDaily[WardCode],"CW")=0,"",SUMIFS(tblDaily[Deaths],tblDaily[EntryDate],DATE(2026,9,20),tblDaily[WardCode],"CW")),"")</f>
        <v/>
      </c>
      <c r="E338" s="29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29" t="str">
        <f>IFERROR(IF(SUMIFS(tblDaily[TransfersIn],tblDaily[EntryDate],DATE(2026,9,20),tblDaily[WardCode],"CW")=0,"",SUMIFS(tblDaily[TransfersIn],tblDaily[EntryDate],DATE(2026,9,20),tblDaily[WardCode],"CW")),"")</f>
        <v/>
      </c>
      <c r="G338" s="29" t="str">
        <f>IFERROR(IF(SUMIFS(tblDaily[TransfersOut],tblDaily[EntryDate],DATE(2026,9,20),tblDaily[WardCode],"CW")=0,"",SUMIFS(tblDaily[TransfersOut],tblDaily[EntryDate],DATE(2026,9,20),tblDaily[WardCode],"CW")),"")</f>
        <v/>
      </c>
      <c r="H338" s="29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IFERROR(IF(SUMIFS(tblDaily[Admissions],tblDaily[EntryDate],DATE(2026,9,21),tblDaily[WardCode],"CW")=0,"",SUMIFS(tblDaily[Admissions],tblDaily[EntryDate],DATE(2026,9,21),tblDaily[WardCode],"CW")),"")</f>
        <v/>
      </c>
      <c r="C339" s="29" t="str">
        <f>IFERROR(IF(SUMIFS(tblDaily[Discharges],tblDaily[EntryDate],DATE(2026,9,21),tblDaily[WardCode],"CW")=0,"",SUMIFS(tblDaily[Discharges],tblDaily[EntryDate],DATE(2026,9,21),tblDaily[WardCode],"CW")),"")</f>
        <v/>
      </c>
      <c r="D339" s="29" t="str">
        <f>IFERROR(IF(SUMIFS(tblDaily[Deaths],tblDaily[EntryDate],DATE(2026,9,21),tblDaily[WardCode],"CW")=0,"",SUMIFS(tblDaily[Deaths],tblDaily[EntryDate],DATE(2026,9,21),tblDaily[WardCode],"CW")),"")</f>
        <v/>
      </c>
      <c r="E339" s="29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29" t="str">
        <f>IFERROR(IF(SUMIFS(tblDaily[TransfersIn],tblDaily[EntryDate],DATE(2026,9,21),tblDaily[WardCode],"CW")=0,"",SUMIFS(tblDaily[TransfersIn],tblDaily[EntryDate],DATE(2026,9,21),tblDaily[WardCode],"CW")),"")</f>
        <v/>
      </c>
      <c r="G339" s="29" t="str">
        <f>IFERROR(IF(SUMIFS(tblDaily[TransfersOut],tblDaily[EntryDate],DATE(2026,9,21),tblDaily[WardCode],"CW")=0,"",SUMIFS(tblDaily[TransfersOut],tblDaily[EntryDate],DATE(2026,9,21),tblDaily[WardCode],"CW")),"")</f>
        <v/>
      </c>
      <c r="H339" s="29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IFERROR(IF(SUMIFS(tblDaily[Admissions],tblDaily[EntryDate],DATE(2026,9,22),tblDaily[WardCode],"CW")=0,"",SUMIFS(tblDaily[Admissions],tblDaily[EntryDate],DATE(2026,9,22),tblDaily[WardCode],"CW")),"")</f>
        <v/>
      </c>
      <c r="C340" s="29" t="str">
        <f>IFERROR(IF(SUMIFS(tblDaily[Discharges],tblDaily[EntryDate],DATE(2026,9,22),tblDaily[WardCode],"CW")=0,"",SUMIFS(tblDaily[Discharges],tblDaily[EntryDate],DATE(2026,9,22),tblDaily[WardCode],"CW")),"")</f>
        <v/>
      </c>
      <c r="D340" s="29" t="str">
        <f>IFERROR(IF(SUMIFS(tblDaily[Deaths],tblDaily[EntryDate],DATE(2026,9,22),tblDaily[WardCode],"CW")=0,"",SUMIFS(tblDaily[Deaths],tblDaily[EntryDate],DATE(2026,9,22),tblDaily[WardCode],"CW")),"")</f>
        <v/>
      </c>
      <c r="E340" s="29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29" t="str">
        <f>IFERROR(IF(SUMIFS(tblDaily[TransfersIn],tblDaily[EntryDate],DATE(2026,9,22),tblDaily[WardCode],"CW")=0,"",SUMIFS(tblDaily[TransfersIn],tblDaily[EntryDate],DATE(2026,9,22),tblDaily[WardCode],"CW")),"")</f>
        <v/>
      </c>
      <c r="G340" s="29" t="str">
        <f>IFERROR(IF(SUMIFS(tblDaily[TransfersOut],tblDaily[EntryDate],DATE(2026,9,22),tblDaily[WardCode],"CW")=0,"",SUMIFS(tblDaily[TransfersOut],tblDaily[EntryDate],DATE(2026,9,22),tblDaily[WardCode],"CW")),"")</f>
        <v/>
      </c>
      <c r="H340" s="29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IFERROR(IF(SUMIFS(tblDaily[Admissions],tblDaily[EntryDate],DATE(2026,9,23),tblDaily[WardCode],"CW")=0,"",SUMIFS(tblDaily[Admissions],tblDaily[EntryDate],DATE(2026,9,23),tblDaily[WardCode],"CW")),"")</f>
        <v/>
      </c>
      <c r="C341" s="29" t="str">
        <f>IFERROR(IF(SUMIFS(tblDaily[Discharges],tblDaily[EntryDate],DATE(2026,9,23),tblDaily[WardCode],"CW")=0,"",SUMIFS(tblDaily[Discharges],tblDaily[EntryDate],DATE(2026,9,23),tblDaily[WardCode],"CW")),"")</f>
        <v/>
      </c>
      <c r="D341" s="29" t="str">
        <f>IFERROR(IF(SUMIFS(tblDaily[Deaths],tblDaily[EntryDate],DATE(2026,9,23),tblDaily[WardCode],"CW")=0,"",SUMIFS(tblDaily[Deaths],tblDaily[EntryDate],DATE(2026,9,23),tblDaily[WardCode],"CW")),"")</f>
        <v/>
      </c>
      <c r="E341" s="29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29" t="str">
        <f>IFERROR(IF(SUMIFS(tblDaily[TransfersIn],tblDaily[EntryDate],DATE(2026,9,23),tblDaily[WardCode],"CW")=0,"",SUMIFS(tblDaily[TransfersIn],tblDaily[EntryDate],DATE(2026,9,23),tblDaily[WardCode],"CW")),"")</f>
        <v/>
      </c>
      <c r="G341" s="29" t="str">
        <f>IFERROR(IF(SUMIFS(tblDaily[TransfersOut],tblDaily[EntryDate],DATE(2026,9,23),tblDaily[WardCode],"CW")=0,"",SUMIFS(tblDaily[TransfersOut],tblDaily[EntryDate],DATE(2026,9,23),tblDaily[WardCode],"CW")),"")</f>
        <v/>
      </c>
      <c r="H341" s="29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IFERROR(IF(SUMIFS(tblDaily[Admissions],tblDaily[EntryDate],DATE(2026,9,24),tblDaily[WardCode],"CW")=0,"",SUMIFS(tblDaily[Admissions],tblDaily[EntryDate],DATE(2026,9,24),tblDaily[WardCode],"CW")),"")</f>
        <v/>
      </c>
      <c r="C342" s="29" t="str">
        <f>IFERROR(IF(SUMIFS(tblDaily[Discharges],tblDaily[EntryDate],DATE(2026,9,24),tblDaily[WardCode],"CW")=0,"",SUMIFS(tblDaily[Discharges],tblDaily[EntryDate],DATE(2026,9,24),tblDaily[WardCode],"CW")),"")</f>
        <v/>
      </c>
      <c r="D342" s="29" t="str">
        <f>IFERROR(IF(SUMIFS(tblDaily[Deaths],tblDaily[EntryDate],DATE(2026,9,24),tblDaily[WardCode],"CW")=0,"",SUMIFS(tblDaily[Deaths],tblDaily[EntryDate],DATE(2026,9,24),tblDaily[WardCode],"CW")),"")</f>
        <v/>
      </c>
      <c r="E342" s="29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29" t="str">
        <f>IFERROR(IF(SUMIFS(tblDaily[TransfersIn],tblDaily[EntryDate],DATE(2026,9,24),tblDaily[WardCode],"CW")=0,"",SUMIFS(tblDaily[TransfersIn],tblDaily[EntryDate],DATE(2026,9,24),tblDaily[WardCode],"CW")),"")</f>
        <v/>
      </c>
      <c r="G342" s="29" t="str">
        <f>IFERROR(IF(SUMIFS(tblDaily[TransfersOut],tblDaily[EntryDate],DATE(2026,9,24),tblDaily[WardCode],"CW")=0,"",SUMIFS(tblDaily[TransfersOut],tblDaily[EntryDate],DATE(2026,9,24),tblDaily[WardCode],"CW")),"")</f>
        <v/>
      </c>
      <c r="H342" s="29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IFERROR(IF(SUMIFS(tblDaily[Admissions],tblDaily[EntryDate],DATE(2026,9,25),tblDaily[WardCode],"CW")=0,"",SUMIFS(tblDaily[Admissions],tblDaily[EntryDate],DATE(2026,9,25),tblDaily[WardCode],"CW")),"")</f>
        <v/>
      </c>
      <c r="C343" s="29" t="str">
        <f>IFERROR(IF(SUMIFS(tblDaily[Discharges],tblDaily[EntryDate],DATE(2026,9,25),tblDaily[WardCode],"CW")=0,"",SUMIFS(tblDaily[Discharges],tblDaily[EntryDate],DATE(2026,9,25),tblDaily[WardCode],"CW")),"")</f>
        <v/>
      </c>
      <c r="D343" s="29" t="str">
        <f>IFERROR(IF(SUMIFS(tblDaily[Deaths],tblDaily[EntryDate],DATE(2026,9,25),tblDaily[WardCode],"CW")=0,"",SUMIFS(tblDaily[Deaths],tblDaily[EntryDate],DATE(2026,9,25),tblDaily[WardCode],"CW")),"")</f>
        <v/>
      </c>
      <c r="E343" s="29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29" t="str">
        <f>IFERROR(IF(SUMIFS(tblDaily[TransfersIn],tblDaily[EntryDate],DATE(2026,9,25),tblDaily[WardCode],"CW")=0,"",SUMIFS(tblDaily[TransfersIn],tblDaily[EntryDate],DATE(2026,9,25),tblDaily[WardCode],"CW")),"")</f>
        <v/>
      </c>
      <c r="G343" s="29" t="str">
        <f>IFERROR(IF(SUMIFS(tblDaily[TransfersOut],tblDaily[EntryDate],DATE(2026,9,25),tblDaily[WardCode],"CW")=0,"",SUMIFS(tblDaily[TransfersOut],tblDaily[EntryDate],DATE(2026,9,25),tblDaily[WardCode],"CW")),"")</f>
        <v/>
      </c>
      <c r="H343" s="29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IFERROR(IF(SUMIFS(tblDaily[Admissions],tblDaily[EntryDate],DATE(2026,9,26),tblDaily[WardCode],"CW")=0,"",SUMIFS(tblDaily[Admissions],tblDaily[EntryDate],DATE(2026,9,26),tblDaily[WardCode],"CW")),"")</f>
        <v/>
      </c>
      <c r="C344" s="29" t="str">
        <f>IFERROR(IF(SUMIFS(tblDaily[Discharges],tblDaily[EntryDate],DATE(2026,9,26),tblDaily[WardCode],"CW")=0,"",SUMIFS(tblDaily[Discharges],tblDaily[EntryDate],DATE(2026,9,26),tblDaily[WardCode],"CW")),"")</f>
        <v/>
      </c>
      <c r="D344" s="29" t="str">
        <f>IFERROR(IF(SUMIFS(tblDaily[Deaths],tblDaily[EntryDate],DATE(2026,9,26),tblDaily[WardCode],"CW")=0,"",SUMIFS(tblDaily[Deaths],tblDaily[EntryDate],DATE(2026,9,26),tblDaily[WardCode],"CW")),"")</f>
        <v/>
      </c>
      <c r="E344" s="29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29" t="str">
        <f>IFERROR(IF(SUMIFS(tblDaily[TransfersIn],tblDaily[EntryDate],DATE(2026,9,26),tblDaily[WardCode],"CW")=0,"",SUMIFS(tblDaily[TransfersIn],tblDaily[EntryDate],DATE(2026,9,26),tblDaily[WardCode],"CW")),"")</f>
        <v/>
      </c>
      <c r="G344" s="29" t="str">
        <f>IFERROR(IF(SUMIFS(tblDaily[TransfersOut],tblDaily[EntryDate],DATE(2026,9,26),tblDaily[WardCode],"CW")=0,"",SUMIFS(tblDaily[TransfersOut],tblDaily[EntryDate],DATE(2026,9,26),tblDaily[WardCode],"CW")),"")</f>
        <v/>
      </c>
      <c r="H344" s="29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IFERROR(IF(SUMIFS(tblDaily[Admissions],tblDaily[EntryDate],DATE(2026,9,27),tblDaily[WardCode],"CW")=0,"",SUMIFS(tblDaily[Admissions],tblDaily[EntryDate],DATE(2026,9,27),tblDaily[WardCode],"CW")),"")</f>
        <v/>
      </c>
      <c r="C345" s="29" t="str">
        <f>IFERROR(IF(SUMIFS(tblDaily[Discharges],tblDaily[EntryDate],DATE(2026,9,27),tblDaily[WardCode],"CW")=0,"",SUMIFS(tblDaily[Discharges],tblDaily[EntryDate],DATE(2026,9,27),tblDaily[WardCode],"CW")),"")</f>
        <v/>
      </c>
      <c r="D345" s="29" t="str">
        <f>IFERROR(IF(SUMIFS(tblDaily[Deaths],tblDaily[EntryDate],DATE(2026,9,27),tblDaily[WardCode],"CW")=0,"",SUMIFS(tblDaily[Deaths],tblDaily[EntryDate],DATE(2026,9,27),tblDaily[WardCode],"CW")),"")</f>
        <v/>
      </c>
      <c r="E345" s="29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29" t="str">
        <f>IFERROR(IF(SUMIFS(tblDaily[TransfersIn],tblDaily[EntryDate],DATE(2026,9,27),tblDaily[WardCode],"CW")=0,"",SUMIFS(tblDaily[TransfersIn],tblDaily[EntryDate],DATE(2026,9,27),tblDaily[WardCode],"CW")),"")</f>
        <v/>
      </c>
      <c r="G345" s="29" t="str">
        <f>IFERROR(IF(SUMIFS(tblDaily[TransfersOut],tblDaily[EntryDate],DATE(2026,9,27),tblDaily[WardCode],"CW")=0,"",SUMIFS(tblDaily[TransfersOut],tblDaily[EntryDate],DATE(2026,9,27),tblDaily[WardCode],"CW")),"")</f>
        <v/>
      </c>
      <c r="H345" s="29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IFERROR(IF(SUMIFS(tblDaily[Admissions],tblDaily[EntryDate],DATE(2026,9,28),tblDaily[WardCode],"CW")=0,"",SUMIFS(tblDaily[Admissions],tblDaily[EntryDate],DATE(2026,9,28),tblDaily[WardCode],"CW")),"")</f>
        <v/>
      </c>
      <c r="C346" s="29" t="str">
        <f>IFERROR(IF(SUMIFS(tblDaily[Discharges],tblDaily[EntryDate],DATE(2026,9,28),tblDaily[WardCode],"CW")=0,"",SUMIFS(tblDaily[Discharges],tblDaily[EntryDate],DATE(2026,9,28),tblDaily[WardCode],"CW")),"")</f>
        <v/>
      </c>
      <c r="D346" s="29" t="str">
        <f>IFERROR(IF(SUMIFS(tblDaily[Deaths],tblDaily[EntryDate],DATE(2026,9,28),tblDaily[WardCode],"CW")=0,"",SUMIFS(tblDaily[Deaths],tblDaily[EntryDate],DATE(2026,9,28),tblDaily[WardCode],"CW")),"")</f>
        <v/>
      </c>
      <c r="E346" s="29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29" t="str">
        <f>IFERROR(IF(SUMIFS(tblDaily[TransfersIn],tblDaily[EntryDate],DATE(2026,9,28),tblDaily[WardCode],"CW")=0,"",SUMIFS(tblDaily[TransfersIn],tblDaily[EntryDate],DATE(2026,9,28),tblDaily[WardCode],"CW")),"")</f>
        <v/>
      </c>
      <c r="G346" s="29" t="str">
        <f>IFERROR(IF(SUMIFS(tblDaily[TransfersOut],tblDaily[EntryDate],DATE(2026,9,28),tblDaily[WardCode],"CW")=0,"",SUMIFS(tblDaily[TransfersOut],tblDaily[EntryDate],DATE(2026,9,28),tblDaily[WardCode],"CW")),"")</f>
        <v/>
      </c>
      <c r="H346" s="29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IFERROR(IF(SUMIFS(tblDaily[Admissions],tblDaily[EntryDate],DATE(2026,9,29),tblDaily[WardCode],"CW")=0,"",SUMIFS(tblDaily[Admissions],tblDaily[EntryDate],DATE(2026,9,29),tblDaily[WardCode],"CW")),"")</f>
        <v/>
      </c>
      <c r="C347" s="29" t="str">
        <f>IFERROR(IF(SUMIFS(tblDaily[Discharges],tblDaily[EntryDate],DATE(2026,9,29),tblDaily[WardCode],"CW")=0,"",SUMIFS(tblDaily[Discharges],tblDaily[EntryDate],DATE(2026,9,29),tblDaily[WardCode],"CW")),"")</f>
        <v/>
      </c>
      <c r="D347" s="29" t="str">
        <f>IFERROR(IF(SUMIFS(tblDaily[Deaths],tblDaily[EntryDate],DATE(2026,9,29),tblDaily[WardCode],"CW")=0,"",SUMIFS(tblDaily[Deaths],tblDaily[EntryDate],DATE(2026,9,29),tblDaily[WardCode],"CW")),"")</f>
        <v/>
      </c>
      <c r="E347" s="29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29" t="str">
        <f>IFERROR(IF(SUMIFS(tblDaily[TransfersIn],tblDaily[EntryDate],DATE(2026,9,29),tblDaily[WardCode],"CW")=0,"",SUMIFS(tblDaily[TransfersIn],tblDaily[EntryDate],DATE(2026,9,29),tblDaily[WardCode],"CW")),"")</f>
        <v/>
      </c>
      <c r="G347" s="29" t="str">
        <f>IFERROR(IF(SUMIFS(tblDaily[TransfersOut],tblDaily[EntryDate],DATE(2026,9,29),tblDaily[WardCode],"CW")=0,"",SUMIFS(tblDaily[TransfersOut],tblDaily[EntryDate],DATE(2026,9,29),tblDaily[WardCode],"CW")),"")</f>
        <v/>
      </c>
      <c r="H347" s="29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IFERROR(IF(SUMIFS(tblDaily[Admissions],tblDaily[EntryDate],DATE(2026,9,30),tblDaily[WardCode],"CW")=0,"",SUMIFS(tblDaily[Admissions],tblDaily[EntryDate],DATE(2026,9,30),tblDaily[WardCode],"CW")),"")</f>
        <v/>
      </c>
      <c r="C348" s="29" t="str">
        <f>IFERROR(IF(SUMIFS(tblDaily[Discharges],tblDaily[EntryDate],DATE(2026,9,30),tblDaily[WardCode],"CW")=0,"",SUMIFS(tblDaily[Discharges],tblDaily[EntryDate],DATE(2026,9,30),tblDaily[WardCode],"CW")),"")</f>
        <v/>
      </c>
      <c r="D348" s="29" t="str">
        <f>IFERROR(IF(SUMIFS(tblDaily[Deaths],tblDaily[EntryDate],DATE(2026,9,30),tblDaily[WardCode],"CW")=0,"",SUMIFS(tblDaily[Deaths],tblDaily[EntryDate],DATE(2026,9,30),tblDaily[WardCode],"CW")),"")</f>
        <v/>
      </c>
      <c r="E348" s="29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29" t="str">
        <f>IFERROR(IF(SUMIFS(tblDaily[TransfersIn],tblDaily[EntryDate],DATE(2026,9,30),tblDaily[WardCode],"CW")=0,"",SUMIFS(tblDaily[TransfersIn],tblDaily[EntryDate],DATE(2026,9,30),tblDaily[WardCode],"CW")),"")</f>
        <v/>
      </c>
      <c r="G348" s="29" t="str">
        <f>IFERROR(IF(SUMIFS(tblDaily[TransfersOut],tblDaily[EntryDate],DATE(2026,9,30),tblDaily[WardCode],"CW")=0,"",SUMIFS(tblDaily[TransfersOut],tblDaily[EntryDate],DATE(2026,9,30),tblDaily[WardCode],"CW")),"")</f>
        <v/>
      </c>
      <c r="H348" s="29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SUMIFS(tblDaily[Admissions],tblDaily[Month],9,tblDaily[WardCode],"CW") - SUMIFS(tblDaily[DeathsUnder24Hrs],tblDaily[Month],9,tblDaily[WardCode],"CW")</f>
        <v>0</v>
      </c>
      <c r="C350" s="30">
        <f>SUMIFS(tblDaily[Discharges],tblDaily[Month],9,tblDaily[WardCode],"CW")</f>
        <v>0</v>
      </c>
      <c r="D350" s="30">
        <f>SUMIFS(tblDaily[Deaths],tblDaily[Month],9,tblDaily[WardCode],"CW")</f>
        <v>0</v>
      </c>
      <c r="E350" s="30">
        <f>SUMIFS(tblDaily[DeathsUnder24Hrs],tblDaily[Month],9,tblDaily[WardCode],"CW")</f>
        <v>0</v>
      </c>
      <c r="F350" s="30">
        <f>SUMIFS(tblDaily[TransfersIn],tblDaily[Month],9,tblDaily[WardCode],"CW")</f>
        <v>0</v>
      </c>
      <c r="G350" s="30">
        <f>SUMIFS(tblDaily[TransfersOut],tblDaily[Month],9,tblDaily[WardCode],"CW")</f>
        <v>0</v>
      </c>
      <c r="H350" s="30">
        <f>SUMIFS(tblDaily[Remaining],tblDaily[Month],9,tblDaily[WardCode],"CW")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117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IFERROR(SUMIFS(tblDaily[Remaining],tblDaily[EntryDate],DATE(2026,9,30),tblDaily[WardCode],"CW"),0)</f>
        <v>0</v>
      </c>
    </row>
    <row r="356" spans="1:8" x14ac:dyDescent="0.25">
      <c r="A356" s="24" t="s">
        <v>109</v>
      </c>
      <c r="H356" s="27">
        <f>IFERROR(INDEX(tblWardConfig[BedComplement],MATCH("CW",tblWardConfig[WardCode],0)),0)</f>
        <v>27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IFERROR(IF(SUMIFS(tblDaily[Admissions],tblDaily[EntryDate],DATE(2026,10,1),tblDaily[WardCode],"CW")=0,"",SUMIFS(tblDaily[Admissions],tblDaily[EntryDate],DATE(2026,10,1),tblDaily[WardCode],"CW")),"")</f>
        <v/>
      </c>
      <c r="C358" s="29" t="str">
        <f>IFERROR(IF(SUMIFS(tblDaily[Discharges],tblDaily[EntryDate],DATE(2026,10,1),tblDaily[WardCode],"CW")=0,"",SUMIFS(tblDaily[Discharges],tblDaily[EntryDate],DATE(2026,10,1),tblDaily[WardCode],"CW")),"")</f>
        <v/>
      </c>
      <c r="D358" s="29" t="str">
        <f>IFERROR(IF(SUMIFS(tblDaily[Deaths],tblDaily[EntryDate],DATE(2026,10,1),tblDaily[WardCode],"CW")=0,"",SUMIFS(tblDaily[Deaths],tblDaily[EntryDate],DATE(2026,10,1),tblDaily[WardCode],"CW")),"")</f>
        <v/>
      </c>
      <c r="E358" s="29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29" t="str">
        <f>IFERROR(IF(SUMIFS(tblDaily[TransfersIn],tblDaily[EntryDate],DATE(2026,10,1),tblDaily[WardCode],"CW")=0,"",SUMIFS(tblDaily[TransfersIn],tblDaily[EntryDate],DATE(2026,10,1),tblDaily[WardCode],"CW")),"")</f>
        <v/>
      </c>
      <c r="G358" s="29" t="str">
        <f>IFERROR(IF(SUMIFS(tblDaily[TransfersOut],tblDaily[EntryDate],DATE(2026,10,1),tblDaily[WardCode],"CW")=0,"",SUMIFS(tblDaily[TransfersOut],tblDaily[EntryDate],DATE(2026,10,1),tblDaily[WardCode],"CW")),"")</f>
        <v/>
      </c>
      <c r="H358" s="29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IFERROR(IF(SUMIFS(tblDaily[Admissions],tblDaily[EntryDate],DATE(2026,10,2),tblDaily[WardCode],"CW")=0,"",SUMIFS(tblDaily[Admissions],tblDaily[EntryDate],DATE(2026,10,2),tblDaily[WardCode],"CW")),"")</f>
        <v/>
      </c>
      <c r="C359" s="29" t="str">
        <f>IFERROR(IF(SUMIFS(tblDaily[Discharges],tblDaily[EntryDate],DATE(2026,10,2),tblDaily[WardCode],"CW")=0,"",SUMIFS(tblDaily[Discharges],tblDaily[EntryDate],DATE(2026,10,2),tblDaily[WardCode],"CW")),"")</f>
        <v/>
      </c>
      <c r="D359" s="29" t="str">
        <f>IFERROR(IF(SUMIFS(tblDaily[Deaths],tblDaily[EntryDate],DATE(2026,10,2),tblDaily[WardCode],"CW")=0,"",SUMIFS(tblDaily[Deaths],tblDaily[EntryDate],DATE(2026,10,2),tblDaily[WardCode],"CW")),"")</f>
        <v/>
      </c>
      <c r="E359" s="29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29" t="str">
        <f>IFERROR(IF(SUMIFS(tblDaily[TransfersIn],tblDaily[EntryDate],DATE(2026,10,2),tblDaily[WardCode],"CW")=0,"",SUMIFS(tblDaily[TransfersIn],tblDaily[EntryDate],DATE(2026,10,2),tblDaily[WardCode],"CW")),"")</f>
        <v/>
      </c>
      <c r="G359" s="29" t="str">
        <f>IFERROR(IF(SUMIFS(tblDaily[TransfersOut],tblDaily[EntryDate],DATE(2026,10,2),tblDaily[WardCode],"CW")=0,"",SUMIFS(tblDaily[TransfersOut],tblDaily[EntryDate],DATE(2026,10,2),tblDaily[WardCode],"CW")),"")</f>
        <v/>
      </c>
      <c r="H359" s="29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IFERROR(IF(SUMIFS(tblDaily[Admissions],tblDaily[EntryDate],DATE(2026,10,3),tblDaily[WardCode],"CW")=0,"",SUMIFS(tblDaily[Admissions],tblDaily[EntryDate],DATE(2026,10,3),tblDaily[WardCode],"CW")),"")</f>
        <v/>
      </c>
      <c r="C360" s="29" t="str">
        <f>IFERROR(IF(SUMIFS(tblDaily[Discharges],tblDaily[EntryDate],DATE(2026,10,3),tblDaily[WardCode],"CW")=0,"",SUMIFS(tblDaily[Discharges],tblDaily[EntryDate],DATE(2026,10,3),tblDaily[WardCode],"CW")),"")</f>
        <v/>
      </c>
      <c r="D360" s="29" t="str">
        <f>IFERROR(IF(SUMIFS(tblDaily[Deaths],tblDaily[EntryDate],DATE(2026,10,3),tblDaily[WardCode],"CW")=0,"",SUMIFS(tblDaily[Deaths],tblDaily[EntryDate],DATE(2026,10,3),tblDaily[WardCode],"CW")),"")</f>
        <v/>
      </c>
      <c r="E360" s="29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29" t="str">
        <f>IFERROR(IF(SUMIFS(tblDaily[TransfersIn],tblDaily[EntryDate],DATE(2026,10,3),tblDaily[WardCode],"CW")=0,"",SUMIFS(tblDaily[TransfersIn],tblDaily[EntryDate],DATE(2026,10,3),tblDaily[WardCode],"CW")),"")</f>
        <v/>
      </c>
      <c r="G360" s="29" t="str">
        <f>IFERROR(IF(SUMIFS(tblDaily[TransfersOut],tblDaily[EntryDate],DATE(2026,10,3),tblDaily[WardCode],"CW")=0,"",SUMIFS(tblDaily[TransfersOut],tblDaily[EntryDate],DATE(2026,10,3),tblDaily[WardCode],"CW")),"")</f>
        <v/>
      </c>
      <c r="H360" s="29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IFERROR(IF(SUMIFS(tblDaily[Admissions],tblDaily[EntryDate],DATE(2026,10,4),tblDaily[WardCode],"CW")=0,"",SUMIFS(tblDaily[Admissions],tblDaily[EntryDate],DATE(2026,10,4),tblDaily[WardCode],"CW")),"")</f>
        <v/>
      </c>
      <c r="C361" s="29" t="str">
        <f>IFERROR(IF(SUMIFS(tblDaily[Discharges],tblDaily[EntryDate],DATE(2026,10,4),tblDaily[WardCode],"CW")=0,"",SUMIFS(tblDaily[Discharges],tblDaily[EntryDate],DATE(2026,10,4),tblDaily[WardCode],"CW")),"")</f>
        <v/>
      </c>
      <c r="D361" s="29" t="str">
        <f>IFERROR(IF(SUMIFS(tblDaily[Deaths],tblDaily[EntryDate],DATE(2026,10,4),tblDaily[WardCode],"CW")=0,"",SUMIFS(tblDaily[Deaths],tblDaily[EntryDate],DATE(2026,10,4),tblDaily[WardCode],"CW")),"")</f>
        <v/>
      </c>
      <c r="E361" s="29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29" t="str">
        <f>IFERROR(IF(SUMIFS(tblDaily[TransfersIn],tblDaily[EntryDate],DATE(2026,10,4),tblDaily[WardCode],"CW")=0,"",SUMIFS(tblDaily[TransfersIn],tblDaily[EntryDate],DATE(2026,10,4),tblDaily[WardCode],"CW")),"")</f>
        <v/>
      </c>
      <c r="G361" s="29" t="str">
        <f>IFERROR(IF(SUMIFS(tblDaily[TransfersOut],tblDaily[EntryDate],DATE(2026,10,4),tblDaily[WardCode],"CW")=0,"",SUMIFS(tblDaily[TransfersOut],tblDaily[EntryDate],DATE(2026,10,4),tblDaily[WardCode],"CW")),"")</f>
        <v/>
      </c>
      <c r="H361" s="29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IFERROR(IF(SUMIFS(tblDaily[Admissions],tblDaily[EntryDate],DATE(2026,10,5),tblDaily[WardCode],"CW")=0,"",SUMIFS(tblDaily[Admissions],tblDaily[EntryDate],DATE(2026,10,5),tblDaily[WardCode],"CW")),"")</f>
        <v/>
      </c>
      <c r="C362" s="29" t="str">
        <f>IFERROR(IF(SUMIFS(tblDaily[Discharges],tblDaily[EntryDate],DATE(2026,10,5),tblDaily[WardCode],"CW")=0,"",SUMIFS(tblDaily[Discharges],tblDaily[EntryDate],DATE(2026,10,5),tblDaily[WardCode],"CW")),"")</f>
        <v/>
      </c>
      <c r="D362" s="29" t="str">
        <f>IFERROR(IF(SUMIFS(tblDaily[Deaths],tblDaily[EntryDate],DATE(2026,10,5),tblDaily[WardCode],"CW")=0,"",SUMIFS(tblDaily[Deaths],tblDaily[EntryDate],DATE(2026,10,5),tblDaily[WardCode],"CW")),"")</f>
        <v/>
      </c>
      <c r="E362" s="29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29" t="str">
        <f>IFERROR(IF(SUMIFS(tblDaily[TransfersIn],tblDaily[EntryDate],DATE(2026,10,5),tblDaily[WardCode],"CW")=0,"",SUMIFS(tblDaily[TransfersIn],tblDaily[EntryDate],DATE(2026,10,5),tblDaily[WardCode],"CW")),"")</f>
        <v/>
      </c>
      <c r="G362" s="29" t="str">
        <f>IFERROR(IF(SUMIFS(tblDaily[TransfersOut],tblDaily[EntryDate],DATE(2026,10,5),tblDaily[WardCode],"CW")=0,"",SUMIFS(tblDaily[TransfersOut],tblDaily[EntryDate],DATE(2026,10,5),tblDaily[WardCode],"CW")),"")</f>
        <v/>
      </c>
      <c r="H362" s="29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IFERROR(IF(SUMIFS(tblDaily[Admissions],tblDaily[EntryDate],DATE(2026,10,6),tblDaily[WardCode],"CW")=0,"",SUMIFS(tblDaily[Admissions],tblDaily[EntryDate],DATE(2026,10,6),tblDaily[WardCode],"CW")),"")</f>
        <v/>
      </c>
      <c r="C363" s="29" t="str">
        <f>IFERROR(IF(SUMIFS(tblDaily[Discharges],tblDaily[EntryDate],DATE(2026,10,6),tblDaily[WardCode],"CW")=0,"",SUMIFS(tblDaily[Discharges],tblDaily[EntryDate],DATE(2026,10,6),tblDaily[WardCode],"CW")),"")</f>
        <v/>
      </c>
      <c r="D363" s="29" t="str">
        <f>IFERROR(IF(SUMIFS(tblDaily[Deaths],tblDaily[EntryDate],DATE(2026,10,6),tblDaily[WardCode],"CW")=0,"",SUMIFS(tblDaily[Deaths],tblDaily[EntryDate],DATE(2026,10,6),tblDaily[WardCode],"CW")),"")</f>
        <v/>
      </c>
      <c r="E363" s="29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29" t="str">
        <f>IFERROR(IF(SUMIFS(tblDaily[TransfersIn],tblDaily[EntryDate],DATE(2026,10,6),tblDaily[WardCode],"CW")=0,"",SUMIFS(tblDaily[TransfersIn],tblDaily[EntryDate],DATE(2026,10,6),tblDaily[WardCode],"CW")),"")</f>
        <v/>
      </c>
      <c r="G363" s="29" t="str">
        <f>IFERROR(IF(SUMIFS(tblDaily[TransfersOut],tblDaily[EntryDate],DATE(2026,10,6),tblDaily[WardCode],"CW")=0,"",SUMIFS(tblDaily[TransfersOut],tblDaily[EntryDate],DATE(2026,10,6),tblDaily[WardCode],"CW")),"")</f>
        <v/>
      </c>
      <c r="H363" s="29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IFERROR(IF(SUMIFS(tblDaily[Admissions],tblDaily[EntryDate],DATE(2026,10,7),tblDaily[WardCode],"CW")=0,"",SUMIFS(tblDaily[Admissions],tblDaily[EntryDate],DATE(2026,10,7),tblDaily[WardCode],"CW")),"")</f>
        <v/>
      </c>
      <c r="C364" s="29" t="str">
        <f>IFERROR(IF(SUMIFS(tblDaily[Discharges],tblDaily[EntryDate],DATE(2026,10,7),tblDaily[WardCode],"CW")=0,"",SUMIFS(tblDaily[Discharges],tblDaily[EntryDate],DATE(2026,10,7),tblDaily[WardCode],"CW")),"")</f>
        <v/>
      </c>
      <c r="D364" s="29" t="str">
        <f>IFERROR(IF(SUMIFS(tblDaily[Deaths],tblDaily[EntryDate],DATE(2026,10,7),tblDaily[WardCode],"CW")=0,"",SUMIFS(tblDaily[Deaths],tblDaily[EntryDate],DATE(2026,10,7),tblDaily[WardCode],"CW")),"")</f>
        <v/>
      </c>
      <c r="E364" s="29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29" t="str">
        <f>IFERROR(IF(SUMIFS(tblDaily[TransfersIn],tblDaily[EntryDate],DATE(2026,10,7),tblDaily[WardCode],"CW")=0,"",SUMIFS(tblDaily[TransfersIn],tblDaily[EntryDate],DATE(2026,10,7),tblDaily[WardCode],"CW")),"")</f>
        <v/>
      </c>
      <c r="G364" s="29" t="str">
        <f>IFERROR(IF(SUMIFS(tblDaily[TransfersOut],tblDaily[EntryDate],DATE(2026,10,7),tblDaily[WardCode],"CW")=0,"",SUMIFS(tblDaily[TransfersOut],tblDaily[EntryDate],DATE(2026,10,7),tblDaily[WardCode],"CW")),"")</f>
        <v/>
      </c>
      <c r="H364" s="29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IFERROR(IF(SUMIFS(tblDaily[Admissions],tblDaily[EntryDate],DATE(2026,10,8),tblDaily[WardCode],"CW")=0,"",SUMIFS(tblDaily[Admissions],tblDaily[EntryDate],DATE(2026,10,8),tblDaily[WardCode],"CW")),"")</f>
        <v/>
      </c>
      <c r="C365" s="29" t="str">
        <f>IFERROR(IF(SUMIFS(tblDaily[Discharges],tblDaily[EntryDate],DATE(2026,10,8),tblDaily[WardCode],"CW")=0,"",SUMIFS(tblDaily[Discharges],tblDaily[EntryDate],DATE(2026,10,8),tblDaily[WardCode],"CW")),"")</f>
        <v/>
      </c>
      <c r="D365" s="29" t="str">
        <f>IFERROR(IF(SUMIFS(tblDaily[Deaths],tblDaily[EntryDate],DATE(2026,10,8),tblDaily[WardCode],"CW")=0,"",SUMIFS(tblDaily[Deaths],tblDaily[EntryDate],DATE(2026,10,8),tblDaily[WardCode],"CW")),"")</f>
        <v/>
      </c>
      <c r="E365" s="29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29" t="str">
        <f>IFERROR(IF(SUMIFS(tblDaily[TransfersIn],tblDaily[EntryDate],DATE(2026,10,8),tblDaily[WardCode],"CW")=0,"",SUMIFS(tblDaily[TransfersIn],tblDaily[EntryDate],DATE(2026,10,8),tblDaily[WardCode],"CW")),"")</f>
        <v/>
      </c>
      <c r="G365" s="29" t="str">
        <f>IFERROR(IF(SUMIFS(tblDaily[TransfersOut],tblDaily[EntryDate],DATE(2026,10,8),tblDaily[WardCode],"CW")=0,"",SUMIFS(tblDaily[TransfersOut],tblDaily[EntryDate],DATE(2026,10,8),tblDaily[WardCode],"CW")),"")</f>
        <v/>
      </c>
      <c r="H365" s="29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IFERROR(IF(SUMIFS(tblDaily[Admissions],tblDaily[EntryDate],DATE(2026,10,9),tblDaily[WardCode],"CW")=0,"",SUMIFS(tblDaily[Admissions],tblDaily[EntryDate],DATE(2026,10,9),tblDaily[WardCode],"CW")),"")</f>
        <v/>
      </c>
      <c r="C366" s="29" t="str">
        <f>IFERROR(IF(SUMIFS(tblDaily[Discharges],tblDaily[EntryDate],DATE(2026,10,9),tblDaily[WardCode],"CW")=0,"",SUMIFS(tblDaily[Discharges],tblDaily[EntryDate],DATE(2026,10,9),tblDaily[WardCode],"CW")),"")</f>
        <v/>
      </c>
      <c r="D366" s="29" t="str">
        <f>IFERROR(IF(SUMIFS(tblDaily[Deaths],tblDaily[EntryDate],DATE(2026,10,9),tblDaily[WardCode],"CW")=0,"",SUMIFS(tblDaily[Deaths],tblDaily[EntryDate],DATE(2026,10,9),tblDaily[WardCode],"CW")),"")</f>
        <v/>
      </c>
      <c r="E366" s="29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29" t="str">
        <f>IFERROR(IF(SUMIFS(tblDaily[TransfersIn],tblDaily[EntryDate],DATE(2026,10,9),tblDaily[WardCode],"CW")=0,"",SUMIFS(tblDaily[TransfersIn],tblDaily[EntryDate],DATE(2026,10,9),tblDaily[WardCode],"CW")),"")</f>
        <v/>
      </c>
      <c r="G366" s="29" t="str">
        <f>IFERROR(IF(SUMIFS(tblDaily[TransfersOut],tblDaily[EntryDate],DATE(2026,10,9),tblDaily[WardCode],"CW")=0,"",SUMIFS(tblDaily[TransfersOut],tblDaily[EntryDate],DATE(2026,10,9),tblDaily[WardCode],"CW")),"")</f>
        <v/>
      </c>
      <c r="H366" s="29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IFERROR(IF(SUMIFS(tblDaily[Admissions],tblDaily[EntryDate],DATE(2026,10,10),tblDaily[WardCode],"CW")=0,"",SUMIFS(tblDaily[Admissions],tblDaily[EntryDate],DATE(2026,10,10),tblDaily[WardCode],"CW")),"")</f>
        <v/>
      </c>
      <c r="C367" s="29" t="str">
        <f>IFERROR(IF(SUMIFS(tblDaily[Discharges],tblDaily[EntryDate],DATE(2026,10,10),tblDaily[WardCode],"CW")=0,"",SUMIFS(tblDaily[Discharges],tblDaily[EntryDate],DATE(2026,10,10),tblDaily[WardCode],"CW")),"")</f>
        <v/>
      </c>
      <c r="D367" s="29" t="str">
        <f>IFERROR(IF(SUMIFS(tblDaily[Deaths],tblDaily[EntryDate],DATE(2026,10,10),tblDaily[WardCode],"CW")=0,"",SUMIFS(tblDaily[Deaths],tblDaily[EntryDate],DATE(2026,10,10),tblDaily[WardCode],"CW")),"")</f>
        <v/>
      </c>
      <c r="E367" s="29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29" t="str">
        <f>IFERROR(IF(SUMIFS(tblDaily[TransfersIn],tblDaily[EntryDate],DATE(2026,10,10),tblDaily[WardCode],"CW")=0,"",SUMIFS(tblDaily[TransfersIn],tblDaily[EntryDate],DATE(2026,10,10),tblDaily[WardCode],"CW")),"")</f>
        <v/>
      </c>
      <c r="G367" s="29" t="str">
        <f>IFERROR(IF(SUMIFS(tblDaily[TransfersOut],tblDaily[EntryDate],DATE(2026,10,10),tblDaily[WardCode],"CW")=0,"",SUMIFS(tblDaily[TransfersOut],tblDaily[EntryDate],DATE(2026,10,10),tblDaily[WardCode],"CW")),"")</f>
        <v/>
      </c>
      <c r="H367" s="29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IFERROR(IF(SUMIFS(tblDaily[Admissions],tblDaily[EntryDate],DATE(2026,10,11),tblDaily[WardCode],"CW")=0,"",SUMIFS(tblDaily[Admissions],tblDaily[EntryDate],DATE(2026,10,11),tblDaily[WardCode],"CW")),"")</f>
        <v/>
      </c>
      <c r="C368" s="29" t="str">
        <f>IFERROR(IF(SUMIFS(tblDaily[Discharges],tblDaily[EntryDate],DATE(2026,10,11),tblDaily[WardCode],"CW")=0,"",SUMIFS(tblDaily[Discharges],tblDaily[EntryDate],DATE(2026,10,11),tblDaily[WardCode],"CW")),"")</f>
        <v/>
      </c>
      <c r="D368" s="29" t="str">
        <f>IFERROR(IF(SUMIFS(tblDaily[Deaths],tblDaily[EntryDate],DATE(2026,10,11),tblDaily[WardCode],"CW")=0,"",SUMIFS(tblDaily[Deaths],tblDaily[EntryDate],DATE(2026,10,11),tblDaily[WardCode],"CW")),"")</f>
        <v/>
      </c>
      <c r="E368" s="29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29" t="str">
        <f>IFERROR(IF(SUMIFS(tblDaily[TransfersIn],tblDaily[EntryDate],DATE(2026,10,11),tblDaily[WardCode],"CW")=0,"",SUMIFS(tblDaily[TransfersIn],tblDaily[EntryDate],DATE(2026,10,11),tblDaily[WardCode],"CW")),"")</f>
        <v/>
      </c>
      <c r="G368" s="29" t="str">
        <f>IFERROR(IF(SUMIFS(tblDaily[TransfersOut],tblDaily[EntryDate],DATE(2026,10,11),tblDaily[WardCode],"CW")=0,"",SUMIFS(tblDaily[TransfersOut],tblDaily[EntryDate],DATE(2026,10,11),tblDaily[WardCode],"CW")),"")</f>
        <v/>
      </c>
      <c r="H368" s="29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IFERROR(IF(SUMIFS(tblDaily[Admissions],tblDaily[EntryDate],DATE(2026,10,12),tblDaily[WardCode],"CW")=0,"",SUMIFS(tblDaily[Admissions],tblDaily[EntryDate],DATE(2026,10,12),tblDaily[WardCode],"CW")),"")</f>
        <v/>
      </c>
      <c r="C369" s="29" t="str">
        <f>IFERROR(IF(SUMIFS(tblDaily[Discharges],tblDaily[EntryDate],DATE(2026,10,12),tblDaily[WardCode],"CW")=0,"",SUMIFS(tblDaily[Discharges],tblDaily[EntryDate],DATE(2026,10,12),tblDaily[WardCode],"CW")),"")</f>
        <v/>
      </c>
      <c r="D369" s="29" t="str">
        <f>IFERROR(IF(SUMIFS(tblDaily[Deaths],tblDaily[EntryDate],DATE(2026,10,12),tblDaily[WardCode],"CW")=0,"",SUMIFS(tblDaily[Deaths],tblDaily[EntryDate],DATE(2026,10,12),tblDaily[WardCode],"CW")),"")</f>
        <v/>
      </c>
      <c r="E369" s="29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29" t="str">
        <f>IFERROR(IF(SUMIFS(tblDaily[TransfersIn],tblDaily[EntryDate],DATE(2026,10,12),tblDaily[WardCode],"CW")=0,"",SUMIFS(tblDaily[TransfersIn],tblDaily[EntryDate],DATE(2026,10,12),tblDaily[WardCode],"CW")),"")</f>
        <v/>
      </c>
      <c r="G369" s="29" t="str">
        <f>IFERROR(IF(SUMIFS(tblDaily[TransfersOut],tblDaily[EntryDate],DATE(2026,10,12),tblDaily[WardCode],"CW")=0,"",SUMIFS(tblDaily[TransfersOut],tblDaily[EntryDate],DATE(2026,10,12),tblDaily[WardCode],"CW")),"")</f>
        <v/>
      </c>
      <c r="H369" s="29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IFERROR(IF(SUMIFS(tblDaily[Admissions],tblDaily[EntryDate],DATE(2026,10,13),tblDaily[WardCode],"CW")=0,"",SUMIFS(tblDaily[Admissions],tblDaily[EntryDate],DATE(2026,10,13),tblDaily[WardCode],"CW")),"")</f>
        <v/>
      </c>
      <c r="C370" s="29" t="str">
        <f>IFERROR(IF(SUMIFS(tblDaily[Discharges],tblDaily[EntryDate],DATE(2026,10,13),tblDaily[WardCode],"CW")=0,"",SUMIFS(tblDaily[Discharges],tblDaily[EntryDate],DATE(2026,10,13),tblDaily[WardCode],"CW")),"")</f>
        <v/>
      </c>
      <c r="D370" s="29" t="str">
        <f>IFERROR(IF(SUMIFS(tblDaily[Deaths],tblDaily[EntryDate],DATE(2026,10,13),tblDaily[WardCode],"CW")=0,"",SUMIFS(tblDaily[Deaths],tblDaily[EntryDate],DATE(2026,10,13),tblDaily[WardCode],"CW")),"")</f>
        <v/>
      </c>
      <c r="E370" s="29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29" t="str">
        <f>IFERROR(IF(SUMIFS(tblDaily[TransfersIn],tblDaily[EntryDate],DATE(2026,10,13),tblDaily[WardCode],"CW")=0,"",SUMIFS(tblDaily[TransfersIn],tblDaily[EntryDate],DATE(2026,10,13),tblDaily[WardCode],"CW")),"")</f>
        <v/>
      </c>
      <c r="G370" s="29" t="str">
        <f>IFERROR(IF(SUMIFS(tblDaily[TransfersOut],tblDaily[EntryDate],DATE(2026,10,13),tblDaily[WardCode],"CW")=0,"",SUMIFS(tblDaily[TransfersOut],tblDaily[EntryDate],DATE(2026,10,13),tblDaily[WardCode],"CW")),"")</f>
        <v/>
      </c>
      <c r="H370" s="29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IFERROR(IF(SUMIFS(tblDaily[Admissions],tblDaily[EntryDate],DATE(2026,10,14),tblDaily[WardCode],"CW")=0,"",SUMIFS(tblDaily[Admissions],tblDaily[EntryDate],DATE(2026,10,14),tblDaily[WardCode],"CW")),"")</f>
        <v/>
      </c>
      <c r="C371" s="29" t="str">
        <f>IFERROR(IF(SUMIFS(tblDaily[Discharges],tblDaily[EntryDate],DATE(2026,10,14),tblDaily[WardCode],"CW")=0,"",SUMIFS(tblDaily[Discharges],tblDaily[EntryDate],DATE(2026,10,14),tblDaily[WardCode],"CW")),"")</f>
        <v/>
      </c>
      <c r="D371" s="29" t="str">
        <f>IFERROR(IF(SUMIFS(tblDaily[Deaths],tblDaily[EntryDate],DATE(2026,10,14),tblDaily[WardCode],"CW")=0,"",SUMIFS(tblDaily[Deaths],tblDaily[EntryDate],DATE(2026,10,14),tblDaily[WardCode],"CW")),"")</f>
        <v/>
      </c>
      <c r="E371" s="29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29" t="str">
        <f>IFERROR(IF(SUMIFS(tblDaily[TransfersIn],tblDaily[EntryDate],DATE(2026,10,14),tblDaily[WardCode],"CW")=0,"",SUMIFS(tblDaily[TransfersIn],tblDaily[EntryDate],DATE(2026,10,14),tblDaily[WardCode],"CW")),"")</f>
        <v/>
      </c>
      <c r="G371" s="29" t="str">
        <f>IFERROR(IF(SUMIFS(tblDaily[TransfersOut],tblDaily[EntryDate],DATE(2026,10,14),tblDaily[WardCode],"CW")=0,"",SUMIFS(tblDaily[TransfersOut],tblDaily[EntryDate],DATE(2026,10,14),tblDaily[WardCode],"CW")),"")</f>
        <v/>
      </c>
      <c r="H371" s="29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IFERROR(IF(SUMIFS(tblDaily[Admissions],tblDaily[EntryDate],DATE(2026,10,15),tblDaily[WardCode],"CW")=0,"",SUMIFS(tblDaily[Admissions],tblDaily[EntryDate],DATE(2026,10,15),tblDaily[WardCode],"CW")),"")</f>
        <v/>
      </c>
      <c r="C372" s="29" t="str">
        <f>IFERROR(IF(SUMIFS(tblDaily[Discharges],tblDaily[EntryDate],DATE(2026,10,15),tblDaily[WardCode],"CW")=0,"",SUMIFS(tblDaily[Discharges],tblDaily[EntryDate],DATE(2026,10,15),tblDaily[WardCode],"CW")),"")</f>
        <v/>
      </c>
      <c r="D372" s="29" t="str">
        <f>IFERROR(IF(SUMIFS(tblDaily[Deaths],tblDaily[EntryDate],DATE(2026,10,15),tblDaily[WardCode],"CW")=0,"",SUMIFS(tblDaily[Deaths],tblDaily[EntryDate],DATE(2026,10,15),tblDaily[WardCode],"CW")),"")</f>
        <v/>
      </c>
      <c r="E372" s="29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29" t="str">
        <f>IFERROR(IF(SUMIFS(tblDaily[TransfersIn],tblDaily[EntryDate],DATE(2026,10,15),tblDaily[WardCode],"CW")=0,"",SUMIFS(tblDaily[TransfersIn],tblDaily[EntryDate],DATE(2026,10,15),tblDaily[WardCode],"CW")),"")</f>
        <v/>
      </c>
      <c r="G372" s="29" t="str">
        <f>IFERROR(IF(SUMIFS(tblDaily[TransfersOut],tblDaily[EntryDate],DATE(2026,10,15),tblDaily[WardCode],"CW")=0,"",SUMIFS(tblDaily[TransfersOut],tblDaily[EntryDate],DATE(2026,10,15),tblDaily[WardCode],"CW")),"")</f>
        <v/>
      </c>
      <c r="H372" s="29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IFERROR(IF(SUMIFS(tblDaily[Admissions],tblDaily[EntryDate],DATE(2026,10,16),tblDaily[WardCode],"CW")=0,"",SUMIFS(tblDaily[Admissions],tblDaily[EntryDate],DATE(2026,10,16),tblDaily[WardCode],"CW")),"")</f>
        <v/>
      </c>
      <c r="C373" s="29" t="str">
        <f>IFERROR(IF(SUMIFS(tblDaily[Discharges],tblDaily[EntryDate],DATE(2026,10,16),tblDaily[WardCode],"CW")=0,"",SUMIFS(tblDaily[Discharges],tblDaily[EntryDate],DATE(2026,10,16),tblDaily[WardCode],"CW")),"")</f>
        <v/>
      </c>
      <c r="D373" s="29" t="str">
        <f>IFERROR(IF(SUMIFS(tblDaily[Deaths],tblDaily[EntryDate],DATE(2026,10,16),tblDaily[WardCode],"CW")=0,"",SUMIFS(tblDaily[Deaths],tblDaily[EntryDate],DATE(2026,10,16),tblDaily[WardCode],"CW")),"")</f>
        <v/>
      </c>
      <c r="E373" s="29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29" t="str">
        <f>IFERROR(IF(SUMIFS(tblDaily[TransfersIn],tblDaily[EntryDate],DATE(2026,10,16),tblDaily[WardCode],"CW")=0,"",SUMIFS(tblDaily[TransfersIn],tblDaily[EntryDate],DATE(2026,10,16),tblDaily[WardCode],"CW")),"")</f>
        <v/>
      </c>
      <c r="G373" s="29" t="str">
        <f>IFERROR(IF(SUMIFS(tblDaily[TransfersOut],tblDaily[EntryDate],DATE(2026,10,16),tblDaily[WardCode],"CW")=0,"",SUMIFS(tblDaily[TransfersOut],tblDaily[EntryDate],DATE(2026,10,16),tblDaily[WardCode],"CW")),"")</f>
        <v/>
      </c>
      <c r="H373" s="29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IFERROR(IF(SUMIFS(tblDaily[Admissions],tblDaily[EntryDate],DATE(2026,10,17),tblDaily[WardCode],"CW")=0,"",SUMIFS(tblDaily[Admissions],tblDaily[EntryDate],DATE(2026,10,17),tblDaily[WardCode],"CW")),"")</f>
        <v/>
      </c>
      <c r="C374" s="29" t="str">
        <f>IFERROR(IF(SUMIFS(tblDaily[Discharges],tblDaily[EntryDate],DATE(2026,10,17),tblDaily[WardCode],"CW")=0,"",SUMIFS(tblDaily[Discharges],tblDaily[EntryDate],DATE(2026,10,17),tblDaily[WardCode],"CW")),"")</f>
        <v/>
      </c>
      <c r="D374" s="29" t="str">
        <f>IFERROR(IF(SUMIFS(tblDaily[Deaths],tblDaily[EntryDate],DATE(2026,10,17),tblDaily[WardCode],"CW")=0,"",SUMIFS(tblDaily[Deaths],tblDaily[EntryDate],DATE(2026,10,17),tblDaily[WardCode],"CW")),"")</f>
        <v/>
      </c>
      <c r="E374" s="29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29" t="str">
        <f>IFERROR(IF(SUMIFS(tblDaily[TransfersIn],tblDaily[EntryDate],DATE(2026,10,17),tblDaily[WardCode],"CW")=0,"",SUMIFS(tblDaily[TransfersIn],tblDaily[EntryDate],DATE(2026,10,17),tblDaily[WardCode],"CW")),"")</f>
        <v/>
      </c>
      <c r="G374" s="29" t="str">
        <f>IFERROR(IF(SUMIFS(tblDaily[TransfersOut],tblDaily[EntryDate],DATE(2026,10,17),tblDaily[WardCode],"CW")=0,"",SUMIFS(tblDaily[TransfersOut],tblDaily[EntryDate],DATE(2026,10,17),tblDaily[WardCode],"CW")),"")</f>
        <v/>
      </c>
      <c r="H374" s="29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IFERROR(IF(SUMIFS(tblDaily[Admissions],tblDaily[EntryDate],DATE(2026,10,18),tblDaily[WardCode],"CW")=0,"",SUMIFS(tblDaily[Admissions],tblDaily[EntryDate],DATE(2026,10,18),tblDaily[WardCode],"CW")),"")</f>
        <v/>
      </c>
      <c r="C375" s="29" t="str">
        <f>IFERROR(IF(SUMIFS(tblDaily[Discharges],tblDaily[EntryDate],DATE(2026,10,18),tblDaily[WardCode],"CW")=0,"",SUMIFS(tblDaily[Discharges],tblDaily[EntryDate],DATE(2026,10,18),tblDaily[WardCode],"CW")),"")</f>
        <v/>
      </c>
      <c r="D375" s="29" t="str">
        <f>IFERROR(IF(SUMIFS(tblDaily[Deaths],tblDaily[EntryDate],DATE(2026,10,18),tblDaily[WardCode],"CW")=0,"",SUMIFS(tblDaily[Deaths],tblDaily[EntryDate],DATE(2026,10,18),tblDaily[WardCode],"CW")),"")</f>
        <v/>
      </c>
      <c r="E375" s="29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29" t="str">
        <f>IFERROR(IF(SUMIFS(tblDaily[TransfersIn],tblDaily[EntryDate],DATE(2026,10,18),tblDaily[WardCode],"CW")=0,"",SUMIFS(tblDaily[TransfersIn],tblDaily[EntryDate],DATE(2026,10,18),tblDaily[WardCode],"CW")),"")</f>
        <v/>
      </c>
      <c r="G375" s="29" t="str">
        <f>IFERROR(IF(SUMIFS(tblDaily[TransfersOut],tblDaily[EntryDate],DATE(2026,10,18),tblDaily[WardCode],"CW")=0,"",SUMIFS(tblDaily[TransfersOut],tblDaily[EntryDate],DATE(2026,10,18),tblDaily[WardCode],"CW")),"")</f>
        <v/>
      </c>
      <c r="H375" s="29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IFERROR(IF(SUMIFS(tblDaily[Admissions],tblDaily[EntryDate],DATE(2026,10,19),tblDaily[WardCode],"CW")=0,"",SUMIFS(tblDaily[Admissions],tblDaily[EntryDate],DATE(2026,10,19),tblDaily[WardCode],"CW")),"")</f>
        <v/>
      </c>
      <c r="C376" s="29" t="str">
        <f>IFERROR(IF(SUMIFS(tblDaily[Discharges],tblDaily[EntryDate],DATE(2026,10,19),tblDaily[WardCode],"CW")=0,"",SUMIFS(tblDaily[Discharges],tblDaily[EntryDate],DATE(2026,10,19),tblDaily[WardCode],"CW")),"")</f>
        <v/>
      </c>
      <c r="D376" s="29" t="str">
        <f>IFERROR(IF(SUMIFS(tblDaily[Deaths],tblDaily[EntryDate],DATE(2026,10,19),tblDaily[WardCode],"CW")=0,"",SUMIFS(tblDaily[Deaths],tblDaily[EntryDate],DATE(2026,10,19),tblDaily[WardCode],"CW")),"")</f>
        <v/>
      </c>
      <c r="E376" s="29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29" t="str">
        <f>IFERROR(IF(SUMIFS(tblDaily[TransfersIn],tblDaily[EntryDate],DATE(2026,10,19),tblDaily[WardCode],"CW")=0,"",SUMIFS(tblDaily[TransfersIn],tblDaily[EntryDate],DATE(2026,10,19),tblDaily[WardCode],"CW")),"")</f>
        <v/>
      </c>
      <c r="G376" s="29" t="str">
        <f>IFERROR(IF(SUMIFS(tblDaily[TransfersOut],tblDaily[EntryDate],DATE(2026,10,19),tblDaily[WardCode],"CW")=0,"",SUMIFS(tblDaily[TransfersOut],tblDaily[EntryDate],DATE(2026,10,19),tblDaily[WardCode],"CW")),"")</f>
        <v/>
      </c>
      <c r="H376" s="29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IFERROR(IF(SUMIFS(tblDaily[Admissions],tblDaily[EntryDate],DATE(2026,10,20),tblDaily[WardCode],"CW")=0,"",SUMIFS(tblDaily[Admissions],tblDaily[EntryDate],DATE(2026,10,20),tblDaily[WardCode],"CW")),"")</f>
        <v/>
      </c>
      <c r="C377" s="29" t="str">
        <f>IFERROR(IF(SUMIFS(tblDaily[Discharges],tblDaily[EntryDate],DATE(2026,10,20),tblDaily[WardCode],"CW")=0,"",SUMIFS(tblDaily[Discharges],tblDaily[EntryDate],DATE(2026,10,20),tblDaily[WardCode],"CW")),"")</f>
        <v/>
      </c>
      <c r="D377" s="29" t="str">
        <f>IFERROR(IF(SUMIFS(tblDaily[Deaths],tblDaily[EntryDate],DATE(2026,10,20),tblDaily[WardCode],"CW")=0,"",SUMIFS(tblDaily[Deaths],tblDaily[EntryDate],DATE(2026,10,20),tblDaily[WardCode],"CW")),"")</f>
        <v/>
      </c>
      <c r="E377" s="29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29" t="str">
        <f>IFERROR(IF(SUMIFS(tblDaily[TransfersIn],tblDaily[EntryDate],DATE(2026,10,20),tblDaily[WardCode],"CW")=0,"",SUMIFS(tblDaily[TransfersIn],tblDaily[EntryDate],DATE(2026,10,20),tblDaily[WardCode],"CW")),"")</f>
        <v/>
      </c>
      <c r="G377" s="29" t="str">
        <f>IFERROR(IF(SUMIFS(tblDaily[TransfersOut],tblDaily[EntryDate],DATE(2026,10,20),tblDaily[WardCode],"CW")=0,"",SUMIFS(tblDaily[TransfersOut],tblDaily[EntryDate],DATE(2026,10,20),tblDaily[WardCode],"CW")),"")</f>
        <v/>
      </c>
      <c r="H377" s="29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IFERROR(IF(SUMIFS(tblDaily[Admissions],tblDaily[EntryDate],DATE(2026,10,21),tblDaily[WardCode],"CW")=0,"",SUMIFS(tblDaily[Admissions],tblDaily[EntryDate],DATE(2026,10,21),tblDaily[WardCode],"CW")),"")</f>
        <v/>
      </c>
      <c r="C378" s="29" t="str">
        <f>IFERROR(IF(SUMIFS(tblDaily[Discharges],tblDaily[EntryDate],DATE(2026,10,21),tblDaily[WardCode],"CW")=0,"",SUMIFS(tblDaily[Discharges],tblDaily[EntryDate],DATE(2026,10,21),tblDaily[WardCode],"CW")),"")</f>
        <v/>
      </c>
      <c r="D378" s="29" t="str">
        <f>IFERROR(IF(SUMIFS(tblDaily[Deaths],tblDaily[EntryDate],DATE(2026,10,21),tblDaily[WardCode],"CW")=0,"",SUMIFS(tblDaily[Deaths],tblDaily[EntryDate],DATE(2026,10,21),tblDaily[WardCode],"CW")),"")</f>
        <v/>
      </c>
      <c r="E378" s="29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29" t="str">
        <f>IFERROR(IF(SUMIFS(tblDaily[TransfersIn],tblDaily[EntryDate],DATE(2026,10,21),tblDaily[WardCode],"CW")=0,"",SUMIFS(tblDaily[TransfersIn],tblDaily[EntryDate],DATE(2026,10,21),tblDaily[WardCode],"CW")),"")</f>
        <v/>
      </c>
      <c r="G378" s="29" t="str">
        <f>IFERROR(IF(SUMIFS(tblDaily[TransfersOut],tblDaily[EntryDate],DATE(2026,10,21),tblDaily[WardCode],"CW")=0,"",SUMIFS(tblDaily[TransfersOut],tblDaily[EntryDate],DATE(2026,10,21),tblDaily[WardCode],"CW")),"")</f>
        <v/>
      </c>
      <c r="H378" s="29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IFERROR(IF(SUMIFS(tblDaily[Admissions],tblDaily[EntryDate],DATE(2026,10,22),tblDaily[WardCode],"CW")=0,"",SUMIFS(tblDaily[Admissions],tblDaily[EntryDate],DATE(2026,10,22),tblDaily[WardCode],"CW")),"")</f>
        <v/>
      </c>
      <c r="C379" s="29" t="str">
        <f>IFERROR(IF(SUMIFS(tblDaily[Discharges],tblDaily[EntryDate],DATE(2026,10,22),tblDaily[WardCode],"CW")=0,"",SUMIFS(tblDaily[Discharges],tblDaily[EntryDate],DATE(2026,10,22),tblDaily[WardCode],"CW")),"")</f>
        <v/>
      </c>
      <c r="D379" s="29" t="str">
        <f>IFERROR(IF(SUMIFS(tblDaily[Deaths],tblDaily[EntryDate],DATE(2026,10,22),tblDaily[WardCode],"CW")=0,"",SUMIFS(tblDaily[Deaths],tblDaily[EntryDate],DATE(2026,10,22),tblDaily[WardCode],"CW")),"")</f>
        <v/>
      </c>
      <c r="E379" s="29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29" t="str">
        <f>IFERROR(IF(SUMIFS(tblDaily[TransfersIn],tblDaily[EntryDate],DATE(2026,10,22),tblDaily[WardCode],"CW")=0,"",SUMIFS(tblDaily[TransfersIn],tblDaily[EntryDate],DATE(2026,10,22),tblDaily[WardCode],"CW")),"")</f>
        <v/>
      </c>
      <c r="G379" s="29" t="str">
        <f>IFERROR(IF(SUMIFS(tblDaily[TransfersOut],tblDaily[EntryDate],DATE(2026,10,22),tblDaily[WardCode],"CW")=0,"",SUMIFS(tblDaily[TransfersOut],tblDaily[EntryDate],DATE(2026,10,22),tblDaily[WardCode],"CW")),"")</f>
        <v/>
      </c>
      <c r="H379" s="29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IFERROR(IF(SUMIFS(tblDaily[Admissions],tblDaily[EntryDate],DATE(2026,10,23),tblDaily[WardCode],"CW")=0,"",SUMIFS(tblDaily[Admissions],tblDaily[EntryDate],DATE(2026,10,23),tblDaily[WardCode],"CW")),"")</f>
        <v/>
      </c>
      <c r="C380" s="29" t="str">
        <f>IFERROR(IF(SUMIFS(tblDaily[Discharges],tblDaily[EntryDate],DATE(2026,10,23),tblDaily[WardCode],"CW")=0,"",SUMIFS(tblDaily[Discharges],tblDaily[EntryDate],DATE(2026,10,23),tblDaily[WardCode],"CW")),"")</f>
        <v/>
      </c>
      <c r="D380" s="29" t="str">
        <f>IFERROR(IF(SUMIFS(tblDaily[Deaths],tblDaily[EntryDate],DATE(2026,10,23),tblDaily[WardCode],"CW")=0,"",SUMIFS(tblDaily[Deaths],tblDaily[EntryDate],DATE(2026,10,23),tblDaily[WardCode],"CW")),"")</f>
        <v/>
      </c>
      <c r="E380" s="29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29" t="str">
        <f>IFERROR(IF(SUMIFS(tblDaily[TransfersIn],tblDaily[EntryDate],DATE(2026,10,23),tblDaily[WardCode],"CW")=0,"",SUMIFS(tblDaily[TransfersIn],tblDaily[EntryDate],DATE(2026,10,23),tblDaily[WardCode],"CW")),"")</f>
        <v/>
      </c>
      <c r="G380" s="29" t="str">
        <f>IFERROR(IF(SUMIFS(tblDaily[TransfersOut],tblDaily[EntryDate],DATE(2026,10,23),tblDaily[WardCode],"CW")=0,"",SUMIFS(tblDaily[TransfersOut],tblDaily[EntryDate],DATE(2026,10,23),tblDaily[WardCode],"CW")),"")</f>
        <v/>
      </c>
      <c r="H380" s="29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IFERROR(IF(SUMIFS(tblDaily[Admissions],tblDaily[EntryDate],DATE(2026,10,24),tblDaily[WardCode],"CW")=0,"",SUMIFS(tblDaily[Admissions],tblDaily[EntryDate],DATE(2026,10,24),tblDaily[WardCode],"CW")),"")</f>
        <v/>
      </c>
      <c r="C381" s="29" t="str">
        <f>IFERROR(IF(SUMIFS(tblDaily[Discharges],tblDaily[EntryDate],DATE(2026,10,24),tblDaily[WardCode],"CW")=0,"",SUMIFS(tblDaily[Discharges],tblDaily[EntryDate],DATE(2026,10,24),tblDaily[WardCode],"CW")),"")</f>
        <v/>
      </c>
      <c r="D381" s="29" t="str">
        <f>IFERROR(IF(SUMIFS(tblDaily[Deaths],tblDaily[EntryDate],DATE(2026,10,24),tblDaily[WardCode],"CW")=0,"",SUMIFS(tblDaily[Deaths],tblDaily[EntryDate],DATE(2026,10,24),tblDaily[WardCode],"CW")),"")</f>
        <v/>
      </c>
      <c r="E381" s="29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29" t="str">
        <f>IFERROR(IF(SUMIFS(tblDaily[TransfersIn],tblDaily[EntryDate],DATE(2026,10,24),tblDaily[WardCode],"CW")=0,"",SUMIFS(tblDaily[TransfersIn],tblDaily[EntryDate],DATE(2026,10,24),tblDaily[WardCode],"CW")),"")</f>
        <v/>
      </c>
      <c r="G381" s="29" t="str">
        <f>IFERROR(IF(SUMIFS(tblDaily[TransfersOut],tblDaily[EntryDate],DATE(2026,10,24),tblDaily[WardCode],"CW")=0,"",SUMIFS(tblDaily[TransfersOut],tblDaily[EntryDate],DATE(2026,10,24),tblDaily[WardCode],"CW")),"")</f>
        <v/>
      </c>
      <c r="H381" s="29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IFERROR(IF(SUMIFS(tblDaily[Admissions],tblDaily[EntryDate],DATE(2026,10,25),tblDaily[WardCode],"CW")=0,"",SUMIFS(tblDaily[Admissions],tblDaily[EntryDate],DATE(2026,10,25),tblDaily[WardCode],"CW")),"")</f>
        <v/>
      </c>
      <c r="C382" s="29" t="str">
        <f>IFERROR(IF(SUMIFS(tblDaily[Discharges],tblDaily[EntryDate],DATE(2026,10,25),tblDaily[WardCode],"CW")=0,"",SUMIFS(tblDaily[Discharges],tblDaily[EntryDate],DATE(2026,10,25),tblDaily[WardCode],"CW")),"")</f>
        <v/>
      </c>
      <c r="D382" s="29" t="str">
        <f>IFERROR(IF(SUMIFS(tblDaily[Deaths],tblDaily[EntryDate],DATE(2026,10,25),tblDaily[WardCode],"CW")=0,"",SUMIFS(tblDaily[Deaths],tblDaily[EntryDate],DATE(2026,10,25),tblDaily[WardCode],"CW")),"")</f>
        <v/>
      </c>
      <c r="E382" s="29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29" t="str">
        <f>IFERROR(IF(SUMIFS(tblDaily[TransfersIn],tblDaily[EntryDate],DATE(2026,10,25),tblDaily[WardCode],"CW")=0,"",SUMIFS(tblDaily[TransfersIn],tblDaily[EntryDate],DATE(2026,10,25),tblDaily[WardCode],"CW")),"")</f>
        <v/>
      </c>
      <c r="G382" s="29" t="str">
        <f>IFERROR(IF(SUMIFS(tblDaily[TransfersOut],tblDaily[EntryDate],DATE(2026,10,25),tblDaily[WardCode],"CW")=0,"",SUMIFS(tblDaily[TransfersOut],tblDaily[EntryDate],DATE(2026,10,25),tblDaily[WardCode],"CW")),"")</f>
        <v/>
      </c>
      <c r="H382" s="29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IFERROR(IF(SUMIFS(tblDaily[Admissions],tblDaily[EntryDate],DATE(2026,10,26),tblDaily[WardCode],"CW")=0,"",SUMIFS(tblDaily[Admissions],tblDaily[EntryDate],DATE(2026,10,26),tblDaily[WardCode],"CW")),"")</f>
        <v/>
      </c>
      <c r="C383" s="29" t="str">
        <f>IFERROR(IF(SUMIFS(tblDaily[Discharges],tblDaily[EntryDate],DATE(2026,10,26),tblDaily[WardCode],"CW")=0,"",SUMIFS(tblDaily[Discharges],tblDaily[EntryDate],DATE(2026,10,26),tblDaily[WardCode],"CW")),"")</f>
        <v/>
      </c>
      <c r="D383" s="29" t="str">
        <f>IFERROR(IF(SUMIFS(tblDaily[Deaths],tblDaily[EntryDate],DATE(2026,10,26),tblDaily[WardCode],"CW")=0,"",SUMIFS(tblDaily[Deaths],tblDaily[EntryDate],DATE(2026,10,26),tblDaily[WardCode],"CW")),"")</f>
        <v/>
      </c>
      <c r="E383" s="29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29" t="str">
        <f>IFERROR(IF(SUMIFS(tblDaily[TransfersIn],tblDaily[EntryDate],DATE(2026,10,26),tblDaily[WardCode],"CW")=0,"",SUMIFS(tblDaily[TransfersIn],tblDaily[EntryDate],DATE(2026,10,26),tblDaily[WardCode],"CW")),"")</f>
        <v/>
      </c>
      <c r="G383" s="29" t="str">
        <f>IFERROR(IF(SUMIFS(tblDaily[TransfersOut],tblDaily[EntryDate],DATE(2026,10,26),tblDaily[WardCode],"CW")=0,"",SUMIFS(tblDaily[TransfersOut],tblDaily[EntryDate],DATE(2026,10,26),tblDaily[WardCode],"CW")),"")</f>
        <v/>
      </c>
      <c r="H383" s="29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IFERROR(IF(SUMIFS(tblDaily[Admissions],tblDaily[EntryDate],DATE(2026,10,27),tblDaily[WardCode],"CW")=0,"",SUMIFS(tblDaily[Admissions],tblDaily[EntryDate],DATE(2026,10,27),tblDaily[WardCode],"CW")),"")</f>
        <v/>
      </c>
      <c r="C384" s="29" t="str">
        <f>IFERROR(IF(SUMIFS(tblDaily[Discharges],tblDaily[EntryDate],DATE(2026,10,27),tblDaily[WardCode],"CW")=0,"",SUMIFS(tblDaily[Discharges],tblDaily[EntryDate],DATE(2026,10,27),tblDaily[WardCode],"CW")),"")</f>
        <v/>
      </c>
      <c r="D384" s="29" t="str">
        <f>IFERROR(IF(SUMIFS(tblDaily[Deaths],tblDaily[EntryDate],DATE(2026,10,27),tblDaily[WardCode],"CW")=0,"",SUMIFS(tblDaily[Deaths],tblDaily[EntryDate],DATE(2026,10,27),tblDaily[WardCode],"CW")),"")</f>
        <v/>
      </c>
      <c r="E384" s="29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29" t="str">
        <f>IFERROR(IF(SUMIFS(tblDaily[TransfersIn],tblDaily[EntryDate],DATE(2026,10,27),tblDaily[WardCode],"CW")=0,"",SUMIFS(tblDaily[TransfersIn],tblDaily[EntryDate],DATE(2026,10,27),tblDaily[WardCode],"CW")),"")</f>
        <v/>
      </c>
      <c r="G384" s="29" t="str">
        <f>IFERROR(IF(SUMIFS(tblDaily[TransfersOut],tblDaily[EntryDate],DATE(2026,10,27),tblDaily[WardCode],"CW")=0,"",SUMIFS(tblDaily[TransfersOut],tblDaily[EntryDate],DATE(2026,10,27),tblDaily[WardCode],"CW")),"")</f>
        <v/>
      </c>
      <c r="H384" s="29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IFERROR(IF(SUMIFS(tblDaily[Admissions],tblDaily[EntryDate],DATE(2026,10,28),tblDaily[WardCode],"CW")=0,"",SUMIFS(tblDaily[Admissions],tblDaily[EntryDate],DATE(2026,10,28),tblDaily[WardCode],"CW")),"")</f>
        <v/>
      </c>
      <c r="C385" s="29" t="str">
        <f>IFERROR(IF(SUMIFS(tblDaily[Discharges],tblDaily[EntryDate],DATE(2026,10,28),tblDaily[WardCode],"CW")=0,"",SUMIFS(tblDaily[Discharges],tblDaily[EntryDate],DATE(2026,10,28),tblDaily[WardCode],"CW")),"")</f>
        <v/>
      </c>
      <c r="D385" s="29" t="str">
        <f>IFERROR(IF(SUMIFS(tblDaily[Deaths],tblDaily[EntryDate],DATE(2026,10,28),tblDaily[WardCode],"CW")=0,"",SUMIFS(tblDaily[Deaths],tblDaily[EntryDate],DATE(2026,10,28),tblDaily[WardCode],"CW")),"")</f>
        <v/>
      </c>
      <c r="E385" s="29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29" t="str">
        <f>IFERROR(IF(SUMIFS(tblDaily[TransfersIn],tblDaily[EntryDate],DATE(2026,10,28),tblDaily[WardCode],"CW")=0,"",SUMIFS(tblDaily[TransfersIn],tblDaily[EntryDate],DATE(2026,10,28),tblDaily[WardCode],"CW")),"")</f>
        <v/>
      </c>
      <c r="G385" s="29" t="str">
        <f>IFERROR(IF(SUMIFS(tblDaily[TransfersOut],tblDaily[EntryDate],DATE(2026,10,28),tblDaily[WardCode],"CW")=0,"",SUMIFS(tblDaily[TransfersOut],tblDaily[EntryDate],DATE(2026,10,28),tblDaily[WardCode],"CW")),"")</f>
        <v/>
      </c>
      <c r="H385" s="29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IFERROR(IF(SUMIFS(tblDaily[Admissions],tblDaily[EntryDate],DATE(2026,10,29),tblDaily[WardCode],"CW")=0,"",SUMIFS(tblDaily[Admissions],tblDaily[EntryDate],DATE(2026,10,29),tblDaily[WardCode],"CW")),"")</f>
        <v/>
      </c>
      <c r="C386" s="29" t="str">
        <f>IFERROR(IF(SUMIFS(tblDaily[Discharges],tblDaily[EntryDate],DATE(2026,10,29),tblDaily[WardCode],"CW")=0,"",SUMIFS(tblDaily[Discharges],tblDaily[EntryDate],DATE(2026,10,29),tblDaily[WardCode],"CW")),"")</f>
        <v/>
      </c>
      <c r="D386" s="29" t="str">
        <f>IFERROR(IF(SUMIFS(tblDaily[Deaths],tblDaily[EntryDate],DATE(2026,10,29),tblDaily[WardCode],"CW")=0,"",SUMIFS(tblDaily[Deaths],tblDaily[EntryDate],DATE(2026,10,29),tblDaily[WardCode],"CW")),"")</f>
        <v/>
      </c>
      <c r="E386" s="29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29" t="str">
        <f>IFERROR(IF(SUMIFS(tblDaily[TransfersIn],tblDaily[EntryDate],DATE(2026,10,29),tblDaily[WardCode],"CW")=0,"",SUMIFS(tblDaily[TransfersIn],tblDaily[EntryDate],DATE(2026,10,29),tblDaily[WardCode],"CW")),"")</f>
        <v/>
      </c>
      <c r="G386" s="29" t="str">
        <f>IFERROR(IF(SUMIFS(tblDaily[TransfersOut],tblDaily[EntryDate],DATE(2026,10,29),tblDaily[WardCode],"CW")=0,"",SUMIFS(tblDaily[TransfersOut],tblDaily[EntryDate],DATE(2026,10,29),tblDaily[WardCode],"CW")),"")</f>
        <v/>
      </c>
      <c r="H386" s="29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IFERROR(IF(SUMIFS(tblDaily[Admissions],tblDaily[EntryDate],DATE(2026,10,30),tblDaily[WardCode],"CW")=0,"",SUMIFS(tblDaily[Admissions],tblDaily[EntryDate],DATE(2026,10,30),tblDaily[WardCode],"CW")),"")</f>
        <v/>
      </c>
      <c r="C387" s="29" t="str">
        <f>IFERROR(IF(SUMIFS(tblDaily[Discharges],tblDaily[EntryDate],DATE(2026,10,30),tblDaily[WardCode],"CW")=0,"",SUMIFS(tblDaily[Discharges],tblDaily[EntryDate],DATE(2026,10,30),tblDaily[WardCode],"CW")),"")</f>
        <v/>
      </c>
      <c r="D387" s="29" t="str">
        <f>IFERROR(IF(SUMIFS(tblDaily[Deaths],tblDaily[EntryDate],DATE(2026,10,30),tblDaily[WardCode],"CW")=0,"",SUMIFS(tblDaily[Deaths],tblDaily[EntryDate],DATE(2026,10,30),tblDaily[WardCode],"CW")),"")</f>
        <v/>
      </c>
      <c r="E387" s="29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29" t="str">
        <f>IFERROR(IF(SUMIFS(tblDaily[TransfersIn],tblDaily[EntryDate],DATE(2026,10,30),tblDaily[WardCode],"CW")=0,"",SUMIFS(tblDaily[TransfersIn],tblDaily[EntryDate],DATE(2026,10,30),tblDaily[WardCode],"CW")),"")</f>
        <v/>
      </c>
      <c r="G387" s="29" t="str">
        <f>IFERROR(IF(SUMIFS(tblDaily[TransfersOut],tblDaily[EntryDate],DATE(2026,10,30),tblDaily[WardCode],"CW")=0,"",SUMIFS(tblDaily[TransfersOut],tblDaily[EntryDate],DATE(2026,10,30),tblDaily[WardCode],"CW")),"")</f>
        <v/>
      </c>
      <c r="H387" s="29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IFERROR(IF(SUMIFS(tblDaily[Admissions],tblDaily[EntryDate],DATE(2026,10,31),tblDaily[WardCode],"CW")=0,"",SUMIFS(tblDaily[Admissions],tblDaily[EntryDate],DATE(2026,10,31),tblDaily[WardCode],"CW")),"")</f>
        <v/>
      </c>
      <c r="C388" s="29" t="str">
        <f>IFERROR(IF(SUMIFS(tblDaily[Discharges],tblDaily[EntryDate],DATE(2026,10,31),tblDaily[WardCode],"CW")=0,"",SUMIFS(tblDaily[Discharges],tblDaily[EntryDate],DATE(2026,10,31),tblDaily[WardCode],"CW")),"")</f>
        <v/>
      </c>
      <c r="D388" s="29" t="str">
        <f>IFERROR(IF(SUMIFS(tblDaily[Deaths],tblDaily[EntryDate],DATE(2026,10,31),tblDaily[WardCode],"CW")=0,"",SUMIFS(tblDaily[Deaths],tblDaily[EntryDate],DATE(2026,10,31),tblDaily[WardCode],"CW")),"")</f>
        <v/>
      </c>
      <c r="E388" s="29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29" t="str">
        <f>IFERROR(IF(SUMIFS(tblDaily[TransfersIn],tblDaily[EntryDate],DATE(2026,10,31),tblDaily[WardCode],"CW")=0,"",SUMIFS(tblDaily[TransfersIn],tblDaily[EntryDate],DATE(2026,10,31),tblDaily[WardCode],"CW")),"")</f>
        <v/>
      </c>
      <c r="G388" s="29" t="str">
        <f>IFERROR(IF(SUMIFS(tblDaily[TransfersOut],tblDaily[EntryDate],DATE(2026,10,31),tblDaily[WardCode],"CW")=0,"",SUMIFS(tblDaily[TransfersOut],tblDaily[EntryDate],DATE(2026,10,31),tblDaily[WardCode],"CW")),"")</f>
        <v/>
      </c>
      <c r="H388" s="29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30" t="s">
        <v>115</v>
      </c>
      <c r="B389" s="30">
        <f>SUMIFS(tblDaily[Admissions],tblDaily[Month],10,tblDaily[WardCode],"CW") - SUMIFS(tblDaily[DeathsUnder24Hrs],tblDaily[Month],10,tblDaily[WardCode],"CW")</f>
        <v>0</v>
      </c>
      <c r="C389" s="30">
        <f>SUMIFS(tblDaily[Discharges],tblDaily[Month],10,tblDaily[WardCode],"CW")</f>
        <v>0</v>
      </c>
      <c r="D389" s="30">
        <f>SUMIFS(tblDaily[Deaths],tblDaily[Month],10,tblDaily[WardCode],"CW")</f>
        <v>0</v>
      </c>
      <c r="E389" s="30">
        <f>SUMIFS(tblDaily[DeathsUnder24Hrs],tblDaily[Month],10,tblDaily[WardCode],"CW")</f>
        <v>0</v>
      </c>
      <c r="F389" s="30">
        <f>SUMIFS(tblDaily[TransfersIn],tblDaily[Month],10,tblDaily[WardCode],"CW")</f>
        <v>0</v>
      </c>
      <c r="G389" s="30">
        <f>SUMIFS(tblDaily[TransfersOut],tblDaily[Month],10,tblDaily[WardCode],"CW")</f>
        <v>0</v>
      </c>
      <c r="H389" s="30">
        <f>SUMIFS(tblDaily[Remaining],tblDaily[Month],10,tblDaily[WardCode],"CW")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117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IFERROR(SUMIFS(tblDaily[Remaining],tblDaily[EntryDate],DATE(2026,10,31),tblDaily[WardCode],"CW"),0)</f>
        <v>0</v>
      </c>
    </row>
    <row r="395" spans="1:8" x14ac:dyDescent="0.25">
      <c r="A395" s="24" t="s">
        <v>109</v>
      </c>
      <c r="H395" s="27">
        <f>IFERROR(INDEX(tblWardConfig[BedComplement],MATCH("CW",tblWardConfig[WardCode],0)),0)</f>
        <v>27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IFERROR(IF(SUMIFS(tblDaily[Admissions],tblDaily[EntryDate],DATE(2026,11,1),tblDaily[WardCode],"CW")=0,"",SUMIFS(tblDaily[Admissions],tblDaily[EntryDate],DATE(2026,11,1),tblDaily[WardCode],"CW")),"")</f>
        <v/>
      </c>
      <c r="C397" s="29" t="str">
        <f>IFERROR(IF(SUMIFS(tblDaily[Discharges],tblDaily[EntryDate],DATE(2026,11,1),tblDaily[WardCode],"CW")=0,"",SUMIFS(tblDaily[Discharges],tblDaily[EntryDate],DATE(2026,11,1),tblDaily[WardCode],"CW")),"")</f>
        <v/>
      </c>
      <c r="D397" s="29" t="str">
        <f>IFERROR(IF(SUMIFS(tblDaily[Deaths],tblDaily[EntryDate],DATE(2026,11,1),tblDaily[WardCode],"CW")=0,"",SUMIFS(tblDaily[Deaths],tblDaily[EntryDate],DATE(2026,11,1),tblDaily[WardCode],"CW")),"")</f>
        <v/>
      </c>
      <c r="E397" s="29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29" t="str">
        <f>IFERROR(IF(SUMIFS(tblDaily[TransfersIn],tblDaily[EntryDate],DATE(2026,11,1),tblDaily[WardCode],"CW")=0,"",SUMIFS(tblDaily[TransfersIn],tblDaily[EntryDate],DATE(2026,11,1),tblDaily[WardCode],"CW")),"")</f>
        <v/>
      </c>
      <c r="G397" s="29" t="str">
        <f>IFERROR(IF(SUMIFS(tblDaily[TransfersOut],tblDaily[EntryDate],DATE(2026,11,1),tblDaily[WardCode],"CW")=0,"",SUMIFS(tblDaily[TransfersOut],tblDaily[EntryDate],DATE(2026,11,1),tblDaily[WardCode],"CW")),"")</f>
        <v/>
      </c>
      <c r="H397" s="29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IFERROR(IF(SUMIFS(tblDaily[Admissions],tblDaily[EntryDate],DATE(2026,11,2),tblDaily[WardCode],"CW")=0,"",SUMIFS(tblDaily[Admissions],tblDaily[EntryDate],DATE(2026,11,2),tblDaily[WardCode],"CW")),"")</f>
        <v/>
      </c>
      <c r="C398" s="29" t="str">
        <f>IFERROR(IF(SUMIFS(tblDaily[Discharges],tblDaily[EntryDate],DATE(2026,11,2),tblDaily[WardCode],"CW")=0,"",SUMIFS(tblDaily[Discharges],tblDaily[EntryDate],DATE(2026,11,2),tblDaily[WardCode],"CW")),"")</f>
        <v/>
      </c>
      <c r="D398" s="29" t="str">
        <f>IFERROR(IF(SUMIFS(tblDaily[Deaths],tblDaily[EntryDate],DATE(2026,11,2),tblDaily[WardCode],"CW")=0,"",SUMIFS(tblDaily[Deaths],tblDaily[EntryDate],DATE(2026,11,2),tblDaily[WardCode],"CW")),"")</f>
        <v/>
      </c>
      <c r="E398" s="29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29" t="str">
        <f>IFERROR(IF(SUMIFS(tblDaily[TransfersIn],tblDaily[EntryDate],DATE(2026,11,2),tblDaily[WardCode],"CW")=0,"",SUMIFS(tblDaily[TransfersIn],tblDaily[EntryDate],DATE(2026,11,2),tblDaily[WardCode],"CW")),"")</f>
        <v/>
      </c>
      <c r="G398" s="29" t="str">
        <f>IFERROR(IF(SUMIFS(tblDaily[TransfersOut],tblDaily[EntryDate],DATE(2026,11,2),tblDaily[WardCode],"CW")=0,"",SUMIFS(tblDaily[TransfersOut],tblDaily[EntryDate],DATE(2026,11,2),tblDaily[WardCode],"CW")),"")</f>
        <v/>
      </c>
      <c r="H398" s="29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IFERROR(IF(SUMIFS(tblDaily[Admissions],tblDaily[EntryDate],DATE(2026,11,3),tblDaily[WardCode],"CW")=0,"",SUMIFS(tblDaily[Admissions],tblDaily[EntryDate],DATE(2026,11,3),tblDaily[WardCode],"CW")),"")</f>
        <v/>
      </c>
      <c r="C399" s="29" t="str">
        <f>IFERROR(IF(SUMIFS(tblDaily[Discharges],tblDaily[EntryDate],DATE(2026,11,3),tblDaily[WardCode],"CW")=0,"",SUMIFS(tblDaily[Discharges],tblDaily[EntryDate],DATE(2026,11,3),tblDaily[WardCode],"CW")),"")</f>
        <v/>
      </c>
      <c r="D399" s="29" t="str">
        <f>IFERROR(IF(SUMIFS(tblDaily[Deaths],tblDaily[EntryDate],DATE(2026,11,3),tblDaily[WardCode],"CW")=0,"",SUMIFS(tblDaily[Deaths],tblDaily[EntryDate],DATE(2026,11,3),tblDaily[WardCode],"CW")),"")</f>
        <v/>
      </c>
      <c r="E399" s="29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29" t="str">
        <f>IFERROR(IF(SUMIFS(tblDaily[TransfersIn],tblDaily[EntryDate],DATE(2026,11,3),tblDaily[WardCode],"CW")=0,"",SUMIFS(tblDaily[TransfersIn],tblDaily[EntryDate],DATE(2026,11,3),tblDaily[WardCode],"CW")),"")</f>
        <v/>
      </c>
      <c r="G399" s="29" t="str">
        <f>IFERROR(IF(SUMIFS(tblDaily[TransfersOut],tblDaily[EntryDate],DATE(2026,11,3),tblDaily[WardCode],"CW")=0,"",SUMIFS(tblDaily[TransfersOut],tblDaily[EntryDate],DATE(2026,11,3),tblDaily[WardCode],"CW")),"")</f>
        <v/>
      </c>
      <c r="H399" s="29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IFERROR(IF(SUMIFS(tblDaily[Admissions],tblDaily[EntryDate],DATE(2026,11,4),tblDaily[WardCode],"CW")=0,"",SUMIFS(tblDaily[Admissions],tblDaily[EntryDate],DATE(2026,11,4),tblDaily[WardCode],"CW")),"")</f>
        <v/>
      </c>
      <c r="C400" s="29" t="str">
        <f>IFERROR(IF(SUMIFS(tblDaily[Discharges],tblDaily[EntryDate],DATE(2026,11,4),tblDaily[WardCode],"CW")=0,"",SUMIFS(tblDaily[Discharges],tblDaily[EntryDate],DATE(2026,11,4),tblDaily[WardCode],"CW")),"")</f>
        <v/>
      </c>
      <c r="D400" s="29" t="str">
        <f>IFERROR(IF(SUMIFS(tblDaily[Deaths],tblDaily[EntryDate],DATE(2026,11,4),tblDaily[WardCode],"CW")=0,"",SUMIFS(tblDaily[Deaths],tblDaily[EntryDate],DATE(2026,11,4),tblDaily[WardCode],"CW")),"")</f>
        <v/>
      </c>
      <c r="E400" s="29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29" t="str">
        <f>IFERROR(IF(SUMIFS(tblDaily[TransfersIn],tblDaily[EntryDate],DATE(2026,11,4),tblDaily[WardCode],"CW")=0,"",SUMIFS(tblDaily[TransfersIn],tblDaily[EntryDate],DATE(2026,11,4),tblDaily[WardCode],"CW")),"")</f>
        <v/>
      </c>
      <c r="G400" s="29" t="str">
        <f>IFERROR(IF(SUMIFS(tblDaily[TransfersOut],tblDaily[EntryDate],DATE(2026,11,4),tblDaily[WardCode],"CW")=0,"",SUMIFS(tblDaily[TransfersOut],tblDaily[EntryDate],DATE(2026,11,4),tblDaily[WardCode],"CW")),"")</f>
        <v/>
      </c>
      <c r="H400" s="29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IFERROR(IF(SUMIFS(tblDaily[Admissions],tblDaily[EntryDate],DATE(2026,11,5),tblDaily[WardCode],"CW")=0,"",SUMIFS(tblDaily[Admissions],tblDaily[EntryDate],DATE(2026,11,5),tblDaily[WardCode],"CW")),"")</f>
        <v/>
      </c>
      <c r="C401" s="29" t="str">
        <f>IFERROR(IF(SUMIFS(tblDaily[Discharges],tblDaily[EntryDate],DATE(2026,11,5),tblDaily[WardCode],"CW")=0,"",SUMIFS(tblDaily[Discharges],tblDaily[EntryDate],DATE(2026,11,5),tblDaily[WardCode],"CW")),"")</f>
        <v/>
      </c>
      <c r="D401" s="29" t="str">
        <f>IFERROR(IF(SUMIFS(tblDaily[Deaths],tblDaily[EntryDate],DATE(2026,11,5),tblDaily[WardCode],"CW")=0,"",SUMIFS(tblDaily[Deaths],tblDaily[EntryDate],DATE(2026,11,5),tblDaily[WardCode],"CW")),"")</f>
        <v/>
      </c>
      <c r="E401" s="29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29" t="str">
        <f>IFERROR(IF(SUMIFS(tblDaily[TransfersIn],tblDaily[EntryDate],DATE(2026,11,5),tblDaily[WardCode],"CW")=0,"",SUMIFS(tblDaily[TransfersIn],tblDaily[EntryDate],DATE(2026,11,5),tblDaily[WardCode],"CW")),"")</f>
        <v/>
      </c>
      <c r="G401" s="29" t="str">
        <f>IFERROR(IF(SUMIFS(tblDaily[TransfersOut],tblDaily[EntryDate],DATE(2026,11,5),tblDaily[WardCode],"CW")=0,"",SUMIFS(tblDaily[TransfersOut],tblDaily[EntryDate],DATE(2026,11,5),tblDaily[WardCode],"CW")),"")</f>
        <v/>
      </c>
      <c r="H401" s="29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IFERROR(IF(SUMIFS(tblDaily[Admissions],tblDaily[EntryDate],DATE(2026,11,6),tblDaily[WardCode],"CW")=0,"",SUMIFS(tblDaily[Admissions],tblDaily[EntryDate],DATE(2026,11,6),tblDaily[WardCode],"CW")),"")</f>
        <v/>
      </c>
      <c r="C402" s="29" t="str">
        <f>IFERROR(IF(SUMIFS(tblDaily[Discharges],tblDaily[EntryDate],DATE(2026,11,6),tblDaily[WardCode],"CW")=0,"",SUMIFS(tblDaily[Discharges],tblDaily[EntryDate],DATE(2026,11,6),tblDaily[WardCode],"CW")),"")</f>
        <v/>
      </c>
      <c r="D402" s="29" t="str">
        <f>IFERROR(IF(SUMIFS(tblDaily[Deaths],tblDaily[EntryDate],DATE(2026,11,6),tblDaily[WardCode],"CW")=0,"",SUMIFS(tblDaily[Deaths],tblDaily[EntryDate],DATE(2026,11,6),tblDaily[WardCode],"CW")),"")</f>
        <v/>
      </c>
      <c r="E402" s="29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29" t="str">
        <f>IFERROR(IF(SUMIFS(tblDaily[TransfersIn],tblDaily[EntryDate],DATE(2026,11,6),tblDaily[WardCode],"CW")=0,"",SUMIFS(tblDaily[TransfersIn],tblDaily[EntryDate],DATE(2026,11,6),tblDaily[WardCode],"CW")),"")</f>
        <v/>
      </c>
      <c r="G402" s="29" t="str">
        <f>IFERROR(IF(SUMIFS(tblDaily[TransfersOut],tblDaily[EntryDate],DATE(2026,11,6),tblDaily[WardCode],"CW")=0,"",SUMIFS(tblDaily[TransfersOut],tblDaily[EntryDate],DATE(2026,11,6),tblDaily[WardCode],"CW")),"")</f>
        <v/>
      </c>
      <c r="H402" s="29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IFERROR(IF(SUMIFS(tblDaily[Admissions],tblDaily[EntryDate],DATE(2026,11,7),tblDaily[WardCode],"CW")=0,"",SUMIFS(tblDaily[Admissions],tblDaily[EntryDate],DATE(2026,11,7),tblDaily[WardCode],"CW")),"")</f>
        <v/>
      </c>
      <c r="C403" s="29" t="str">
        <f>IFERROR(IF(SUMIFS(tblDaily[Discharges],tblDaily[EntryDate],DATE(2026,11,7),tblDaily[WardCode],"CW")=0,"",SUMIFS(tblDaily[Discharges],tblDaily[EntryDate],DATE(2026,11,7),tblDaily[WardCode],"CW")),"")</f>
        <v/>
      </c>
      <c r="D403" s="29" t="str">
        <f>IFERROR(IF(SUMIFS(tblDaily[Deaths],tblDaily[EntryDate],DATE(2026,11,7),tblDaily[WardCode],"CW")=0,"",SUMIFS(tblDaily[Deaths],tblDaily[EntryDate],DATE(2026,11,7),tblDaily[WardCode],"CW")),"")</f>
        <v/>
      </c>
      <c r="E403" s="29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29" t="str">
        <f>IFERROR(IF(SUMIFS(tblDaily[TransfersIn],tblDaily[EntryDate],DATE(2026,11,7),tblDaily[WardCode],"CW")=0,"",SUMIFS(tblDaily[TransfersIn],tblDaily[EntryDate],DATE(2026,11,7),tblDaily[WardCode],"CW")),"")</f>
        <v/>
      </c>
      <c r="G403" s="29" t="str">
        <f>IFERROR(IF(SUMIFS(tblDaily[TransfersOut],tblDaily[EntryDate],DATE(2026,11,7),tblDaily[WardCode],"CW")=0,"",SUMIFS(tblDaily[TransfersOut],tblDaily[EntryDate],DATE(2026,11,7),tblDaily[WardCode],"CW")),"")</f>
        <v/>
      </c>
      <c r="H403" s="29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IFERROR(IF(SUMIFS(tblDaily[Admissions],tblDaily[EntryDate],DATE(2026,11,8),tblDaily[WardCode],"CW")=0,"",SUMIFS(tblDaily[Admissions],tblDaily[EntryDate],DATE(2026,11,8),tblDaily[WardCode],"CW")),"")</f>
        <v/>
      </c>
      <c r="C404" s="29" t="str">
        <f>IFERROR(IF(SUMIFS(tblDaily[Discharges],tblDaily[EntryDate],DATE(2026,11,8),tblDaily[WardCode],"CW")=0,"",SUMIFS(tblDaily[Discharges],tblDaily[EntryDate],DATE(2026,11,8),tblDaily[WardCode],"CW")),"")</f>
        <v/>
      </c>
      <c r="D404" s="29" t="str">
        <f>IFERROR(IF(SUMIFS(tblDaily[Deaths],tblDaily[EntryDate],DATE(2026,11,8),tblDaily[WardCode],"CW")=0,"",SUMIFS(tblDaily[Deaths],tblDaily[EntryDate],DATE(2026,11,8),tblDaily[WardCode],"CW")),"")</f>
        <v/>
      </c>
      <c r="E404" s="29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29" t="str">
        <f>IFERROR(IF(SUMIFS(tblDaily[TransfersIn],tblDaily[EntryDate],DATE(2026,11,8),tblDaily[WardCode],"CW")=0,"",SUMIFS(tblDaily[TransfersIn],tblDaily[EntryDate],DATE(2026,11,8),tblDaily[WardCode],"CW")),"")</f>
        <v/>
      </c>
      <c r="G404" s="29" t="str">
        <f>IFERROR(IF(SUMIFS(tblDaily[TransfersOut],tblDaily[EntryDate],DATE(2026,11,8),tblDaily[WardCode],"CW")=0,"",SUMIFS(tblDaily[TransfersOut],tblDaily[EntryDate],DATE(2026,11,8),tblDaily[WardCode],"CW")),"")</f>
        <v/>
      </c>
      <c r="H404" s="29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IFERROR(IF(SUMIFS(tblDaily[Admissions],tblDaily[EntryDate],DATE(2026,11,9),tblDaily[WardCode],"CW")=0,"",SUMIFS(tblDaily[Admissions],tblDaily[EntryDate],DATE(2026,11,9),tblDaily[WardCode],"CW")),"")</f>
        <v/>
      </c>
      <c r="C405" s="29" t="str">
        <f>IFERROR(IF(SUMIFS(tblDaily[Discharges],tblDaily[EntryDate],DATE(2026,11,9),tblDaily[WardCode],"CW")=0,"",SUMIFS(tblDaily[Discharges],tblDaily[EntryDate],DATE(2026,11,9),tblDaily[WardCode],"CW")),"")</f>
        <v/>
      </c>
      <c r="D405" s="29" t="str">
        <f>IFERROR(IF(SUMIFS(tblDaily[Deaths],tblDaily[EntryDate],DATE(2026,11,9),tblDaily[WardCode],"CW")=0,"",SUMIFS(tblDaily[Deaths],tblDaily[EntryDate],DATE(2026,11,9),tblDaily[WardCode],"CW")),"")</f>
        <v/>
      </c>
      <c r="E405" s="29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29" t="str">
        <f>IFERROR(IF(SUMIFS(tblDaily[TransfersIn],tblDaily[EntryDate],DATE(2026,11,9),tblDaily[WardCode],"CW")=0,"",SUMIFS(tblDaily[TransfersIn],tblDaily[EntryDate],DATE(2026,11,9),tblDaily[WardCode],"CW")),"")</f>
        <v/>
      </c>
      <c r="G405" s="29" t="str">
        <f>IFERROR(IF(SUMIFS(tblDaily[TransfersOut],tblDaily[EntryDate],DATE(2026,11,9),tblDaily[WardCode],"CW")=0,"",SUMIFS(tblDaily[TransfersOut],tblDaily[EntryDate],DATE(2026,11,9),tblDaily[WardCode],"CW")),"")</f>
        <v/>
      </c>
      <c r="H405" s="29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IFERROR(IF(SUMIFS(tblDaily[Admissions],tblDaily[EntryDate],DATE(2026,11,10),tblDaily[WardCode],"CW")=0,"",SUMIFS(tblDaily[Admissions],tblDaily[EntryDate],DATE(2026,11,10),tblDaily[WardCode],"CW")),"")</f>
        <v/>
      </c>
      <c r="C406" s="29" t="str">
        <f>IFERROR(IF(SUMIFS(tblDaily[Discharges],tblDaily[EntryDate],DATE(2026,11,10),tblDaily[WardCode],"CW")=0,"",SUMIFS(tblDaily[Discharges],tblDaily[EntryDate],DATE(2026,11,10),tblDaily[WardCode],"CW")),"")</f>
        <v/>
      </c>
      <c r="D406" s="29" t="str">
        <f>IFERROR(IF(SUMIFS(tblDaily[Deaths],tblDaily[EntryDate],DATE(2026,11,10),tblDaily[WardCode],"CW")=0,"",SUMIFS(tblDaily[Deaths],tblDaily[EntryDate],DATE(2026,11,10),tblDaily[WardCode],"CW")),"")</f>
        <v/>
      </c>
      <c r="E406" s="29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29" t="str">
        <f>IFERROR(IF(SUMIFS(tblDaily[TransfersIn],tblDaily[EntryDate],DATE(2026,11,10),tblDaily[WardCode],"CW")=0,"",SUMIFS(tblDaily[TransfersIn],tblDaily[EntryDate],DATE(2026,11,10),tblDaily[WardCode],"CW")),"")</f>
        <v/>
      </c>
      <c r="G406" s="29" t="str">
        <f>IFERROR(IF(SUMIFS(tblDaily[TransfersOut],tblDaily[EntryDate],DATE(2026,11,10),tblDaily[WardCode],"CW")=0,"",SUMIFS(tblDaily[TransfersOut],tblDaily[EntryDate],DATE(2026,11,10),tblDaily[WardCode],"CW")),"")</f>
        <v/>
      </c>
      <c r="H406" s="29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IFERROR(IF(SUMIFS(tblDaily[Admissions],tblDaily[EntryDate],DATE(2026,11,11),tblDaily[WardCode],"CW")=0,"",SUMIFS(tblDaily[Admissions],tblDaily[EntryDate],DATE(2026,11,11),tblDaily[WardCode],"CW")),"")</f>
        <v/>
      </c>
      <c r="C407" s="29" t="str">
        <f>IFERROR(IF(SUMIFS(tblDaily[Discharges],tblDaily[EntryDate],DATE(2026,11,11),tblDaily[WardCode],"CW")=0,"",SUMIFS(tblDaily[Discharges],tblDaily[EntryDate],DATE(2026,11,11),tblDaily[WardCode],"CW")),"")</f>
        <v/>
      </c>
      <c r="D407" s="29" t="str">
        <f>IFERROR(IF(SUMIFS(tblDaily[Deaths],tblDaily[EntryDate],DATE(2026,11,11),tblDaily[WardCode],"CW")=0,"",SUMIFS(tblDaily[Deaths],tblDaily[EntryDate],DATE(2026,11,11),tblDaily[WardCode],"CW")),"")</f>
        <v/>
      </c>
      <c r="E407" s="29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29" t="str">
        <f>IFERROR(IF(SUMIFS(tblDaily[TransfersIn],tblDaily[EntryDate],DATE(2026,11,11),tblDaily[WardCode],"CW")=0,"",SUMIFS(tblDaily[TransfersIn],tblDaily[EntryDate],DATE(2026,11,11),tblDaily[WardCode],"CW")),"")</f>
        <v/>
      </c>
      <c r="G407" s="29" t="str">
        <f>IFERROR(IF(SUMIFS(tblDaily[TransfersOut],tblDaily[EntryDate],DATE(2026,11,11),tblDaily[WardCode],"CW")=0,"",SUMIFS(tblDaily[TransfersOut],tblDaily[EntryDate],DATE(2026,11,11),tblDaily[WardCode],"CW")),"")</f>
        <v/>
      </c>
      <c r="H407" s="29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IFERROR(IF(SUMIFS(tblDaily[Admissions],tblDaily[EntryDate],DATE(2026,11,12),tblDaily[WardCode],"CW")=0,"",SUMIFS(tblDaily[Admissions],tblDaily[EntryDate],DATE(2026,11,12),tblDaily[WardCode],"CW")),"")</f>
        <v/>
      </c>
      <c r="C408" s="29" t="str">
        <f>IFERROR(IF(SUMIFS(tblDaily[Discharges],tblDaily[EntryDate],DATE(2026,11,12),tblDaily[WardCode],"CW")=0,"",SUMIFS(tblDaily[Discharges],tblDaily[EntryDate],DATE(2026,11,12),tblDaily[WardCode],"CW")),"")</f>
        <v/>
      </c>
      <c r="D408" s="29" t="str">
        <f>IFERROR(IF(SUMIFS(tblDaily[Deaths],tblDaily[EntryDate],DATE(2026,11,12),tblDaily[WardCode],"CW")=0,"",SUMIFS(tblDaily[Deaths],tblDaily[EntryDate],DATE(2026,11,12),tblDaily[WardCode],"CW")),"")</f>
        <v/>
      </c>
      <c r="E408" s="29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29" t="str">
        <f>IFERROR(IF(SUMIFS(tblDaily[TransfersIn],tblDaily[EntryDate],DATE(2026,11,12),tblDaily[WardCode],"CW")=0,"",SUMIFS(tblDaily[TransfersIn],tblDaily[EntryDate],DATE(2026,11,12),tblDaily[WardCode],"CW")),"")</f>
        <v/>
      </c>
      <c r="G408" s="29" t="str">
        <f>IFERROR(IF(SUMIFS(tblDaily[TransfersOut],tblDaily[EntryDate],DATE(2026,11,12),tblDaily[WardCode],"CW")=0,"",SUMIFS(tblDaily[TransfersOut],tblDaily[EntryDate],DATE(2026,11,12),tblDaily[WardCode],"CW")),"")</f>
        <v/>
      </c>
      <c r="H408" s="29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IFERROR(IF(SUMIFS(tblDaily[Admissions],tblDaily[EntryDate],DATE(2026,11,13),tblDaily[WardCode],"CW")=0,"",SUMIFS(tblDaily[Admissions],tblDaily[EntryDate],DATE(2026,11,13),tblDaily[WardCode],"CW")),"")</f>
        <v/>
      </c>
      <c r="C409" s="29" t="str">
        <f>IFERROR(IF(SUMIFS(tblDaily[Discharges],tblDaily[EntryDate],DATE(2026,11,13),tblDaily[WardCode],"CW")=0,"",SUMIFS(tblDaily[Discharges],tblDaily[EntryDate],DATE(2026,11,13),tblDaily[WardCode],"CW")),"")</f>
        <v/>
      </c>
      <c r="D409" s="29" t="str">
        <f>IFERROR(IF(SUMIFS(tblDaily[Deaths],tblDaily[EntryDate],DATE(2026,11,13),tblDaily[WardCode],"CW")=0,"",SUMIFS(tblDaily[Deaths],tblDaily[EntryDate],DATE(2026,11,13),tblDaily[WardCode],"CW")),"")</f>
        <v/>
      </c>
      <c r="E409" s="29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29" t="str">
        <f>IFERROR(IF(SUMIFS(tblDaily[TransfersIn],tblDaily[EntryDate],DATE(2026,11,13),tblDaily[WardCode],"CW")=0,"",SUMIFS(tblDaily[TransfersIn],tblDaily[EntryDate],DATE(2026,11,13),tblDaily[WardCode],"CW")),"")</f>
        <v/>
      </c>
      <c r="G409" s="29" t="str">
        <f>IFERROR(IF(SUMIFS(tblDaily[TransfersOut],tblDaily[EntryDate],DATE(2026,11,13),tblDaily[WardCode],"CW")=0,"",SUMIFS(tblDaily[TransfersOut],tblDaily[EntryDate],DATE(2026,11,13),tblDaily[WardCode],"CW")),"")</f>
        <v/>
      </c>
      <c r="H409" s="29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IFERROR(IF(SUMIFS(tblDaily[Admissions],tblDaily[EntryDate],DATE(2026,11,14),tblDaily[WardCode],"CW")=0,"",SUMIFS(tblDaily[Admissions],tblDaily[EntryDate],DATE(2026,11,14),tblDaily[WardCode],"CW")),"")</f>
        <v/>
      </c>
      <c r="C410" s="29" t="str">
        <f>IFERROR(IF(SUMIFS(tblDaily[Discharges],tblDaily[EntryDate],DATE(2026,11,14),tblDaily[WardCode],"CW")=0,"",SUMIFS(tblDaily[Discharges],tblDaily[EntryDate],DATE(2026,11,14),tblDaily[WardCode],"CW")),"")</f>
        <v/>
      </c>
      <c r="D410" s="29" t="str">
        <f>IFERROR(IF(SUMIFS(tblDaily[Deaths],tblDaily[EntryDate],DATE(2026,11,14),tblDaily[WardCode],"CW")=0,"",SUMIFS(tblDaily[Deaths],tblDaily[EntryDate],DATE(2026,11,14),tblDaily[WardCode],"CW")),"")</f>
        <v/>
      </c>
      <c r="E410" s="29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29" t="str">
        <f>IFERROR(IF(SUMIFS(tblDaily[TransfersIn],tblDaily[EntryDate],DATE(2026,11,14),tblDaily[WardCode],"CW")=0,"",SUMIFS(tblDaily[TransfersIn],tblDaily[EntryDate],DATE(2026,11,14),tblDaily[WardCode],"CW")),"")</f>
        <v/>
      </c>
      <c r="G410" s="29" t="str">
        <f>IFERROR(IF(SUMIFS(tblDaily[TransfersOut],tblDaily[EntryDate],DATE(2026,11,14),tblDaily[WardCode],"CW")=0,"",SUMIFS(tblDaily[TransfersOut],tblDaily[EntryDate],DATE(2026,11,14),tblDaily[WardCode],"CW")),"")</f>
        <v/>
      </c>
      <c r="H410" s="29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IFERROR(IF(SUMIFS(tblDaily[Admissions],tblDaily[EntryDate],DATE(2026,11,15),tblDaily[WardCode],"CW")=0,"",SUMIFS(tblDaily[Admissions],tblDaily[EntryDate],DATE(2026,11,15),tblDaily[WardCode],"CW")),"")</f>
        <v/>
      </c>
      <c r="C411" s="29" t="str">
        <f>IFERROR(IF(SUMIFS(tblDaily[Discharges],tblDaily[EntryDate],DATE(2026,11,15),tblDaily[WardCode],"CW")=0,"",SUMIFS(tblDaily[Discharges],tblDaily[EntryDate],DATE(2026,11,15),tblDaily[WardCode],"CW")),"")</f>
        <v/>
      </c>
      <c r="D411" s="29" t="str">
        <f>IFERROR(IF(SUMIFS(tblDaily[Deaths],tblDaily[EntryDate],DATE(2026,11,15),tblDaily[WardCode],"CW")=0,"",SUMIFS(tblDaily[Deaths],tblDaily[EntryDate],DATE(2026,11,15),tblDaily[WardCode],"CW")),"")</f>
        <v/>
      </c>
      <c r="E411" s="29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29" t="str">
        <f>IFERROR(IF(SUMIFS(tblDaily[TransfersIn],tblDaily[EntryDate],DATE(2026,11,15),tblDaily[WardCode],"CW")=0,"",SUMIFS(tblDaily[TransfersIn],tblDaily[EntryDate],DATE(2026,11,15),tblDaily[WardCode],"CW")),"")</f>
        <v/>
      </c>
      <c r="G411" s="29" t="str">
        <f>IFERROR(IF(SUMIFS(tblDaily[TransfersOut],tblDaily[EntryDate],DATE(2026,11,15),tblDaily[WardCode],"CW")=0,"",SUMIFS(tblDaily[TransfersOut],tblDaily[EntryDate],DATE(2026,11,15),tblDaily[WardCode],"CW")),"")</f>
        <v/>
      </c>
      <c r="H411" s="29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IFERROR(IF(SUMIFS(tblDaily[Admissions],tblDaily[EntryDate],DATE(2026,11,16),tblDaily[WardCode],"CW")=0,"",SUMIFS(tblDaily[Admissions],tblDaily[EntryDate],DATE(2026,11,16),tblDaily[WardCode],"CW")),"")</f>
        <v/>
      </c>
      <c r="C412" s="29" t="str">
        <f>IFERROR(IF(SUMIFS(tblDaily[Discharges],tblDaily[EntryDate],DATE(2026,11,16),tblDaily[WardCode],"CW")=0,"",SUMIFS(tblDaily[Discharges],tblDaily[EntryDate],DATE(2026,11,16),tblDaily[WardCode],"CW")),"")</f>
        <v/>
      </c>
      <c r="D412" s="29" t="str">
        <f>IFERROR(IF(SUMIFS(tblDaily[Deaths],tblDaily[EntryDate],DATE(2026,11,16),tblDaily[WardCode],"CW")=0,"",SUMIFS(tblDaily[Deaths],tblDaily[EntryDate],DATE(2026,11,16),tblDaily[WardCode],"CW")),"")</f>
        <v/>
      </c>
      <c r="E412" s="29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29" t="str">
        <f>IFERROR(IF(SUMIFS(tblDaily[TransfersIn],tblDaily[EntryDate],DATE(2026,11,16),tblDaily[WardCode],"CW")=0,"",SUMIFS(tblDaily[TransfersIn],tblDaily[EntryDate],DATE(2026,11,16),tblDaily[WardCode],"CW")),"")</f>
        <v/>
      </c>
      <c r="G412" s="29" t="str">
        <f>IFERROR(IF(SUMIFS(tblDaily[TransfersOut],tblDaily[EntryDate],DATE(2026,11,16),tblDaily[WardCode],"CW")=0,"",SUMIFS(tblDaily[TransfersOut],tblDaily[EntryDate],DATE(2026,11,16),tblDaily[WardCode],"CW")),"")</f>
        <v/>
      </c>
      <c r="H412" s="29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IFERROR(IF(SUMIFS(tblDaily[Admissions],tblDaily[EntryDate],DATE(2026,11,17),tblDaily[WardCode],"CW")=0,"",SUMIFS(tblDaily[Admissions],tblDaily[EntryDate],DATE(2026,11,17),tblDaily[WardCode],"CW")),"")</f>
        <v/>
      </c>
      <c r="C413" s="29" t="str">
        <f>IFERROR(IF(SUMIFS(tblDaily[Discharges],tblDaily[EntryDate],DATE(2026,11,17),tblDaily[WardCode],"CW")=0,"",SUMIFS(tblDaily[Discharges],tblDaily[EntryDate],DATE(2026,11,17),tblDaily[WardCode],"CW")),"")</f>
        <v/>
      </c>
      <c r="D413" s="29" t="str">
        <f>IFERROR(IF(SUMIFS(tblDaily[Deaths],tblDaily[EntryDate],DATE(2026,11,17),tblDaily[WardCode],"CW")=0,"",SUMIFS(tblDaily[Deaths],tblDaily[EntryDate],DATE(2026,11,17),tblDaily[WardCode],"CW")),"")</f>
        <v/>
      </c>
      <c r="E413" s="29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29" t="str">
        <f>IFERROR(IF(SUMIFS(tblDaily[TransfersIn],tblDaily[EntryDate],DATE(2026,11,17),tblDaily[WardCode],"CW")=0,"",SUMIFS(tblDaily[TransfersIn],tblDaily[EntryDate],DATE(2026,11,17),tblDaily[WardCode],"CW")),"")</f>
        <v/>
      </c>
      <c r="G413" s="29" t="str">
        <f>IFERROR(IF(SUMIFS(tblDaily[TransfersOut],tblDaily[EntryDate],DATE(2026,11,17),tblDaily[WardCode],"CW")=0,"",SUMIFS(tblDaily[TransfersOut],tblDaily[EntryDate],DATE(2026,11,17),tblDaily[WardCode],"CW")),"")</f>
        <v/>
      </c>
      <c r="H413" s="29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IFERROR(IF(SUMIFS(tblDaily[Admissions],tblDaily[EntryDate],DATE(2026,11,18),tblDaily[WardCode],"CW")=0,"",SUMIFS(tblDaily[Admissions],tblDaily[EntryDate],DATE(2026,11,18),tblDaily[WardCode],"CW")),"")</f>
        <v/>
      </c>
      <c r="C414" s="29" t="str">
        <f>IFERROR(IF(SUMIFS(tblDaily[Discharges],tblDaily[EntryDate],DATE(2026,11,18),tblDaily[WardCode],"CW")=0,"",SUMIFS(tblDaily[Discharges],tblDaily[EntryDate],DATE(2026,11,18),tblDaily[WardCode],"CW")),"")</f>
        <v/>
      </c>
      <c r="D414" s="29" t="str">
        <f>IFERROR(IF(SUMIFS(tblDaily[Deaths],tblDaily[EntryDate],DATE(2026,11,18),tblDaily[WardCode],"CW")=0,"",SUMIFS(tblDaily[Deaths],tblDaily[EntryDate],DATE(2026,11,18),tblDaily[WardCode],"CW")),"")</f>
        <v/>
      </c>
      <c r="E414" s="29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29" t="str">
        <f>IFERROR(IF(SUMIFS(tblDaily[TransfersIn],tblDaily[EntryDate],DATE(2026,11,18),tblDaily[WardCode],"CW")=0,"",SUMIFS(tblDaily[TransfersIn],tblDaily[EntryDate],DATE(2026,11,18),tblDaily[WardCode],"CW")),"")</f>
        <v/>
      </c>
      <c r="G414" s="29" t="str">
        <f>IFERROR(IF(SUMIFS(tblDaily[TransfersOut],tblDaily[EntryDate],DATE(2026,11,18),tblDaily[WardCode],"CW")=0,"",SUMIFS(tblDaily[TransfersOut],tblDaily[EntryDate],DATE(2026,11,18),tblDaily[WardCode],"CW")),"")</f>
        <v/>
      </c>
      <c r="H414" s="29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IFERROR(IF(SUMIFS(tblDaily[Admissions],tblDaily[EntryDate],DATE(2026,11,19),tblDaily[WardCode],"CW")=0,"",SUMIFS(tblDaily[Admissions],tblDaily[EntryDate],DATE(2026,11,19),tblDaily[WardCode],"CW")),"")</f>
        <v/>
      </c>
      <c r="C415" s="29" t="str">
        <f>IFERROR(IF(SUMIFS(tblDaily[Discharges],tblDaily[EntryDate],DATE(2026,11,19),tblDaily[WardCode],"CW")=0,"",SUMIFS(tblDaily[Discharges],tblDaily[EntryDate],DATE(2026,11,19),tblDaily[WardCode],"CW")),"")</f>
        <v/>
      </c>
      <c r="D415" s="29" t="str">
        <f>IFERROR(IF(SUMIFS(tblDaily[Deaths],tblDaily[EntryDate],DATE(2026,11,19),tblDaily[WardCode],"CW")=0,"",SUMIFS(tblDaily[Deaths],tblDaily[EntryDate],DATE(2026,11,19),tblDaily[WardCode],"CW")),"")</f>
        <v/>
      </c>
      <c r="E415" s="29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29" t="str">
        <f>IFERROR(IF(SUMIFS(tblDaily[TransfersIn],tblDaily[EntryDate],DATE(2026,11,19),tblDaily[WardCode],"CW")=0,"",SUMIFS(tblDaily[TransfersIn],tblDaily[EntryDate],DATE(2026,11,19),tblDaily[WardCode],"CW")),"")</f>
        <v/>
      </c>
      <c r="G415" s="29" t="str">
        <f>IFERROR(IF(SUMIFS(tblDaily[TransfersOut],tblDaily[EntryDate],DATE(2026,11,19),tblDaily[WardCode],"CW")=0,"",SUMIFS(tblDaily[TransfersOut],tblDaily[EntryDate],DATE(2026,11,19),tblDaily[WardCode],"CW")),"")</f>
        <v/>
      </c>
      <c r="H415" s="29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IFERROR(IF(SUMIFS(tblDaily[Admissions],tblDaily[EntryDate],DATE(2026,11,20),tblDaily[WardCode],"CW")=0,"",SUMIFS(tblDaily[Admissions],tblDaily[EntryDate],DATE(2026,11,20),tblDaily[WardCode],"CW")),"")</f>
        <v/>
      </c>
      <c r="C416" s="29" t="str">
        <f>IFERROR(IF(SUMIFS(tblDaily[Discharges],tblDaily[EntryDate],DATE(2026,11,20),tblDaily[WardCode],"CW")=0,"",SUMIFS(tblDaily[Discharges],tblDaily[EntryDate],DATE(2026,11,20),tblDaily[WardCode],"CW")),"")</f>
        <v/>
      </c>
      <c r="D416" s="29" t="str">
        <f>IFERROR(IF(SUMIFS(tblDaily[Deaths],tblDaily[EntryDate],DATE(2026,11,20),tblDaily[WardCode],"CW")=0,"",SUMIFS(tblDaily[Deaths],tblDaily[EntryDate],DATE(2026,11,20),tblDaily[WardCode],"CW")),"")</f>
        <v/>
      </c>
      <c r="E416" s="29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29" t="str">
        <f>IFERROR(IF(SUMIFS(tblDaily[TransfersIn],tblDaily[EntryDate],DATE(2026,11,20),tblDaily[WardCode],"CW")=0,"",SUMIFS(tblDaily[TransfersIn],tblDaily[EntryDate],DATE(2026,11,20),tblDaily[WardCode],"CW")),"")</f>
        <v/>
      </c>
      <c r="G416" s="29" t="str">
        <f>IFERROR(IF(SUMIFS(tblDaily[TransfersOut],tblDaily[EntryDate],DATE(2026,11,20),tblDaily[WardCode],"CW")=0,"",SUMIFS(tblDaily[TransfersOut],tblDaily[EntryDate],DATE(2026,11,20),tblDaily[WardCode],"CW")),"")</f>
        <v/>
      </c>
      <c r="H416" s="29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IFERROR(IF(SUMIFS(tblDaily[Admissions],tblDaily[EntryDate],DATE(2026,11,21),tblDaily[WardCode],"CW")=0,"",SUMIFS(tblDaily[Admissions],tblDaily[EntryDate],DATE(2026,11,21),tblDaily[WardCode],"CW")),"")</f>
        <v/>
      </c>
      <c r="C417" s="29" t="str">
        <f>IFERROR(IF(SUMIFS(tblDaily[Discharges],tblDaily[EntryDate],DATE(2026,11,21),tblDaily[WardCode],"CW")=0,"",SUMIFS(tblDaily[Discharges],tblDaily[EntryDate],DATE(2026,11,21),tblDaily[WardCode],"CW")),"")</f>
        <v/>
      </c>
      <c r="D417" s="29" t="str">
        <f>IFERROR(IF(SUMIFS(tblDaily[Deaths],tblDaily[EntryDate],DATE(2026,11,21),tblDaily[WardCode],"CW")=0,"",SUMIFS(tblDaily[Deaths],tblDaily[EntryDate],DATE(2026,11,21),tblDaily[WardCode],"CW")),"")</f>
        <v/>
      </c>
      <c r="E417" s="29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29" t="str">
        <f>IFERROR(IF(SUMIFS(tblDaily[TransfersIn],tblDaily[EntryDate],DATE(2026,11,21),tblDaily[WardCode],"CW")=0,"",SUMIFS(tblDaily[TransfersIn],tblDaily[EntryDate],DATE(2026,11,21),tblDaily[WardCode],"CW")),"")</f>
        <v/>
      </c>
      <c r="G417" s="29" t="str">
        <f>IFERROR(IF(SUMIFS(tblDaily[TransfersOut],tblDaily[EntryDate],DATE(2026,11,21),tblDaily[WardCode],"CW")=0,"",SUMIFS(tblDaily[TransfersOut],tblDaily[EntryDate],DATE(2026,11,21),tblDaily[WardCode],"CW")),"")</f>
        <v/>
      </c>
      <c r="H417" s="29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IFERROR(IF(SUMIFS(tblDaily[Admissions],tblDaily[EntryDate],DATE(2026,11,22),tblDaily[WardCode],"CW")=0,"",SUMIFS(tblDaily[Admissions],tblDaily[EntryDate],DATE(2026,11,22),tblDaily[WardCode],"CW")),"")</f>
        <v/>
      </c>
      <c r="C418" s="29" t="str">
        <f>IFERROR(IF(SUMIFS(tblDaily[Discharges],tblDaily[EntryDate],DATE(2026,11,22),tblDaily[WardCode],"CW")=0,"",SUMIFS(tblDaily[Discharges],tblDaily[EntryDate],DATE(2026,11,22),tblDaily[WardCode],"CW")),"")</f>
        <v/>
      </c>
      <c r="D418" s="29" t="str">
        <f>IFERROR(IF(SUMIFS(tblDaily[Deaths],tblDaily[EntryDate],DATE(2026,11,22),tblDaily[WardCode],"CW")=0,"",SUMIFS(tblDaily[Deaths],tblDaily[EntryDate],DATE(2026,11,22),tblDaily[WardCode],"CW")),"")</f>
        <v/>
      </c>
      <c r="E418" s="29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29" t="str">
        <f>IFERROR(IF(SUMIFS(tblDaily[TransfersIn],tblDaily[EntryDate],DATE(2026,11,22),tblDaily[WardCode],"CW")=0,"",SUMIFS(tblDaily[TransfersIn],tblDaily[EntryDate],DATE(2026,11,22),tblDaily[WardCode],"CW")),"")</f>
        <v/>
      </c>
      <c r="G418" s="29" t="str">
        <f>IFERROR(IF(SUMIFS(tblDaily[TransfersOut],tblDaily[EntryDate],DATE(2026,11,22),tblDaily[WardCode],"CW")=0,"",SUMIFS(tblDaily[TransfersOut],tblDaily[EntryDate],DATE(2026,11,22),tblDaily[WardCode],"CW")),"")</f>
        <v/>
      </c>
      <c r="H418" s="29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IFERROR(IF(SUMIFS(tblDaily[Admissions],tblDaily[EntryDate],DATE(2026,11,23),tblDaily[WardCode],"CW")=0,"",SUMIFS(tblDaily[Admissions],tblDaily[EntryDate],DATE(2026,11,23),tblDaily[WardCode],"CW")),"")</f>
        <v/>
      </c>
      <c r="C419" s="29" t="str">
        <f>IFERROR(IF(SUMIFS(tblDaily[Discharges],tblDaily[EntryDate],DATE(2026,11,23),tblDaily[WardCode],"CW")=0,"",SUMIFS(tblDaily[Discharges],tblDaily[EntryDate],DATE(2026,11,23),tblDaily[WardCode],"CW")),"")</f>
        <v/>
      </c>
      <c r="D419" s="29" t="str">
        <f>IFERROR(IF(SUMIFS(tblDaily[Deaths],tblDaily[EntryDate],DATE(2026,11,23),tblDaily[WardCode],"CW")=0,"",SUMIFS(tblDaily[Deaths],tblDaily[EntryDate],DATE(2026,11,23),tblDaily[WardCode],"CW")),"")</f>
        <v/>
      </c>
      <c r="E419" s="29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29" t="str">
        <f>IFERROR(IF(SUMIFS(tblDaily[TransfersIn],tblDaily[EntryDate],DATE(2026,11,23),tblDaily[WardCode],"CW")=0,"",SUMIFS(tblDaily[TransfersIn],tblDaily[EntryDate],DATE(2026,11,23),tblDaily[WardCode],"CW")),"")</f>
        <v/>
      </c>
      <c r="G419" s="29" t="str">
        <f>IFERROR(IF(SUMIFS(tblDaily[TransfersOut],tblDaily[EntryDate],DATE(2026,11,23),tblDaily[WardCode],"CW")=0,"",SUMIFS(tblDaily[TransfersOut],tblDaily[EntryDate],DATE(2026,11,23),tblDaily[WardCode],"CW")),"")</f>
        <v/>
      </c>
      <c r="H419" s="29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IFERROR(IF(SUMIFS(tblDaily[Admissions],tblDaily[EntryDate],DATE(2026,11,24),tblDaily[WardCode],"CW")=0,"",SUMIFS(tblDaily[Admissions],tblDaily[EntryDate],DATE(2026,11,24),tblDaily[WardCode],"CW")),"")</f>
        <v/>
      </c>
      <c r="C420" s="29" t="str">
        <f>IFERROR(IF(SUMIFS(tblDaily[Discharges],tblDaily[EntryDate],DATE(2026,11,24),tblDaily[WardCode],"CW")=0,"",SUMIFS(tblDaily[Discharges],tblDaily[EntryDate],DATE(2026,11,24),tblDaily[WardCode],"CW")),"")</f>
        <v/>
      </c>
      <c r="D420" s="29" t="str">
        <f>IFERROR(IF(SUMIFS(tblDaily[Deaths],tblDaily[EntryDate],DATE(2026,11,24),tblDaily[WardCode],"CW")=0,"",SUMIFS(tblDaily[Deaths],tblDaily[EntryDate],DATE(2026,11,24),tblDaily[WardCode],"CW")),"")</f>
        <v/>
      </c>
      <c r="E420" s="29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29" t="str">
        <f>IFERROR(IF(SUMIFS(tblDaily[TransfersIn],tblDaily[EntryDate],DATE(2026,11,24),tblDaily[WardCode],"CW")=0,"",SUMIFS(tblDaily[TransfersIn],tblDaily[EntryDate],DATE(2026,11,24),tblDaily[WardCode],"CW")),"")</f>
        <v/>
      </c>
      <c r="G420" s="29" t="str">
        <f>IFERROR(IF(SUMIFS(tblDaily[TransfersOut],tblDaily[EntryDate],DATE(2026,11,24),tblDaily[WardCode],"CW")=0,"",SUMIFS(tblDaily[TransfersOut],tblDaily[EntryDate],DATE(2026,11,24),tblDaily[WardCode],"CW")),"")</f>
        <v/>
      </c>
      <c r="H420" s="29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IFERROR(IF(SUMIFS(tblDaily[Admissions],tblDaily[EntryDate],DATE(2026,11,25),tblDaily[WardCode],"CW")=0,"",SUMIFS(tblDaily[Admissions],tblDaily[EntryDate],DATE(2026,11,25),tblDaily[WardCode],"CW")),"")</f>
        <v/>
      </c>
      <c r="C421" s="29" t="str">
        <f>IFERROR(IF(SUMIFS(tblDaily[Discharges],tblDaily[EntryDate],DATE(2026,11,25),tblDaily[WardCode],"CW")=0,"",SUMIFS(tblDaily[Discharges],tblDaily[EntryDate],DATE(2026,11,25),tblDaily[WardCode],"CW")),"")</f>
        <v/>
      </c>
      <c r="D421" s="29" t="str">
        <f>IFERROR(IF(SUMIFS(tblDaily[Deaths],tblDaily[EntryDate],DATE(2026,11,25),tblDaily[WardCode],"CW")=0,"",SUMIFS(tblDaily[Deaths],tblDaily[EntryDate],DATE(2026,11,25),tblDaily[WardCode],"CW")),"")</f>
        <v/>
      </c>
      <c r="E421" s="29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29" t="str">
        <f>IFERROR(IF(SUMIFS(tblDaily[TransfersIn],tblDaily[EntryDate],DATE(2026,11,25),tblDaily[WardCode],"CW")=0,"",SUMIFS(tblDaily[TransfersIn],tblDaily[EntryDate],DATE(2026,11,25),tblDaily[WardCode],"CW")),"")</f>
        <v/>
      </c>
      <c r="G421" s="29" t="str">
        <f>IFERROR(IF(SUMIFS(tblDaily[TransfersOut],tblDaily[EntryDate],DATE(2026,11,25),tblDaily[WardCode],"CW")=0,"",SUMIFS(tblDaily[TransfersOut],tblDaily[EntryDate],DATE(2026,11,25),tblDaily[WardCode],"CW")),"")</f>
        <v/>
      </c>
      <c r="H421" s="29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IFERROR(IF(SUMIFS(tblDaily[Admissions],tblDaily[EntryDate],DATE(2026,11,26),tblDaily[WardCode],"CW")=0,"",SUMIFS(tblDaily[Admissions],tblDaily[EntryDate],DATE(2026,11,26),tblDaily[WardCode],"CW")),"")</f>
        <v/>
      </c>
      <c r="C422" s="29" t="str">
        <f>IFERROR(IF(SUMIFS(tblDaily[Discharges],tblDaily[EntryDate],DATE(2026,11,26),tblDaily[WardCode],"CW")=0,"",SUMIFS(tblDaily[Discharges],tblDaily[EntryDate],DATE(2026,11,26),tblDaily[WardCode],"CW")),"")</f>
        <v/>
      </c>
      <c r="D422" s="29" t="str">
        <f>IFERROR(IF(SUMIFS(tblDaily[Deaths],tblDaily[EntryDate],DATE(2026,11,26),tblDaily[WardCode],"CW")=0,"",SUMIFS(tblDaily[Deaths],tblDaily[EntryDate],DATE(2026,11,26),tblDaily[WardCode],"CW")),"")</f>
        <v/>
      </c>
      <c r="E422" s="29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29" t="str">
        <f>IFERROR(IF(SUMIFS(tblDaily[TransfersIn],tblDaily[EntryDate],DATE(2026,11,26),tblDaily[WardCode],"CW")=0,"",SUMIFS(tblDaily[TransfersIn],tblDaily[EntryDate],DATE(2026,11,26),tblDaily[WardCode],"CW")),"")</f>
        <v/>
      </c>
      <c r="G422" s="29" t="str">
        <f>IFERROR(IF(SUMIFS(tblDaily[TransfersOut],tblDaily[EntryDate],DATE(2026,11,26),tblDaily[WardCode],"CW")=0,"",SUMIFS(tblDaily[TransfersOut],tblDaily[EntryDate],DATE(2026,11,26),tblDaily[WardCode],"CW")),"")</f>
        <v/>
      </c>
      <c r="H422" s="29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IFERROR(IF(SUMIFS(tblDaily[Admissions],tblDaily[EntryDate],DATE(2026,11,27),tblDaily[WardCode],"CW")=0,"",SUMIFS(tblDaily[Admissions],tblDaily[EntryDate],DATE(2026,11,27),tblDaily[WardCode],"CW")),"")</f>
        <v/>
      </c>
      <c r="C423" s="29" t="str">
        <f>IFERROR(IF(SUMIFS(tblDaily[Discharges],tblDaily[EntryDate],DATE(2026,11,27),tblDaily[WardCode],"CW")=0,"",SUMIFS(tblDaily[Discharges],tblDaily[EntryDate],DATE(2026,11,27),tblDaily[WardCode],"CW")),"")</f>
        <v/>
      </c>
      <c r="D423" s="29" t="str">
        <f>IFERROR(IF(SUMIFS(tblDaily[Deaths],tblDaily[EntryDate],DATE(2026,11,27),tblDaily[WardCode],"CW")=0,"",SUMIFS(tblDaily[Deaths],tblDaily[EntryDate],DATE(2026,11,27),tblDaily[WardCode],"CW")),"")</f>
        <v/>
      </c>
      <c r="E423" s="29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29" t="str">
        <f>IFERROR(IF(SUMIFS(tblDaily[TransfersIn],tblDaily[EntryDate],DATE(2026,11,27),tblDaily[WardCode],"CW")=0,"",SUMIFS(tblDaily[TransfersIn],tblDaily[EntryDate],DATE(2026,11,27),tblDaily[WardCode],"CW")),"")</f>
        <v/>
      </c>
      <c r="G423" s="29" t="str">
        <f>IFERROR(IF(SUMIFS(tblDaily[TransfersOut],tblDaily[EntryDate],DATE(2026,11,27),tblDaily[WardCode],"CW")=0,"",SUMIFS(tblDaily[TransfersOut],tblDaily[EntryDate],DATE(2026,11,27),tblDaily[WardCode],"CW")),"")</f>
        <v/>
      </c>
      <c r="H423" s="29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IFERROR(IF(SUMIFS(tblDaily[Admissions],tblDaily[EntryDate],DATE(2026,11,28),tblDaily[WardCode],"CW")=0,"",SUMIFS(tblDaily[Admissions],tblDaily[EntryDate],DATE(2026,11,28),tblDaily[WardCode],"CW")),"")</f>
        <v/>
      </c>
      <c r="C424" s="29" t="str">
        <f>IFERROR(IF(SUMIFS(tblDaily[Discharges],tblDaily[EntryDate],DATE(2026,11,28),tblDaily[WardCode],"CW")=0,"",SUMIFS(tblDaily[Discharges],tblDaily[EntryDate],DATE(2026,11,28),tblDaily[WardCode],"CW")),"")</f>
        <v/>
      </c>
      <c r="D424" s="29" t="str">
        <f>IFERROR(IF(SUMIFS(tblDaily[Deaths],tblDaily[EntryDate],DATE(2026,11,28),tblDaily[WardCode],"CW")=0,"",SUMIFS(tblDaily[Deaths],tblDaily[EntryDate],DATE(2026,11,28),tblDaily[WardCode],"CW")),"")</f>
        <v/>
      </c>
      <c r="E424" s="29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29" t="str">
        <f>IFERROR(IF(SUMIFS(tblDaily[TransfersIn],tblDaily[EntryDate],DATE(2026,11,28),tblDaily[WardCode],"CW")=0,"",SUMIFS(tblDaily[TransfersIn],tblDaily[EntryDate],DATE(2026,11,28),tblDaily[WardCode],"CW")),"")</f>
        <v/>
      </c>
      <c r="G424" s="29" t="str">
        <f>IFERROR(IF(SUMIFS(tblDaily[TransfersOut],tblDaily[EntryDate],DATE(2026,11,28),tblDaily[WardCode],"CW")=0,"",SUMIFS(tblDaily[TransfersOut],tblDaily[EntryDate],DATE(2026,11,28),tblDaily[WardCode],"CW")),"")</f>
        <v/>
      </c>
      <c r="H424" s="29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IFERROR(IF(SUMIFS(tblDaily[Admissions],tblDaily[EntryDate],DATE(2026,11,29),tblDaily[WardCode],"CW")=0,"",SUMIFS(tblDaily[Admissions],tblDaily[EntryDate],DATE(2026,11,29),tblDaily[WardCode],"CW")),"")</f>
        <v/>
      </c>
      <c r="C425" s="29" t="str">
        <f>IFERROR(IF(SUMIFS(tblDaily[Discharges],tblDaily[EntryDate],DATE(2026,11,29),tblDaily[WardCode],"CW")=0,"",SUMIFS(tblDaily[Discharges],tblDaily[EntryDate],DATE(2026,11,29),tblDaily[WardCode],"CW")),"")</f>
        <v/>
      </c>
      <c r="D425" s="29" t="str">
        <f>IFERROR(IF(SUMIFS(tblDaily[Deaths],tblDaily[EntryDate],DATE(2026,11,29),tblDaily[WardCode],"CW")=0,"",SUMIFS(tblDaily[Deaths],tblDaily[EntryDate],DATE(2026,11,29),tblDaily[WardCode],"CW")),"")</f>
        <v/>
      </c>
      <c r="E425" s="29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29" t="str">
        <f>IFERROR(IF(SUMIFS(tblDaily[TransfersIn],tblDaily[EntryDate],DATE(2026,11,29),tblDaily[WardCode],"CW")=0,"",SUMIFS(tblDaily[TransfersIn],tblDaily[EntryDate],DATE(2026,11,29),tblDaily[WardCode],"CW")),"")</f>
        <v/>
      </c>
      <c r="G425" s="29" t="str">
        <f>IFERROR(IF(SUMIFS(tblDaily[TransfersOut],tblDaily[EntryDate],DATE(2026,11,29),tblDaily[WardCode],"CW")=0,"",SUMIFS(tblDaily[TransfersOut],tblDaily[EntryDate],DATE(2026,11,29),tblDaily[WardCode],"CW")),"")</f>
        <v/>
      </c>
      <c r="H425" s="29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IFERROR(IF(SUMIFS(tblDaily[Admissions],tblDaily[EntryDate],DATE(2026,11,30),tblDaily[WardCode],"CW")=0,"",SUMIFS(tblDaily[Admissions],tblDaily[EntryDate],DATE(2026,11,30),tblDaily[WardCode],"CW")),"")</f>
        <v/>
      </c>
      <c r="C426" s="29" t="str">
        <f>IFERROR(IF(SUMIFS(tblDaily[Discharges],tblDaily[EntryDate],DATE(2026,11,30),tblDaily[WardCode],"CW")=0,"",SUMIFS(tblDaily[Discharges],tblDaily[EntryDate],DATE(2026,11,30),tblDaily[WardCode],"CW")),"")</f>
        <v/>
      </c>
      <c r="D426" s="29" t="str">
        <f>IFERROR(IF(SUMIFS(tblDaily[Deaths],tblDaily[EntryDate],DATE(2026,11,30),tblDaily[WardCode],"CW")=0,"",SUMIFS(tblDaily[Deaths],tblDaily[EntryDate],DATE(2026,11,30),tblDaily[WardCode],"CW")),"")</f>
        <v/>
      </c>
      <c r="E426" s="29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29" t="str">
        <f>IFERROR(IF(SUMIFS(tblDaily[TransfersIn],tblDaily[EntryDate],DATE(2026,11,30),tblDaily[WardCode],"CW")=0,"",SUMIFS(tblDaily[TransfersIn],tblDaily[EntryDate],DATE(2026,11,30),tblDaily[WardCode],"CW")),"")</f>
        <v/>
      </c>
      <c r="G426" s="29" t="str">
        <f>IFERROR(IF(SUMIFS(tblDaily[TransfersOut],tblDaily[EntryDate],DATE(2026,11,30),tblDaily[WardCode],"CW")=0,"",SUMIFS(tblDaily[TransfersOut],tblDaily[EntryDate],DATE(2026,11,30),tblDaily[WardCode],"CW")),"")</f>
        <v/>
      </c>
      <c r="H426" s="29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SUMIFS(tblDaily[Admissions],tblDaily[Month],11,tblDaily[WardCode],"CW") - SUMIFS(tblDaily[DeathsUnder24Hrs],tblDaily[Month],11,tblDaily[WardCode],"CW")</f>
        <v>0</v>
      </c>
      <c r="C428" s="30">
        <f>SUMIFS(tblDaily[Discharges],tblDaily[Month],11,tblDaily[WardCode],"CW")</f>
        <v>0</v>
      </c>
      <c r="D428" s="30">
        <f>SUMIFS(tblDaily[Deaths],tblDaily[Month],11,tblDaily[WardCode],"CW")</f>
        <v>0</v>
      </c>
      <c r="E428" s="30">
        <f>SUMIFS(tblDaily[DeathsUnder24Hrs],tblDaily[Month],11,tblDaily[WardCode],"CW")</f>
        <v>0</v>
      </c>
      <c r="F428" s="30">
        <f>SUMIFS(tblDaily[TransfersIn],tblDaily[Month],11,tblDaily[WardCode],"CW")</f>
        <v>0</v>
      </c>
      <c r="G428" s="30">
        <f>SUMIFS(tblDaily[TransfersOut],tblDaily[Month],11,tblDaily[WardCode],"CW")</f>
        <v>0</v>
      </c>
      <c r="H428" s="30">
        <f>SUMIFS(tblDaily[Remaining],tblDaily[Month],11,tblDaily[WardCode],"CW")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117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IFERROR(SUMIFS(tblDaily[Remaining],tblDaily[EntryDate],DATE(2026,11,30),tblDaily[WardCode],"CW"),0)</f>
        <v>0</v>
      </c>
    </row>
    <row r="434" spans="1:8" x14ac:dyDescent="0.25">
      <c r="A434" s="24" t="s">
        <v>109</v>
      </c>
      <c r="H434" s="27">
        <f>IFERROR(INDEX(tblWardConfig[BedComplement],MATCH("CW",tblWardConfig[WardCode],0)),0)</f>
        <v>27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IFERROR(IF(SUMIFS(tblDaily[Admissions],tblDaily[EntryDate],DATE(2026,12,1),tblDaily[WardCode],"CW")=0,"",SUMIFS(tblDaily[Admissions],tblDaily[EntryDate],DATE(2026,12,1),tblDaily[WardCode],"CW")),"")</f>
        <v/>
      </c>
      <c r="C436" s="29" t="str">
        <f>IFERROR(IF(SUMIFS(tblDaily[Discharges],tblDaily[EntryDate],DATE(2026,12,1),tblDaily[WardCode],"CW")=0,"",SUMIFS(tblDaily[Discharges],tblDaily[EntryDate],DATE(2026,12,1),tblDaily[WardCode],"CW")),"")</f>
        <v/>
      </c>
      <c r="D436" s="29" t="str">
        <f>IFERROR(IF(SUMIFS(tblDaily[Deaths],tblDaily[EntryDate],DATE(2026,12,1),tblDaily[WardCode],"CW")=0,"",SUMIFS(tblDaily[Deaths],tblDaily[EntryDate],DATE(2026,12,1),tblDaily[WardCode],"CW")),"")</f>
        <v/>
      </c>
      <c r="E436" s="29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29" t="str">
        <f>IFERROR(IF(SUMIFS(tblDaily[TransfersIn],tblDaily[EntryDate],DATE(2026,12,1),tblDaily[WardCode],"CW")=0,"",SUMIFS(tblDaily[TransfersIn],tblDaily[EntryDate],DATE(2026,12,1),tblDaily[WardCode],"CW")),"")</f>
        <v/>
      </c>
      <c r="G436" s="29" t="str">
        <f>IFERROR(IF(SUMIFS(tblDaily[TransfersOut],tblDaily[EntryDate],DATE(2026,12,1),tblDaily[WardCode],"CW")=0,"",SUMIFS(tblDaily[TransfersOut],tblDaily[EntryDate],DATE(2026,12,1),tblDaily[WardCode],"CW")),"")</f>
        <v/>
      </c>
      <c r="H436" s="29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IFERROR(IF(SUMIFS(tblDaily[Admissions],tblDaily[EntryDate],DATE(2026,12,2),tblDaily[WardCode],"CW")=0,"",SUMIFS(tblDaily[Admissions],tblDaily[EntryDate],DATE(2026,12,2),tblDaily[WardCode],"CW")),"")</f>
        <v/>
      </c>
      <c r="C437" s="29" t="str">
        <f>IFERROR(IF(SUMIFS(tblDaily[Discharges],tblDaily[EntryDate],DATE(2026,12,2),tblDaily[WardCode],"CW")=0,"",SUMIFS(tblDaily[Discharges],tblDaily[EntryDate],DATE(2026,12,2),tblDaily[WardCode],"CW")),"")</f>
        <v/>
      </c>
      <c r="D437" s="29" t="str">
        <f>IFERROR(IF(SUMIFS(tblDaily[Deaths],tblDaily[EntryDate],DATE(2026,12,2),tblDaily[WardCode],"CW")=0,"",SUMIFS(tblDaily[Deaths],tblDaily[EntryDate],DATE(2026,12,2),tblDaily[WardCode],"CW")),"")</f>
        <v/>
      </c>
      <c r="E437" s="29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29" t="str">
        <f>IFERROR(IF(SUMIFS(tblDaily[TransfersIn],tblDaily[EntryDate],DATE(2026,12,2),tblDaily[WardCode],"CW")=0,"",SUMIFS(tblDaily[TransfersIn],tblDaily[EntryDate],DATE(2026,12,2),tblDaily[WardCode],"CW")),"")</f>
        <v/>
      </c>
      <c r="G437" s="29" t="str">
        <f>IFERROR(IF(SUMIFS(tblDaily[TransfersOut],tblDaily[EntryDate],DATE(2026,12,2),tblDaily[WardCode],"CW")=0,"",SUMIFS(tblDaily[TransfersOut],tblDaily[EntryDate],DATE(2026,12,2),tblDaily[WardCode],"CW")),"")</f>
        <v/>
      </c>
      <c r="H437" s="29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IFERROR(IF(SUMIFS(tblDaily[Admissions],tblDaily[EntryDate],DATE(2026,12,3),tblDaily[WardCode],"CW")=0,"",SUMIFS(tblDaily[Admissions],tblDaily[EntryDate],DATE(2026,12,3),tblDaily[WardCode],"CW")),"")</f>
        <v/>
      </c>
      <c r="C438" s="29" t="str">
        <f>IFERROR(IF(SUMIFS(tblDaily[Discharges],tblDaily[EntryDate],DATE(2026,12,3),tblDaily[WardCode],"CW")=0,"",SUMIFS(tblDaily[Discharges],tblDaily[EntryDate],DATE(2026,12,3),tblDaily[WardCode],"CW")),"")</f>
        <v/>
      </c>
      <c r="D438" s="29" t="str">
        <f>IFERROR(IF(SUMIFS(tblDaily[Deaths],tblDaily[EntryDate],DATE(2026,12,3),tblDaily[WardCode],"CW")=0,"",SUMIFS(tblDaily[Deaths],tblDaily[EntryDate],DATE(2026,12,3),tblDaily[WardCode],"CW")),"")</f>
        <v/>
      </c>
      <c r="E438" s="29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29" t="str">
        <f>IFERROR(IF(SUMIFS(tblDaily[TransfersIn],tblDaily[EntryDate],DATE(2026,12,3),tblDaily[WardCode],"CW")=0,"",SUMIFS(tblDaily[TransfersIn],tblDaily[EntryDate],DATE(2026,12,3),tblDaily[WardCode],"CW")),"")</f>
        <v/>
      </c>
      <c r="G438" s="29" t="str">
        <f>IFERROR(IF(SUMIFS(tblDaily[TransfersOut],tblDaily[EntryDate],DATE(2026,12,3),tblDaily[WardCode],"CW")=0,"",SUMIFS(tblDaily[TransfersOut],tblDaily[EntryDate],DATE(2026,12,3),tblDaily[WardCode],"CW")),"")</f>
        <v/>
      </c>
      <c r="H438" s="29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IFERROR(IF(SUMIFS(tblDaily[Admissions],tblDaily[EntryDate],DATE(2026,12,4),tblDaily[WardCode],"CW")=0,"",SUMIFS(tblDaily[Admissions],tblDaily[EntryDate],DATE(2026,12,4),tblDaily[WardCode],"CW")),"")</f>
        <v/>
      </c>
      <c r="C439" s="29" t="str">
        <f>IFERROR(IF(SUMIFS(tblDaily[Discharges],tblDaily[EntryDate],DATE(2026,12,4),tblDaily[WardCode],"CW")=0,"",SUMIFS(tblDaily[Discharges],tblDaily[EntryDate],DATE(2026,12,4),tblDaily[WardCode],"CW")),"")</f>
        <v/>
      </c>
      <c r="D439" s="29" t="str">
        <f>IFERROR(IF(SUMIFS(tblDaily[Deaths],tblDaily[EntryDate],DATE(2026,12,4),tblDaily[WardCode],"CW")=0,"",SUMIFS(tblDaily[Deaths],tblDaily[EntryDate],DATE(2026,12,4),tblDaily[WardCode],"CW")),"")</f>
        <v/>
      </c>
      <c r="E439" s="29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29" t="str">
        <f>IFERROR(IF(SUMIFS(tblDaily[TransfersIn],tblDaily[EntryDate],DATE(2026,12,4),tblDaily[WardCode],"CW")=0,"",SUMIFS(tblDaily[TransfersIn],tblDaily[EntryDate],DATE(2026,12,4),tblDaily[WardCode],"CW")),"")</f>
        <v/>
      </c>
      <c r="G439" s="29" t="str">
        <f>IFERROR(IF(SUMIFS(tblDaily[TransfersOut],tblDaily[EntryDate],DATE(2026,12,4),tblDaily[WardCode],"CW")=0,"",SUMIFS(tblDaily[TransfersOut],tblDaily[EntryDate],DATE(2026,12,4),tblDaily[WardCode],"CW")),"")</f>
        <v/>
      </c>
      <c r="H439" s="29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IFERROR(IF(SUMIFS(tblDaily[Admissions],tblDaily[EntryDate],DATE(2026,12,5),tblDaily[WardCode],"CW")=0,"",SUMIFS(tblDaily[Admissions],tblDaily[EntryDate],DATE(2026,12,5),tblDaily[WardCode],"CW")),"")</f>
        <v/>
      </c>
      <c r="C440" s="29" t="str">
        <f>IFERROR(IF(SUMIFS(tblDaily[Discharges],tblDaily[EntryDate],DATE(2026,12,5),tblDaily[WardCode],"CW")=0,"",SUMIFS(tblDaily[Discharges],tblDaily[EntryDate],DATE(2026,12,5),tblDaily[WardCode],"CW")),"")</f>
        <v/>
      </c>
      <c r="D440" s="29" t="str">
        <f>IFERROR(IF(SUMIFS(tblDaily[Deaths],tblDaily[EntryDate],DATE(2026,12,5),tblDaily[WardCode],"CW")=0,"",SUMIFS(tblDaily[Deaths],tblDaily[EntryDate],DATE(2026,12,5),tblDaily[WardCode],"CW")),"")</f>
        <v/>
      </c>
      <c r="E440" s="29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29" t="str">
        <f>IFERROR(IF(SUMIFS(tblDaily[TransfersIn],tblDaily[EntryDate],DATE(2026,12,5),tblDaily[WardCode],"CW")=0,"",SUMIFS(tblDaily[TransfersIn],tblDaily[EntryDate],DATE(2026,12,5),tblDaily[WardCode],"CW")),"")</f>
        <v/>
      </c>
      <c r="G440" s="29" t="str">
        <f>IFERROR(IF(SUMIFS(tblDaily[TransfersOut],tblDaily[EntryDate],DATE(2026,12,5),tblDaily[WardCode],"CW")=0,"",SUMIFS(tblDaily[TransfersOut],tblDaily[EntryDate],DATE(2026,12,5),tblDaily[WardCode],"CW")),"")</f>
        <v/>
      </c>
      <c r="H440" s="29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IFERROR(IF(SUMIFS(tblDaily[Admissions],tblDaily[EntryDate],DATE(2026,12,6),tblDaily[WardCode],"CW")=0,"",SUMIFS(tblDaily[Admissions],tblDaily[EntryDate],DATE(2026,12,6),tblDaily[WardCode],"CW")),"")</f>
        <v/>
      </c>
      <c r="C441" s="29" t="str">
        <f>IFERROR(IF(SUMIFS(tblDaily[Discharges],tblDaily[EntryDate],DATE(2026,12,6),tblDaily[WardCode],"CW")=0,"",SUMIFS(tblDaily[Discharges],tblDaily[EntryDate],DATE(2026,12,6),tblDaily[WardCode],"CW")),"")</f>
        <v/>
      </c>
      <c r="D441" s="29" t="str">
        <f>IFERROR(IF(SUMIFS(tblDaily[Deaths],tblDaily[EntryDate],DATE(2026,12,6),tblDaily[WardCode],"CW")=0,"",SUMIFS(tblDaily[Deaths],tblDaily[EntryDate],DATE(2026,12,6),tblDaily[WardCode],"CW")),"")</f>
        <v/>
      </c>
      <c r="E441" s="29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29" t="str">
        <f>IFERROR(IF(SUMIFS(tblDaily[TransfersIn],tblDaily[EntryDate],DATE(2026,12,6),tblDaily[WardCode],"CW")=0,"",SUMIFS(tblDaily[TransfersIn],tblDaily[EntryDate],DATE(2026,12,6),tblDaily[WardCode],"CW")),"")</f>
        <v/>
      </c>
      <c r="G441" s="29" t="str">
        <f>IFERROR(IF(SUMIFS(tblDaily[TransfersOut],tblDaily[EntryDate],DATE(2026,12,6),tblDaily[WardCode],"CW")=0,"",SUMIFS(tblDaily[TransfersOut],tblDaily[EntryDate],DATE(2026,12,6),tblDaily[WardCode],"CW")),"")</f>
        <v/>
      </c>
      <c r="H441" s="29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IFERROR(IF(SUMIFS(tblDaily[Admissions],tblDaily[EntryDate],DATE(2026,12,7),tblDaily[WardCode],"CW")=0,"",SUMIFS(tblDaily[Admissions],tblDaily[EntryDate],DATE(2026,12,7),tblDaily[WardCode],"CW")),"")</f>
        <v/>
      </c>
      <c r="C442" s="29" t="str">
        <f>IFERROR(IF(SUMIFS(tblDaily[Discharges],tblDaily[EntryDate],DATE(2026,12,7),tblDaily[WardCode],"CW")=0,"",SUMIFS(tblDaily[Discharges],tblDaily[EntryDate],DATE(2026,12,7),tblDaily[WardCode],"CW")),"")</f>
        <v/>
      </c>
      <c r="D442" s="29" t="str">
        <f>IFERROR(IF(SUMIFS(tblDaily[Deaths],tblDaily[EntryDate],DATE(2026,12,7),tblDaily[WardCode],"CW")=0,"",SUMIFS(tblDaily[Deaths],tblDaily[EntryDate],DATE(2026,12,7),tblDaily[WardCode],"CW")),"")</f>
        <v/>
      </c>
      <c r="E442" s="29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29" t="str">
        <f>IFERROR(IF(SUMIFS(tblDaily[TransfersIn],tblDaily[EntryDate],DATE(2026,12,7),tblDaily[WardCode],"CW")=0,"",SUMIFS(tblDaily[TransfersIn],tblDaily[EntryDate],DATE(2026,12,7),tblDaily[WardCode],"CW")),"")</f>
        <v/>
      </c>
      <c r="G442" s="29" t="str">
        <f>IFERROR(IF(SUMIFS(tblDaily[TransfersOut],tblDaily[EntryDate],DATE(2026,12,7),tblDaily[WardCode],"CW")=0,"",SUMIFS(tblDaily[TransfersOut],tblDaily[EntryDate],DATE(2026,12,7),tblDaily[WardCode],"CW")),"")</f>
        <v/>
      </c>
      <c r="H442" s="29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IFERROR(IF(SUMIFS(tblDaily[Admissions],tblDaily[EntryDate],DATE(2026,12,8),tblDaily[WardCode],"CW")=0,"",SUMIFS(tblDaily[Admissions],tblDaily[EntryDate],DATE(2026,12,8),tblDaily[WardCode],"CW")),"")</f>
        <v/>
      </c>
      <c r="C443" s="29" t="str">
        <f>IFERROR(IF(SUMIFS(tblDaily[Discharges],tblDaily[EntryDate],DATE(2026,12,8),tblDaily[WardCode],"CW")=0,"",SUMIFS(tblDaily[Discharges],tblDaily[EntryDate],DATE(2026,12,8),tblDaily[WardCode],"CW")),"")</f>
        <v/>
      </c>
      <c r="D443" s="29" t="str">
        <f>IFERROR(IF(SUMIFS(tblDaily[Deaths],tblDaily[EntryDate],DATE(2026,12,8),tblDaily[WardCode],"CW")=0,"",SUMIFS(tblDaily[Deaths],tblDaily[EntryDate],DATE(2026,12,8),tblDaily[WardCode],"CW")),"")</f>
        <v/>
      </c>
      <c r="E443" s="29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29" t="str">
        <f>IFERROR(IF(SUMIFS(tblDaily[TransfersIn],tblDaily[EntryDate],DATE(2026,12,8),tblDaily[WardCode],"CW")=0,"",SUMIFS(tblDaily[TransfersIn],tblDaily[EntryDate],DATE(2026,12,8),tblDaily[WardCode],"CW")),"")</f>
        <v/>
      </c>
      <c r="G443" s="29" t="str">
        <f>IFERROR(IF(SUMIFS(tblDaily[TransfersOut],tblDaily[EntryDate],DATE(2026,12,8),tblDaily[WardCode],"CW")=0,"",SUMIFS(tblDaily[TransfersOut],tblDaily[EntryDate],DATE(2026,12,8),tblDaily[WardCode],"CW")),"")</f>
        <v/>
      </c>
      <c r="H443" s="29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IFERROR(IF(SUMIFS(tblDaily[Admissions],tblDaily[EntryDate],DATE(2026,12,9),tblDaily[WardCode],"CW")=0,"",SUMIFS(tblDaily[Admissions],tblDaily[EntryDate],DATE(2026,12,9),tblDaily[WardCode],"CW")),"")</f>
        <v/>
      </c>
      <c r="C444" s="29" t="str">
        <f>IFERROR(IF(SUMIFS(tblDaily[Discharges],tblDaily[EntryDate],DATE(2026,12,9),tblDaily[WardCode],"CW")=0,"",SUMIFS(tblDaily[Discharges],tblDaily[EntryDate],DATE(2026,12,9),tblDaily[WardCode],"CW")),"")</f>
        <v/>
      </c>
      <c r="D444" s="29" t="str">
        <f>IFERROR(IF(SUMIFS(tblDaily[Deaths],tblDaily[EntryDate],DATE(2026,12,9),tblDaily[WardCode],"CW")=0,"",SUMIFS(tblDaily[Deaths],tblDaily[EntryDate],DATE(2026,12,9),tblDaily[WardCode],"CW")),"")</f>
        <v/>
      </c>
      <c r="E444" s="29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29" t="str">
        <f>IFERROR(IF(SUMIFS(tblDaily[TransfersIn],tblDaily[EntryDate],DATE(2026,12,9),tblDaily[WardCode],"CW")=0,"",SUMIFS(tblDaily[TransfersIn],tblDaily[EntryDate],DATE(2026,12,9),tblDaily[WardCode],"CW")),"")</f>
        <v/>
      </c>
      <c r="G444" s="29" t="str">
        <f>IFERROR(IF(SUMIFS(tblDaily[TransfersOut],tblDaily[EntryDate],DATE(2026,12,9),tblDaily[WardCode],"CW")=0,"",SUMIFS(tblDaily[TransfersOut],tblDaily[EntryDate],DATE(2026,12,9),tblDaily[WardCode],"CW")),"")</f>
        <v/>
      </c>
      <c r="H444" s="29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IFERROR(IF(SUMIFS(tblDaily[Admissions],tblDaily[EntryDate],DATE(2026,12,10),tblDaily[WardCode],"CW")=0,"",SUMIFS(tblDaily[Admissions],tblDaily[EntryDate],DATE(2026,12,10),tblDaily[WardCode],"CW")),"")</f>
        <v/>
      </c>
      <c r="C445" s="29" t="str">
        <f>IFERROR(IF(SUMIFS(tblDaily[Discharges],tblDaily[EntryDate],DATE(2026,12,10),tblDaily[WardCode],"CW")=0,"",SUMIFS(tblDaily[Discharges],tblDaily[EntryDate],DATE(2026,12,10),tblDaily[WardCode],"CW")),"")</f>
        <v/>
      </c>
      <c r="D445" s="29" t="str">
        <f>IFERROR(IF(SUMIFS(tblDaily[Deaths],tblDaily[EntryDate],DATE(2026,12,10),tblDaily[WardCode],"CW")=0,"",SUMIFS(tblDaily[Deaths],tblDaily[EntryDate],DATE(2026,12,10),tblDaily[WardCode],"CW")),"")</f>
        <v/>
      </c>
      <c r="E445" s="29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29" t="str">
        <f>IFERROR(IF(SUMIFS(tblDaily[TransfersIn],tblDaily[EntryDate],DATE(2026,12,10),tblDaily[WardCode],"CW")=0,"",SUMIFS(tblDaily[TransfersIn],tblDaily[EntryDate],DATE(2026,12,10),tblDaily[WardCode],"CW")),"")</f>
        <v/>
      </c>
      <c r="G445" s="29" t="str">
        <f>IFERROR(IF(SUMIFS(tblDaily[TransfersOut],tblDaily[EntryDate],DATE(2026,12,10),tblDaily[WardCode],"CW")=0,"",SUMIFS(tblDaily[TransfersOut],tblDaily[EntryDate],DATE(2026,12,10),tblDaily[WardCode],"CW")),"")</f>
        <v/>
      </c>
      <c r="H445" s="29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IFERROR(IF(SUMIFS(tblDaily[Admissions],tblDaily[EntryDate],DATE(2026,12,11),tblDaily[WardCode],"CW")=0,"",SUMIFS(tblDaily[Admissions],tblDaily[EntryDate],DATE(2026,12,11),tblDaily[WardCode],"CW")),"")</f>
        <v/>
      </c>
      <c r="C446" s="29" t="str">
        <f>IFERROR(IF(SUMIFS(tblDaily[Discharges],tblDaily[EntryDate],DATE(2026,12,11),tblDaily[WardCode],"CW")=0,"",SUMIFS(tblDaily[Discharges],tblDaily[EntryDate],DATE(2026,12,11),tblDaily[WardCode],"CW")),"")</f>
        <v/>
      </c>
      <c r="D446" s="29" t="str">
        <f>IFERROR(IF(SUMIFS(tblDaily[Deaths],tblDaily[EntryDate],DATE(2026,12,11),tblDaily[WardCode],"CW")=0,"",SUMIFS(tblDaily[Deaths],tblDaily[EntryDate],DATE(2026,12,11),tblDaily[WardCode],"CW")),"")</f>
        <v/>
      </c>
      <c r="E446" s="29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29" t="str">
        <f>IFERROR(IF(SUMIFS(tblDaily[TransfersIn],tblDaily[EntryDate],DATE(2026,12,11),tblDaily[WardCode],"CW")=0,"",SUMIFS(tblDaily[TransfersIn],tblDaily[EntryDate],DATE(2026,12,11),tblDaily[WardCode],"CW")),"")</f>
        <v/>
      </c>
      <c r="G446" s="29" t="str">
        <f>IFERROR(IF(SUMIFS(tblDaily[TransfersOut],tblDaily[EntryDate],DATE(2026,12,11),tblDaily[WardCode],"CW")=0,"",SUMIFS(tblDaily[TransfersOut],tblDaily[EntryDate],DATE(2026,12,11),tblDaily[WardCode],"CW")),"")</f>
        <v/>
      </c>
      <c r="H446" s="29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IFERROR(IF(SUMIFS(tblDaily[Admissions],tblDaily[EntryDate],DATE(2026,12,12),tblDaily[WardCode],"CW")=0,"",SUMIFS(tblDaily[Admissions],tblDaily[EntryDate],DATE(2026,12,12),tblDaily[WardCode],"CW")),"")</f>
        <v/>
      </c>
      <c r="C447" s="29" t="str">
        <f>IFERROR(IF(SUMIFS(tblDaily[Discharges],tblDaily[EntryDate],DATE(2026,12,12),tblDaily[WardCode],"CW")=0,"",SUMIFS(tblDaily[Discharges],tblDaily[EntryDate],DATE(2026,12,12),tblDaily[WardCode],"CW")),"")</f>
        <v/>
      </c>
      <c r="D447" s="29" t="str">
        <f>IFERROR(IF(SUMIFS(tblDaily[Deaths],tblDaily[EntryDate],DATE(2026,12,12),tblDaily[WardCode],"CW")=0,"",SUMIFS(tblDaily[Deaths],tblDaily[EntryDate],DATE(2026,12,12),tblDaily[WardCode],"CW")),"")</f>
        <v/>
      </c>
      <c r="E447" s="29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29" t="str">
        <f>IFERROR(IF(SUMIFS(tblDaily[TransfersIn],tblDaily[EntryDate],DATE(2026,12,12),tblDaily[WardCode],"CW")=0,"",SUMIFS(tblDaily[TransfersIn],tblDaily[EntryDate],DATE(2026,12,12),tblDaily[WardCode],"CW")),"")</f>
        <v/>
      </c>
      <c r="G447" s="29" t="str">
        <f>IFERROR(IF(SUMIFS(tblDaily[TransfersOut],tblDaily[EntryDate],DATE(2026,12,12),tblDaily[WardCode],"CW")=0,"",SUMIFS(tblDaily[TransfersOut],tblDaily[EntryDate],DATE(2026,12,12),tblDaily[WardCode],"CW")),"")</f>
        <v/>
      </c>
      <c r="H447" s="29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IFERROR(IF(SUMIFS(tblDaily[Admissions],tblDaily[EntryDate],DATE(2026,12,13),tblDaily[WardCode],"CW")=0,"",SUMIFS(tblDaily[Admissions],tblDaily[EntryDate],DATE(2026,12,13),tblDaily[WardCode],"CW")),"")</f>
        <v/>
      </c>
      <c r="C448" s="29" t="str">
        <f>IFERROR(IF(SUMIFS(tblDaily[Discharges],tblDaily[EntryDate],DATE(2026,12,13),tblDaily[WardCode],"CW")=0,"",SUMIFS(tblDaily[Discharges],tblDaily[EntryDate],DATE(2026,12,13),tblDaily[WardCode],"CW")),"")</f>
        <v/>
      </c>
      <c r="D448" s="29" t="str">
        <f>IFERROR(IF(SUMIFS(tblDaily[Deaths],tblDaily[EntryDate],DATE(2026,12,13),tblDaily[WardCode],"CW")=0,"",SUMIFS(tblDaily[Deaths],tblDaily[EntryDate],DATE(2026,12,13),tblDaily[WardCode],"CW")),"")</f>
        <v/>
      </c>
      <c r="E448" s="29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29" t="str">
        <f>IFERROR(IF(SUMIFS(tblDaily[TransfersIn],tblDaily[EntryDate],DATE(2026,12,13),tblDaily[WardCode],"CW")=0,"",SUMIFS(tblDaily[TransfersIn],tblDaily[EntryDate],DATE(2026,12,13),tblDaily[WardCode],"CW")),"")</f>
        <v/>
      </c>
      <c r="G448" s="29" t="str">
        <f>IFERROR(IF(SUMIFS(tblDaily[TransfersOut],tblDaily[EntryDate],DATE(2026,12,13),tblDaily[WardCode],"CW")=0,"",SUMIFS(tblDaily[TransfersOut],tblDaily[EntryDate],DATE(2026,12,13),tblDaily[WardCode],"CW")),"")</f>
        <v/>
      </c>
      <c r="H448" s="29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IFERROR(IF(SUMIFS(tblDaily[Admissions],tblDaily[EntryDate],DATE(2026,12,14),tblDaily[WardCode],"CW")=0,"",SUMIFS(tblDaily[Admissions],tblDaily[EntryDate],DATE(2026,12,14),tblDaily[WardCode],"CW")),"")</f>
        <v/>
      </c>
      <c r="C449" s="29" t="str">
        <f>IFERROR(IF(SUMIFS(tblDaily[Discharges],tblDaily[EntryDate],DATE(2026,12,14),tblDaily[WardCode],"CW")=0,"",SUMIFS(tblDaily[Discharges],tblDaily[EntryDate],DATE(2026,12,14),tblDaily[WardCode],"CW")),"")</f>
        <v/>
      </c>
      <c r="D449" s="29" t="str">
        <f>IFERROR(IF(SUMIFS(tblDaily[Deaths],tblDaily[EntryDate],DATE(2026,12,14),tblDaily[WardCode],"CW")=0,"",SUMIFS(tblDaily[Deaths],tblDaily[EntryDate],DATE(2026,12,14),tblDaily[WardCode],"CW")),"")</f>
        <v/>
      </c>
      <c r="E449" s="29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29" t="str">
        <f>IFERROR(IF(SUMIFS(tblDaily[TransfersIn],tblDaily[EntryDate],DATE(2026,12,14),tblDaily[WardCode],"CW")=0,"",SUMIFS(tblDaily[TransfersIn],tblDaily[EntryDate],DATE(2026,12,14),tblDaily[WardCode],"CW")),"")</f>
        <v/>
      </c>
      <c r="G449" s="29" t="str">
        <f>IFERROR(IF(SUMIFS(tblDaily[TransfersOut],tblDaily[EntryDate],DATE(2026,12,14),tblDaily[WardCode],"CW")=0,"",SUMIFS(tblDaily[TransfersOut],tblDaily[EntryDate],DATE(2026,12,14),tblDaily[WardCode],"CW")),"")</f>
        <v/>
      </c>
      <c r="H449" s="29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IFERROR(IF(SUMIFS(tblDaily[Admissions],tblDaily[EntryDate],DATE(2026,12,15),tblDaily[WardCode],"CW")=0,"",SUMIFS(tblDaily[Admissions],tblDaily[EntryDate],DATE(2026,12,15),tblDaily[WardCode],"CW")),"")</f>
        <v/>
      </c>
      <c r="C450" s="29" t="str">
        <f>IFERROR(IF(SUMIFS(tblDaily[Discharges],tblDaily[EntryDate],DATE(2026,12,15),tblDaily[WardCode],"CW")=0,"",SUMIFS(tblDaily[Discharges],tblDaily[EntryDate],DATE(2026,12,15),tblDaily[WardCode],"CW")),"")</f>
        <v/>
      </c>
      <c r="D450" s="29" t="str">
        <f>IFERROR(IF(SUMIFS(tblDaily[Deaths],tblDaily[EntryDate],DATE(2026,12,15),tblDaily[WardCode],"CW")=0,"",SUMIFS(tblDaily[Deaths],tblDaily[EntryDate],DATE(2026,12,15),tblDaily[WardCode],"CW")),"")</f>
        <v/>
      </c>
      <c r="E450" s="29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29" t="str">
        <f>IFERROR(IF(SUMIFS(tblDaily[TransfersIn],tblDaily[EntryDate],DATE(2026,12,15),tblDaily[WardCode],"CW")=0,"",SUMIFS(tblDaily[TransfersIn],tblDaily[EntryDate],DATE(2026,12,15),tblDaily[WardCode],"CW")),"")</f>
        <v/>
      </c>
      <c r="G450" s="29" t="str">
        <f>IFERROR(IF(SUMIFS(tblDaily[TransfersOut],tblDaily[EntryDate],DATE(2026,12,15),tblDaily[WardCode],"CW")=0,"",SUMIFS(tblDaily[TransfersOut],tblDaily[EntryDate],DATE(2026,12,15),tblDaily[WardCode],"CW")),"")</f>
        <v/>
      </c>
      <c r="H450" s="29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IFERROR(IF(SUMIFS(tblDaily[Admissions],tblDaily[EntryDate],DATE(2026,12,16),tblDaily[WardCode],"CW")=0,"",SUMIFS(tblDaily[Admissions],tblDaily[EntryDate],DATE(2026,12,16),tblDaily[WardCode],"CW")),"")</f>
        <v/>
      </c>
      <c r="C451" s="29" t="str">
        <f>IFERROR(IF(SUMIFS(tblDaily[Discharges],tblDaily[EntryDate],DATE(2026,12,16),tblDaily[WardCode],"CW")=0,"",SUMIFS(tblDaily[Discharges],tblDaily[EntryDate],DATE(2026,12,16),tblDaily[WardCode],"CW")),"")</f>
        <v/>
      </c>
      <c r="D451" s="29" t="str">
        <f>IFERROR(IF(SUMIFS(tblDaily[Deaths],tblDaily[EntryDate],DATE(2026,12,16),tblDaily[WardCode],"CW")=0,"",SUMIFS(tblDaily[Deaths],tblDaily[EntryDate],DATE(2026,12,16),tblDaily[WardCode],"CW")),"")</f>
        <v/>
      </c>
      <c r="E451" s="29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29" t="str">
        <f>IFERROR(IF(SUMIFS(tblDaily[TransfersIn],tblDaily[EntryDate],DATE(2026,12,16),tblDaily[WardCode],"CW")=0,"",SUMIFS(tblDaily[TransfersIn],tblDaily[EntryDate],DATE(2026,12,16),tblDaily[WardCode],"CW")),"")</f>
        <v/>
      </c>
      <c r="G451" s="29" t="str">
        <f>IFERROR(IF(SUMIFS(tblDaily[TransfersOut],tblDaily[EntryDate],DATE(2026,12,16),tblDaily[WardCode],"CW")=0,"",SUMIFS(tblDaily[TransfersOut],tblDaily[EntryDate],DATE(2026,12,16),tblDaily[WardCode],"CW")),"")</f>
        <v/>
      </c>
      <c r="H451" s="29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IFERROR(IF(SUMIFS(tblDaily[Admissions],tblDaily[EntryDate],DATE(2026,12,17),tblDaily[WardCode],"CW")=0,"",SUMIFS(tblDaily[Admissions],tblDaily[EntryDate],DATE(2026,12,17),tblDaily[WardCode],"CW")),"")</f>
        <v/>
      </c>
      <c r="C452" s="29" t="str">
        <f>IFERROR(IF(SUMIFS(tblDaily[Discharges],tblDaily[EntryDate],DATE(2026,12,17),tblDaily[WardCode],"CW")=0,"",SUMIFS(tblDaily[Discharges],tblDaily[EntryDate],DATE(2026,12,17),tblDaily[WardCode],"CW")),"")</f>
        <v/>
      </c>
      <c r="D452" s="29" t="str">
        <f>IFERROR(IF(SUMIFS(tblDaily[Deaths],tblDaily[EntryDate],DATE(2026,12,17),tblDaily[WardCode],"CW")=0,"",SUMIFS(tblDaily[Deaths],tblDaily[EntryDate],DATE(2026,12,17),tblDaily[WardCode],"CW")),"")</f>
        <v/>
      </c>
      <c r="E452" s="29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29" t="str">
        <f>IFERROR(IF(SUMIFS(tblDaily[TransfersIn],tblDaily[EntryDate],DATE(2026,12,17),tblDaily[WardCode],"CW")=0,"",SUMIFS(tblDaily[TransfersIn],tblDaily[EntryDate],DATE(2026,12,17),tblDaily[WardCode],"CW")),"")</f>
        <v/>
      </c>
      <c r="G452" s="29" t="str">
        <f>IFERROR(IF(SUMIFS(tblDaily[TransfersOut],tblDaily[EntryDate],DATE(2026,12,17),tblDaily[WardCode],"CW")=0,"",SUMIFS(tblDaily[TransfersOut],tblDaily[EntryDate],DATE(2026,12,17),tblDaily[WardCode],"CW")),"")</f>
        <v/>
      </c>
      <c r="H452" s="29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IFERROR(IF(SUMIFS(tblDaily[Admissions],tblDaily[EntryDate],DATE(2026,12,18),tblDaily[WardCode],"CW")=0,"",SUMIFS(tblDaily[Admissions],tblDaily[EntryDate],DATE(2026,12,18),tblDaily[WardCode],"CW")),"")</f>
        <v/>
      </c>
      <c r="C453" s="29" t="str">
        <f>IFERROR(IF(SUMIFS(tblDaily[Discharges],tblDaily[EntryDate],DATE(2026,12,18),tblDaily[WardCode],"CW")=0,"",SUMIFS(tblDaily[Discharges],tblDaily[EntryDate],DATE(2026,12,18),tblDaily[WardCode],"CW")),"")</f>
        <v/>
      </c>
      <c r="D453" s="29" t="str">
        <f>IFERROR(IF(SUMIFS(tblDaily[Deaths],tblDaily[EntryDate],DATE(2026,12,18),tblDaily[WardCode],"CW")=0,"",SUMIFS(tblDaily[Deaths],tblDaily[EntryDate],DATE(2026,12,18),tblDaily[WardCode],"CW")),"")</f>
        <v/>
      </c>
      <c r="E453" s="29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29" t="str">
        <f>IFERROR(IF(SUMIFS(tblDaily[TransfersIn],tblDaily[EntryDate],DATE(2026,12,18),tblDaily[WardCode],"CW")=0,"",SUMIFS(tblDaily[TransfersIn],tblDaily[EntryDate],DATE(2026,12,18),tblDaily[WardCode],"CW")),"")</f>
        <v/>
      </c>
      <c r="G453" s="29" t="str">
        <f>IFERROR(IF(SUMIFS(tblDaily[TransfersOut],tblDaily[EntryDate],DATE(2026,12,18),tblDaily[WardCode],"CW")=0,"",SUMIFS(tblDaily[TransfersOut],tblDaily[EntryDate],DATE(2026,12,18),tblDaily[WardCode],"CW")),"")</f>
        <v/>
      </c>
      <c r="H453" s="29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IFERROR(IF(SUMIFS(tblDaily[Admissions],tblDaily[EntryDate],DATE(2026,12,19),tblDaily[WardCode],"CW")=0,"",SUMIFS(tblDaily[Admissions],tblDaily[EntryDate],DATE(2026,12,19),tblDaily[WardCode],"CW")),"")</f>
        <v/>
      </c>
      <c r="C454" s="29" t="str">
        <f>IFERROR(IF(SUMIFS(tblDaily[Discharges],tblDaily[EntryDate],DATE(2026,12,19),tblDaily[WardCode],"CW")=0,"",SUMIFS(tblDaily[Discharges],tblDaily[EntryDate],DATE(2026,12,19),tblDaily[WardCode],"CW")),"")</f>
        <v/>
      </c>
      <c r="D454" s="29" t="str">
        <f>IFERROR(IF(SUMIFS(tblDaily[Deaths],tblDaily[EntryDate],DATE(2026,12,19),tblDaily[WardCode],"CW")=0,"",SUMIFS(tblDaily[Deaths],tblDaily[EntryDate],DATE(2026,12,19),tblDaily[WardCode],"CW")),"")</f>
        <v/>
      </c>
      <c r="E454" s="29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29" t="str">
        <f>IFERROR(IF(SUMIFS(tblDaily[TransfersIn],tblDaily[EntryDate],DATE(2026,12,19),tblDaily[WardCode],"CW")=0,"",SUMIFS(tblDaily[TransfersIn],tblDaily[EntryDate],DATE(2026,12,19),tblDaily[WardCode],"CW")),"")</f>
        <v/>
      </c>
      <c r="G454" s="29" t="str">
        <f>IFERROR(IF(SUMIFS(tblDaily[TransfersOut],tblDaily[EntryDate],DATE(2026,12,19),tblDaily[WardCode],"CW")=0,"",SUMIFS(tblDaily[TransfersOut],tblDaily[EntryDate],DATE(2026,12,19),tblDaily[WardCode],"CW")),"")</f>
        <v/>
      </c>
      <c r="H454" s="29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IFERROR(IF(SUMIFS(tblDaily[Admissions],tblDaily[EntryDate],DATE(2026,12,20),tblDaily[WardCode],"CW")=0,"",SUMIFS(tblDaily[Admissions],tblDaily[EntryDate],DATE(2026,12,20),tblDaily[WardCode],"CW")),"")</f>
        <v/>
      </c>
      <c r="C455" s="29" t="str">
        <f>IFERROR(IF(SUMIFS(tblDaily[Discharges],tblDaily[EntryDate],DATE(2026,12,20),tblDaily[WardCode],"CW")=0,"",SUMIFS(tblDaily[Discharges],tblDaily[EntryDate],DATE(2026,12,20),tblDaily[WardCode],"CW")),"")</f>
        <v/>
      </c>
      <c r="D455" s="29" t="str">
        <f>IFERROR(IF(SUMIFS(tblDaily[Deaths],tblDaily[EntryDate],DATE(2026,12,20),tblDaily[WardCode],"CW")=0,"",SUMIFS(tblDaily[Deaths],tblDaily[EntryDate],DATE(2026,12,20),tblDaily[WardCode],"CW")),"")</f>
        <v/>
      </c>
      <c r="E455" s="29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29" t="str">
        <f>IFERROR(IF(SUMIFS(tblDaily[TransfersIn],tblDaily[EntryDate],DATE(2026,12,20),tblDaily[WardCode],"CW")=0,"",SUMIFS(tblDaily[TransfersIn],tblDaily[EntryDate],DATE(2026,12,20),tblDaily[WardCode],"CW")),"")</f>
        <v/>
      </c>
      <c r="G455" s="29" t="str">
        <f>IFERROR(IF(SUMIFS(tblDaily[TransfersOut],tblDaily[EntryDate],DATE(2026,12,20),tblDaily[WardCode],"CW")=0,"",SUMIFS(tblDaily[TransfersOut],tblDaily[EntryDate],DATE(2026,12,20),tblDaily[WardCode],"CW")),"")</f>
        <v/>
      </c>
      <c r="H455" s="29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IFERROR(IF(SUMIFS(tblDaily[Admissions],tblDaily[EntryDate],DATE(2026,12,21),tblDaily[WardCode],"CW")=0,"",SUMIFS(tblDaily[Admissions],tblDaily[EntryDate],DATE(2026,12,21),tblDaily[WardCode],"CW")),"")</f>
        <v/>
      </c>
      <c r="C456" s="29" t="str">
        <f>IFERROR(IF(SUMIFS(tblDaily[Discharges],tblDaily[EntryDate],DATE(2026,12,21),tblDaily[WardCode],"CW")=0,"",SUMIFS(tblDaily[Discharges],tblDaily[EntryDate],DATE(2026,12,21),tblDaily[WardCode],"CW")),"")</f>
        <v/>
      </c>
      <c r="D456" s="29" t="str">
        <f>IFERROR(IF(SUMIFS(tblDaily[Deaths],tblDaily[EntryDate],DATE(2026,12,21),tblDaily[WardCode],"CW")=0,"",SUMIFS(tblDaily[Deaths],tblDaily[EntryDate],DATE(2026,12,21),tblDaily[WardCode],"CW")),"")</f>
        <v/>
      </c>
      <c r="E456" s="29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29" t="str">
        <f>IFERROR(IF(SUMIFS(tblDaily[TransfersIn],tblDaily[EntryDate],DATE(2026,12,21),tblDaily[WardCode],"CW")=0,"",SUMIFS(tblDaily[TransfersIn],tblDaily[EntryDate],DATE(2026,12,21),tblDaily[WardCode],"CW")),"")</f>
        <v/>
      </c>
      <c r="G456" s="29" t="str">
        <f>IFERROR(IF(SUMIFS(tblDaily[TransfersOut],tblDaily[EntryDate],DATE(2026,12,21),tblDaily[WardCode],"CW")=0,"",SUMIFS(tblDaily[TransfersOut],tblDaily[EntryDate],DATE(2026,12,21),tblDaily[WardCode],"CW")),"")</f>
        <v/>
      </c>
      <c r="H456" s="29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IFERROR(IF(SUMIFS(tblDaily[Admissions],tblDaily[EntryDate],DATE(2026,12,22),tblDaily[WardCode],"CW")=0,"",SUMIFS(tblDaily[Admissions],tblDaily[EntryDate],DATE(2026,12,22),tblDaily[WardCode],"CW")),"")</f>
        <v/>
      </c>
      <c r="C457" s="29" t="str">
        <f>IFERROR(IF(SUMIFS(tblDaily[Discharges],tblDaily[EntryDate],DATE(2026,12,22),tblDaily[WardCode],"CW")=0,"",SUMIFS(tblDaily[Discharges],tblDaily[EntryDate],DATE(2026,12,22),tblDaily[WardCode],"CW")),"")</f>
        <v/>
      </c>
      <c r="D457" s="29" t="str">
        <f>IFERROR(IF(SUMIFS(tblDaily[Deaths],tblDaily[EntryDate],DATE(2026,12,22),tblDaily[WardCode],"CW")=0,"",SUMIFS(tblDaily[Deaths],tblDaily[EntryDate],DATE(2026,12,22),tblDaily[WardCode],"CW")),"")</f>
        <v/>
      </c>
      <c r="E457" s="29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29" t="str">
        <f>IFERROR(IF(SUMIFS(tblDaily[TransfersIn],tblDaily[EntryDate],DATE(2026,12,22),tblDaily[WardCode],"CW")=0,"",SUMIFS(tblDaily[TransfersIn],tblDaily[EntryDate],DATE(2026,12,22),tblDaily[WardCode],"CW")),"")</f>
        <v/>
      </c>
      <c r="G457" s="29" t="str">
        <f>IFERROR(IF(SUMIFS(tblDaily[TransfersOut],tblDaily[EntryDate],DATE(2026,12,22),tblDaily[WardCode],"CW")=0,"",SUMIFS(tblDaily[TransfersOut],tblDaily[EntryDate],DATE(2026,12,22),tblDaily[WardCode],"CW")),"")</f>
        <v/>
      </c>
      <c r="H457" s="29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IFERROR(IF(SUMIFS(tblDaily[Admissions],tblDaily[EntryDate],DATE(2026,12,23),tblDaily[WardCode],"CW")=0,"",SUMIFS(tblDaily[Admissions],tblDaily[EntryDate],DATE(2026,12,23),tblDaily[WardCode],"CW")),"")</f>
        <v/>
      </c>
      <c r="C458" s="29" t="str">
        <f>IFERROR(IF(SUMIFS(tblDaily[Discharges],tblDaily[EntryDate],DATE(2026,12,23),tblDaily[WardCode],"CW")=0,"",SUMIFS(tblDaily[Discharges],tblDaily[EntryDate],DATE(2026,12,23),tblDaily[WardCode],"CW")),"")</f>
        <v/>
      </c>
      <c r="D458" s="29" t="str">
        <f>IFERROR(IF(SUMIFS(tblDaily[Deaths],tblDaily[EntryDate],DATE(2026,12,23),tblDaily[WardCode],"CW")=0,"",SUMIFS(tblDaily[Deaths],tblDaily[EntryDate],DATE(2026,12,23),tblDaily[WardCode],"CW")),"")</f>
        <v/>
      </c>
      <c r="E458" s="29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29" t="str">
        <f>IFERROR(IF(SUMIFS(tblDaily[TransfersIn],tblDaily[EntryDate],DATE(2026,12,23),tblDaily[WardCode],"CW")=0,"",SUMIFS(tblDaily[TransfersIn],tblDaily[EntryDate],DATE(2026,12,23),tblDaily[WardCode],"CW")),"")</f>
        <v/>
      </c>
      <c r="G458" s="29" t="str">
        <f>IFERROR(IF(SUMIFS(tblDaily[TransfersOut],tblDaily[EntryDate],DATE(2026,12,23),tblDaily[WardCode],"CW")=0,"",SUMIFS(tblDaily[TransfersOut],tblDaily[EntryDate],DATE(2026,12,23),tblDaily[WardCode],"CW")),"")</f>
        <v/>
      </c>
      <c r="H458" s="29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IFERROR(IF(SUMIFS(tblDaily[Admissions],tblDaily[EntryDate],DATE(2026,12,24),tblDaily[WardCode],"CW")=0,"",SUMIFS(tblDaily[Admissions],tblDaily[EntryDate],DATE(2026,12,24),tblDaily[WardCode],"CW")),"")</f>
        <v/>
      </c>
      <c r="C459" s="29" t="str">
        <f>IFERROR(IF(SUMIFS(tblDaily[Discharges],tblDaily[EntryDate],DATE(2026,12,24),tblDaily[WardCode],"CW")=0,"",SUMIFS(tblDaily[Discharges],tblDaily[EntryDate],DATE(2026,12,24),tblDaily[WardCode],"CW")),"")</f>
        <v/>
      </c>
      <c r="D459" s="29" t="str">
        <f>IFERROR(IF(SUMIFS(tblDaily[Deaths],tblDaily[EntryDate],DATE(2026,12,24),tblDaily[WardCode],"CW")=0,"",SUMIFS(tblDaily[Deaths],tblDaily[EntryDate],DATE(2026,12,24),tblDaily[WardCode],"CW")),"")</f>
        <v/>
      </c>
      <c r="E459" s="29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29" t="str">
        <f>IFERROR(IF(SUMIFS(tblDaily[TransfersIn],tblDaily[EntryDate],DATE(2026,12,24),tblDaily[WardCode],"CW")=0,"",SUMIFS(tblDaily[TransfersIn],tblDaily[EntryDate],DATE(2026,12,24),tblDaily[WardCode],"CW")),"")</f>
        <v/>
      </c>
      <c r="G459" s="29" t="str">
        <f>IFERROR(IF(SUMIFS(tblDaily[TransfersOut],tblDaily[EntryDate],DATE(2026,12,24),tblDaily[WardCode],"CW")=0,"",SUMIFS(tblDaily[TransfersOut],tblDaily[EntryDate],DATE(2026,12,24),tblDaily[WardCode],"CW")),"")</f>
        <v/>
      </c>
      <c r="H459" s="29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IFERROR(IF(SUMIFS(tblDaily[Admissions],tblDaily[EntryDate],DATE(2026,12,25),tblDaily[WardCode],"CW")=0,"",SUMIFS(tblDaily[Admissions],tblDaily[EntryDate],DATE(2026,12,25),tblDaily[WardCode],"CW")),"")</f>
        <v/>
      </c>
      <c r="C460" s="29" t="str">
        <f>IFERROR(IF(SUMIFS(tblDaily[Discharges],tblDaily[EntryDate],DATE(2026,12,25),tblDaily[WardCode],"CW")=0,"",SUMIFS(tblDaily[Discharges],tblDaily[EntryDate],DATE(2026,12,25),tblDaily[WardCode],"CW")),"")</f>
        <v/>
      </c>
      <c r="D460" s="29" t="str">
        <f>IFERROR(IF(SUMIFS(tblDaily[Deaths],tblDaily[EntryDate],DATE(2026,12,25),tblDaily[WardCode],"CW")=0,"",SUMIFS(tblDaily[Deaths],tblDaily[EntryDate],DATE(2026,12,25),tblDaily[WardCode],"CW")),"")</f>
        <v/>
      </c>
      <c r="E460" s="29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29" t="str">
        <f>IFERROR(IF(SUMIFS(tblDaily[TransfersIn],tblDaily[EntryDate],DATE(2026,12,25),tblDaily[WardCode],"CW")=0,"",SUMIFS(tblDaily[TransfersIn],tblDaily[EntryDate],DATE(2026,12,25),tblDaily[WardCode],"CW")),"")</f>
        <v/>
      </c>
      <c r="G460" s="29" t="str">
        <f>IFERROR(IF(SUMIFS(tblDaily[TransfersOut],tblDaily[EntryDate],DATE(2026,12,25),tblDaily[WardCode],"CW")=0,"",SUMIFS(tblDaily[TransfersOut],tblDaily[EntryDate],DATE(2026,12,25),tblDaily[WardCode],"CW")),"")</f>
        <v/>
      </c>
      <c r="H460" s="29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IFERROR(IF(SUMIFS(tblDaily[Admissions],tblDaily[EntryDate],DATE(2026,12,26),tblDaily[WardCode],"CW")=0,"",SUMIFS(tblDaily[Admissions],tblDaily[EntryDate],DATE(2026,12,26),tblDaily[WardCode],"CW")),"")</f>
        <v/>
      </c>
      <c r="C461" s="29" t="str">
        <f>IFERROR(IF(SUMIFS(tblDaily[Discharges],tblDaily[EntryDate],DATE(2026,12,26),tblDaily[WardCode],"CW")=0,"",SUMIFS(tblDaily[Discharges],tblDaily[EntryDate],DATE(2026,12,26),tblDaily[WardCode],"CW")),"")</f>
        <v/>
      </c>
      <c r="D461" s="29" t="str">
        <f>IFERROR(IF(SUMIFS(tblDaily[Deaths],tblDaily[EntryDate],DATE(2026,12,26),tblDaily[WardCode],"CW")=0,"",SUMIFS(tblDaily[Deaths],tblDaily[EntryDate],DATE(2026,12,26),tblDaily[WardCode],"CW")),"")</f>
        <v/>
      </c>
      <c r="E461" s="29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29" t="str">
        <f>IFERROR(IF(SUMIFS(tblDaily[TransfersIn],tblDaily[EntryDate],DATE(2026,12,26),tblDaily[WardCode],"CW")=0,"",SUMIFS(tblDaily[TransfersIn],tblDaily[EntryDate],DATE(2026,12,26),tblDaily[WardCode],"CW")),"")</f>
        <v/>
      </c>
      <c r="G461" s="29" t="str">
        <f>IFERROR(IF(SUMIFS(tblDaily[TransfersOut],tblDaily[EntryDate],DATE(2026,12,26),tblDaily[WardCode],"CW")=0,"",SUMIFS(tblDaily[TransfersOut],tblDaily[EntryDate],DATE(2026,12,26),tblDaily[WardCode],"CW")),"")</f>
        <v/>
      </c>
      <c r="H461" s="29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IFERROR(IF(SUMIFS(tblDaily[Admissions],tblDaily[EntryDate],DATE(2026,12,27),tblDaily[WardCode],"CW")=0,"",SUMIFS(tblDaily[Admissions],tblDaily[EntryDate],DATE(2026,12,27),tblDaily[WardCode],"CW")),"")</f>
        <v/>
      </c>
      <c r="C462" s="29" t="str">
        <f>IFERROR(IF(SUMIFS(tblDaily[Discharges],tblDaily[EntryDate],DATE(2026,12,27),tblDaily[WardCode],"CW")=0,"",SUMIFS(tblDaily[Discharges],tblDaily[EntryDate],DATE(2026,12,27),tblDaily[WardCode],"CW")),"")</f>
        <v/>
      </c>
      <c r="D462" s="29" t="str">
        <f>IFERROR(IF(SUMIFS(tblDaily[Deaths],tblDaily[EntryDate],DATE(2026,12,27),tblDaily[WardCode],"CW")=0,"",SUMIFS(tblDaily[Deaths],tblDaily[EntryDate],DATE(2026,12,27),tblDaily[WardCode],"CW")),"")</f>
        <v/>
      </c>
      <c r="E462" s="29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29" t="str">
        <f>IFERROR(IF(SUMIFS(tblDaily[TransfersIn],tblDaily[EntryDate],DATE(2026,12,27),tblDaily[WardCode],"CW")=0,"",SUMIFS(tblDaily[TransfersIn],tblDaily[EntryDate],DATE(2026,12,27),tblDaily[WardCode],"CW")),"")</f>
        <v/>
      </c>
      <c r="G462" s="29" t="str">
        <f>IFERROR(IF(SUMIFS(tblDaily[TransfersOut],tblDaily[EntryDate],DATE(2026,12,27),tblDaily[WardCode],"CW")=0,"",SUMIFS(tblDaily[TransfersOut],tblDaily[EntryDate],DATE(2026,12,27),tblDaily[WardCode],"CW")),"")</f>
        <v/>
      </c>
      <c r="H462" s="29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IFERROR(IF(SUMIFS(tblDaily[Admissions],tblDaily[EntryDate],DATE(2026,12,28),tblDaily[WardCode],"CW")=0,"",SUMIFS(tblDaily[Admissions],tblDaily[EntryDate],DATE(2026,12,28),tblDaily[WardCode],"CW")),"")</f>
        <v/>
      </c>
      <c r="C463" s="29" t="str">
        <f>IFERROR(IF(SUMIFS(tblDaily[Discharges],tblDaily[EntryDate],DATE(2026,12,28),tblDaily[WardCode],"CW")=0,"",SUMIFS(tblDaily[Discharges],tblDaily[EntryDate],DATE(2026,12,28),tblDaily[WardCode],"CW")),"")</f>
        <v/>
      </c>
      <c r="D463" s="29" t="str">
        <f>IFERROR(IF(SUMIFS(tblDaily[Deaths],tblDaily[EntryDate],DATE(2026,12,28),tblDaily[WardCode],"CW")=0,"",SUMIFS(tblDaily[Deaths],tblDaily[EntryDate],DATE(2026,12,28),tblDaily[WardCode],"CW")),"")</f>
        <v/>
      </c>
      <c r="E463" s="29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29" t="str">
        <f>IFERROR(IF(SUMIFS(tblDaily[TransfersIn],tblDaily[EntryDate],DATE(2026,12,28),tblDaily[WardCode],"CW")=0,"",SUMIFS(tblDaily[TransfersIn],tblDaily[EntryDate],DATE(2026,12,28),tblDaily[WardCode],"CW")),"")</f>
        <v/>
      </c>
      <c r="G463" s="29" t="str">
        <f>IFERROR(IF(SUMIFS(tblDaily[TransfersOut],tblDaily[EntryDate],DATE(2026,12,28),tblDaily[WardCode],"CW")=0,"",SUMIFS(tblDaily[TransfersOut],tblDaily[EntryDate],DATE(2026,12,28),tblDaily[WardCode],"CW")),"")</f>
        <v/>
      </c>
      <c r="H463" s="29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IFERROR(IF(SUMIFS(tblDaily[Admissions],tblDaily[EntryDate],DATE(2026,12,29),tblDaily[WardCode],"CW")=0,"",SUMIFS(tblDaily[Admissions],tblDaily[EntryDate],DATE(2026,12,29),tblDaily[WardCode],"CW")),"")</f>
        <v/>
      </c>
      <c r="C464" s="29" t="str">
        <f>IFERROR(IF(SUMIFS(tblDaily[Discharges],tblDaily[EntryDate],DATE(2026,12,29),tblDaily[WardCode],"CW")=0,"",SUMIFS(tblDaily[Discharges],tblDaily[EntryDate],DATE(2026,12,29),tblDaily[WardCode],"CW")),"")</f>
        <v/>
      </c>
      <c r="D464" s="29" t="str">
        <f>IFERROR(IF(SUMIFS(tblDaily[Deaths],tblDaily[EntryDate],DATE(2026,12,29),tblDaily[WardCode],"CW")=0,"",SUMIFS(tblDaily[Deaths],tblDaily[EntryDate],DATE(2026,12,29),tblDaily[WardCode],"CW")),"")</f>
        <v/>
      </c>
      <c r="E464" s="29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29" t="str">
        <f>IFERROR(IF(SUMIFS(tblDaily[TransfersIn],tblDaily[EntryDate],DATE(2026,12,29),tblDaily[WardCode],"CW")=0,"",SUMIFS(tblDaily[TransfersIn],tblDaily[EntryDate],DATE(2026,12,29),tblDaily[WardCode],"CW")),"")</f>
        <v/>
      </c>
      <c r="G464" s="29" t="str">
        <f>IFERROR(IF(SUMIFS(tblDaily[TransfersOut],tblDaily[EntryDate],DATE(2026,12,29),tblDaily[WardCode],"CW")=0,"",SUMIFS(tblDaily[TransfersOut],tblDaily[EntryDate],DATE(2026,12,29),tblDaily[WardCode],"CW")),"")</f>
        <v/>
      </c>
      <c r="H464" s="29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IFERROR(IF(SUMIFS(tblDaily[Admissions],tblDaily[EntryDate],DATE(2026,12,30),tblDaily[WardCode],"CW")=0,"",SUMIFS(tblDaily[Admissions],tblDaily[EntryDate],DATE(2026,12,30),tblDaily[WardCode],"CW")),"")</f>
        <v/>
      </c>
      <c r="C465" s="29" t="str">
        <f>IFERROR(IF(SUMIFS(tblDaily[Discharges],tblDaily[EntryDate],DATE(2026,12,30),tblDaily[WardCode],"CW")=0,"",SUMIFS(tblDaily[Discharges],tblDaily[EntryDate],DATE(2026,12,30),tblDaily[WardCode],"CW")),"")</f>
        <v/>
      </c>
      <c r="D465" s="29" t="str">
        <f>IFERROR(IF(SUMIFS(tblDaily[Deaths],tblDaily[EntryDate],DATE(2026,12,30),tblDaily[WardCode],"CW")=0,"",SUMIFS(tblDaily[Deaths],tblDaily[EntryDate],DATE(2026,12,30),tblDaily[WardCode],"CW")),"")</f>
        <v/>
      </c>
      <c r="E465" s="29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29" t="str">
        <f>IFERROR(IF(SUMIFS(tblDaily[TransfersIn],tblDaily[EntryDate],DATE(2026,12,30),tblDaily[WardCode],"CW")=0,"",SUMIFS(tblDaily[TransfersIn],tblDaily[EntryDate],DATE(2026,12,30),tblDaily[WardCode],"CW")),"")</f>
        <v/>
      </c>
      <c r="G465" s="29" t="str">
        <f>IFERROR(IF(SUMIFS(tblDaily[TransfersOut],tblDaily[EntryDate],DATE(2026,12,30),tblDaily[WardCode],"CW")=0,"",SUMIFS(tblDaily[TransfersOut],tblDaily[EntryDate],DATE(2026,12,30),tblDaily[WardCode],"CW")),"")</f>
        <v/>
      </c>
      <c r="H465" s="29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IFERROR(IF(SUMIFS(tblDaily[Admissions],tblDaily[EntryDate],DATE(2026,12,31),tblDaily[WardCode],"CW")=0,"",SUMIFS(tblDaily[Admissions],tblDaily[EntryDate],DATE(2026,12,31),tblDaily[WardCode],"CW")),"")</f>
        <v/>
      </c>
      <c r="C466" s="29" t="str">
        <f>IFERROR(IF(SUMIFS(tblDaily[Discharges],tblDaily[EntryDate],DATE(2026,12,31),tblDaily[WardCode],"CW")=0,"",SUMIFS(tblDaily[Discharges],tblDaily[EntryDate],DATE(2026,12,31),tblDaily[WardCode],"CW")),"")</f>
        <v/>
      </c>
      <c r="D466" s="29" t="str">
        <f>IFERROR(IF(SUMIFS(tblDaily[Deaths],tblDaily[EntryDate],DATE(2026,12,31),tblDaily[WardCode],"CW")=0,"",SUMIFS(tblDaily[Deaths],tblDaily[EntryDate],DATE(2026,12,31),tblDaily[WardCode],"CW")),"")</f>
        <v/>
      </c>
      <c r="E466" s="29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29" t="str">
        <f>IFERROR(IF(SUMIFS(tblDaily[TransfersIn],tblDaily[EntryDate],DATE(2026,12,31),tblDaily[WardCode],"CW")=0,"",SUMIFS(tblDaily[TransfersIn],tblDaily[EntryDate],DATE(2026,12,31),tblDaily[WardCode],"CW")),"")</f>
        <v/>
      </c>
      <c r="G466" s="29" t="str">
        <f>IFERROR(IF(SUMIFS(tblDaily[TransfersOut],tblDaily[EntryDate],DATE(2026,12,31),tblDaily[WardCode],"CW")=0,"",SUMIFS(tblDaily[TransfersOut],tblDaily[EntryDate],DATE(2026,12,31),tblDaily[WardCode],"CW")),"")</f>
        <v/>
      </c>
      <c r="H466" s="29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30" t="s">
        <v>115</v>
      </c>
      <c r="B467" s="30">
        <f>SUMIFS(tblDaily[Admissions],tblDaily[Month],12,tblDaily[WardCode],"CW") - SUMIFS(tblDaily[DeathsUnder24Hrs],tblDaily[Month],12,tblDaily[WardCode],"CW")</f>
        <v>0</v>
      </c>
      <c r="C467" s="30">
        <f>SUMIFS(tblDaily[Discharges],tblDaily[Month],12,tblDaily[WardCode],"CW")</f>
        <v>0</v>
      </c>
      <c r="D467" s="30">
        <f>SUMIFS(tblDaily[Deaths],tblDaily[Month],12,tblDaily[WardCode],"CW")</f>
        <v>0</v>
      </c>
      <c r="E467" s="30">
        <f>SUMIFS(tblDaily[DeathsUnder24Hrs],tblDaily[Month],12,tblDaily[WardCode],"CW")</f>
        <v>0</v>
      </c>
      <c r="F467" s="30">
        <f>SUMIFS(tblDaily[TransfersIn],tblDaily[Month],12,tblDaily[WardCode],"CW")</f>
        <v>0</v>
      </c>
      <c r="G467" s="30">
        <f>SUMIFS(tblDaily[TransfersOut],tblDaily[Month],12,tblDaily[WardCode],"CW")</f>
        <v>0</v>
      </c>
      <c r="H467" s="30">
        <f>SUMIFS(tblDaily[Remaining],tblDaily[Month],12,tblDaily[WardCode],"CW")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118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IFERROR(INDEX(tblWardConfig[PrevYearRemaining],MATCH("BF",tblWardConfig[WardCode],0)),0)</f>
        <v>9</v>
      </c>
    </row>
    <row r="5" spans="1:8" x14ac:dyDescent="0.25">
      <c r="A5" s="24" t="s">
        <v>109</v>
      </c>
      <c r="H5" s="27">
        <f>IFERROR(INDEX(tblWardConfig[BedComplement],MATCH("BF",tblWardConfig[WardCode],0)),0)</f>
        <v>20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>
        <f>IFERROR(IF(SUMIFS(tblDaily[Admissions],tblDaily[EntryDate],DATE(2026,1,1),tblDaily[WardCode],"BF")=0,"",SUMIFS(tblDaily[Admissions],tblDaily[EntryDate],DATE(2026,1,1),tblDaily[WardCode],"BF")),"")</f>
        <v>2</v>
      </c>
      <c r="C7" s="29">
        <f>IFERROR(IF(SUMIFS(tblDaily[Discharges],tblDaily[EntryDate],DATE(2026,1,1),tblDaily[WardCode],"BF")=0,"",SUMIFS(tblDaily[Discharges],tblDaily[EntryDate],DATE(2026,1,1),tblDaily[WardCode],"BF")),"")</f>
        <v>2</v>
      </c>
      <c r="D7" s="29" t="str">
        <f>IFERROR(IF(SUMIFS(tblDaily[Deaths],tblDaily[EntryDate],DATE(2026,1,1),tblDaily[WardCode],"BF")=0,"",SUMIFS(tblDaily[Deaths],tblDaily[EntryDate],DATE(2026,1,1),tblDaily[WardCode],"BF")),"")</f>
        <v/>
      </c>
      <c r="E7" s="29" t="str">
        <f>IFERROR(IF(SUMIFS(tblDaily[DeathsUnder24Hrs],tblDaily[EntryDate],DATE(2026,1,1),tblDaily[WardCode],"BF")=0,"",SUMIFS(tblDaily[DeathsUnder24Hrs],tblDaily[EntryDate],DATE(2026,1,1),tblDaily[WardCode],"BF")),"")</f>
        <v/>
      </c>
      <c r="F7" s="29" t="str">
        <f>IFERROR(IF(SUMIFS(tblDaily[TransfersIn],tblDaily[EntryDate],DATE(2026,1,1),tblDaily[WardCode],"BF")=0,"",SUMIFS(tblDaily[TransfersIn],tblDaily[EntryDate],DATE(2026,1,1),tblDaily[WardCode],"BF")),"")</f>
        <v/>
      </c>
      <c r="G7" s="29" t="str">
        <f>IFERROR(IF(SUMIFS(tblDaily[TransfersOut],tblDaily[EntryDate],DATE(2026,1,1),tblDaily[WardCode],"BF")=0,"",SUMIFS(tblDaily[TransfersOut],tblDaily[EntryDate],DATE(2026,1,1),tblDaily[WardCode],"BF")),"")</f>
        <v/>
      </c>
      <c r="H7" s="29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29">
        <v>2</v>
      </c>
      <c r="B8" s="29">
        <f>IFERROR(IF(SUMIFS(tblDaily[Admissions],tblDaily[EntryDate],DATE(2026,1,2),tblDaily[WardCode],"BF")=0,"",SUMIFS(tblDaily[Admissions],tblDaily[EntryDate],DATE(2026,1,2),tblDaily[WardCode],"BF")),"")</f>
        <v>4</v>
      </c>
      <c r="C8" s="29">
        <f>IFERROR(IF(SUMIFS(tblDaily[Discharges],tblDaily[EntryDate],DATE(2026,1,2),tblDaily[WardCode],"BF")=0,"",SUMIFS(tblDaily[Discharges],tblDaily[EntryDate],DATE(2026,1,2),tblDaily[WardCode],"BF")),"")</f>
        <v>3</v>
      </c>
      <c r="D8" s="29" t="str">
        <f>IFERROR(IF(SUMIFS(tblDaily[Deaths],tblDaily[EntryDate],DATE(2026,1,2),tblDaily[WardCode],"BF")=0,"",SUMIFS(tblDaily[Deaths],tblDaily[EntryDate],DATE(2026,1,2),tblDaily[WardCode],"BF")),"")</f>
        <v/>
      </c>
      <c r="E8" s="29" t="str">
        <f>IFERROR(IF(SUMIFS(tblDaily[DeathsUnder24Hrs],tblDaily[EntryDate],DATE(2026,1,2),tblDaily[WardCode],"BF")=0,"",SUMIFS(tblDaily[DeathsUnder24Hrs],tblDaily[EntryDate],DATE(2026,1,2),tblDaily[WardCode],"BF")),"")</f>
        <v/>
      </c>
      <c r="F8" s="29" t="str">
        <f>IFERROR(IF(SUMIFS(tblDaily[TransfersIn],tblDaily[EntryDate],DATE(2026,1,2),tblDaily[WardCode],"BF")=0,"",SUMIFS(tblDaily[TransfersIn],tblDaily[EntryDate],DATE(2026,1,2),tblDaily[WardCode],"BF")),"")</f>
        <v/>
      </c>
      <c r="G8" s="29" t="str">
        <f>IFERROR(IF(SUMIFS(tblDaily[TransfersOut],tblDaily[EntryDate],DATE(2026,1,2),tblDaily[WardCode],"BF")=0,"",SUMIFS(tblDaily[TransfersOut],tblDaily[EntryDate],DATE(2026,1,2),tblDaily[WardCode],"BF")),"")</f>
        <v/>
      </c>
      <c r="H8" s="29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29">
        <v>3</v>
      </c>
      <c r="B9" s="29">
        <f>IFERROR(IF(SUMIFS(tblDaily[Admissions],tblDaily[EntryDate],DATE(2026,1,3),tblDaily[WardCode],"BF")=0,"",SUMIFS(tblDaily[Admissions],tblDaily[EntryDate],DATE(2026,1,3),tblDaily[WardCode],"BF")),"")</f>
        <v>2</v>
      </c>
      <c r="C9" s="29">
        <f>IFERROR(IF(SUMIFS(tblDaily[Discharges],tblDaily[EntryDate],DATE(2026,1,3),tblDaily[WardCode],"BF")=0,"",SUMIFS(tblDaily[Discharges],tblDaily[EntryDate],DATE(2026,1,3),tblDaily[WardCode],"BF")),"")</f>
        <v>1</v>
      </c>
      <c r="D9" s="29" t="str">
        <f>IFERROR(IF(SUMIFS(tblDaily[Deaths],tblDaily[EntryDate],DATE(2026,1,3),tblDaily[WardCode],"BF")=0,"",SUMIFS(tblDaily[Deaths],tblDaily[EntryDate],DATE(2026,1,3),tblDaily[WardCode],"BF")),"")</f>
        <v/>
      </c>
      <c r="E9" s="29" t="str">
        <f>IFERROR(IF(SUMIFS(tblDaily[DeathsUnder24Hrs],tblDaily[EntryDate],DATE(2026,1,3),tblDaily[WardCode],"BF")=0,"",SUMIFS(tblDaily[DeathsUnder24Hrs],tblDaily[EntryDate],DATE(2026,1,3),tblDaily[WardCode],"BF")),"")</f>
        <v/>
      </c>
      <c r="F9" s="29" t="str">
        <f>IFERROR(IF(SUMIFS(tblDaily[TransfersIn],tblDaily[EntryDate],DATE(2026,1,3),tblDaily[WardCode],"BF")=0,"",SUMIFS(tblDaily[TransfersIn],tblDaily[EntryDate],DATE(2026,1,3),tblDaily[WardCode],"BF")),"")</f>
        <v/>
      </c>
      <c r="G9" s="29" t="str">
        <f>IFERROR(IF(SUMIFS(tblDaily[TransfersOut],tblDaily[EntryDate],DATE(2026,1,3),tblDaily[WardCode],"BF")=0,"",SUMIFS(tblDaily[TransfersOut],tblDaily[EntryDate],DATE(2026,1,3),tblDaily[WardCode],"BF")),"")</f>
        <v/>
      </c>
      <c r="H9" s="29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29">
        <v>4</v>
      </c>
      <c r="B10" s="29">
        <f>IFERROR(IF(SUMIFS(tblDaily[Admissions],tblDaily[EntryDate],DATE(2026,1,4),tblDaily[WardCode],"BF")=0,"",SUMIFS(tblDaily[Admissions],tblDaily[EntryDate],DATE(2026,1,4),tblDaily[WardCode],"BF")),"")</f>
        <v>3</v>
      </c>
      <c r="C10" s="29">
        <f>IFERROR(IF(SUMIFS(tblDaily[Discharges],tblDaily[EntryDate],DATE(2026,1,4),tblDaily[WardCode],"BF")=0,"",SUMIFS(tblDaily[Discharges],tblDaily[EntryDate],DATE(2026,1,4),tblDaily[WardCode],"BF")),"")</f>
        <v>1</v>
      </c>
      <c r="D10" s="29" t="str">
        <f>IFERROR(IF(SUMIFS(tblDaily[Deaths],tblDaily[EntryDate],DATE(2026,1,4),tblDaily[WardCode],"BF")=0,"",SUMIFS(tblDaily[Deaths],tblDaily[EntryDate],DATE(2026,1,4),tblDaily[WardCode],"BF")),"")</f>
        <v/>
      </c>
      <c r="E10" s="29" t="str">
        <f>IFERROR(IF(SUMIFS(tblDaily[DeathsUnder24Hrs],tblDaily[EntryDate],DATE(2026,1,4),tblDaily[WardCode],"BF")=0,"",SUMIFS(tblDaily[DeathsUnder24Hrs],tblDaily[EntryDate],DATE(2026,1,4),tblDaily[WardCode],"BF")),"")</f>
        <v/>
      </c>
      <c r="F10" s="29" t="str">
        <f>IFERROR(IF(SUMIFS(tblDaily[TransfersIn],tblDaily[EntryDate],DATE(2026,1,4),tblDaily[WardCode],"BF")=0,"",SUMIFS(tblDaily[TransfersIn],tblDaily[EntryDate],DATE(2026,1,4),tblDaily[WardCode],"BF")),"")</f>
        <v/>
      </c>
      <c r="G10" s="29" t="str">
        <f>IFERROR(IF(SUMIFS(tblDaily[TransfersOut],tblDaily[EntryDate],DATE(2026,1,4),tblDaily[WardCode],"BF")=0,"",SUMIFS(tblDaily[TransfersOut],tblDaily[EntryDate],DATE(2026,1,4),tblDaily[WardCode],"BF")),"")</f>
        <v/>
      </c>
      <c r="H10" s="29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29">
        <v>5</v>
      </c>
      <c r="B11" s="29">
        <f>IFERROR(IF(SUMIFS(tblDaily[Admissions],tblDaily[EntryDate],DATE(2026,1,5),tblDaily[WardCode],"BF")=0,"",SUMIFS(tblDaily[Admissions],tblDaily[EntryDate],DATE(2026,1,5),tblDaily[WardCode],"BF")),"")</f>
        <v>2</v>
      </c>
      <c r="C11" s="29">
        <f>IFERROR(IF(SUMIFS(tblDaily[Discharges],tblDaily[EntryDate],DATE(2026,1,5),tblDaily[WardCode],"BF")=0,"",SUMIFS(tblDaily[Discharges],tblDaily[EntryDate],DATE(2026,1,5),tblDaily[WardCode],"BF")),"")</f>
        <v>8</v>
      </c>
      <c r="D11" s="29" t="str">
        <f>IFERROR(IF(SUMIFS(tblDaily[Deaths],tblDaily[EntryDate],DATE(2026,1,5),tblDaily[WardCode],"BF")=0,"",SUMIFS(tblDaily[Deaths],tblDaily[EntryDate],DATE(2026,1,5),tblDaily[WardCode],"BF")),"")</f>
        <v/>
      </c>
      <c r="E11" s="29" t="str">
        <f>IFERROR(IF(SUMIFS(tblDaily[DeathsUnder24Hrs],tblDaily[EntryDate],DATE(2026,1,5),tblDaily[WardCode],"BF")=0,"",SUMIFS(tblDaily[DeathsUnder24Hrs],tblDaily[EntryDate],DATE(2026,1,5),tblDaily[WardCode],"BF")),"")</f>
        <v/>
      </c>
      <c r="F11" s="29">
        <f>IFERROR(IF(SUMIFS(tblDaily[TransfersIn],tblDaily[EntryDate],DATE(2026,1,5),tblDaily[WardCode],"BF")=0,"",SUMIFS(tblDaily[TransfersIn],tblDaily[EntryDate],DATE(2026,1,5),tblDaily[WardCode],"BF")),"")</f>
        <v>1</v>
      </c>
      <c r="G11" s="29" t="str">
        <f>IFERROR(IF(SUMIFS(tblDaily[TransfersOut],tblDaily[EntryDate],DATE(2026,1,5),tblDaily[WardCode],"BF")=0,"",SUMIFS(tblDaily[TransfersOut],tblDaily[EntryDate],DATE(2026,1,5),tblDaily[WardCode],"BF")),"")</f>
        <v/>
      </c>
      <c r="H11" s="29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29">
        <v>6</v>
      </c>
      <c r="B12" s="29">
        <f>IFERROR(IF(SUMIFS(tblDaily[Admissions],tblDaily[EntryDate],DATE(2026,1,6),tblDaily[WardCode],"BF")=0,"",SUMIFS(tblDaily[Admissions],tblDaily[EntryDate],DATE(2026,1,6),tblDaily[WardCode],"BF")),"")</f>
        <v>3</v>
      </c>
      <c r="C12" s="29">
        <f>IFERROR(IF(SUMIFS(tblDaily[Discharges],tblDaily[EntryDate],DATE(2026,1,6),tblDaily[WardCode],"BF")=0,"",SUMIFS(tblDaily[Discharges],tblDaily[EntryDate],DATE(2026,1,6),tblDaily[WardCode],"BF")),"")</f>
        <v>5</v>
      </c>
      <c r="D12" s="29" t="str">
        <f>IFERROR(IF(SUMIFS(tblDaily[Deaths],tblDaily[EntryDate],DATE(2026,1,6),tblDaily[WardCode],"BF")=0,"",SUMIFS(tblDaily[Deaths],tblDaily[EntryDate],DATE(2026,1,6),tblDaily[WardCode],"BF")),"")</f>
        <v/>
      </c>
      <c r="E12" s="29" t="str">
        <f>IFERROR(IF(SUMIFS(tblDaily[DeathsUnder24Hrs],tblDaily[EntryDate],DATE(2026,1,6),tblDaily[WardCode],"BF")=0,"",SUMIFS(tblDaily[DeathsUnder24Hrs],tblDaily[EntryDate],DATE(2026,1,6),tblDaily[WardCode],"BF")),"")</f>
        <v/>
      </c>
      <c r="F12" s="29" t="str">
        <f>IFERROR(IF(SUMIFS(tblDaily[TransfersIn],tblDaily[EntryDate],DATE(2026,1,6),tblDaily[WardCode],"BF")=0,"",SUMIFS(tblDaily[TransfersIn],tblDaily[EntryDate],DATE(2026,1,6),tblDaily[WardCode],"BF")),"")</f>
        <v/>
      </c>
      <c r="G12" s="29" t="str">
        <f>IFERROR(IF(SUMIFS(tblDaily[TransfersOut],tblDaily[EntryDate],DATE(2026,1,6),tblDaily[WardCode],"BF")=0,"",SUMIFS(tblDaily[TransfersOut],tblDaily[EntryDate],DATE(2026,1,6),tblDaily[WardCode],"BF")),"")</f>
        <v/>
      </c>
      <c r="H12" s="29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29">
        <v>7</v>
      </c>
      <c r="B13" s="29">
        <f>IFERROR(IF(SUMIFS(tblDaily[Admissions],tblDaily[EntryDate],DATE(2026,1,7),tblDaily[WardCode],"BF")=0,"",SUMIFS(tblDaily[Admissions],tblDaily[EntryDate],DATE(2026,1,7),tblDaily[WardCode],"BF")),"")</f>
        <v>2</v>
      </c>
      <c r="C13" s="29">
        <f>IFERROR(IF(SUMIFS(tblDaily[Discharges],tblDaily[EntryDate],DATE(2026,1,7),tblDaily[WardCode],"BF")=0,"",SUMIFS(tblDaily[Discharges],tblDaily[EntryDate],DATE(2026,1,7),tblDaily[WardCode],"BF")),"")</f>
        <v>3</v>
      </c>
      <c r="D13" s="29" t="str">
        <f>IFERROR(IF(SUMIFS(tblDaily[Deaths],tblDaily[EntryDate],DATE(2026,1,7),tblDaily[WardCode],"BF")=0,"",SUMIFS(tblDaily[Deaths],tblDaily[EntryDate],DATE(2026,1,7),tblDaily[WardCode],"BF")),"")</f>
        <v/>
      </c>
      <c r="E13" s="29" t="str">
        <f>IFERROR(IF(SUMIFS(tblDaily[DeathsUnder24Hrs],tblDaily[EntryDate],DATE(2026,1,7),tblDaily[WardCode],"BF")=0,"",SUMIFS(tblDaily[DeathsUnder24Hrs],tblDaily[EntryDate],DATE(2026,1,7),tblDaily[WardCode],"BF")),"")</f>
        <v/>
      </c>
      <c r="F13" s="29" t="str">
        <f>IFERROR(IF(SUMIFS(tblDaily[TransfersIn],tblDaily[EntryDate],DATE(2026,1,7),tblDaily[WardCode],"BF")=0,"",SUMIFS(tblDaily[TransfersIn],tblDaily[EntryDate],DATE(2026,1,7),tblDaily[WardCode],"BF")),"")</f>
        <v/>
      </c>
      <c r="G13" s="29" t="str">
        <f>IFERROR(IF(SUMIFS(tblDaily[TransfersOut],tblDaily[EntryDate],DATE(2026,1,7),tblDaily[WardCode],"BF")=0,"",SUMIFS(tblDaily[TransfersOut],tblDaily[EntryDate],DATE(2026,1,7),tblDaily[WardCode],"BF")),"")</f>
        <v/>
      </c>
      <c r="H13" s="29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29">
        <v>8</v>
      </c>
      <c r="B14" s="29">
        <f>IFERROR(IF(SUMIFS(tblDaily[Admissions],tblDaily[EntryDate],DATE(2026,1,8),tblDaily[WardCode],"BF")=0,"",SUMIFS(tblDaily[Admissions],tblDaily[EntryDate],DATE(2026,1,8),tblDaily[WardCode],"BF")),"")</f>
        <v>1</v>
      </c>
      <c r="C14" s="29" t="str">
        <f>IFERROR(IF(SUMIFS(tblDaily[Discharges],tblDaily[EntryDate],DATE(2026,1,8),tblDaily[WardCode],"BF")=0,"",SUMIFS(tblDaily[Discharges],tblDaily[EntryDate],DATE(2026,1,8),tblDaily[WardCode],"BF")),"")</f>
        <v/>
      </c>
      <c r="D14" s="29" t="str">
        <f>IFERROR(IF(SUMIFS(tblDaily[Deaths],tblDaily[EntryDate],DATE(2026,1,8),tblDaily[WardCode],"BF")=0,"",SUMIFS(tblDaily[Deaths],tblDaily[EntryDate],DATE(2026,1,8),tblDaily[WardCode],"BF")),"")</f>
        <v/>
      </c>
      <c r="E14" s="29" t="str">
        <f>IFERROR(IF(SUMIFS(tblDaily[DeathsUnder24Hrs],tblDaily[EntryDate],DATE(2026,1,8),tblDaily[WardCode],"BF")=0,"",SUMIFS(tblDaily[DeathsUnder24Hrs],tblDaily[EntryDate],DATE(2026,1,8),tblDaily[WardCode],"BF")),"")</f>
        <v/>
      </c>
      <c r="F14" s="29" t="str">
        <f>IFERROR(IF(SUMIFS(tblDaily[TransfersIn],tblDaily[EntryDate],DATE(2026,1,8),tblDaily[WardCode],"BF")=0,"",SUMIFS(tblDaily[TransfersIn],tblDaily[EntryDate],DATE(2026,1,8),tblDaily[WardCode],"BF")),"")</f>
        <v/>
      </c>
      <c r="G14" s="29" t="str">
        <f>IFERROR(IF(SUMIFS(tblDaily[TransfersOut],tblDaily[EntryDate],DATE(2026,1,8),tblDaily[WardCode],"BF")=0,"",SUMIFS(tblDaily[TransfersOut],tblDaily[EntryDate],DATE(2026,1,8),tblDaily[WardCode],"BF")),"")</f>
        <v/>
      </c>
      <c r="H14" s="29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29">
        <v>9</v>
      </c>
      <c r="B15" s="29">
        <f>IFERROR(IF(SUMIFS(tblDaily[Admissions],tblDaily[EntryDate],DATE(2026,1,9),tblDaily[WardCode],"BF")=0,"",SUMIFS(tblDaily[Admissions],tblDaily[EntryDate],DATE(2026,1,9),tblDaily[WardCode],"BF")),"")</f>
        <v>2</v>
      </c>
      <c r="C15" s="29">
        <f>IFERROR(IF(SUMIFS(tblDaily[Discharges],tblDaily[EntryDate],DATE(2026,1,9),tblDaily[WardCode],"BF")=0,"",SUMIFS(tblDaily[Discharges],tblDaily[EntryDate],DATE(2026,1,9),tblDaily[WardCode],"BF")),"")</f>
        <v>3</v>
      </c>
      <c r="D15" s="29" t="str">
        <f>IFERROR(IF(SUMIFS(tblDaily[Deaths],tblDaily[EntryDate],DATE(2026,1,9),tblDaily[WardCode],"BF")=0,"",SUMIFS(tblDaily[Deaths],tblDaily[EntryDate],DATE(2026,1,9),tblDaily[WardCode],"BF")),"")</f>
        <v/>
      </c>
      <c r="E15" s="29" t="str">
        <f>IFERROR(IF(SUMIFS(tblDaily[DeathsUnder24Hrs],tblDaily[EntryDate],DATE(2026,1,9),tblDaily[WardCode],"BF")=0,"",SUMIFS(tblDaily[DeathsUnder24Hrs],tblDaily[EntryDate],DATE(2026,1,9),tblDaily[WardCode],"BF")),"")</f>
        <v/>
      </c>
      <c r="F15" s="29" t="str">
        <f>IFERROR(IF(SUMIFS(tblDaily[TransfersIn],tblDaily[EntryDate],DATE(2026,1,9),tblDaily[WardCode],"BF")=0,"",SUMIFS(tblDaily[TransfersIn],tblDaily[EntryDate],DATE(2026,1,9),tblDaily[WardCode],"BF")),"")</f>
        <v/>
      </c>
      <c r="G15" s="29">
        <f>IFERROR(IF(SUMIFS(tblDaily[TransfersOut],tblDaily[EntryDate],DATE(2026,1,9),tblDaily[WardCode],"BF")=0,"",SUMIFS(tblDaily[TransfersOut],tblDaily[EntryDate],DATE(2026,1,9),tblDaily[WardCode],"BF")),"")</f>
        <v>1</v>
      </c>
      <c r="H15" s="29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29">
        <v>10</v>
      </c>
      <c r="B16" s="29">
        <f>IFERROR(IF(SUMIFS(tblDaily[Admissions],tblDaily[EntryDate],DATE(2026,1,10),tblDaily[WardCode],"BF")=0,"",SUMIFS(tblDaily[Admissions],tblDaily[EntryDate],DATE(2026,1,10),tblDaily[WardCode],"BF")),"")</f>
        <v>2</v>
      </c>
      <c r="C16" s="29" t="str">
        <f>IFERROR(IF(SUMIFS(tblDaily[Discharges],tblDaily[EntryDate],DATE(2026,1,10),tblDaily[WardCode],"BF")=0,"",SUMIFS(tblDaily[Discharges],tblDaily[EntryDate],DATE(2026,1,10),tblDaily[WardCode],"BF")),"")</f>
        <v/>
      </c>
      <c r="D16" s="29" t="str">
        <f>IFERROR(IF(SUMIFS(tblDaily[Deaths],tblDaily[EntryDate],DATE(2026,1,10),tblDaily[WardCode],"BF")=0,"",SUMIFS(tblDaily[Deaths],tblDaily[EntryDate],DATE(2026,1,10),tblDaily[WardCode],"BF")),"")</f>
        <v/>
      </c>
      <c r="E16" s="29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29" t="str">
        <f>IFERROR(IF(SUMIFS(tblDaily[TransfersIn],tblDaily[EntryDate],DATE(2026,1,10),tblDaily[WardCode],"BF")=0,"",SUMIFS(tblDaily[TransfersIn],tblDaily[EntryDate],DATE(2026,1,10),tblDaily[WardCode],"BF")),"")</f>
        <v/>
      </c>
      <c r="G16" s="29" t="str">
        <f>IFERROR(IF(SUMIFS(tblDaily[TransfersOut],tblDaily[EntryDate],DATE(2026,1,10),tblDaily[WardCode],"BF")=0,"",SUMIFS(tblDaily[TransfersOut],tblDaily[EntryDate],DATE(2026,1,10),tblDaily[WardCode],"BF")),"")</f>
        <v/>
      </c>
      <c r="H16" s="29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29">
        <v>11</v>
      </c>
      <c r="B17" s="29" t="str">
        <f>IFERROR(IF(SUMIFS(tblDaily[Admissions],tblDaily[EntryDate],DATE(2026,1,11),tblDaily[WardCode],"BF")=0,"",SUMIFS(tblDaily[Admissions],tblDaily[EntryDate],DATE(2026,1,11),tblDaily[WardCode],"BF")),"")</f>
        <v/>
      </c>
      <c r="C17" s="29">
        <f>IFERROR(IF(SUMIFS(tblDaily[Discharges],tblDaily[EntryDate],DATE(2026,1,11),tblDaily[WardCode],"BF")=0,"",SUMIFS(tblDaily[Discharges],tblDaily[EntryDate],DATE(2026,1,11),tblDaily[WardCode],"BF")),"")</f>
        <v>2</v>
      </c>
      <c r="D17" s="29" t="str">
        <f>IFERROR(IF(SUMIFS(tblDaily[Deaths],tblDaily[EntryDate],DATE(2026,1,11),tblDaily[WardCode],"BF")=0,"",SUMIFS(tblDaily[Deaths],tblDaily[EntryDate],DATE(2026,1,11),tblDaily[WardCode],"BF")),"")</f>
        <v/>
      </c>
      <c r="E17" s="29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29" t="str">
        <f>IFERROR(IF(SUMIFS(tblDaily[TransfersIn],tblDaily[EntryDate],DATE(2026,1,11),tblDaily[WardCode],"BF")=0,"",SUMIFS(tblDaily[TransfersIn],tblDaily[EntryDate],DATE(2026,1,11),tblDaily[WardCode],"BF")),"")</f>
        <v/>
      </c>
      <c r="G17" s="29" t="str">
        <f>IFERROR(IF(SUMIFS(tblDaily[TransfersOut],tblDaily[EntryDate],DATE(2026,1,11),tblDaily[WardCode],"BF")=0,"",SUMIFS(tblDaily[TransfersOut],tblDaily[EntryDate],DATE(2026,1,11),tblDaily[WardCode],"BF")),"")</f>
        <v/>
      </c>
      <c r="H17" s="29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29">
        <v>12</v>
      </c>
      <c r="B18" s="29">
        <f>IFERROR(IF(SUMIFS(tblDaily[Admissions],tblDaily[EntryDate],DATE(2026,1,12),tblDaily[WardCode],"BF")=0,"",SUMIFS(tblDaily[Admissions],tblDaily[EntryDate],DATE(2026,1,12),tblDaily[WardCode],"BF")),"")</f>
        <v>4</v>
      </c>
      <c r="C18" s="29">
        <f>IFERROR(IF(SUMIFS(tblDaily[Discharges],tblDaily[EntryDate],DATE(2026,1,12),tblDaily[WardCode],"BF")=0,"",SUMIFS(tblDaily[Discharges],tblDaily[EntryDate],DATE(2026,1,12),tblDaily[WardCode],"BF")),"")</f>
        <v>2</v>
      </c>
      <c r="D18" s="29" t="str">
        <f>IFERROR(IF(SUMIFS(tblDaily[Deaths],tblDaily[EntryDate],DATE(2026,1,12),tblDaily[WardCode],"BF")=0,"",SUMIFS(tblDaily[Deaths],tblDaily[EntryDate],DATE(2026,1,12),tblDaily[WardCode],"BF")),"")</f>
        <v/>
      </c>
      <c r="E18" s="29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29" t="str">
        <f>IFERROR(IF(SUMIFS(tblDaily[TransfersIn],tblDaily[EntryDate],DATE(2026,1,12),tblDaily[WardCode],"BF")=0,"",SUMIFS(tblDaily[TransfersIn],tblDaily[EntryDate],DATE(2026,1,12),tblDaily[WardCode],"BF")),"")</f>
        <v/>
      </c>
      <c r="G18" s="29" t="str">
        <f>IFERROR(IF(SUMIFS(tblDaily[TransfersOut],tblDaily[EntryDate],DATE(2026,1,12),tblDaily[WardCode],"BF")=0,"",SUMIFS(tblDaily[TransfersOut],tblDaily[EntryDate],DATE(2026,1,12),tblDaily[WardCode],"BF")),"")</f>
        <v/>
      </c>
      <c r="H18" s="29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29">
        <v>13</v>
      </c>
      <c r="B19" s="29">
        <f>IFERROR(IF(SUMIFS(tblDaily[Admissions],tblDaily[EntryDate],DATE(2026,1,13),tblDaily[WardCode],"BF")=0,"",SUMIFS(tblDaily[Admissions],tblDaily[EntryDate],DATE(2026,1,13),tblDaily[WardCode],"BF")),"")</f>
        <v>3</v>
      </c>
      <c r="C19" s="29" t="str">
        <f>IFERROR(IF(SUMIFS(tblDaily[Discharges],tblDaily[EntryDate],DATE(2026,1,13),tblDaily[WardCode],"BF")=0,"",SUMIFS(tblDaily[Discharges],tblDaily[EntryDate],DATE(2026,1,13),tblDaily[WardCode],"BF")),"")</f>
        <v/>
      </c>
      <c r="D19" s="29" t="str">
        <f>IFERROR(IF(SUMIFS(tblDaily[Deaths],tblDaily[EntryDate],DATE(2026,1,13),tblDaily[WardCode],"BF")=0,"",SUMIFS(tblDaily[Deaths],tblDaily[EntryDate],DATE(2026,1,13),tblDaily[WardCode],"BF")),"")</f>
        <v/>
      </c>
      <c r="E19" s="29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29" t="str">
        <f>IFERROR(IF(SUMIFS(tblDaily[TransfersIn],tblDaily[EntryDate],DATE(2026,1,13),tblDaily[WardCode],"BF")=0,"",SUMIFS(tblDaily[TransfersIn],tblDaily[EntryDate],DATE(2026,1,13),tblDaily[WardCode],"BF")),"")</f>
        <v/>
      </c>
      <c r="G19" s="29" t="str">
        <f>IFERROR(IF(SUMIFS(tblDaily[TransfersOut],tblDaily[EntryDate],DATE(2026,1,13),tblDaily[WardCode],"BF")=0,"",SUMIFS(tblDaily[TransfersOut],tblDaily[EntryDate],DATE(2026,1,13),tblDaily[WardCode],"BF")),"")</f>
        <v/>
      </c>
      <c r="H19" s="29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29">
        <v>14</v>
      </c>
      <c r="B20" s="29">
        <f>IFERROR(IF(SUMIFS(tblDaily[Admissions],tblDaily[EntryDate],DATE(2026,1,14),tblDaily[WardCode],"BF")=0,"",SUMIFS(tblDaily[Admissions],tblDaily[EntryDate],DATE(2026,1,14),tblDaily[WardCode],"BF")),"")</f>
        <v>1</v>
      </c>
      <c r="C20" s="29">
        <f>IFERROR(IF(SUMIFS(tblDaily[Discharges],tblDaily[EntryDate],DATE(2026,1,14),tblDaily[WardCode],"BF")=0,"",SUMIFS(tblDaily[Discharges],tblDaily[EntryDate],DATE(2026,1,14),tblDaily[WardCode],"BF")),"")</f>
        <v>3</v>
      </c>
      <c r="D20" s="29" t="str">
        <f>IFERROR(IF(SUMIFS(tblDaily[Deaths],tblDaily[EntryDate],DATE(2026,1,14),tblDaily[WardCode],"BF")=0,"",SUMIFS(tblDaily[Deaths],tblDaily[EntryDate],DATE(2026,1,14),tblDaily[WardCode],"BF")),"")</f>
        <v/>
      </c>
      <c r="E20" s="29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29" t="str">
        <f>IFERROR(IF(SUMIFS(tblDaily[TransfersIn],tblDaily[EntryDate],DATE(2026,1,14),tblDaily[WardCode],"BF")=0,"",SUMIFS(tblDaily[TransfersIn],tblDaily[EntryDate],DATE(2026,1,14),tblDaily[WardCode],"BF")),"")</f>
        <v/>
      </c>
      <c r="G20" s="29" t="str">
        <f>IFERROR(IF(SUMIFS(tblDaily[TransfersOut],tblDaily[EntryDate],DATE(2026,1,14),tblDaily[WardCode],"BF")=0,"",SUMIFS(tblDaily[TransfersOut],tblDaily[EntryDate],DATE(2026,1,14),tblDaily[WardCode],"BF")),"")</f>
        <v/>
      </c>
      <c r="H20" s="29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29">
        <v>15</v>
      </c>
      <c r="B21" s="29">
        <f>IFERROR(IF(SUMIFS(tblDaily[Admissions],tblDaily[EntryDate],DATE(2026,1,15),tblDaily[WardCode],"BF")=0,"",SUMIFS(tblDaily[Admissions],tblDaily[EntryDate],DATE(2026,1,15),tblDaily[WardCode],"BF")),"")</f>
        <v>2</v>
      </c>
      <c r="C21" s="29">
        <f>IFERROR(IF(SUMIFS(tblDaily[Discharges],tblDaily[EntryDate],DATE(2026,1,15),tblDaily[WardCode],"BF")=0,"",SUMIFS(tblDaily[Discharges],tblDaily[EntryDate],DATE(2026,1,15),tblDaily[WardCode],"BF")),"")</f>
        <v>2</v>
      </c>
      <c r="D21" s="29" t="str">
        <f>IFERROR(IF(SUMIFS(tblDaily[Deaths],tblDaily[EntryDate],DATE(2026,1,15),tblDaily[WardCode],"BF")=0,"",SUMIFS(tblDaily[Deaths],tblDaily[EntryDate],DATE(2026,1,15),tblDaily[WardCode],"BF")),"")</f>
        <v/>
      </c>
      <c r="E21" s="29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29" t="str">
        <f>IFERROR(IF(SUMIFS(tblDaily[TransfersIn],tblDaily[EntryDate],DATE(2026,1,15),tblDaily[WardCode],"BF")=0,"",SUMIFS(tblDaily[TransfersIn],tblDaily[EntryDate],DATE(2026,1,15),tblDaily[WardCode],"BF")),"")</f>
        <v/>
      </c>
      <c r="G21" s="29" t="str">
        <f>IFERROR(IF(SUMIFS(tblDaily[TransfersOut],tblDaily[EntryDate],DATE(2026,1,15),tblDaily[WardCode],"BF")=0,"",SUMIFS(tblDaily[TransfersOut],tblDaily[EntryDate],DATE(2026,1,15),tblDaily[WardCode],"BF")),"")</f>
        <v/>
      </c>
      <c r="H21" s="29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29">
        <v>16</v>
      </c>
      <c r="B22" s="29" t="str">
        <f>IFERROR(IF(SUMIFS(tblDaily[Admissions],tblDaily[EntryDate],DATE(2026,1,16),tblDaily[WardCode],"BF")=0,"",SUMIFS(tblDaily[Admissions],tblDaily[EntryDate],DATE(2026,1,16),tblDaily[WardCode],"BF")),"")</f>
        <v/>
      </c>
      <c r="C22" s="29">
        <f>IFERROR(IF(SUMIFS(tblDaily[Discharges],tblDaily[EntryDate],DATE(2026,1,16),tblDaily[WardCode],"BF")=0,"",SUMIFS(tblDaily[Discharges],tblDaily[EntryDate],DATE(2026,1,16),tblDaily[WardCode],"BF")),"")</f>
        <v>3</v>
      </c>
      <c r="D22" s="29" t="str">
        <f>IFERROR(IF(SUMIFS(tblDaily[Deaths],tblDaily[EntryDate],DATE(2026,1,16),tblDaily[WardCode],"BF")=0,"",SUMIFS(tblDaily[Deaths],tblDaily[EntryDate],DATE(2026,1,16),tblDaily[WardCode],"BF")),"")</f>
        <v/>
      </c>
      <c r="E22" s="29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29" t="str">
        <f>IFERROR(IF(SUMIFS(tblDaily[TransfersIn],tblDaily[EntryDate],DATE(2026,1,16),tblDaily[WardCode],"BF")=0,"",SUMIFS(tblDaily[TransfersIn],tblDaily[EntryDate],DATE(2026,1,16),tblDaily[WardCode],"BF")),"")</f>
        <v/>
      </c>
      <c r="G22" s="29" t="str">
        <f>IFERROR(IF(SUMIFS(tblDaily[TransfersOut],tblDaily[EntryDate],DATE(2026,1,16),tblDaily[WardCode],"BF")=0,"",SUMIFS(tblDaily[TransfersOut],tblDaily[EntryDate],DATE(2026,1,16),tblDaily[WardCode],"BF")),"")</f>
        <v/>
      </c>
      <c r="H22" s="29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29">
        <v>17</v>
      </c>
      <c r="B23" s="29">
        <f>IFERROR(IF(SUMIFS(tblDaily[Admissions],tblDaily[EntryDate],DATE(2026,1,17),tblDaily[WardCode],"BF")=0,"",SUMIFS(tblDaily[Admissions],tblDaily[EntryDate],DATE(2026,1,17),tblDaily[WardCode],"BF")),"")</f>
        <v>3</v>
      </c>
      <c r="C23" s="29">
        <f>IFERROR(IF(SUMIFS(tblDaily[Discharges],tblDaily[EntryDate],DATE(2026,1,17),tblDaily[WardCode],"BF")=0,"",SUMIFS(tblDaily[Discharges],tblDaily[EntryDate],DATE(2026,1,17),tblDaily[WardCode],"BF")),"")</f>
        <v>1</v>
      </c>
      <c r="D23" s="29" t="str">
        <f>IFERROR(IF(SUMIFS(tblDaily[Deaths],tblDaily[EntryDate],DATE(2026,1,17),tblDaily[WardCode],"BF")=0,"",SUMIFS(tblDaily[Deaths],tblDaily[EntryDate],DATE(2026,1,17),tblDaily[WardCode],"BF")),"")</f>
        <v/>
      </c>
      <c r="E23" s="29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29" t="str">
        <f>IFERROR(IF(SUMIFS(tblDaily[TransfersIn],tblDaily[EntryDate],DATE(2026,1,17),tblDaily[WardCode],"BF")=0,"",SUMIFS(tblDaily[TransfersIn],tblDaily[EntryDate],DATE(2026,1,17),tblDaily[WardCode],"BF")),"")</f>
        <v/>
      </c>
      <c r="G23" s="29" t="str">
        <f>IFERROR(IF(SUMIFS(tblDaily[TransfersOut],tblDaily[EntryDate],DATE(2026,1,17),tblDaily[WardCode],"BF")=0,"",SUMIFS(tblDaily[TransfersOut],tblDaily[EntryDate],DATE(2026,1,17),tblDaily[WardCode],"BF")),"")</f>
        <v/>
      </c>
      <c r="H23" s="29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29">
        <v>18</v>
      </c>
      <c r="B24" s="29">
        <f>IFERROR(IF(SUMIFS(tblDaily[Admissions],tblDaily[EntryDate],DATE(2026,1,18),tblDaily[WardCode],"BF")=0,"",SUMIFS(tblDaily[Admissions],tblDaily[EntryDate],DATE(2026,1,18),tblDaily[WardCode],"BF")),"")</f>
        <v>3</v>
      </c>
      <c r="C24" s="29">
        <f>IFERROR(IF(SUMIFS(tblDaily[Discharges],tblDaily[EntryDate],DATE(2026,1,18),tblDaily[WardCode],"BF")=0,"",SUMIFS(tblDaily[Discharges],tblDaily[EntryDate],DATE(2026,1,18),tblDaily[WardCode],"BF")),"")</f>
        <v>2</v>
      </c>
      <c r="D24" s="29" t="str">
        <f>IFERROR(IF(SUMIFS(tblDaily[Deaths],tblDaily[EntryDate],DATE(2026,1,18),tblDaily[WardCode],"BF")=0,"",SUMIFS(tblDaily[Deaths],tblDaily[EntryDate],DATE(2026,1,18),tblDaily[WardCode],"BF")),"")</f>
        <v/>
      </c>
      <c r="E24" s="29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29" t="str">
        <f>IFERROR(IF(SUMIFS(tblDaily[TransfersIn],tblDaily[EntryDate],DATE(2026,1,18),tblDaily[WardCode],"BF")=0,"",SUMIFS(tblDaily[TransfersIn],tblDaily[EntryDate],DATE(2026,1,18),tblDaily[WardCode],"BF")),"")</f>
        <v/>
      </c>
      <c r="G24" s="29" t="str">
        <f>IFERROR(IF(SUMIFS(tblDaily[TransfersOut],tblDaily[EntryDate],DATE(2026,1,18),tblDaily[WardCode],"BF")=0,"",SUMIFS(tblDaily[TransfersOut],tblDaily[EntryDate],DATE(2026,1,18),tblDaily[WardCode],"BF")),"")</f>
        <v/>
      </c>
      <c r="H24" s="29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29">
        <v>19</v>
      </c>
      <c r="B25" s="29" t="str">
        <f>IFERROR(IF(SUMIFS(tblDaily[Admissions],tblDaily[EntryDate],DATE(2026,1,19),tblDaily[WardCode],"BF")=0,"",SUMIFS(tblDaily[Admissions],tblDaily[EntryDate],DATE(2026,1,19),tblDaily[WardCode],"BF")),"")</f>
        <v/>
      </c>
      <c r="C25" s="29">
        <f>IFERROR(IF(SUMIFS(tblDaily[Discharges],tblDaily[EntryDate],DATE(2026,1,19),tblDaily[WardCode],"BF")=0,"",SUMIFS(tblDaily[Discharges],tblDaily[EntryDate],DATE(2026,1,19),tblDaily[WardCode],"BF")),"")</f>
        <v>2</v>
      </c>
      <c r="D25" s="29" t="str">
        <f>IFERROR(IF(SUMIFS(tblDaily[Deaths],tblDaily[EntryDate],DATE(2026,1,19),tblDaily[WardCode],"BF")=0,"",SUMIFS(tblDaily[Deaths],tblDaily[EntryDate],DATE(2026,1,19),tblDaily[WardCode],"BF")),"")</f>
        <v/>
      </c>
      <c r="E25" s="29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29" t="str">
        <f>IFERROR(IF(SUMIFS(tblDaily[TransfersIn],tblDaily[EntryDate],DATE(2026,1,19),tblDaily[WardCode],"BF")=0,"",SUMIFS(tblDaily[TransfersIn],tblDaily[EntryDate],DATE(2026,1,19),tblDaily[WardCode],"BF")),"")</f>
        <v/>
      </c>
      <c r="G25" s="29" t="str">
        <f>IFERROR(IF(SUMIFS(tblDaily[TransfersOut],tblDaily[EntryDate],DATE(2026,1,19),tblDaily[WardCode],"BF")=0,"",SUMIFS(tblDaily[TransfersOut],tblDaily[EntryDate],DATE(2026,1,19),tblDaily[WardCode],"BF")),"")</f>
        <v/>
      </c>
      <c r="H25" s="29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29">
        <v>20</v>
      </c>
      <c r="B26" s="29" t="str">
        <f>IFERROR(IF(SUMIFS(tblDaily[Admissions],tblDaily[EntryDate],DATE(2026,1,20),tblDaily[WardCode],"BF")=0,"",SUMIFS(tblDaily[Admissions],tblDaily[EntryDate],DATE(2026,1,20),tblDaily[WardCode],"BF")),"")</f>
        <v/>
      </c>
      <c r="C26" s="29">
        <f>IFERROR(IF(SUMIFS(tblDaily[Discharges],tblDaily[EntryDate],DATE(2026,1,20),tblDaily[WardCode],"BF")=0,"",SUMIFS(tblDaily[Discharges],tblDaily[EntryDate],DATE(2026,1,20),tblDaily[WardCode],"BF")),"")</f>
        <v>2</v>
      </c>
      <c r="D26" s="29" t="str">
        <f>IFERROR(IF(SUMIFS(tblDaily[Deaths],tblDaily[EntryDate],DATE(2026,1,20),tblDaily[WardCode],"BF")=0,"",SUMIFS(tblDaily[Deaths],tblDaily[EntryDate],DATE(2026,1,20),tblDaily[WardCode],"BF")),"")</f>
        <v/>
      </c>
      <c r="E26" s="29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29" t="str">
        <f>IFERROR(IF(SUMIFS(tblDaily[TransfersIn],tblDaily[EntryDate],DATE(2026,1,20),tblDaily[WardCode],"BF")=0,"",SUMIFS(tblDaily[TransfersIn],tblDaily[EntryDate],DATE(2026,1,20),tblDaily[WardCode],"BF")),"")</f>
        <v/>
      </c>
      <c r="G26" s="29" t="str">
        <f>IFERROR(IF(SUMIFS(tblDaily[TransfersOut],tblDaily[EntryDate],DATE(2026,1,20),tblDaily[WardCode],"BF")=0,"",SUMIFS(tblDaily[TransfersOut],tblDaily[EntryDate],DATE(2026,1,20),tblDaily[WardCode],"BF")),"")</f>
        <v/>
      </c>
      <c r="H26" s="29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29">
        <v>21</v>
      </c>
      <c r="B27" s="29">
        <f>IFERROR(IF(SUMIFS(tblDaily[Admissions],tblDaily[EntryDate],DATE(2026,1,21),tblDaily[WardCode],"BF")=0,"",SUMIFS(tblDaily[Admissions],tblDaily[EntryDate],DATE(2026,1,21),tblDaily[WardCode],"BF")),"")</f>
        <v>5</v>
      </c>
      <c r="C27" s="29">
        <f>IFERROR(IF(SUMIFS(tblDaily[Discharges],tblDaily[EntryDate],DATE(2026,1,21),tblDaily[WardCode],"BF")=0,"",SUMIFS(tblDaily[Discharges],tblDaily[EntryDate],DATE(2026,1,21),tblDaily[WardCode],"BF")),"")</f>
        <v>1</v>
      </c>
      <c r="D27" s="29" t="str">
        <f>IFERROR(IF(SUMIFS(tblDaily[Deaths],tblDaily[EntryDate],DATE(2026,1,21),tblDaily[WardCode],"BF")=0,"",SUMIFS(tblDaily[Deaths],tblDaily[EntryDate],DATE(2026,1,21),tblDaily[WardCode],"BF")),"")</f>
        <v/>
      </c>
      <c r="E27" s="29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29" t="str">
        <f>IFERROR(IF(SUMIFS(tblDaily[TransfersIn],tblDaily[EntryDate],DATE(2026,1,21),tblDaily[WardCode],"BF")=0,"",SUMIFS(tblDaily[TransfersIn],tblDaily[EntryDate],DATE(2026,1,21),tblDaily[WardCode],"BF")),"")</f>
        <v/>
      </c>
      <c r="G27" s="29" t="str">
        <f>IFERROR(IF(SUMIFS(tblDaily[TransfersOut],tblDaily[EntryDate],DATE(2026,1,21),tblDaily[WardCode],"BF")=0,"",SUMIFS(tblDaily[TransfersOut],tblDaily[EntryDate],DATE(2026,1,21),tblDaily[WardCode],"BF")),"")</f>
        <v/>
      </c>
      <c r="H27" s="29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29">
        <v>22</v>
      </c>
      <c r="B28" s="29" t="str">
        <f>IFERROR(IF(SUMIFS(tblDaily[Admissions],tblDaily[EntryDate],DATE(2026,1,22),tblDaily[WardCode],"BF")=0,"",SUMIFS(tblDaily[Admissions],tblDaily[EntryDate],DATE(2026,1,22),tblDaily[WardCode],"BF")),"")</f>
        <v/>
      </c>
      <c r="C28" s="29">
        <f>IFERROR(IF(SUMIFS(tblDaily[Discharges],tblDaily[EntryDate],DATE(2026,1,22),tblDaily[WardCode],"BF")=0,"",SUMIFS(tblDaily[Discharges],tblDaily[EntryDate],DATE(2026,1,22),tblDaily[WardCode],"BF")),"")</f>
        <v>3</v>
      </c>
      <c r="D28" s="29" t="str">
        <f>IFERROR(IF(SUMIFS(tblDaily[Deaths],tblDaily[EntryDate],DATE(2026,1,22),tblDaily[WardCode],"BF")=0,"",SUMIFS(tblDaily[Deaths],tblDaily[EntryDate],DATE(2026,1,22),tblDaily[WardCode],"BF")),"")</f>
        <v/>
      </c>
      <c r="E28" s="29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29" t="str">
        <f>IFERROR(IF(SUMIFS(tblDaily[TransfersIn],tblDaily[EntryDate],DATE(2026,1,22),tblDaily[WardCode],"BF")=0,"",SUMIFS(tblDaily[TransfersIn],tblDaily[EntryDate],DATE(2026,1,22),tblDaily[WardCode],"BF")),"")</f>
        <v/>
      </c>
      <c r="G28" s="29" t="str">
        <f>IFERROR(IF(SUMIFS(tblDaily[TransfersOut],tblDaily[EntryDate],DATE(2026,1,22),tblDaily[WardCode],"BF")=0,"",SUMIFS(tblDaily[TransfersOut],tblDaily[EntryDate],DATE(2026,1,22),tblDaily[WardCode],"BF")),"")</f>
        <v/>
      </c>
      <c r="H28" s="29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29">
        <v>23</v>
      </c>
      <c r="B29" s="29">
        <f>IFERROR(IF(SUMIFS(tblDaily[Admissions],tblDaily[EntryDate],DATE(2026,1,23),tblDaily[WardCode],"BF")=0,"",SUMIFS(tblDaily[Admissions],tblDaily[EntryDate],DATE(2026,1,23),tblDaily[WardCode],"BF")),"")</f>
        <v>1</v>
      </c>
      <c r="C29" s="29">
        <f>IFERROR(IF(SUMIFS(tblDaily[Discharges],tblDaily[EntryDate],DATE(2026,1,23),tblDaily[WardCode],"BF")=0,"",SUMIFS(tblDaily[Discharges],tblDaily[EntryDate],DATE(2026,1,23),tblDaily[WardCode],"BF")),"")</f>
        <v>3</v>
      </c>
      <c r="D29" s="29" t="str">
        <f>IFERROR(IF(SUMIFS(tblDaily[Deaths],tblDaily[EntryDate],DATE(2026,1,23),tblDaily[WardCode],"BF")=0,"",SUMIFS(tblDaily[Deaths],tblDaily[EntryDate],DATE(2026,1,23),tblDaily[WardCode],"BF")),"")</f>
        <v/>
      </c>
      <c r="E29" s="29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29" t="str">
        <f>IFERROR(IF(SUMIFS(tblDaily[TransfersIn],tblDaily[EntryDate],DATE(2026,1,23),tblDaily[WardCode],"BF")=0,"",SUMIFS(tblDaily[TransfersIn],tblDaily[EntryDate],DATE(2026,1,23),tblDaily[WardCode],"BF")),"")</f>
        <v/>
      </c>
      <c r="G29" s="29" t="str">
        <f>IFERROR(IF(SUMIFS(tblDaily[TransfersOut],tblDaily[EntryDate],DATE(2026,1,23),tblDaily[WardCode],"BF")=0,"",SUMIFS(tblDaily[TransfersOut],tblDaily[EntryDate],DATE(2026,1,23),tblDaily[WardCode],"BF")),"")</f>
        <v/>
      </c>
      <c r="H29" s="29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29">
        <v>24</v>
      </c>
      <c r="B30" s="29">
        <f>IFERROR(IF(SUMIFS(tblDaily[Admissions],tblDaily[EntryDate],DATE(2026,1,24),tblDaily[WardCode],"BF")=0,"",SUMIFS(tblDaily[Admissions],tblDaily[EntryDate],DATE(2026,1,24),tblDaily[WardCode],"BF")),"")</f>
        <v>4</v>
      </c>
      <c r="C30" s="29" t="str">
        <f>IFERROR(IF(SUMIFS(tblDaily[Discharges],tblDaily[EntryDate],DATE(2026,1,24),tblDaily[WardCode],"BF")=0,"",SUMIFS(tblDaily[Discharges],tblDaily[EntryDate],DATE(2026,1,24),tblDaily[WardCode],"BF")),"")</f>
        <v/>
      </c>
      <c r="D30" s="29" t="str">
        <f>IFERROR(IF(SUMIFS(tblDaily[Deaths],tblDaily[EntryDate],DATE(2026,1,24),tblDaily[WardCode],"BF")=0,"",SUMIFS(tblDaily[Deaths],tblDaily[EntryDate],DATE(2026,1,24),tblDaily[WardCode],"BF")),"")</f>
        <v/>
      </c>
      <c r="E30" s="29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29" t="str">
        <f>IFERROR(IF(SUMIFS(tblDaily[TransfersIn],tblDaily[EntryDate],DATE(2026,1,24),tblDaily[WardCode],"BF")=0,"",SUMIFS(tblDaily[TransfersIn],tblDaily[EntryDate],DATE(2026,1,24),tblDaily[WardCode],"BF")),"")</f>
        <v/>
      </c>
      <c r="G30" s="29" t="str">
        <f>IFERROR(IF(SUMIFS(tblDaily[TransfersOut],tblDaily[EntryDate],DATE(2026,1,24),tblDaily[WardCode],"BF")=0,"",SUMIFS(tblDaily[TransfersOut],tblDaily[EntryDate],DATE(2026,1,24),tblDaily[WardCode],"BF")),"")</f>
        <v/>
      </c>
      <c r="H30" s="29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IFERROR(IF(SUMIFS(tblDaily[Admissions],tblDaily[EntryDate],DATE(2026,1,25),tblDaily[WardCode],"BF")=0,"",SUMIFS(tblDaily[Admissions],tblDaily[EntryDate],DATE(2026,1,25),tblDaily[WardCode],"BF")),"")</f>
        <v>1</v>
      </c>
      <c r="C31" s="29">
        <f>IFERROR(IF(SUMIFS(tblDaily[Discharges],tblDaily[EntryDate],DATE(2026,1,25),tblDaily[WardCode],"BF")=0,"",SUMIFS(tblDaily[Discharges],tblDaily[EntryDate],DATE(2026,1,25),tblDaily[WardCode],"BF")),"")</f>
        <v>1</v>
      </c>
      <c r="D31" s="29" t="str">
        <f>IFERROR(IF(SUMIFS(tblDaily[Deaths],tblDaily[EntryDate],DATE(2026,1,25),tblDaily[WardCode],"BF")=0,"",SUMIFS(tblDaily[Deaths],tblDaily[EntryDate],DATE(2026,1,25),tblDaily[WardCode],"BF")),"")</f>
        <v/>
      </c>
      <c r="E31" s="29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29" t="str">
        <f>IFERROR(IF(SUMIFS(tblDaily[TransfersIn],tblDaily[EntryDate],DATE(2026,1,25),tblDaily[WardCode],"BF")=0,"",SUMIFS(tblDaily[TransfersIn],tblDaily[EntryDate],DATE(2026,1,25),tblDaily[WardCode],"BF")),"")</f>
        <v/>
      </c>
      <c r="G31" s="29" t="str">
        <f>IFERROR(IF(SUMIFS(tblDaily[TransfersOut],tblDaily[EntryDate],DATE(2026,1,25),tblDaily[WardCode],"BF")=0,"",SUMIFS(tblDaily[TransfersOut],tblDaily[EntryDate],DATE(2026,1,25),tblDaily[WardCode],"BF")),"")</f>
        <v/>
      </c>
      <c r="H31" s="29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29">
        <v>26</v>
      </c>
      <c r="B32" s="29">
        <f>IFERROR(IF(SUMIFS(tblDaily[Admissions],tblDaily[EntryDate],DATE(2026,1,26),tblDaily[WardCode],"BF")=0,"",SUMIFS(tblDaily[Admissions],tblDaily[EntryDate],DATE(2026,1,26),tblDaily[WardCode],"BF")),"")</f>
        <v>3</v>
      </c>
      <c r="C32" s="29">
        <f>IFERROR(IF(SUMIFS(tblDaily[Discharges],tblDaily[EntryDate],DATE(2026,1,26),tblDaily[WardCode],"BF")=0,"",SUMIFS(tblDaily[Discharges],tblDaily[EntryDate],DATE(2026,1,26),tblDaily[WardCode],"BF")),"")</f>
        <v>1</v>
      </c>
      <c r="D32" s="29" t="str">
        <f>IFERROR(IF(SUMIFS(tblDaily[Deaths],tblDaily[EntryDate],DATE(2026,1,26),tblDaily[WardCode],"BF")=0,"",SUMIFS(tblDaily[Deaths],tblDaily[EntryDate],DATE(2026,1,26),tblDaily[WardCode],"BF")),"")</f>
        <v/>
      </c>
      <c r="E32" s="29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29" t="str">
        <f>IFERROR(IF(SUMIFS(tblDaily[TransfersIn],tblDaily[EntryDate],DATE(2026,1,26),tblDaily[WardCode],"BF")=0,"",SUMIFS(tblDaily[TransfersIn],tblDaily[EntryDate],DATE(2026,1,26),tblDaily[WardCode],"BF")),"")</f>
        <v/>
      </c>
      <c r="G32" s="29" t="str">
        <f>IFERROR(IF(SUMIFS(tblDaily[TransfersOut],tblDaily[EntryDate],DATE(2026,1,26),tblDaily[WardCode],"BF")=0,"",SUMIFS(tblDaily[TransfersOut],tblDaily[EntryDate],DATE(2026,1,26),tblDaily[WardCode],"BF")),"")</f>
        <v/>
      </c>
      <c r="H32" s="29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29">
        <v>27</v>
      </c>
      <c r="B33" s="29">
        <f>IFERROR(IF(SUMIFS(tblDaily[Admissions],tblDaily[EntryDate],DATE(2026,1,27),tblDaily[WardCode],"BF")=0,"",SUMIFS(tblDaily[Admissions],tblDaily[EntryDate],DATE(2026,1,27),tblDaily[WardCode],"BF")),"")</f>
        <v>1</v>
      </c>
      <c r="C33" s="29">
        <f>IFERROR(IF(SUMIFS(tblDaily[Discharges],tblDaily[EntryDate],DATE(2026,1,27),tblDaily[WardCode],"BF")=0,"",SUMIFS(tblDaily[Discharges],tblDaily[EntryDate],DATE(2026,1,27),tblDaily[WardCode],"BF")),"")</f>
        <v>1</v>
      </c>
      <c r="D33" s="29" t="str">
        <f>IFERROR(IF(SUMIFS(tblDaily[Deaths],tblDaily[EntryDate],DATE(2026,1,27),tblDaily[WardCode],"BF")=0,"",SUMIFS(tblDaily[Deaths],tblDaily[EntryDate],DATE(2026,1,27),tblDaily[WardCode],"BF")),"")</f>
        <v/>
      </c>
      <c r="E33" s="29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29" t="str">
        <f>IFERROR(IF(SUMIFS(tblDaily[TransfersIn],tblDaily[EntryDate],DATE(2026,1,27),tblDaily[WardCode],"BF")=0,"",SUMIFS(tblDaily[TransfersIn],tblDaily[EntryDate],DATE(2026,1,27),tblDaily[WardCode],"BF")),"")</f>
        <v/>
      </c>
      <c r="G33" s="29" t="str">
        <f>IFERROR(IF(SUMIFS(tblDaily[TransfersOut],tblDaily[EntryDate],DATE(2026,1,27),tblDaily[WardCode],"BF")=0,"",SUMIFS(tblDaily[TransfersOut],tblDaily[EntryDate],DATE(2026,1,27),tblDaily[WardCode],"BF")),"")</f>
        <v/>
      </c>
      <c r="H33" s="29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29">
        <v>28</v>
      </c>
      <c r="B34" s="29">
        <f>IFERROR(IF(SUMIFS(tblDaily[Admissions],tblDaily[EntryDate],DATE(2026,1,28),tblDaily[WardCode],"BF")=0,"",SUMIFS(tblDaily[Admissions],tblDaily[EntryDate],DATE(2026,1,28),tblDaily[WardCode],"BF")),"")</f>
        <v>2</v>
      </c>
      <c r="C34" s="29">
        <f>IFERROR(IF(SUMIFS(tblDaily[Discharges],tblDaily[EntryDate],DATE(2026,1,28),tblDaily[WardCode],"BF")=0,"",SUMIFS(tblDaily[Discharges],tblDaily[EntryDate],DATE(2026,1,28),tblDaily[WardCode],"BF")),"")</f>
        <v>2</v>
      </c>
      <c r="D34" s="29" t="str">
        <f>IFERROR(IF(SUMIFS(tblDaily[Deaths],tblDaily[EntryDate],DATE(2026,1,28),tblDaily[WardCode],"BF")=0,"",SUMIFS(tblDaily[Deaths],tblDaily[EntryDate],DATE(2026,1,28),tblDaily[WardCode],"BF")),"")</f>
        <v/>
      </c>
      <c r="E34" s="29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29" t="str">
        <f>IFERROR(IF(SUMIFS(tblDaily[TransfersIn],tblDaily[EntryDate],DATE(2026,1,28),tblDaily[WardCode],"BF")=0,"",SUMIFS(tblDaily[TransfersIn],tblDaily[EntryDate],DATE(2026,1,28),tblDaily[WardCode],"BF")),"")</f>
        <v/>
      </c>
      <c r="G34" s="29" t="str">
        <f>IFERROR(IF(SUMIFS(tblDaily[TransfersOut],tblDaily[EntryDate],DATE(2026,1,28),tblDaily[WardCode],"BF")=0,"",SUMIFS(tblDaily[TransfersOut],tblDaily[EntryDate],DATE(2026,1,28),tblDaily[WardCode],"BF")),"")</f>
        <v/>
      </c>
      <c r="H34" s="29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29">
        <v>29</v>
      </c>
      <c r="B35" s="29">
        <f>IFERROR(IF(SUMIFS(tblDaily[Admissions],tblDaily[EntryDate],DATE(2026,1,29),tblDaily[WardCode],"BF")=0,"",SUMIFS(tblDaily[Admissions],tblDaily[EntryDate],DATE(2026,1,29),tblDaily[WardCode],"BF")),"")</f>
        <v>1</v>
      </c>
      <c r="C35" s="29">
        <f>IFERROR(IF(SUMIFS(tblDaily[Discharges],tblDaily[EntryDate],DATE(2026,1,29),tblDaily[WardCode],"BF")=0,"",SUMIFS(tblDaily[Discharges],tblDaily[EntryDate],DATE(2026,1,29),tblDaily[WardCode],"BF")),"")</f>
        <v>4</v>
      </c>
      <c r="D35" s="29" t="str">
        <f>IFERROR(IF(SUMIFS(tblDaily[Deaths],tblDaily[EntryDate],DATE(2026,1,29),tblDaily[WardCode],"BF")=0,"",SUMIFS(tblDaily[Deaths],tblDaily[EntryDate],DATE(2026,1,29),tblDaily[WardCode],"BF")),"")</f>
        <v/>
      </c>
      <c r="E35" s="29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29" t="str">
        <f>IFERROR(IF(SUMIFS(tblDaily[TransfersIn],tblDaily[EntryDate],DATE(2026,1,29),tblDaily[WardCode],"BF")=0,"",SUMIFS(tblDaily[TransfersIn],tblDaily[EntryDate],DATE(2026,1,29),tblDaily[WardCode],"BF")),"")</f>
        <v/>
      </c>
      <c r="G35" s="29" t="str">
        <f>IFERROR(IF(SUMIFS(tblDaily[TransfersOut],tblDaily[EntryDate],DATE(2026,1,29),tblDaily[WardCode],"BF")=0,"",SUMIFS(tblDaily[TransfersOut],tblDaily[EntryDate],DATE(2026,1,29),tblDaily[WardCode],"BF")),"")</f>
        <v/>
      </c>
      <c r="H35" s="29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29">
        <v>30</v>
      </c>
      <c r="B36" s="29">
        <f>IFERROR(IF(SUMIFS(tblDaily[Admissions],tblDaily[EntryDate],DATE(2026,1,30),tblDaily[WardCode],"BF")=0,"",SUMIFS(tblDaily[Admissions],tblDaily[EntryDate],DATE(2026,1,30),tblDaily[WardCode],"BF")),"")</f>
        <v>3</v>
      </c>
      <c r="C36" s="29">
        <f>IFERROR(IF(SUMIFS(tblDaily[Discharges],tblDaily[EntryDate],DATE(2026,1,30),tblDaily[WardCode],"BF")=0,"",SUMIFS(tblDaily[Discharges],tblDaily[EntryDate],DATE(2026,1,30),tblDaily[WardCode],"BF")),"")</f>
        <v>3</v>
      </c>
      <c r="D36" s="29" t="str">
        <f>IFERROR(IF(SUMIFS(tblDaily[Deaths],tblDaily[EntryDate],DATE(2026,1,30),tblDaily[WardCode],"BF")=0,"",SUMIFS(tblDaily[Deaths],tblDaily[EntryDate],DATE(2026,1,30),tblDaily[WardCode],"BF")),"")</f>
        <v/>
      </c>
      <c r="E36" s="29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29" t="str">
        <f>IFERROR(IF(SUMIFS(tblDaily[TransfersIn],tblDaily[EntryDate],DATE(2026,1,30),tblDaily[WardCode],"BF")=0,"",SUMIFS(tblDaily[TransfersIn],tblDaily[EntryDate],DATE(2026,1,30),tblDaily[WardCode],"BF")),"")</f>
        <v/>
      </c>
      <c r="G36" s="29" t="str">
        <f>IFERROR(IF(SUMIFS(tblDaily[TransfersOut],tblDaily[EntryDate],DATE(2026,1,30),tblDaily[WardCode],"BF")=0,"",SUMIFS(tblDaily[TransfersOut],tblDaily[EntryDate],DATE(2026,1,30),tblDaily[WardCode],"BF")),"")</f>
        <v/>
      </c>
      <c r="H36" s="29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29">
        <v>31</v>
      </c>
      <c r="B37" s="29">
        <f>IFERROR(IF(SUMIFS(tblDaily[Admissions],tblDaily[EntryDate],DATE(2026,1,31),tblDaily[WardCode],"BF")=0,"",SUMIFS(tblDaily[Admissions],tblDaily[EntryDate],DATE(2026,1,31),tblDaily[WardCode],"BF")),"")</f>
        <v>2</v>
      </c>
      <c r="C37" s="29">
        <f>IFERROR(IF(SUMIFS(tblDaily[Discharges],tblDaily[EntryDate],DATE(2026,1,31),tblDaily[WardCode],"BF")=0,"",SUMIFS(tblDaily[Discharges],tblDaily[EntryDate],DATE(2026,1,31),tblDaily[WardCode],"BF")),"")</f>
        <v>1</v>
      </c>
      <c r="D37" s="29" t="str">
        <f>IFERROR(IF(SUMIFS(tblDaily[Deaths],tblDaily[EntryDate],DATE(2026,1,31),tblDaily[WardCode],"BF")=0,"",SUMIFS(tblDaily[Deaths],tblDaily[EntryDate],DATE(2026,1,31),tblDaily[WardCode],"BF")),"")</f>
        <v/>
      </c>
      <c r="E37" s="29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29" t="str">
        <f>IFERROR(IF(SUMIFS(tblDaily[TransfersIn],tblDaily[EntryDate],DATE(2026,1,31),tblDaily[WardCode],"BF")=0,"",SUMIFS(tblDaily[TransfersIn],tblDaily[EntryDate],DATE(2026,1,31),tblDaily[WardCode],"BF")),"")</f>
        <v/>
      </c>
      <c r="G37" s="29" t="str">
        <f>IFERROR(IF(SUMIFS(tblDaily[TransfersOut],tblDaily[EntryDate],DATE(2026,1,31),tblDaily[WardCode],"BF")=0,"",SUMIFS(tblDaily[TransfersOut],tblDaily[EntryDate],DATE(2026,1,31),tblDaily[WardCode],"BF")),"")</f>
        <v/>
      </c>
      <c r="H37" s="29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30" t="s">
        <v>115</v>
      </c>
      <c r="B38" s="30">
        <f>SUMIFS(tblDaily[Admissions],tblDaily[Month],1,tblDaily[WardCode],"BF") - SUMIFS(tblDaily[DeathsUnder24Hrs],tblDaily[Month],1,tblDaily[WardCode],"BF")</f>
        <v>62</v>
      </c>
      <c r="C38" s="30">
        <f>SUMIFS(tblDaily[Discharges],tblDaily[Month],1,tblDaily[WardCode],"BF")</f>
        <v>65</v>
      </c>
      <c r="D38" s="30">
        <f>SUMIFS(tblDaily[Deaths],tblDaily[Month],1,tblDaily[WardCode],"BF")</f>
        <v>0</v>
      </c>
      <c r="E38" s="30">
        <f>SUMIFS(tblDaily[DeathsUnder24Hrs],tblDaily[Month],1,tblDaily[WardCode],"BF")</f>
        <v>0</v>
      </c>
      <c r="F38" s="30">
        <f>SUMIFS(tblDaily[TransfersIn],tblDaily[Month],1,tblDaily[WardCode],"BF")</f>
        <v>1</v>
      </c>
      <c r="G38" s="30">
        <f>SUMIFS(tblDaily[TransfersOut],tblDaily[Month],1,tblDaily[WardCode],"BF")</f>
        <v>1</v>
      </c>
      <c r="H38" s="30">
        <f>SUMIFS(tblDaily[Remaining],tblDaily[Month],1,tblDaily[WardCode],"BF")</f>
        <v>201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118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IFERROR(SUMIFS(tblDaily[Remaining],tblDaily[EntryDate],DATE(2026,1,31),tblDaily[WardCode],"BF"),0)</f>
        <v>6</v>
      </c>
    </row>
    <row r="44" spans="1:8" x14ac:dyDescent="0.25">
      <c r="A44" s="24" t="s">
        <v>109</v>
      </c>
      <c r="H44" s="27">
        <f>IFERROR(INDEX(tblWardConfig[BedComplement],MATCH("BF",tblWardConfig[WardCode],0)),0)</f>
        <v>20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>
        <f>IFERROR(IF(SUMIFS(tblDaily[Admissions],tblDaily[EntryDate],DATE(2026,2,1),tblDaily[WardCode],"BF")=0,"",SUMIFS(tblDaily[Admissions],tblDaily[EntryDate],DATE(2026,2,1),tblDaily[WardCode],"BF")),"")</f>
        <v>5</v>
      </c>
      <c r="C46" s="29">
        <f>IFERROR(IF(SUMIFS(tblDaily[Discharges],tblDaily[EntryDate],DATE(2026,2,1),tblDaily[WardCode],"BF")=0,"",SUMIFS(tblDaily[Discharges],tblDaily[EntryDate],DATE(2026,2,1),tblDaily[WardCode],"BF")),"")</f>
        <v>3</v>
      </c>
      <c r="D46" s="29" t="str">
        <f>IFERROR(IF(SUMIFS(tblDaily[Deaths],tblDaily[EntryDate],DATE(2026,2,1),tblDaily[WardCode],"BF")=0,"",SUMIFS(tblDaily[Deaths],tblDaily[EntryDate],DATE(2026,2,1),tblDaily[WardCode],"BF")),"")</f>
        <v/>
      </c>
      <c r="E46" s="29" t="str">
        <f>IFERROR(IF(SUMIFS(tblDaily[DeathsUnder24Hrs],tblDaily[EntryDate],DATE(2026,2,1),tblDaily[WardCode],"BF")=0,"",SUMIFS(tblDaily[DeathsUnder24Hrs],tblDaily[EntryDate],DATE(2026,2,1),tblDaily[WardCode],"BF")),"")</f>
        <v/>
      </c>
      <c r="F46" s="29" t="str">
        <f>IFERROR(IF(SUMIFS(tblDaily[TransfersIn],tblDaily[EntryDate],DATE(2026,2,1),tblDaily[WardCode],"BF")=0,"",SUMIFS(tblDaily[TransfersIn],tblDaily[EntryDate],DATE(2026,2,1),tblDaily[WardCode],"BF")),"")</f>
        <v/>
      </c>
      <c r="G46" s="29" t="str">
        <f>IFERROR(IF(SUMIFS(tblDaily[TransfersOut],tblDaily[EntryDate],DATE(2026,2,1),tblDaily[WardCode],"BF")=0,"",SUMIFS(tblDaily[TransfersOut],tblDaily[EntryDate],DATE(2026,2,1),tblDaily[WardCode],"BF")),"")</f>
        <v/>
      </c>
      <c r="H46" s="29">
        <f>IFERROR(IF(SUMIFS(tblDaily[Remaining],tblDaily[EntryDate],DATE(2026,2,1),tblDaily[WardCode],"BF")=0,"",SUMIFS(tblDaily[Remaining],tblDaily[EntryDate],DATE(2026,2,1),tblDaily[WardCode],"BF")),"")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IFERROR(IF(SUMIFS(tblDaily[Admissions],tblDaily[EntryDate],DATE(2026,2,2),tblDaily[WardCode],"BF")=0,"",SUMIFS(tblDaily[Admissions],tblDaily[EntryDate],DATE(2026,2,2),tblDaily[WardCode],"BF")),"")</f>
        <v>1</v>
      </c>
      <c r="C47" s="29">
        <f>IFERROR(IF(SUMIFS(tblDaily[Discharges],tblDaily[EntryDate],DATE(2026,2,2),tblDaily[WardCode],"BF")=0,"",SUMIFS(tblDaily[Discharges],tblDaily[EntryDate],DATE(2026,2,2),tblDaily[WardCode],"BF")),"")</f>
        <v>3</v>
      </c>
      <c r="D47" s="29" t="str">
        <f>IFERROR(IF(SUMIFS(tblDaily[Deaths],tblDaily[EntryDate],DATE(2026,2,2),tblDaily[WardCode],"BF")=0,"",SUMIFS(tblDaily[Deaths],tblDaily[EntryDate],DATE(2026,2,2),tblDaily[WardCode],"BF")),"")</f>
        <v/>
      </c>
      <c r="E47" s="29" t="str">
        <f>IFERROR(IF(SUMIFS(tblDaily[DeathsUnder24Hrs],tblDaily[EntryDate],DATE(2026,2,2),tblDaily[WardCode],"BF")=0,"",SUMIFS(tblDaily[DeathsUnder24Hrs],tblDaily[EntryDate],DATE(2026,2,2),tblDaily[WardCode],"BF")),"")</f>
        <v/>
      </c>
      <c r="F47" s="29" t="str">
        <f>IFERROR(IF(SUMIFS(tblDaily[TransfersIn],tblDaily[EntryDate],DATE(2026,2,2),tblDaily[WardCode],"BF")=0,"",SUMIFS(tblDaily[TransfersIn],tblDaily[EntryDate],DATE(2026,2,2),tblDaily[WardCode],"BF")),"")</f>
        <v/>
      </c>
      <c r="G47" s="29" t="str">
        <f>IFERROR(IF(SUMIFS(tblDaily[TransfersOut],tblDaily[EntryDate],DATE(2026,2,2),tblDaily[WardCode],"BF")=0,"",SUMIFS(tblDaily[TransfersOut],tblDaily[EntryDate],DATE(2026,2,2),tblDaily[WardCode],"BF")),"")</f>
        <v/>
      </c>
      <c r="H47" s="29">
        <f>IFERROR(IF(SUMIFS(tblDaily[Remaining],tblDaily[EntryDate],DATE(2026,2,2),tblDaily[WardCode],"BF")=0,"",SUMIFS(tblDaily[Remaining],tblDaily[EntryDate],DATE(2026,2,2),tblDaily[WardCode],"BF")),"")</f>
        <v>6</v>
      </c>
    </row>
    <row r="48" spans="1:8" x14ac:dyDescent="0.25">
      <c r="A48" s="29">
        <v>3</v>
      </c>
      <c r="B48" s="29">
        <f>IFERROR(IF(SUMIFS(tblDaily[Admissions],tblDaily[EntryDate],DATE(2026,2,3),tblDaily[WardCode],"BF")=0,"",SUMIFS(tblDaily[Admissions],tblDaily[EntryDate],DATE(2026,2,3),tblDaily[WardCode],"BF")),"")</f>
        <v>7</v>
      </c>
      <c r="C48" s="29">
        <f>IFERROR(IF(SUMIFS(tblDaily[Discharges],tblDaily[EntryDate],DATE(2026,2,3),tblDaily[WardCode],"BF")=0,"",SUMIFS(tblDaily[Discharges],tblDaily[EntryDate],DATE(2026,2,3),tblDaily[WardCode],"BF")),"")</f>
        <v>2</v>
      </c>
      <c r="D48" s="29" t="str">
        <f>IFERROR(IF(SUMIFS(tblDaily[Deaths],tblDaily[EntryDate],DATE(2026,2,3),tblDaily[WardCode],"BF")=0,"",SUMIFS(tblDaily[Deaths],tblDaily[EntryDate],DATE(2026,2,3),tblDaily[WardCode],"BF")),"")</f>
        <v/>
      </c>
      <c r="E48" s="29" t="str">
        <f>IFERROR(IF(SUMIFS(tblDaily[DeathsUnder24Hrs],tblDaily[EntryDate],DATE(2026,2,3),tblDaily[WardCode],"BF")=0,"",SUMIFS(tblDaily[DeathsUnder24Hrs],tblDaily[EntryDate],DATE(2026,2,3),tblDaily[WardCode],"BF")),"")</f>
        <v/>
      </c>
      <c r="F48" s="29" t="str">
        <f>IFERROR(IF(SUMIFS(tblDaily[TransfersIn],tblDaily[EntryDate],DATE(2026,2,3),tblDaily[WardCode],"BF")=0,"",SUMIFS(tblDaily[TransfersIn],tblDaily[EntryDate],DATE(2026,2,3),tblDaily[WardCode],"BF")),"")</f>
        <v/>
      </c>
      <c r="G48" s="29" t="str">
        <f>IFERROR(IF(SUMIFS(tblDaily[TransfersOut],tblDaily[EntryDate],DATE(2026,2,3),tblDaily[WardCode],"BF")=0,"",SUMIFS(tblDaily[TransfersOut],tblDaily[EntryDate],DATE(2026,2,3),tblDaily[WardCode],"BF")),"")</f>
        <v/>
      </c>
      <c r="H48" s="29">
        <f>IFERROR(IF(SUMIFS(tblDaily[Remaining],tblDaily[EntryDate],DATE(2026,2,3),tblDaily[WardCode],"BF")=0,"",SUMIFS(tblDaily[Remaining],tblDaily[EntryDate],DATE(2026,2,3),tblDaily[WardCode],"BF")),"")</f>
        <v>11</v>
      </c>
    </row>
    <row r="49" spans="1:8" x14ac:dyDescent="0.25">
      <c r="A49" s="29">
        <v>4</v>
      </c>
      <c r="B49" s="29">
        <f>IFERROR(IF(SUMIFS(tblDaily[Admissions],tblDaily[EntryDate],DATE(2026,2,4),tblDaily[WardCode],"BF")=0,"",SUMIFS(tblDaily[Admissions],tblDaily[EntryDate],DATE(2026,2,4),tblDaily[WardCode],"BF")),"")</f>
        <v>4</v>
      </c>
      <c r="C49" s="29">
        <f>IFERROR(IF(SUMIFS(tblDaily[Discharges],tblDaily[EntryDate],DATE(2026,2,4),tblDaily[WardCode],"BF")=0,"",SUMIFS(tblDaily[Discharges],tblDaily[EntryDate],DATE(2026,2,4),tblDaily[WardCode],"BF")),"")</f>
        <v>2</v>
      </c>
      <c r="D49" s="29" t="str">
        <f>IFERROR(IF(SUMIFS(tblDaily[Deaths],tblDaily[EntryDate],DATE(2026,2,4),tblDaily[WardCode],"BF")=0,"",SUMIFS(tblDaily[Deaths],tblDaily[EntryDate],DATE(2026,2,4),tblDaily[WardCode],"BF")),"")</f>
        <v/>
      </c>
      <c r="E49" s="29" t="str">
        <f>IFERROR(IF(SUMIFS(tblDaily[DeathsUnder24Hrs],tblDaily[EntryDate],DATE(2026,2,4),tblDaily[WardCode],"BF")=0,"",SUMIFS(tblDaily[DeathsUnder24Hrs],tblDaily[EntryDate],DATE(2026,2,4),tblDaily[WardCode],"BF")),"")</f>
        <v/>
      </c>
      <c r="F49" s="29" t="str">
        <f>IFERROR(IF(SUMIFS(tblDaily[TransfersIn],tblDaily[EntryDate],DATE(2026,2,4),tblDaily[WardCode],"BF")=0,"",SUMIFS(tblDaily[TransfersIn],tblDaily[EntryDate],DATE(2026,2,4),tblDaily[WardCode],"BF")),"")</f>
        <v/>
      </c>
      <c r="G49" s="29">
        <f>IFERROR(IF(SUMIFS(tblDaily[TransfersOut],tblDaily[EntryDate],DATE(2026,2,4),tblDaily[WardCode],"BF")=0,"",SUMIFS(tblDaily[TransfersOut],tblDaily[EntryDate],DATE(2026,2,4),tblDaily[WardCode],"BF")),"")</f>
        <v>1</v>
      </c>
      <c r="H49" s="29">
        <f>IFERROR(IF(SUMIFS(tblDaily[Remaining],tblDaily[EntryDate],DATE(2026,2,4),tblDaily[WardCode],"BF")=0,"",SUMIFS(tblDaily[Remaining],tblDaily[EntryDate],DATE(2026,2,4),tblDaily[WardCode],"BF")),"")</f>
        <v>12</v>
      </c>
    </row>
    <row r="50" spans="1:8" x14ac:dyDescent="0.25">
      <c r="A50" s="29">
        <v>5</v>
      </c>
      <c r="B50" s="29">
        <f>IFERROR(IF(SUMIFS(tblDaily[Admissions],tblDaily[EntryDate],DATE(2026,2,5),tblDaily[WardCode],"BF")=0,"",SUMIFS(tblDaily[Admissions],tblDaily[EntryDate],DATE(2026,2,5),tblDaily[WardCode],"BF")),"")</f>
        <v>3</v>
      </c>
      <c r="C50" s="29">
        <f>IFERROR(IF(SUMIFS(tblDaily[Discharges],tblDaily[EntryDate],DATE(2026,2,5),tblDaily[WardCode],"BF")=0,"",SUMIFS(tblDaily[Discharges],tblDaily[EntryDate],DATE(2026,2,5),tblDaily[WardCode],"BF")),"")</f>
        <v>4</v>
      </c>
      <c r="D50" s="29" t="str">
        <f>IFERROR(IF(SUMIFS(tblDaily[Deaths],tblDaily[EntryDate],DATE(2026,2,5),tblDaily[WardCode],"BF")=0,"",SUMIFS(tblDaily[Deaths],tblDaily[EntryDate],DATE(2026,2,5),tblDaily[WardCode],"BF")),"")</f>
        <v/>
      </c>
      <c r="E50" s="29" t="str">
        <f>IFERROR(IF(SUMIFS(tblDaily[DeathsUnder24Hrs],tblDaily[EntryDate],DATE(2026,2,5),tblDaily[WardCode],"BF")=0,"",SUMIFS(tblDaily[DeathsUnder24Hrs],tblDaily[EntryDate],DATE(2026,2,5),tblDaily[WardCode],"BF")),"")</f>
        <v/>
      </c>
      <c r="F50" s="29" t="str">
        <f>IFERROR(IF(SUMIFS(tblDaily[TransfersIn],tblDaily[EntryDate],DATE(2026,2,5),tblDaily[WardCode],"BF")=0,"",SUMIFS(tblDaily[TransfersIn],tblDaily[EntryDate],DATE(2026,2,5),tblDaily[WardCode],"BF")),"")</f>
        <v/>
      </c>
      <c r="G50" s="29" t="str">
        <f>IFERROR(IF(SUMIFS(tblDaily[TransfersOut],tblDaily[EntryDate],DATE(2026,2,5),tblDaily[WardCode],"BF")=0,"",SUMIFS(tblDaily[TransfersOut],tblDaily[EntryDate],DATE(2026,2,5),tblDaily[WardCode],"BF")),"")</f>
        <v/>
      </c>
      <c r="H50" s="29">
        <f>IFERROR(IF(SUMIFS(tblDaily[Remaining],tblDaily[EntryDate],DATE(2026,2,5),tblDaily[WardCode],"BF")=0,"",SUMIFS(tblDaily[Remaining],tblDaily[EntryDate],DATE(2026,2,5),tblDaily[WardCode],"BF")),"")</f>
        <v>11</v>
      </c>
    </row>
    <row r="51" spans="1:8" x14ac:dyDescent="0.25">
      <c r="A51" s="29">
        <v>6</v>
      </c>
      <c r="B51" s="29">
        <f>IFERROR(IF(SUMIFS(tblDaily[Admissions],tblDaily[EntryDate],DATE(2026,2,6),tblDaily[WardCode],"BF")=0,"",SUMIFS(tblDaily[Admissions],tblDaily[EntryDate],DATE(2026,2,6),tblDaily[WardCode],"BF")),"")</f>
        <v>4</v>
      </c>
      <c r="C51" s="29">
        <f>IFERROR(IF(SUMIFS(tblDaily[Discharges],tblDaily[EntryDate],DATE(2026,2,6),tblDaily[WardCode],"BF")=0,"",SUMIFS(tblDaily[Discharges],tblDaily[EntryDate],DATE(2026,2,6),tblDaily[WardCode],"BF")),"")</f>
        <v>3</v>
      </c>
      <c r="D51" s="29" t="str">
        <f>IFERROR(IF(SUMIFS(tblDaily[Deaths],tblDaily[EntryDate],DATE(2026,2,6),tblDaily[WardCode],"BF")=0,"",SUMIFS(tblDaily[Deaths],tblDaily[EntryDate],DATE(2026,2,6),tblDaily[WardCode],"BF")),"")</f>
        <v/>
      </c>
      <c r="E51" s="29" t="str">
        <f>IFERROR(IF(SUMIFS(tblDaily[DeathsUnder24Hrs],tblDaily[EntryDate],DATE(2026,2,6),tblDaily[WardCode],"BF")=0,"",SUMIFS(tblDaily[DeathsUnder24Hrs],tblDaily[EntryDate],DATE(2026,2,6),tblDaily[WardCode],"BF")),"")</f>
        <v/>
      </c>
      <c r="F51" s="29" t="str">
        <f>IFERROR(IF(SUMIFS(tblDaily[TransfersIn],tblDaily[EntryDate],DATE(2026,2,6),tblDaily[WardCode],"BF")=0,"",SUMIFS(tblDaily[TransfersIn],tblDaily[EntryDate],DATE(2026,2,6),tblDaily[WardCode],"BF")),"")</f>
        <v/>
      </c>
      <c r="G51" s="29" t="str">
        <f>IFERROR(IF(SUMIFS(tblDaily[TransfersOut],tblDaily[EntryDate],DATE(2026,2,6),tblDaily[WardCode],"BF")=0,"",SUMIFS(tblDaily[TransfersOut],tblDaily[EntryDate],DATE(2026,2,6),tblDaily[WardCode],"BF")),"")</f>
        <v/>
      </c>
      <c r="H51" s="29">
        <f>IFERROR(IF(SUMIFS(tblDaily[Remaining],tblDaily[EntryDate],DATE(2026,2,6),tblDaily[WardCode],"BF")=0,"",SUMIFS(tblDaily[Remaining],tblDaily[EntryDate],DATE(2026,2,6),tblDaily[WardCode],"BF")),"")</f>
        <v>12</v>
      </c>
    </row>
    <row r="52" spans="1:8" x14ac:dyDescent="0.25">
      <c r="A52" s="29">
        <v>7</v>
      </c>
      <c r="B52" s="29">
        <f>IFERROR(IF(SUMIFS(tblDaily[Admissions],tblDaily[EntryDate],DATE(2026,2,7),tblDaily[WardCode],"BF")=0,"",SUMIFS(tblDaily[Admissions],tblDaily[EntryDate],DATE(2026,2,7),tblDaily[WardCode],"BF")),"")</f>
        <v>2</v>
      </c>
      <c r="C52" s="29" t="str">
        <f>IFERROR(IF(SUMIFS(tblDaily[Discharges],tblDaily[EntryDate],DATE(2026,2,7),tblDaily[WardCode],"BF")=0,"",SUMIFS(tblDaily[Discharges],tblDaily[EntryDate],DATE(2026,2,7),tblDaily[WardCode],"BF")),"")</f>
        <v/>
      </c>
      <c r="D52" s="29" t="str">
        <f>IFERROR(IF(SUMIFS(tblDaily[Deaths],tblDaily[EntryDate],DATE(2026,2,7),tblDaily[WardCode],"BF")=0,"",SUMIFS(tblDaily[Deaths],tblDaily[EntryDate],DATE(2026,2,7),tblDaily[WardCode],"BF")),"")</f>
        <v/>
      </c>
      <c r="E52" s="29" t="str">
        <f>IFERROR(IF(SUMIFS(tblDaily[DeathsUnder24Hrs],tblDaily[EntryDate],DATE(2026,2,7),tblDaily[WardCode],"BF")=0,"",SUMIFS(tblDaily[DeathsUnder24Hrs],tblDaily[EntryDate],DATE(2026,2,7),tblDaily[WardCode],"BF")),"")</f>
        <v/>
      </c>
      <c r="F52" s="29" t="str">
        <f>IFERROR(IF(SUMIFS(tblDaily[TransfersIn],tblDaily[EntryDate],DATE(2026,2,7),tblDaily[WardCode],"BF")=0,"",SUMIFS(tblDaily[TransfersIn],tblDaily[EntryDate],DATE(2026,2,7),tblDaily[WardCode],"BF")),"")</f>
        <v/>
      </c>
      <c r="G52" s="29" t="str">
        <f>IFERROR(IF(SUMIFS(tblDaily[TransfersOut],tblDaily[EntryDate],DATE(2026,2,7),tblDaily[WardCode],"BF")=0,"",SUMIFS(tblDaily[TransfersOut],tblDaily[EntryDate],DATE(2026,2,7),tblDaily[WardCode],"BF")),"")</f>
        <v/>
      </c>
      <c r="H52" s="29">
        <f>IFERROR(IF(SUMIFS(tblDaily[Remaining],tblDaily[EntryDate],DATE(2026,2,7),tblDaily[WardCode],"BF")=0,"",SUMIFS(tblDaily[Remaining],tblDaily[EntryDate],DATE(2026,2,7),tblDaily[WardCode],"BF")),"")</f>
        <v>14</v>
      </c>
    </row>
    <row r="53" spans="1:8" x14ac:dyDescent="0.25">
      <c r="A53" s="29">
        <v>8</v>
      </c>
      <c r="B53" s="29" t="str">
        <f>IFERROR(IF(SUMIFS(tblDaily[Admissions],tblDaily[EntryDate],DATE(2026,2,8),tblDaily[WardCode],"BF")=0,"",SUMIFS(tblDaily[Admissions],tblDaily[EntryDate],DATE(2026,2,8),tblDaily[WardCode],"BF")),"")</f>
        <v/>
      </c>
      <c r="C53" s="29">
        <f>IFERROR(IF(SUMIFS(tblDaily[Discharges],tblDaily[EntryDate],DATE(2026,2,8),tblDaily[WardCode],"BF")=0,"",SUMIFS(tblDaily[Discharges],tblDaily[EntryDate],DATE(2026,2,8),tblDaily[WardCode],"BF")),"")</f>
        <v>4</v>
      </c>
      <c r="D53" s="29" t="str">
        <f>IFERROR(IF(SUMIFS(tblDaily[Deaths],tblDaily[EntryDate],DATE(2026,2,8),tblDaily[WardCode],"BF")=0,"",SUMIFS(tblDaily[Deaths],tblDaily[EntryDate],DATE(2026,2,8),tblDaily[WardCode],"BF")),"")</f>
        <v/>
      </c>
      <c r="E53" s="29" t="str">
        <f>IFERROR(IF(SUMIFS(tblDaily[DeathsUnder24Hrs],tblDaily[EntryDate],DATE(2026,2,8),tblDaily[WardCode],"BF")=0,"",SUMIFS(tblDaily[DeathsUnder24Hrs],tblDaily[EntryDate],DATE(2026,2,8),tblDaily[WardCode],"BF")),"")</f>
        <v/>
      </c>
      <c r="F53" s="29" t="str">
        <f>IFERROR(IF(SUMIFS(tblDaily[TransfersIn],tblDaily[EntryDate],DATE(2026,2,8),tblDaily[WardCode],"BF")=0,"",SUMIFS(tblDaily[TransfersIn],tblDaily[EntryDate],DATE(2026,2,8),tblDaily[WardCode],"BF")),"")</f>
        <v/>
      </c>
      <c r="G53" s="29">
        <f>IFERROR(IF(SUMIFS(tblDaily[TransfersOut],tblDaily[EntryDate],DATE(2026,2,8),tblDaily[WardCode],"BF")=0,"",SUMIFS(tblDaily[TransfersOut],tblDaily[EntryDate],DATE(2026,2,8),tblDaily[WardCode],"BF")),"")</f>
        <v>1</v>
      </c>
      <c r="H53" s="29">
        <f>IFERROR(IF(SUMIFS(tblDaily[Remaining],tblDaily[EntryDate],DATE(2026,2,8),tblDaily[WardCode],"BF")=0,"",SUMIFS(tblDaily[Remaining],tblDaily[EntryDate],DATE(2026,2,8),tblDaily[WardCode],"BF")),"")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IFERROR(IF(SUMIFS(tblDaily[Admissions],tblDaily[EntryDate],DATE(2026,2,9),tblDaily[WardCode],"BF")=0,"",SUMIFS(tblDaily[Admissions],tblDaily[EntryDate],DATE(2026,2,9),tblDaily[WardCode],"BF")),"")</f>
        <v>2</v>
      </c>
      <c r="C54" s="29">
        <f>IFERROR(IF(SUMIFS(tblDaily[Discharges],tblDaily[EntryDate],DATE(2026,2,9),tblDaily[WardCode],"BF")=0,"",SUMIFS(tblDaily[Discharges],tblDaily[EntryDate],DATE(2026,2,9),tblDaily[WardCode],"BF")),"")</f>
        <v>3</v>
      </c>
      <c r="D54" s="29" t="str">
        <f>IFERROR(IF(SUMIFS(tblDaily[Deaths],tblDaily[EntryDate],DATE(2026,2,9),tblDaily[WardCode],"BF")=0,"",SUMIFS(tblDaily[Deaths],tblDaily[EntryDate],DATE(2026,2,9),tblDaily[WardCode],"BF")),"")</f>
        <v/>
      </c>
      <c r="E54" s="29" t="str">
        <f>IFERROR(IF(SUMIFS(tblDaily[DeathsUnder24Hrs],tblDaily[EntryDate],DATE(2026,2,9),tblDaily[WardCode],"BF")=0,"",SUMIFS(tblDaily[DeathsUnder24Hrs],tblDaily[EntryDate],DATE(2026,2,9),tblDaily[WardCode],"BF")),"")</f>
        <v/>
      </c>
      <c r="F54" s="29" t="str">
        <f>IFERROR(IF(SUMIFS(tblDaily[TransfersIn],tblDaily[EntryDate],DATE(2026,2,9),tblDaily[WardCode],"BF")=0,"",SUMIFS(tblDaily[TransfersIn],tblDaily[EntryDate],DATE(2026,2,9),tblDaily[WardCode],"BF")),"")</f>
        <v/>
      </c>
      <c r="G54" s="29" t="str">
        <f>IFERROR(IF(SUMIFS(tblDaily[TransfersOut],tblDaily[EntryDate],DATE(2026,2,9),tblDaily[WardCode],"BF")=0,"",SUMIFS(tblDaily[TransfersOut],tblDaily[EntryDate],DATE(2026,2,9),tblDaily[WardCode],"BF")),"")</f>
        <v/>
      </c>
      <c r="H54" s="29">
        <f>IFERROR(IF(SUMIFS(tblDaily[Remaining],tblDaily[EntryDate],DATE(2026,2,9),tblDaily[WardCode],"BF")=0,"",SUMIFS(tblDaily[Remaining],tblDaily[EntryDate],DATE(2026,2,9),tblDaily[WardCode],"BF")),"")</f>
        <v>8</v>
      </c>
    </row>
    <row r="55" spans="1:8" x14ac:dyDescent="0.25">
      <c r="A55" s="29">
        <v>10</v>
      </c>
      <c r="B55" s="29">
        <f>IFERROR(IF(SUMIFS(tblDaily[Admissions],tblDaily[EntryDate],DATE(2026,2,10),tblDaily[WardCode],"BF")=0,"",SUMIFS(tblDaily[Admissions],tblDaily[EntryDate],DATE(2026,2,10),tblDaily[WardCode],"BF")),"")</f>
        <v>2</v>
      </c>
      <c r="C55" s="29" t="str">
        <f>IFERROR(IF(SUMIFS(tblDaily[Discharges],tblDaily[EntryDate],DATE(2026,2,10),tblDaily[WardCode],"BF")=0,"",SUMIFS(tblDaily[Discharges],tblDaily[EntryDate],DATE(2026,2,10),tblDaily[WardCode],"BF")),"")</f>
        <v/>
      </c>
      <c r="D55" s="29" t="str">
        <f>IFERROR(IF(SUMIFS(tblDaily[Deaths],tblDaily[EntryDate],DATE(2026,2,10),tblDaily[WardCode],"BF")=0,"",SUMIFS(tblDaily[Deaths],tblDaily[EntryDate],DATE(2026,2,10),tblDaily[WardCode],"BF")),"")</f>
        <v/>
      </c>
      <c r="E55" s="29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29">
        <f>IFERROR(IF(SUMIFS(tblDaily[TransfersIn],tblDaily[EntryDate],DATE(2026,2,10),tblDaily[WardCode],"BF")=0,"",SUMIFS(tblDaily[TransfersIn],tblDaily[EntryDate],DATE(2026,2,10),tblDaily[WardCode],"BF")),"")</f>
        <v>2</v>
      </c>
      <c r="G55" s="29" t="str">
        <f>IFERROR(IF(SUMIFS(tblDaily[TransfersOut],tblDaily[EntryDate],DATE(2026,2,10),tblDaily[WardCode],"BF")=0,"",SUMIFS(tblDaily[TransfersOut],tblDaily[EntryDate],DATE(2026,2,10),tblDaily[WardCode],"BF")),"")</f>
        <v/>
      </c>
      <c r="H55" s="29">
        <f>IFERROR(IF(SUMIFS(tblDaily[Remaining],tblDaily[EntryDate],DATE(2026,2,10),tblDaily[WardCode],"BF")=0,"",SUMIFS(tblDaily[Remaining],tblDaily[EntryDate],DATE(2026,2,10),tblDaily[WardCode],"BF")),"")</f>
        <v>12</v>
      </c>
    </row>
    <row r="56" spans="1:8" x14ac:dyDescent="0.25">
      <c r="A56" s="29">
        <v>11</v>
      </c>
      <c r="B56" s="29">
        <f>IFERROR(IF(SUMIFS(tblDaily[Admissions],tblDaily[EntryDate],DATE(2026,2,11),tblDaily[WardCode],"BF")=0,"",SUMIFS(tblDaily[Admissions],tblDaily[EntryDate],DATE(2026,2,11),tblDaily[WardCode],"BF")),"")</f>
        <v>4</v>
      </c>
      <c r="C56" s="29">
        <f>IFERROR(IF(SUMIFS(tblDaily[Discharges],tblDaily[EntryDate],DATE(2026,2,11),tblDaily[WardCode],"BF")=0,"",SUMIFS(tblDaily[Discharges],tblDaily[EntryDate],DATE(2026,2,11),tblDaily[WardCode],"BF")),"")</f>
        <v>3</v>
      </c>
      <c r="D56" s="29" t="str">
        <f>IFERROR(IF(SUMIFS(tblDaily[Deaths],tblDaily[EntryDate],DATE(2026,2,11),tblDaily[WardCode],"BF")=0,"",SUMIFS(tblDaily[Deaths],tblDaily[EntryDate],DATE(2026,2,11),tblDaily[WardCode],"BF")),"")</f>
        <v/>
      </c>
      <c r="E56" s="29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29" t="str">
        <f>IFERROR(IF(SUMIFS(tblDaily[TransfersIn],tblDaily[EntryDate],DATE(2026,2,11),tblDaily[WardCode],"BF")=0,"",SUMIFS(tblDaily[TransfersIn],tblDaily[EntryDate],DATE(2026,2,11),tblDaily[WardCode],"BF")),"")</f>
        <v/>
      </c>
      <c r="G56" s="29">
        <f>IFERROR(IF(SUMIFS(tblDaily[TransfersOut],tblDaily[EntryDate],DATE(2026,2,11),tblDaily[WardCode],"BF")=0,"",SUMIFS(tblDaily[TransfersOut],tblDaily[EntryDate],DATE(2026,2,11),tblDaily[WardCode],"BF")),"")</f>
        <v>1</v>
      </c>
      <c r="H56" s="29">
        <f>IFERROR(IF(SUMIFS(tblDaily[Remaining],tblDaily[EntryDate],DATE(2026,2,11),tblDaily[WardCode],"BF")=0,"",SUMIFS(tblDaily[Remaining],tblDaily[EntryDate],DATE(2026,2,11),tblDaily[WardCode],"BF")),"")</f>
        <v>12</v>
      </c>
    </row>
    <row r="57" spans="1:8" x14ac:dyDescent="0.25">
      <c r="A57" s="29">
        <v>12</v>
      </c>
      <c r="B57" s="29">
        <f>IFERROR(IF(SUMIFS(tblDaily[Admissions],tblDaily[EntryDate],DATE(2026,2,12),tblDaily[WardCode],"BF")=0,"",SUMIFS(tblDaily[Admissions],tblDaily[EntryDate],DATE(2026,2,12),tblDaily[WardCode],"BF")),"")</f>
        <v>1</v>
      </c>
      <c r="C57" s="29">
        <f>IFERROR(IF(SUMIFS(tblDaily[Discharges],tblDaily[EntryDate],DATE(2026,2,12),tblDaily[WardCode],"BF")=0,"",SUMIFS(tblDaily[Discharges],tblDaily[EntryDate],DATE(2026,2,12),tblDaily[WardCode],"BF")),"")</f>
        <v>1</v>
      </c>
      <c r="D57" s="29" t="str">
        <f>IFERROR(IF(SUMIFS(tblDaily[Deaths],tblDaily[EntryDate],DATE(2026,2,12),tblDaily[WardCode],"BF")=0,"",SUMIFS(tblDaily[Deaths],tblDaily[EntryDate],DATE(2026,2,12),tblDaily[WardCode],"BF")),"")</f>
        <v/>
      </c>
      <c r="E57" s="29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29">
        <f>IFERROR(IF(SUMIFS(tblDaily[TransfersIn],tblDaily[EntryDate],DATE(2026,2,12),tblDaily[WardCode],"BF")=0,"",SUMIFS(tblDaily[TransfersIn],tblDaily[EntryDate],DATE(2026,2,12),tblDaily[WardCode],"BF")),"")</f>
        <v>1</v>
      </c>
      <c r="G57" s="29" t="str">
        <f>IFERROR(IF(SUMIFS(tblDaily[TransfersOut],tblDaily[EntryDate],DATE(2026,2,12),tblDaily[WardCode],"BF")=0,"",SUMIFS(tblDaily[TransfersOut],tblDaily[EntryDate],DATE(2026,2,12),tblDaily[WardCode],"BF")),"")</f>
        <v/>
      </c>
      <c r="H57" s="29">
        <f>IFERROR(IF(SUMIFS(tblDaily[Remaining],tblDaily[EntryDate],DATE(2026,2,12),tblDaily[WardCode],"BF")=0,"",SUMIFS(tblDaily[Remaining],tblDaily[EntryDate],DATE(2026,2,12),tblDaily[WardCode],"BF")),"")</f>
        <v>13</v>
      </c>
    </row>
    <row r="58" spans="1:8" x14ac:dyDescent="0.25">
      <c r="A58" s="29">
        <v>13</v>
      </c>
      <c r="B58" s="29">
        <f>IFERROR(IF(SUMIFS(tblDaily[Admissions],tblDaily[EntryDate],DATE(2026,2,13),tblDaily[WardCode],"BF")=0,"",SUMIFS(tblDaily[Admissions],tblDaily[EntryDate],DATE(2026,2,13),tblDaily[WardCode],"BF")),"")</f>
        <v>2</v>
      </c>
      <c r="C58" s="29">
        <f>IFERROR(IF(SUMIFS(tblDaily[Discharges],tblDaily[EntryDate],DATE(2026,2,13),tblDaily[WardCode],"BF")=0,"",SUMIFS(tblDaily[Discharges],tblDaily[EntryDate],DATE(2026,2,13),tblDaily[WardCode],"BF")),"")</f>
        <v>2</v>
      </c>
      <c r="D58" s="29" t="str">
        <f>IFERROR(IF(SUMIFS(tblDaily[Deaths],tblDaily[EntryDate],DATE(2026,2,13),tblDaily[WardCode],"BF")=0,"",SUMIFS(tblDaily[Deaths],tblDaily[EntryDate],DATE(2026,2,13),tblDaily[WardCode],"BF")),"")</f>
        <v/>
      </c>
      <c r="E58" s="29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29" t="str">
        <f>IFERROR(IF(SUMIFS(tblDaily[TransfersIn],tblDaily[EntryDate],DATE(2026,2,13),tblDaily[WardCode],"BF")=0,"",SUMIFS(tblDaily[TransfersIn],tblDaily[EntryDate],DATE(2026,2,13),tblDaily[WardCode],"BF")),"")</f>
        <v/>
      </c>
      <c r="G58" s="29">
        <f>IFERROR(IF(SUMIFS(tblDaily[TransfersOut],tblDaily[EntryDate],DATE(2026,2,13),tblDaily[WardCode],"BF")=0,"",SUMIFS(tblDaily[TransfersOut],tblDaily[EntryDate],DATE(2026,2,13),tblDaily[WardCode],"BF")),"")</f>
        <v>1</v>
      </c>
      <c r="H58" s="29">
        <f>IFERROR(IF(SUMIFS(tblDaily[Remaining],tblDaily[EntryDate],DATE(2026,2,13),tblDaily[WardCode],"BF")=0,"",SUMIFS(tblDaily[Remaining],tblDaily[EntryDate],DATE(2026,2,13),tblDaily[WardCode],"BF")),"")</f>
        <v>12</v>
      </c>
    </row>
    <row r="59" spans="1:8" x14ac:dyDescent="0.25">
      <c r="A59" s="29">
        <v>14</v>
      </c>
      <c r="B59" s="29">
        <f>IFERROR(IF(SUMIFS(tblDaily[Admissions],tblDaily[EntryDate],DATE(2026,2,14),tblDaily[WardCode],"BF")=0,"",SUMIFS(tblDaily[Admissions],tblDaily[EntryDate],DATE(2026,2,14),tblDaily[WardCode],"BF")),"")</f>
        <v>1</v>
      </c>
      <c r="C59" s="29">
        <f>IFERROR(IF(SUMIFS(tblDaily[Discharges],tblDaily[EntryDate],DATE(2026,2,14),tblDaily[WardCode],"BF")=0,"",SUMIFS(tblDaily[Discharges],tblDaily[EntryDate],DATE(2026,2,14),tblDaily[WardCode],"BF")),"")</f>
        <v>2</v>
      </c>
      <c r="D59" s="29" t="str">
        <f>IFERROR(IF(SUMIFS(tblDaily[Deaths],tblDaily[EntryDate],DATE(2026,2,14),tblDaily[WardCode],"BF")=0,"",SUMIFS(tblDaily[Deaths],tblDaily[EntryDate],DATE(2026,2,14),tblDaily[WardCode],"BF")),"")</f>
        <v/>
      </c>
      <c r="E59" s="29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29" t="str">
        <f>IFERROR(IF(SUMIFS(tblDaily[TransfersIn],tblDaily[EntryDate],DATE(2026,2,14),tblDaily[WardCode],"BF")=0,"",SUMIFS(tblDaily[TransfersIn],tblDaily[EntryDate],DATE(2026,2,14),tblDaily[WardCode],"BF")),"")</f>
        <v/>
      </c>
      <c r="G59" s="29" t="str">
        <f>IFERROR(IF(SUMIFS(tblDaily[TransfersOut],tblDaily[EntryDate],DATE(2026,2,14),tblDaily[WardCode],"BF")=0,"",SUMIFS(tblDaily[TransfersOut],tblDaily[EntryDate],DATE(2026,2,14),tblDaily[WardCode],"BF")),"")</f>
        <v/>
      </c>
      <c r="H59" s="29">
        <f>IFERROR(IF(SUMIFS(tblDaily[Remaining],tblDaily[EntryDate],DATE(2026,2,14),tblDaily[WardCode],"BF")=0,"",SUMIFS(tblDaily[Remaining],tblDaily[EntryDate],DATE(2026,2,14),tblDaily[WardCode],"BF")),"")</f>
        <v>11</v>
      </c>
    </row>
    <row r="60" spans="1:8" x14ac:dyDescent="0.25">
      <c r="A60" s="29">
        <v>15</v>
      </c>
      <c r="B60" s="29" t="str">
        <f>IFERROR(IF(SUMIFS(tblDaily[Admissions],tblDaily[EntryDate],DATE(2026,2,15),tblDaily[WardCode],"BF")=0,"",SUMIFS(tblDaily[Admissions],tblDaily[EntryDate],DATE(2026,2,15),tblDaily[WardCode],"BF")),"")</f>
        <v/>
      </c>
      <c r="C60" s="29" t="str">
        <f>IFERROR(IF(SUMIFS(tblDaily[Discharges],tblDaily[EntryDate],DATE(2026,2,15),tblDaily[WardCode],"BF")=0,"",SUMIFS(tblDaily[Discharges],tblDaily[EntryDate],DATE(2026,2,15),tblDaily[WardCode],"BF")),"")</f>
        <v/>
      </c>
      <c r="D60" s="29" t="str">
        <f>IFERROR(IF(SUMIFS(tblDaily[Deaths],tblDaily[EntryDate],DATE(2026,2,15),tblDaily[WardCode],"BF")=0,"",SUMIFS(tblDaily[Deaths],tblDaily[EntryDate],DATE(2026,2,15),tblDaily[WardCode],"BF")),"")</f>
        <v/>
      </c>
      <c r="E60" s="29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29" t="str">
        <f>IFERROR(IF(SUMIFS(tblDaily[TransfersIn],tblDaily[EntryDate],DATE(2026,2,15),tblDaily[WardCode],"BF")=0,"",SUMIFS(tblDaily[TransfersIn],tblDaily[EntryDate],DATE(2026,2,15),tblDaily[WardCode],"BF")),"")</f>
        <v/>
      </c>
      <c r="G60" s="29" t="str">
        <f>IFERROR(IF(SUMIFS(tblDaily[TransfersOut],tblDaily[EntryDate],DATE(2026,2,15),tblDaily[WardCode],"BF")=0,"",SUMIFS(tblDaily[TransfersOut],tblDaily[EntryDate],DATE(2026,2,15),tblDaily[WardCode],"BF")),"")</f>
        <v/>
      </c>
      <c r="H60" s="29">
        <f>IFERROR(IF(SUMIFS(tblDaily[Remaining],tblDaily[EntryDate],DATE(2026,2,15),tblDaily[WardCode],"BF")=0,"",SUMIFS(tblDaily[Remaining],tblDaily[EntryDate],DATE(2026,2,15),tblDaily[WardCode],"BF")),"")</f>
        <v>11</v>
      </c>
    </row>
    <row r="61" spans="1:8" x14ac:dyDescent="0.25">
      <c r="A61" s="29">
        <v>16</v>
      </c>
      <c r="B61" s="29">
        <f>IFERROR(IF(SUMIFS(tblDaily[Admissions],tblDaily[EntryDate],DATE(2026,2,16),tblDaily[WardCode],"BF")=0,"",SUMIFS(tblDaily[Admissions],tblDaily[EntryDate],DATE(2026,2,16),tblDaily[WardCode],"BF")),"")</f>
        <v>5</v>
      </c>
      <c r="C61" s="29">
        <f>IFERROR(IF(SUMIFS(tblDaily[Discharges],tblDaily[EntryDate],DATE(2026,2,16),tblDaily[WardCode],"BF")=0,"",SUMIFS(tblDaily[Discharges],tblDaily[EntryDate],DATE(2026,2,16),tblDaily[WardCode],"BF")),"")</f>
        <v>1</v>
      </c>
      <c r="D61" s="29" t="str">
        <f>IFERROR(IF(SUMIFS(tblDaily[Deaths],tblDaily[EntryDate],DATE(2026,2,16),tblDaily[WardCode],"BF")=0,"",SUMIFS(tblDaily[Deaths],tblDaily[EntryDate],DATE(2026,2,16),tblDaily[WardCode],"BF")),"")</f>
        <v/>
      </c>
      <c r="E61" s="29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29" t="str">
        <f>IFERROR(IF(SUMIFS(tblDaily[TransfersIn],tblDaily[EntryDate],DATE(2026,2,16),tblDaily[WardCode],"BF")=0,"",SUMIFS(tblDaily[TransfersIn],tblDaily[EntryDate],DATE(2026,2,16),tblDaily[WardCode],"BF")),"")</f>
        <v/>
      </c>
      <c r="G61" s="29" t="str">
        <f>IFERROR(IF(SUMIFS(tblDaily[TransfersOut],tblDaily[EntryDate],DATE(2026,2,16),tblDaily[WardCode],"BF")=0,"",SUMIFS(tblDaily[TransfersOut],tblDaily[EntryDate],DATE(2026,2,16),tblDaily[WardCode],"BF")),"")</f>
        <v/>
      </c>
      <c r="H61" s="29">
        <f>IFERROR(IF(SUMIFS(tblDaily[Remaining],tblDaily[EntryDate],DATE(2026,2,16),tblDaily[WardCode],"BF")=0,"",SUMIFS(tblDaily[Remaining],tblDaily[EntryDate],DATE(2026,2,16),tblDaily[WardCode],"BF")),"")</f>
        <v>15</v>
      </c>
    </row>
    <row r="62" spans="1:8" x14ac:dyDescent="0.25">
      <c r="A62" s="29">
        <v>17</v>
      </c>
      <c r="B62" s="29">
        <f>IFERROR(IF(SUMIFS(tblDaily[Admissions],tblDaily[EntryDate],DATE(2026,2,17),tblDaily[WardCode],"BF")=0,"",SUMIFS(tblDaily[Admissions],tblDaily[EntryDate],DATE(2026,2,17),tblDaily[WardCode],"BF")),"")</f>
        <v>2</v>
      </c>
      <c r="C62" s="29">
        <f>IFERROR(IF(SUMIFS(tblDaily[Discharges],tblDaily[EntryDate],DATE(2026,2,17),tblDaily[WardCode],"BF")=0,"",SUMIFS(tblDaily[Discharges],tblDaily[EntryDate],DATE(2026,2,17),tblDaily[WardCode],"BF")),"")</f>
        <v>3</v>
      </c>
      <c r="D62" s="29" t="str">
        <f>IFERROR(IF(SUMIFS(tblDaily[Deaths],tblDaily[EntryDate],DATE(2026,2,17),tblDaily[WardCode],"BF")=0,"",SUMIFS(tblDaily[Deaths],tblDaily[EntryDate],DATE(2026,2,17),tblDaily[WardCode],"BF")),"")</f>
        <v/>
      </c>
      <c r="E62" s="29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29" t="str">
        <f>IFERROR(IF(SUMIFS(tblDaily[TransfersIn],tblDaily[EntryDate],DATE(2026,2,17),tblDaily[WardCode],"BF")=0,"",SUMIFS(tblDaily[TransfersIn],tblDaily[EntryDate],DATE(2026,2,17),tblDaily[WardCode],"BF")),"")</f>
        <v/>
      </c>
      <c r="G62" s="29" t="str">
        <f>IFERROR(IF(SUMIFS(tblDaily[TransfersOut],tblDaily[EntryDate],DATE(2026,2,17),tblDaily[WardCode],"BF")=0,"",SUMIFS(tblDaily[TransfersOut],tblDaily[EntryDate],DATE(2026,2,17),tblDaily[WardCode],"BF")),"")</f>
        <v/>
      </c>
      <c r="H62" s="29">
        <f>IFERROR(IF(SUMIFS(tblDaily[Remaining],tblDaily[EntryDate],DATE(2026,2,17),tblDaily[WardCode],"BF")=0,"",SUMIFS(tblDaily[Remaining],tblDaily[EntryDate],DATE(2026,2,17),tblDaily[WardCode],"BF")),"")</f>
        <v>14</v>
      </c>
    </row>
    <row r="63" spans="1:8" x14ac:dyDescent="0.25">
      <c r="A63" s="29">
        <v>18</v>
      </c>
      <c r="B63" s="29">
        <f>IFERROR(IF(SUMIFS(tblDaily[Admissions],tblDaily[EntryDate],DATE(2026,2,18),tblDaily[WardCode],"BF")=0,"",SUMIFS(tblDaily[Admissions],tblDaily[EntryDate],DATE(2026,2,18),tblDaily[WardCode],"BF")),"")</f>
        <v>1</v>
      </c>
      <c r="C63" s="29">
        <f>IFERROR(IF(SUMIFS(tblDaily[Discharges],tblDaily[EntryDate],DATE(2026,2,18),tblDaily[WardCode],"BF")=0,"",SUMIFS(tblDaily[Discharges],tblDaily[EntryDate],DATE(2026,2,18),tblDaily[WardCode],"BF")),"")</f>
        <v>6</v>
      </c>
      <c r="D63" s="29" t="str">
        <f>IFERROR(IF(SUMIFS(tblDaily[Deaths],tblDaily[EntryDate],DATE(2026,2,18),tblDaily[WardCode],"BF")=0,"",SUMIFS(tblDaily[Deaths],tblDaily[EntryDate],DATE(2026,2,18),tblDaily[WardCode],"BF")),"")</f>
        <v/>
      </c>
      <c r="E63" s="29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29" t="str">
        <f>IFERROR(IF(SUMIFS(tblDaily[TransfersIn],tblDaily[EntryDate],DATE(2026,2,18),tblDaily[WardCode],"BF")=0,"",SUMIFS(tblDaily[TransfersIn],tblDaily[EntryDate],DATE(2026,2,18),tblDaily[WardCode],"BF")),"")</f>
        <v/>
      </c>
      <c r="G63" s="29" t="str">
        <f>IFERROR(IF(SUMIFS(tblDaily[TransfersOut],tblDaily[EntryDate],DATE(2026,2,18),tblDaily[WardCode],"BF")=0,"",SUMIFS(tblDaily[TransfersOut],tblDaily[EntryDate],DATE(2026,2,18),tblDaily[WardCode],"BF")),"")</f>
        <v/>
      </c>
      <c r="H63" s="29">
        <f>IFERROR(IF(SUMIFS(tblDaily[Remaining],tblDaily[EntryDate],DATE(2026,2,18),tblDaily[WardCode],"BF")=0,"",SUMIFS(tblDaily[Remaining],tblDaily[EntryDate],DATE(2026,2,18),tblDaily[WardCode],"BF")),"")</f>
        <v>9</v>
      </c>
    </row>
    <row r="64" spans="1:8" x14ac:dyDescent="0.25">
      <c r="A64" s="29">
        <v>19</v>
      </c>
      <c r="B64" s="29">
        <f>IFERROR(IF(SUMIFS(tblDaily[Admissions],tblDaily[EntryDate],DATE(2026,2,19),tblDaily[WardCode],"BF")=0,"",SUMIFS(tblDaily[Admissions],tblDaily[EntryDate],DATE(2026,2,19),tblDaily[WardCode],"BF")),"")</f>
        <v>3</v>
      </c>
      <c r="C64" s="29">
        <f>IFERROR(IF(SUMIFS(tblDaily[Discharges],tblDaily[EntryDate],DATE(2026,2,19),tblDaily[WardCode],"BF")=0,"",SUMIFS(tblDaily[Discharges],tblDaily[EntryDate],DATE(2026,2,19),tblDaily[WardCode],"BF")),"")</f>
        <v>1</v>
      </c>
      <c r="D64" s="29" t="str">
        <f>IFERROR(IF(SUMIFS(tblDaily[Deaths],tblDaily[EntryDate],DATE(2026,2,19),tblDaily[WardCode],"BF")=0,"",SUMIFS(tblDaily[Deaths],tblDaily[EntryDate],DATE(2026,2,19),tblDaily[WardCode],"BF")),"")</f>
        <v/>
      </c>
      <c r="E64" s="29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29" t="str">
        <f>IFERROR(IF(SUMIFS(tblDaily[TransfersIn],tblDaily[EntryDate],DATE(2026,2,19),tblDaily[WardCode],"BF")=0,"",SUMIFS(tblDaily[TransfersIn],tblDaily[EntryDate],DATE(2026,2,19),tblDaily[WardCode],"BF")),"")</f>
        <v/>
      </c>
      <c r="G64" s="29" t="str">
        <f>IFERROR(IF(SUMIFS(tblDaily[TransfersOut],tblDaily[EntryDate],DATE(2026,2,19),tblDaily[WardCode],"BF")=0,"",SUMIFS(tblDaily[TransfersOut],tblDaily[EntryDate],DATE(2026,2,19),tblDaily[WardCode],"BF")),"")</f>
        <v/>
      </c>
      <c r="H64" s="29">
        <f>IFERROR(IF(SUMIFS(tblDaily[Remaining],tblDaily[EntryDate],DATE(2026,2,19),tblDaily[WardCode],"BF")=0,"",SUMIFS(tblDaily[Remaining],tblDaily[EntryDate],DATE(2026,2,19),tblDaily[WardCode],"BF")),"")</f>
        <v>11</v>
      </c>
    </row>
    <row r="65" spans="1:8" x14ac:dyDescent="0.25">
      <c r="A65" s="29">
        <v>20</v>
      </c>
      <c r="B65" s="29">
        <f>IFERROR(IF(SUMIFS(tblDaily[Admissions],tblDaily[EntryDate],DATE(2026,2,20),tblDaily[WardCode],"BF")=0,"",SUMIFS(tblDaily[Admissions],tblDaily[EntryDate],DATE(2026,2,20),tblDaily[WardCode],"BF")),"")</f>
        <v>3</v>
      </c>
      <c r="C65" s="29" t="str">
        <f>IFERROR(IF(SUMIFS(tblDaily[Discharges],tblDaily[EntryDate],DATE(2026,2,20),tblDaily[WardCode],"BF")=0,"",SUMIFS(tblDaily[Discharges],tblDaily[EntryDate],DATE(2026,2,20),tblDaily[WardCode],"BF")),"")</f>
        <v/>
      </c>
      <c r="D65" s="29" t="str">
        <f>IFERROR(IF(SUMIFS(tblDaily[Deaths],tblDaily[EntryDate],DATE(2026,2,20),tblDaily[WardCode],"BF")=0,"",SUMIFS(tblDaily[Deaths],tblDaily[EntryDate],DATE(2026,2,20),tblDaily[WardCode],"BF")),"")</f>
        <v/>
      </c>
      <c r="E65" s="29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29" t="str">
        <f>IFERROR(IF(SUMIFS(tblDaily[TransfersIn],tblDaily[EntryDate],DATE(2026,2,20),tblDaily[WardCode],"BF")=0,"",SUMIFS(tblDaily[TransfersIn],tblDaily[EntryDate],DATE(2026,2,20),tblDaily[WardCode],"BF")),"")</f>
        <v/>
      </c>
      <c r="G65" s="29" t="str">
        <f>IFERROR(IF(SUMIFS(tblDaily[TransfersOut],tblDaily[EntryDate],DATE(2026,2,20),tblDaily[WardCode],"BF")=0,"",SUMIFS(tblDaily[TransfersOut],tblDaily[EntryDate],DATE(2026,2,20),tblDaily[WardCode],"BF")),"")</f>
        <v/>
      </c>
      <c r="H65" s="29">
        <f>IFERROR(IF(SUMIFS(tblDaily[Remaining],tblDaily[EntryDate],DATE(2026,2,20),tblDaily[WardCode],"BF")=0,"",SUMIFS(tblDaily[Remaining],tblDaily[EntryDate],DATE(2026,2,20),tblDaily[WardCode],"BF")),"")</f>
        <v>14</v>
      </c>
    </row>
    <row r="66" spans="1:8" x14ac:dyDescent="0.25">
      <c r="A66" s="29">
        <v>21</v>
      </c>
      <c r="B66" s="29">
        <f>IFERROR(IF(SUMIFS(tblDaily[Admissions],tblDaily[EntryDate],DATE(2026,2,21),tblDaily[WardCode],"BF")=0,"",SUMIFS(tblDaily[Admissions],tblDaily[EntryDate],DATE(2026,2,21),tblDaily[WardCode],"BF")),"")</f>
        <v>2</v>
      </c>
      <c r="C66" s="29">
        <f>IFERROR(IF(SUMIFS(tblDaily[Discharges],tblDaily[EntryDate],DATE(2026,2,21),tblDaily[WardCode],"BF")=0,"",SUMIFS(tblDaily[Discharges],tblDaily[EntryDate],DATE(2026,2,21),tblDaily[WardCode],"BF")),"")</f>
        <v>5</v>
      </c>
      <c r="D66" s="29" t="str">
        <f>IFERROR(IF(SUMIFS(tblDaily[Deaths],tblDaily[EntryDate],DATE(2026,2,21),tblDaily[WardCode],"BF")=0,"",SUMIFS(tblDaily[Deaths],tblDaily[EntryDate],DATE(2026,2,21),tblDaily[WardCode],"BF")),"")</f>
        <v/>
      </c>
      <c r="E66" s="29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29" t="str">
        <f>IFERROR(IF(SUMIFS(tblDaily[TransfersIn],tblDaily[EntryDate],DATE(2026,2,21),tblDaily[WardCode],"BF")=0,"",SUMIFS(tblDaily[TransfersIn],tblDaily[EntryDate],DATE(2026,2,21),tblDaily[WardCode],"BF")),"")</f>
        <v/>
      </c>
      <c r="G66" s="29" t="str">
        <f>IFERROR(IF(SUMIFS(tblDaily[TransfersOut],tblDaily[EntryDate],DATE(2026,2,21),tblDaily[WardCode],"BF")=0,"",SUMIFS(tblDaily[TransfersOut],tblDaily[EntryDate],DATE(2026,2,21),tblDaily[WardCode],"BF")),"")</f>
        <v/>
      </c>
      <c r="H66" s="29">
        <f>IFERROR(IF(SUMIFS(tblDaily[Remaining],tblDaily[EntryDate],DATE(2026,2,21),tblDaily[WardCode],"BF")=0,"",SUMIFS(tblDaily[Remaining],tblDaily[EntryDate],DATE(2026,2,21),tblDaily[WardCode],"BF")),"")</f>
        <v>11</v>
      </c>
    </row>
    <row r="67" spans="1:8" x14ac:dyDescent="0.25">
      <c r="A67" s="29">
        <v>22</v>
      </c>
      <c r="B67" s="29" t="str">
        <f>IFERROR(IF(SUMIFS(tblDaily[Admissions],tblDaily[EntryDate],DATE(2026,2,22),tblDaily[WardCode],"BF")=0,"",SUMIFS(tblDaily[Admissions],tblDaily[EntryDate],DATE(2026,2,22),tblDaily[WardCode],"BF")),"")</f>
        <v/>
      </c>
      <c r="C67" s="29">
        <f>IFERROR(IF(SUMIFS(tblDaily[Discharges],tblDaily[EntryDate],DATE(2026,2,22),tblDaily[WardCode],"BF")=0,"",SUMIFS(tblDaily[Discharges],tblDaily[EntryDate],DATE(2026,2,22),tblDaily[WardCode],"BF")),"")</f>
        <v>2</v>
      </c>
      <c r="D67" s="29" t="str">
        <f>IFERROR(IF(SUMIFS(tblDaily[Deaths],tblDaily[EntryDate],DATE(2026,2,22),tblDaily[WardCode],"BF")=0,"",SUMIFS(tblDaily[Deaths],tblDaily[EntryDate],DATE(2026,2,22),tblDaily[WardCode],"BF")),"")</f>
        <v/>
      </c>
      <c r="E67" s="29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29" t="str">
        <f>IFERROR(IF(SUMIFS(tblDaily[TransfersIn],tblDaily[EntryDate],DATE(2026,2,22),tblDaily[WardCode],"BF")=0,"",SUMIFS(tblDaily[TransfersIn],tblDaily[EntryDate],DATE(2026,2,22),tblDaily[WardCode],"BF")),"")</f>
        <v/>
      </c>
      <c r="G67" s="29" t="str">
        <f>IFERROR(IF(SUMIFS(tblDaily[TransfersOut],tblDaily[EntryDate],DATE(2026,2,22),tblDaily[WardCode],"BF")=0,"",SUMIFS(tblDaily[TransfersOut],tblDaily[EntryDate],DATE(2026,2,22),tblDaily[WardCode],"BF")),"")</f>
        <v/>
      </c>
      <c r="H67" s="29">
        <f>IFERROR(IF(SUMIFS(tblDaily[Remaining],tblDaily[EntryDate],DATE(2026,2,22),tblDaily[WardCode],"BF")=0,"",SUMIFS(tblDaily[Remaining],tblDaily[EntryDate],DATE(2026,2,22),tblDaily[WardCode],"BF")),"")</f>
        <v>9</v>
      </c>
    </row>
    <row r="68" spans="1:8" x14ac:dyDescent="0.25">
      <c r="A68" s="29">
        <v>23</v>
      </c>
      <c r="B68" s="29" t="str">
        <f>IFERROR(IF(SUMIFS(tblDaily[Admissions],tblDaily[EntryDate],DATE(2026,2,23),tblDaily[WardCode],"BF")=0,"",SUMIFS(tblDaily[Admissions],tblDaily[EntryDate],DATE(2026,2,23),tblDaily[WardCode],"BF")),"")</f>
        <v/>
      </c>
      <c r="C68" s="29">
        <f>IFERROR(IF(SUMIFS(tblDaily[Discharges],tblDaily[EntryDate],DATE(2026,2,23),tblDaily[WardCode],"BF")=0,"",SUMIFS(tblDaily[Discharges],tblDaily[EntryDate],DATE(2026,2,23),tblDaily[WardCode],"BF")),"")</f>
        <v>5</v>
      </c>
      <c r="D68" s="29" t="str">
        <f>IFERROR(IF(SUMIFS(tblDaily[Deaths],tblDaily[EntryDate],DATE(2026,2,23),tblDaily[WardCode],"BF")=0,"",SUMIFS(tblDaily[Deaths],tblDaily[EntryDate],DATE(2026,2,23),tblDaily[WardCode],"BF")),"")</f>
        <v/>
      </c>
      <c r="E68" s="29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29" t="str">
        <f>IFERROR(IF(SUMIFS(tblDaily[TransfersIn],tblDaily[EntryDate],DATE(2026,2,23),tblDaily[WardCode],"BF")=0,"",SUMIFS(tblDaily[TransfersIn],tblDaily[EntryDate],DATE(2026,2,23),tblDaily[WardCode],"BF")),"")</f>
        <v/>
      </c>
      <c r="G68" s="29" t="str">
        <f>IFERROR(IF(SUMIFS(tblDaily[TransfersOut],tblDaily[EntryDate],DATE(2026,2,23),tblDaily[WardCode],"BF")=0,"",SUMIFS(tblDaily[TransfersOut],tblDaily[EntryDate],DATE(2026,2,23),tblDaily[WardCode],"BF")),"")</f>
        <v/>
      </c>
      <c r="H68" s="29">
        <f>IFERROR(IF(SUMIFS(tblDaily[Remaining],tblDaily[EntryDate],DATE(2026,2,23),tblDaily[WardCode],"BF")=0,"",SUMIFS(tblDaily[Remaining],tblDaily[EntryDate],DATE(2026,2,23),tblDaily[WardCode],"BF")),"")</f>
        <v>4</v>
      </c>
    </row>
    <row r="69" spans="1:8" x14ac:dyDescent="0.25">
      <c r="A69" s="29">
        <v>24</v>
      </c>
      <c r="B69" s="29" t="str">
        <f>IFERROR(IF(SUMIFS(tblDaily[Admissions],tblDaily[EntryDate],DATE(2026,2,24),tblDaily[WardCode],"BF")=0,"",SUMIFS(tblDaily[Admissions],tblDaily[EntryDate],DATE(2026,2,24),tblDaily[WardCode],"BF")),"")</f>
        <v/>
      </c>
      <c r="C69" s="29" t="str">
        <f>IFERROR(IF(SUMIFS(tblDaily[Discharges],tblDaily[EntryDate],DATE(2026,2,24),tblDaily[WardCode],"BF")=0,"",SUMIFS(tblDaily[Discharges],tblDaily[EntryDate],DATE(2026,2,24),tblDaily[WardCode],"BF")),"")</f>
        <v/>
      </c>
      <c r="D69" s="29" t="str">
        <f>IFERROR(IF(SUMIFS(tblDaily[Deaths],tblDaily[EntryDate],DATE(2026,2,24),tblDaily[WardCode],"BF")=0,"",SUMIFS(tblDaily[Deaths],tblDaily[EntryDate],DATE(2026,2,24),tblDaily[WardCode],"BF")),"")</f>
        <v/>
      </c>
      <c r="E69" s="29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29" t="str">
        <f>IFERROR(IF(SUMIFS(tblDaily[TransfersIn],tblDaily[EntryDate],DATE(2026,2,24),tblDaily[WardCode],"BF")=0,"",SUMIFS(tblDaily[TransfersIn],tblDaily[EntryDate],DATE(2026,2,24),tblDaily[WardCode],"BF")),"")</f>
        <v/>
      </c>
      <c r="G69" s="29" t="str">
        <f>IFERROR(IF(SUMIFS(tblDaily[TransfersOut],tblDaily[EntryDate],DATE(2026,2,24),tblDaily[WardCode],"BF")=0,"",SUMIFS(tblDaily[TransfersOut],tblDaily[EntryDate],DATE(2026,2,24),tblDaily[WardCode],"BF")),"")</f>
        <v/>
      </c>
      <c r="H69" s="29">
        <f>IFERROR(IF(SUMIFS(tblDaily[Remaining],tblDaily[EntryDate],DATE(2026,2,24),tblDaily[WardCode],"BF")=0,"",SUMIFS(tblDaily[Remaining],tblDaily[EntryDate],DATE(2026,2,24),tblDaily[WardCode],"BF")),"")</f>
        <v>4</v>
      </c>
    </row>
    <row r="70" spans="1:8" x14ac:dyDescent="0.25">
      <c r="A70" s="29">
        <v>25</v>
      </c>
      <c r="B70" s="29">
        <f>IFERROR(IF(SUMIFS(tblDaily[Admissions],tblDaily[EntryDate],DATE(2026,2,25),tblDaily[WardCode],"BF")=0,"",SUMIFS(tblDaily[Admissions],tblDaily[EntryDate],DATE(2026,2,25),tblDaily[WardCode],"BF")),"")</f>
        <v>1</v>
      </c>
      <c r="C70" s="29">
        <f>IFERROR(IF(SUMIFS(tblDaily[Discharges],tblDaily[EntryDate],DATE(2026,2,25),tblDaily[WardCode],"BF")=0,"",SUMIFS(tblDaily[Discharges],tblDaily[EntryDate],DATE(2026,2,25),tblDaily[WardCode],"BF")),"")</f>
        <v>1</v>
      </c>
      <c r="D70" s="29" t="str">
        <f>IFERROR(IF(SUMIFS(tblDaily[Deaths],tblDaily[EntryDate],DATE(2026,2,25),tblDaily[WardCode],"BF")=0,"",SUMIFS(tblDaily[Deaths],tblDaily[EntryDate],DATE(2026,2,25),tblDaily[WardCode],"BF")),"")</f>
        <v/>
      </c>
      <c r="E70" s="29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29" t="str">
        <f>IFERROR(IF(SUMIFS(tblDaily[TransfersIn],tblDaily[EntryDate],DATE(2026,2,25),tblDaily[WardCode],"BF")=0,"",SUMIFS(tblDaily[TransfersIn],tblDaily[EntryDate],DATE(2026,2,25),tblDaily[WardCode],"BF")),"")</f>
        <v/>
      </c>
      <c r="G70" s="29" t="str">
        <f>IFERROR(IF(SUMIFS(tblDaily[TransfersOut],tblDaily[EntryDate],DATE(2026,2,25),tblDaily[WardCode],"BF")=0,"",SUMIFS(tblDaily[TransfersOut],tblDaily[EntryDate],DATE(2026,2,25),tblDaily[WardCode],"BF")),"")</f>
        <v/>
      </c>
      <c r="H70" s="29">
        <f>IFERROR(IF(SUMIFS(tblDaily[Remaining],tblDaily[EntryDate],DATE(2026,2,25),tblDaily[WardCode],"BF")=0,"",SUMIFS(tblDaily[Remaining],tblDaily[EntryDate],DATE(2026,2,25),tblDaily[WardCode],"BF")),"")</f>
        <v>4</v>
      </c>
    </row>
    <row r="71" spans="1:8" x14ac:dyDescent="0.25">
      <c r="A71" s="29">
        <v>26</v>
      </c>
      <c r="B71" s="29" t="str">
        <f>IFERROR(IF(SUMIFS(tblDaily[Admissions],tblDaily[EntryDate],DATE(2026,2,26),tblDaily[WardCode],"BF")=0,"",SUMIFS(tblDaily[Admissions],tblDaily[EntryDate],DATE(2026,2,26),tblDaily[WardCode],"BF")),"")</f>
        <v/>
      </c>
      <c r="C71" s="29" t="str">
        <f>IFERROR(IF(SUMIFS(tblDaily[Discharges],tblDaily[EntryDate],DATE(2026,2,26),tblDaily[WardCode],"BF")=0,"",SUMIFS(tblDaily[Discharges],tblDaily[EntryDate],DATE(2026,2,26),tblDaily[WardCode],"BF")),"")</f>
        <v/>
      </c>
      <c r="D71" s="29" t="str">
        <f>IFERROR(IF(SUMIFS(tblDaily[Deaths],tblDaily[EntryDate],DATE(2026,2,26),tblDaily[WardCode],"BF")=0,"",SUMIFS(tblDaily[Deaths],tblDaily[EntryDate],DATE(2026,2,26),tblDaily[WardCode],"BF")),"")</f>
        <v/>
      </c>
      <c r="E71" s="29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29" t="str">
        <f>IFERROR(IF(SUMIFS(tblDaily[TransfersIn],tblDaily[EntryDate],DATE(2026,2,26),tblDaily[WardCode],"BF")=0,"",SUMIFS(tblDaily[TransfersIn],tblDaily[EntryDate],DATE(2026,2,26),tblDaily[WardCode],"BF")),"")</f>
        <v/>
      </c>
      <c r="G71" s="29" t="str">
        <f>IFERROR(IF(SUMIFS(tblDaily[TransfersOut],tblDaily[EntryDate],DATE(2026,2,26),tblDaily[WardCode],"BF")=0,"",SUMIFS(tblDaily[TransfersOut],tblDaily[EntryDate],DATE(2026,2,26),tblDaily[WardCode],"BF")),"")</f>
        <v/>
      </c>
      <c r="H71" s="29">
        <f>IFERROR(IF(SUMIFS(tblDaily[Remaining],tblDaily[EntryDate],DATE(2026,2,26),tblDaily[WardCode],"BF")=0,"",SUMIFS(tblDaily[Remaining],tblDaily[EntryDate],DATE(2026,2,26),tblDaily[WardCode],"BF")),"")</f>
        <v>4</v>
      </c>
    </row>
    <row r="72" spans="1:8" x14ac:dyDescent="0.25">
      <c r="A72" s="29">
        <v>27</v>
      </c>
      <c r="B72" s="29">
        <f>IFERROR(IF(SUMIFS(tblDaily[Admissions],tblDaily[EntryDate],DATE(2026,2,27),tblDaily[WardCode],"BF")=0,"",SUMIFS(tblDaily[Admissions],tblDaily[EntryDate],DATE(2026,2,27),tblDaily[WardCode],"BF")),"")</f>
        <v>3</v>
      </c>
      <c r="C72" s="29" t="str">
        <f>IFERROR(IF(SUMIFS(tblDaily[Discharges],tblDaily[EntryDate],DATE(2026,2,27),tblDaily[WardCode],"BF")=0,"",SUMIFS(tblDaily[Discharges],tblDaily[EntryDate],DATE(2026,2,27),tblDaily[WardCode],"BF")),"")</f>
        <v/>
      </c>
      <c r="D72" s="29" t="str">
        <f>IFERROR(IF(SUMIFS(tblDaily[Deaths],tblDaily[EntryDate],DATE(2026,2,27),tblDaily[WardCode],"BF")=0,"",SUMIFS(tblDaily[Deaths],tblDaily[EntryDate],DATE(2026,2,27),tblDaily[WardCode],"BF")),"")</f>
        <v/>
      </c>
      <c r="E72" s="29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29" t="str">
        <f>IFERROR(IF(SUMIFS(tblDaily[TransfersIn],tblDaily[EntryDate],DATE(2026,2,27),tblDaily[WardCode],"BF")=0,"",SUMIFS(tblDaily[TransfersIn],tblDaily[EntryDate],DATE(2026,2,27),tblDaily[WardCode],"BF")),"")</f>
        <v/>
      </c>
      <c r="G72" s="29" t="str">
        <f>IFERROR(IF(SUMIFS(tblDaily[TransfersOut],tblDaily[EntryDate],DATE(2026,2,27),tblDaily[WardCode],"BF")=0,"",SUMIFS(tblDaily[TransfersOut],tblDaily[EntryDate],DATE(2026,2,27),tblDaily[WardCode],"BF")),"")</f>
        <v/>
      </c>
      <c r="H72" s="29">
        <f>IFERROR(IF(SUMIFS(tblDaily[Remaining],tblDaily[EntryDate],DATE(2026,2,27),tblDaily[WardCode],"BF")=0,"",SUMIFS(tblDaily[Remaining],tblDaily[EntryDate],DATE(2026,2,27),tblDaily[WardCode],"BF")),"")</f>
        <v>7</v>
      </c>
    </row>
    <row r="73" spans="1:8" x14ac:dyDescent="0.25">
      <c r="A73" s="29">
        <v>28</v>
      </c>
      <c r="B73" s="29">
        <f>IFERROR(IF(SUMIFS(tblDaily[Admissions],tblDaily[EntryDate],DATE(2026,2,28),tblDaily[WardCode],"BF")=0,"",SUMIFS(tblDaily[Admissions],tblDaily[EntryDate],DATE(2026,2,28),tblDaily[WardCode],"BF")),"")</f>
        <v>3</v>
      </c>
      <c r="C73" s="29">
        <f>IFERROR(IF(SUMIFS(tblDaily[Discharges],tblDaily[EntryDate],DATE(2026,2,28),tblDaily[WardCode],"BF")=0,"",SUMIFS(tblDaily[Discharges],tblDaily[EntryDate],DATE(2026,2,28),tblDaily[WardCode],"BF")),"")</f>
        <v>1</v>
      </c>
      <c r="D73" s="29" t="str">
        <f>IFERROR(IF(SUMIFS(tblDaily[Deaths],tblDaily[EntryDate],DATE(2026,2,28),tblDaily[WardCode],"BF")=0,"",SUMIFS(tblDaily[Deaths],tblDaily[EntryDate],DATE(2026,2,28),tblDaily[WardCode],"BF")),"")</f>
        <v/>
      </c>
      <c r="E73" s="29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29" t="str">
        <f>IFERROR(IF(SUMIFS(tblDaily[TransfersIn],tblDaily[EntryDate],DATE(2026,2,28),tblDaily[WardCode],"BF")=0,"",SUMIFS(tblDaily[TransfersIn],tblDaily[EntryDate],DATE(2026,2,28),tblDaily[WardCode],"BF")),"")</f>
        <v/>
      </c>
      <c r="G73" s="29" t="str">
        <f>IFERROR(IF(SUMIFS(tblDaily[TransfersOut],tblDaily[EntryDate],DATE(2026,2,28),tblDaily[WardCode],"BF")=0,"",SUMIFS(tblDaily[TransfersOut],tblDaily[EntryDate],DATE(2026,2,28),tblDaily[WardCode],"BF")),"")</f>
        <v/>
      </c>
      <c r="H73" s="29">
        <f>IFERROR(IF(SUMIFS(tblDaily[Remaining],tblDaily[EntryDate],DATE(2026,2,28),tblDaily[WardCode],"BF")=0,"",SUMIFS(tblDaily[Remaining],tblDaily[EntryDate],DATE(2026,2,28),tblDaily[WardCode],"BF")),"")</f>
        <v>9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SUMIFS(tblDaily[Admissions],tblDaily[Month],2,tblDaily[WardCode],"BF") - SUMIFS(tblDaily[DeathsUnder24Hrs],tblDaily[Month],2,tblDaily[WardCode],"BF")</f>
        <v>61</v>
      </c>
      <c r="C77" s="30">
        <f>SUMIFS(tblDaily[Discharges],tblDaily[Month],2,tblDaily[WardCode],"BF")</f>
        <v>57</v>
      </c>
      <c r="D77" s="30">
        <f>SUMIFS(tblDaily[Deaths],tblDaily[Month],2,tblDaily[WardCode],"BF")</f>
        <v>0</v>
      </c>
      <c r="E77" s="30">
        <f>SUMIFS(tblDaily[DeathsUnder24Hrs],tblDaily[Month],2,tblDaily[WardCode],"BF")</f>
        <v>0</v>
      </c>
      <c r="F77" s="30">
        <f>SUMIFS(tblDaily[TransfersIn],tblDaily[Month],2,tblDaily[WardCode],"BF")</f>
        <v>3</v>
      </c>
      <c r="G77" s="30">
        <f>SUMIFS(tblDaily[TransfersOut],tblDaily[Month],2,tblDaily[WardCode],"BF")</f>
        <v>4</v>
      </c>
      <c r="H77" s="30">
        <f>SUMIFS(tblDaily[Remaining],tblDaily[Month],2,tblDaily[WardCode],"BF")</f>
        <v>277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118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IFERROR(SUMIFS(tblDaily[Remaining],tblDaily[EntryDate],DATE(2026,2,28),tblDaily[WardCode],"BF"),0)</f>
        <v>9</v>
      </c>
    </row>
    <row r="83" spans="1:8" x14ac:dyDescent="0.25">
      <c r="A83" s="24" t="s">
        <v>109</v>
      </c>
      <c r="H83" s="27">
        <f>IFERROR(INDEX(tblWardConfig[BedComplement],MATCH("BF",tblWardConfig[WardCode],0)),0)</f>
        <v>20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>
        <f>IFERROR(IF(SUMIFS(tblDaily[Admissions],tblDaily[EntryDate],DATE(2026,3,1),tblDaily[WardCode],"BF")=0,"",SUMIFS(tblDaily[Admissions],tblDaily[EntryDate],DATE(2026,3,1),tblDaily[WardCode],"BF")),"")</f>
        <v>4</v>
      </c>
      <c r="C85" s="29">
        <f>IFERROR(IF(SUMIFS(tblDaily[Discharges],tblDaily[EntryDate],DATE(2026,3,1),tblDaily[WardCode],"BF")=0,"",SUMIFS(tblDaily[Discharges],tblDaily[EntryDate],DATE(2026,3,1),tblDaily[WardCode],"BF")),"")</f>
        <v>1</v>
      </c>
      <c r="D85" s="29" t="str">
        <f>IFERROR(IF(SUMIFS(tblDaily[Deaths],tblDaily[EntryDate],DATE(2026,3,1),tblDaily[WardCode],"BF")=0,"",SUMIFS(tblDaily[Deaths],tblDaily[EntryDate],DATE(2026,3,1),tblDaily[WardCode],"BF")),"")</f>
        <v/>
      </c>
      <c r="E85" s="29" t="str">
        <f>IFERROR(IF(SUMIFS(tblDaily[DeathsUnder24Hrs],tblDaily[EntryDate],DATE(2026,3,1),tblDaily[WardCode],"BF")=0,"",SUMIFS(tblDaily[DeathsUnder24Hrs],tblDaily[EntryDate],DATE(2026,3,1),tblDaily[WardCode],"BF")),"")</f>
        <v/>
      </c>
      <c r="F85" s="29" t="str">
        <f>IFERROR(IF(SUMIFS(tblDaily[TransfersIn],tblDaily[EntryDate],DATE(2026,3,1),tblDaily[WardCode],"BF")=0,"",SUMIFS(tblDaily[TransfersIn],tblDaily[EntryDate],DATE(2026,3,1),tblDaily[WardCode],"BF")),"")</f>
        <v/>
      </c>
      <c r="G85" s="29" t="str">
        <f>IFERROR(IF(SUMIFS(tblDaily[TransfersOut],tblDaily[EntryDate],DATE(2026,3,1),tblDaily[WardCode],"BF")=0,"",SUMIFS(tblDaily[TransfersOut],tblDaily[EntryDate],DATE(2026,3,1),tblDaily[WardCode],"BF")),"")</f>
        <v/>
      </c>
      <c r="H85" s="29">
        <f>IFERROR(IF(SUMIFS(tblDaily[Remaining],tblDaily[EntryDate],DATE(2026,3,1),tblDaily[WardCode],"BF")=0,"",SUMIFS(tblDaily[Remaining],tblDaily[EntryDate],DATE(2026,3,1),tblDaily[WardCode],"BF")),"")</f>
        <v>12</v>
      </c>
    </row>
    <row r="86" spans="1:8" x14ac:dyDescent="0.25">
      <c r="A86" s="29">
        <v>2</v>
      </c>
      <c r="B86" s="29">
        <f>IFERROR(IF(SUMIFS(tblDaily[Admissions],tblDaily[EntryDate],DATE(2026,3,2),tblDaily[WardCode],"BF")=0,"",SUMIFS(tblDaily[Admissions],tblDaily[EntryDate],DATE(2026,3,2),tblDaily[WardCode],"BF")),"")</f>
        <v>3</v>
      </c>
      <c r="C86" s="29">
        <f>IFERROR(IF(SUMIFS(tblDaily[Discharges],tblDaily[EntryDate],DATE(2026,3,2),tblDaily[WardCode],"BF")=0,"",SUMIFS(tblDaily[Discharges],tblDaily[EntryDate],DATE(2026,3,2),tblDaily[WardCode],"BF")),"")</f>
        <v>5</v>
      </c>
      <c r="D86" s="29" t="str">
        <f>IFERROR(IF(SUMIFS(tblDaily[Deaths],tblDaily[EntryDate],DATE(2026,3,2),tblDaily[WardCode],"BF")=0,"",SUMIFS(tblDaily[Deaths],tblDaily[EntryDate],DATE(2026,3,2),tblDaily[WardCode],"BF")),"")</f>
        <v/>
      </c>
      <c r="E86" s="29" t="str">
        <f>IFERROR(IF(SUMIFS(tblDaily[DeathsUnder24Hrs],tblDaily[EntryDate],DATE(2026,3,2),tblDaily[WardCode],"BF")=0,"",SUMIFS(tblDaily[DeathsUnder24Hrs],tblDaily[EntryDate],DATE(2026,3,2),tblDaily[WardCode],"BF")),"")</f>
        <v/>
      </c>
      <c r="F86" s="29" t="str">
        <f>IFERROR(IF(SUMIFS(tblDaily[TransfersIn],tblDaily[EntryDate],DATE(2026,3,2),tblDaily[WardCode],"BF")=0,"",SUMIFS(tblDaily[TransfersIn],tblDaily[EntryDate],DATE(2026,3,2),tblDaily[WardCode],"BF")),"")</f>
        <v/>
      </c>
      <c r="G86" s="29" t="str">
        <f>IFERROR(IF(SUMIFS(tblDaily[TransfersOut],tblDaily[EntryDate],DATE(2026,3,2),tblDaily[WardCode],"BF")=0,"",SUMIFS(tblDaily[TransfersOut],tblDaily[EntryDate],DATE(2026,3,2),tblDaily[WardCode],"BF")),"")</f>
        <v/>
      </c>
      <c r="H86" s="29">
        <f>IFERROR(IF(SUMIFS(tblDaily[Remaining],tblDaily[EntryDate],DATE(2026,3,2),tblDaily[WardCode],"BF")=0,"",SUMIFS(tblDaily[Remaining],tblDaily[EntryDate],DATE(2026,3,2),tblDaily[WardCode],"BF")),"")</f>
        <v>10</v>
      </c>
    </row>
    <row r="87" spans="1:8" x14ac:dyDescent="0.25">
      <c r="A87" s="29">
        <v>3</v>
      </c>
      <c r="B87" s="29">
        <f>IFERROR(IF(SUMIFS(tblDaily[Admissions],tblDaily[EntryDate],DATE(2026,3,3),tblDaily[WardCode],"BF")=0,"",SUMIFS(tblDaily[Admissions],tblDaily[EntryDate],DATE(2026,3,3),tblDaily[WardCode],"BF")),"")</f>
        <v>6</v>
      </c>
      <c r="C87" s="29">
        <f>IFERROR(IF(SUMIFS(tblDaily[Discharges],tblDaily[EntryDate],DATE(2026,3,3),tblDaily[WardCode],"BF")=0,"",SUMIFS(tblDaily[Discharges],tblDaily[EntryDate],DATE(2026,3,3),tblDaily[WardCode],"BF")),"")</f>
        <v>2</v>
      </c>
      <c r="D87" s="29" t="str">
        <f>IFERROR(IF(SUMIFS(tblDaily[Deaths],tblDaily[EntryDate],DATE(2026,3,3),tblDaily[WardCode],"BF")=0,"",SUMIFS(tblDaily[Deaths],tblDaily[EntryDate],DATE(2026,3,3),tblDaily[WardCode],"BF")),"")</f>
        <v/>
      </c>
      <c r="E87" s="29" t="str">
        <f>IFERROR(IF(SUMIFS(tblDaily[DeathsUnder24Hrs],tblDaily[EntryDate],DATE(2026,3,3),tblDaily[WardCode],"BF")=0,"",SUMIFS(tblDaily[DeathsUnder24Hrs],tblDaily[EntryDate],DATE(2026,3,3),tblDaily[WardCode],"BF")),"")</f>
        <v/>
      </c>
      <c r="F87" s="29" t="str">
        <f>IFERROR(IF(SUMIFS(tblDaily[TransfersIn],tblDaily[EntryDate],DATE(2026,3,3),tblDaily[WardCode],"BF")=0,"",SUMIFS(tblDaily[TransfersIn],tblDaily[EntryDate],DATE(2026,3,3),tblDaily[WardCode],"BF")),"")</f>
        <v/>
      </c>
      <c r="G87" s="29" t="str">
        <f>IFERROR(IF(SUMIFS(tblDaily[TransfersOut],tblDaily[EntryDate],DATE(2026,3,3),tblDaily[WardCode],"BF")=0,"",SUMIFS(tblDaily[TransfersOut],tblDaily[EntryDate],DATE(2026,3,3),tblDaily[WardCode],"BF")),"")</f>
        <v/>
      </c>
      <c r="H87" s="29">
        <f>IFERROR(IF(SUMIFS(tblDaily[Remaining],tblDaily[EntryDate],DATE(2026,3,3),tblDaily[WardCode],"BF")=0,"",SUMIFS(tblDaily[Remaining],tblDaily[EntryDate],DATE(2026,3,3),tblDaily[WardCode],"BF")),"")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IFERROR(IF(SUMIFS(tblDaily[Admissions],tblDaily[EntryDate],DATE(2026,3,4),tblDaily[WardCode],"BF")=0,"",SUMIFS(tblDaily[Admissions],tblDaily[EntryDate],DATE(2026,3,4),tblDaily[WardCode],"BF")),"")</f>
        <v>1</v>
      </c>
      <c r="C88" s="29">
        <f>IFERROR(IF(SUMIFS(tblDaily[Discharges],tblDaily[EntryDate],DATE(2026,3,4),tblDaily[WardCode],"BF")=0,"",SUMIFS(tblDaily[Discharges],tblDaily[EntryDate],DATE(2026,3,4),tblDaily[WardCode],"BF")),"")</f>
        <v>2</v>
      </c>
      <c r="D88" s="29" t="str">
        <f>IFERROR(IF(SUMIFS(tblDaily[Deaths],tblDaily[EntryDate],DATE(2026,3,4),tblDaily[WardCode],"BF")=0,"",SUMIFS(tblDaily[Deaths],tblDaily[EntryDate],DATE(2026,3,4),tblDaily[WardCode],"BF")),"")</f>
        <v/>
      </c>
      <c r="E88" s="29" t="str">
        <f>IFERROR(IF(SUMIFS(tblDaily[DeathsUnder24Hrs],tblDaily[EntryDate],DATE(2026,3,4),tblDaily[WardCode],"BF")=0,"",SUMIFS(tblDaily[DeathsUnder24Hrs],tblDaily[EntryDate],DATE(2026,3,4),tblDaily[WardCode],"BF")),"")</f>
        <v/>
      </c>
      <c r="F88" s="29" t="str">
        <f>IFERROR(IF(SUMIFS(tblDaily[TransfersIn],tblDaily[EntryDate],DATE(2026,3,4),tblDaily[WardCode],"BF")=0,"",SUMIFS(tblDaily[TransfersIn],tblDaily[EntryDate],DATE(2026,3,4),tblDaily[WardCode],"BF")),"")</f>
        <v/>
      </c>
      <c r="G88" s="29" t="str">
        <f>IFERROR(IF(SUMIFS(tblDaily[TransfersOut],tblDaily[EntryDate],DATE(2026,3,4),tblDaily[WardCode],"BF")=0,"",SUMIFS(tblDaily[TransfersOut],tblDaily[EntryDate],DATE(2026,3,4),tblDaily[WardCode],"BF")),"")</f>
        <v/>
      </c>
      <c r="H88" s="29">
        <f>IFERROR(IF(SUMIFS(tblDaily[Remaining],tblDaily[EntryDate],DATE(2026,3,4),tblDaily[WardCode],"BF")=0,"",SUMIFS(tblDaily[Remaining],tblDaily[EntryDate],DATE(2026,3,4),tblDaily[WardCode],"BF")),"")</f>
        <v>13</v>
      </c>
    </row>
    <row r="89" spans="1:8" x14ac:dyDescent="0.25">
      <c r="A89" s="29">
        <v>5</v>
      </c>
      <c r="B89" s="29">
        <f>IFERROR(IF(SUMIFS(tblDaily[Admissions],tblDaily[EntryDate],DATE(2026,3,5),tblDaily[WardCode],"BF")=0,"",SUMIFS(tblDaily[Admissions],tblDaily[EntryDate],DATE(2026,3,5),tblDaily[WardCode],"BF")),"")</f>
        <v>2</v>
      </c>
      <c r="C89" s="29">
        <f>IFERROR(IF(SUMIFS(tblDaily[Discharges],tblDaily[EntryDate],DATE(2026,3,5),tblDaily[WardCode],"BF")=0,"",SUMIFS(tblDaily[Discharges],tblDaily[EntryDate],DATE(2026,3,5),tblDaily[WardCode],"BF")),"")</f>
        <v>5</v>
      </c>
      <c r="D89" s="29" t="str">
        <f>IFERROR(IF(SUMIFS(tblDaily[Deaths],tblDaily[EntryDate],DATE(2026,3,5),tblDaily[WardCode],"BF")=0,"",SUMIFS(tblDaily[Deaths],tblDaily[EntryDate],DATE(2026,3,5),tblDaily[WardCode],"BF")),"")</f>
        <v/>
      </c>
      <c r="E89" s="29" t="str">
        <f>IFERROR(IF(SUMIFS(tblDaily[DeathsUnder24Hrs],tblDaily[EntryDate],DATE(2026,3,5),tblDaily[WardCode],"BF")=0,"",SUMIFS(tblDaily[DeathsUnder24Hrs],tblDaily[EntryDate],DATE(2026,3,5),tblDaily[WardCode],"BF")),"")</f>
        <v/>
      </c>
      <c r="F89" s="29" t="str">
        <f>IFERROR(IF(SUMIFS(tblDaily[TransfersIn],tblDaily[EntryDate],DATE(2026,3,5),tblDaily[WardCode],"BF")=0,"",SUMIFS(tblDaily[TransfersIn],tblDaily[EntryDate],DATE(2026,3,5),tblDaily[WardCode],"BF")),"")</f>
        <v/>
      </c>
      <c r="G89" s="29" t="str">
        <f>IFERROR(IF(SUMIFS(tblDaily[TransfersOut],tblDaily[EntryDate],DATE(2026,3,5),tblDaily[WardCode],"BF")=0,"",SUMIFS(tblDaily[TransfersOut],tblDaily[EntryDate],DATE(2026,3,5),tblDaily[WardCode],"BF")),"")</f>
        <v/>
      </c>
      <c r="H89" s="29">
        <f>IFERROR(IF(SUMIFS(tblDaily[Remaining],tblDaily[EntryDate],DATE(2026,3,5),tblDaily[WardCode],"BF")=0,"",SUMIFS(tblDaily[Remaining],tblDaily[EntryDate],DATE(2026,3,5),tblDaily[WardCode],"BF")),"")</f>
        <v>10</v>
      </c>
    </row>
    <row r="90" spans="1:8" x14ac:dyDescent="0.25">
      <c r="A90" s="29">
        <v>6</v>
      </c>
      <c r="B90" s="29">
        <f>IFERROR(IF(SUMIFS(tblDaily[Admissions],tblDaily[EntryDate],DATE(2026,3,6),tblDaily[WardCode],"BF")=0,"",SUMIFS(tblDaily[Admissions],tblDaily[EntryDate],DATE(2026,3,6),tblDaily[WardCode],"BF")),"")</f>
        <v>1</v>
      </c>
      <c r="C90" s="29">
        <f>IFERROR(IF(SUMIFS(tblDaily[Discharges],tblDaily[EntryDate],DATE(2026,3,6),tblDaily[WardCode],"BF")=0,"",SUMIFS(tblDaily[Discharges],tblDaily[EntryDate],DATE(2026,3,6),tblDaily[WardCode],"BF")),"")</f>
        <v>3</v>
      </c>
      <c r="D90" s="29" t="str">
        <f>IFERROR(IF(SUMIFS(tblDaily[Deaths],tblDaily[EntryDate],DATE(2026,3,6),tblDaily[WardCode],"BF")=0,"",SUMIFS(tblDaily[Deaths],tblDaily[EntryDate],DATE(2026,3,6),tblDaily[WardCode],"BF")),"")</f>
        <v/>
      </c>
      <c r="E90" s="29" t="str">
        <f>IFERROR(IF(SUMIFS(tblDaily[DeathsUnder24Hrs],tblDaily[EntryDate],DATE(2026,3,6),tblDaily[WardCode],"BF")=0,"",SUMIFS(tblDaily[DeathsUnder24Hrs],tblDaily[EntryDate],DATE(2026,3,6),tblDaily[WardCode],"BF")),"")</f>
        <v/>
      </c>
      <c r="F90" s="29" t="str">
        <f>IFERROR(IF(SUMIFS(tblDaily[TransfersIn],tblDaily[EntryDate],DATE(2026,3,6),tblDaily[WardCode],"BF")=0,"",SUMIFS(tblDaily[TransfersIn],tblDaily[EntryDate],DATE(2026,3,6),tblDaily[WardCode],"BF")),"")</f>
        <v/>
      </c>
      <c r="G90" s="29" t="str">
        <f>IFERROR(IF(SUMIFS(tblDaily[TransfersOut],tblDaily[EntryDate],DATE(2026,3,6),tblDaily[WardCode],"BF")=0,"",SUMIFS(tblDaily[TransfersOut],tblDaily[EntryDate],DATE(2026,3,6),tblDaily[WardCode],"BF")),"")</f>
        <v/>
      </c>
      <c r="H90" s="29">
        <f>IFERROR(IF(SUMIFS(tblDaily[Remaining],tblDaily[EntryDate],DATE(2026,3,6),tblDaily[WardCode],"BF")=0,"",SUMIFS(tblDaily[Remaining],tblDaily[EntryDate],DATE(2026,3,6),tblDaily[WardCode],"BF")),"")</f>
        <v>8</v>
      </c>
    </row>
    <row r="91" spans="1:8" x14ac:dyDescent="0.25">
      <c r="A91" s="29">
        <v>7</v>
      </c>
      <c r="B91" s="29">
        <f>IFERROR(IF(SUMIFS(tblDaily[Admissions],tblDaily[EntryDate],DATE(2026,3,7),tblDaily[WardCode],"BF")=0,"",SUMIFS(tblDaily[Admissions],tblDaily[EntryDate],DATE(2026,3,7),tblDaily[WardCode],"BF")),"")</f>
        <v>3</v>
      </c>
      <c r="C91" s="29">
        <f>IFERROR(IF(SUMIFS(tblDaily[Discharges],tblDaily[EntryDate],DATE(2026,3,7),tblDaily[WardCode],"BF")=0,"",SUMIFS(tblDaily[Discharges],tblDaily[EntryDate],DATE(2026,3,7),tblDaily[WardCode],"BF")),"")</f>
        <v>2</v>
      </c>
      <c r="D91" s="29" t="str">
        <f>IFERROR(IF(SUMIFS(tblDaily[Deaths],tblDaily[EntryDate],DATE(2026,3,7),tblDaily[WardCode],"BF")=0,"",SUMIFS(tblDaily[Deaths],tblDaily[EntryDate],DATE(2026,3,7),tblDaily[WardCode],"BF")),"")</f>
        <v/>
      </c>
      <c r="E91" s="29" t="str">
        <f>IFERROR(IF(SUMIFS(tblDaily[DeathsUnder24Hrs],tblDaily[EntryDate],DATE(2026,3,7),tblDaily[WardCode],"BF")=0,"",SUMIFS(tblDaily[DeathsUnder24Hrs],tblDaily[EntryDate],DATE(2026,3,7),tblDaily[WardCode],"BF")),"")</f>
        <v/>
      </c>
      <c r="F91" s="29" t="str">
        <f>IFERROR(IF(SUMIFS(tblDaily[TransfersIn],tblDaily[EntryDate],DATE(2026,3,7),tblDaily[WardCode],"BF")=0,"",SUMIFS(tblDaily[TransfersIn],tblDaily[EntryDate],DATE(2026,3,7),tblDaily[WardCode],"BF")),"")</f>
        <v/>
      </c>
      <c r="G91" s="29" t="str">
        <f>IFERROR(IF(SUMIFS(tblDaily[TransfersOut],tblDaily[EntryDate],DATE(2026,3,7),tblDaily[WardCode],"BF")=0,"",SUMIFS(tblDaily[TransfersOut],tblDaily[EntryDate],DATE(2026,3,7),tblDaily[WardCode],"BF")),"")</f>
        <v/>
      </c>
      <c r="H91" s="29">
        <f>IFERROR(IF(SUMIFS(tblDaily[Remaining],tblDaily[EntryDate],DATE(2026,3,7),tblDaily[WardCode],"BF")=0,"",SUMIFS(tblDaily[Remaining],tblDaily[EntryDate],DATE(2026,3,7),tblDaily[WardCode],"BF")),"")</f>
        <v>9</v>
      </c>
    </row>
    <row r="92" spans="1:8" x14ac:dyDescent="0.25">
      <c r="A92" s="29">
        <v>8</v>
      </c>
      <c r="B92" s="29">
        <f>IFERROR(IF(SUMIFS(tblDaily[Admissions],tblDaily[EntryDate],DATE(2026,3,8),tblDaily[WardCode],"BF")=0,"",SUMIFS(tblDaily[Admissions],tblDaily[EntryDate],DATE(2026,3,8),tblDaily[WardCode],"BF")),"")</f>
        <v>2</v>
      </c>
      <c r="C92" s="29">
        <f>IFERROR(IF(SUMIFS(tblDaily[Discharges],tblDaily[EntryDate],DATE(2026,3,8),tblDaily[WardCode],"BF")=0,"",SUMIFS(tblDaily[Discharges],tblDaily[EntryDate],DATE(2026,3,8),tblDaily[WardCode],"BF")),"")</f>
        <v>2</v>
      </c>
      <c r="D92" s="29" t="str">
        <f>IFERROR(IF(SUMIFS(tblDaily[Deaths],tblDaily[EntryDate],DATE(2026,3,8),tblDaily[WardCode],"BF")=0,"",SUMIFS(tblDaily[Deaths],tblDaily[EntryDate],DATE(2026,3,8),tblDaily[WardCode],"BF")),"")</f>
        <v/>
      </c>
      <c r="E92" s="29" t="str">
        <f>IFERROR(IF(SUMIFS(tblDaily[DeathsUnder24Hrs],tblDaily[EntryDate],DATE(2026,3,8),tblDaily[WardCode],"BF")=0,"",SUMIFS(tblDaily[DeathsUnder24Hrs],tblDaily[EntryDate],DATE(2026,3,8),tblDaily[WardCode],"BF")),"")</f>
        <v/>
      </c>
      <c r="F92" s="29" t="str">
        <f>IFERROR(IF(SUMIFS(tblDaily[TransfersIn],tblDaily[EntryDate],DATE(2026,3,8),tblDaily[WardCode],"BF")=0,"",SUMIFS(tblDaily[TransfersIn],tblDaily[EntryDate],DATE(2026,3,8),tblDaily[WardCode],"BF")),"")</f>
        <v/>
      </c>
      <c r="G92" s="29" t="str">
        <f>IFERROR(IF(SUMIFS(tblDaily[TransfersOut],tblDaily[EntryDate],DATE(2026,3,8),tblDaily[WardCode],"BF")=0,"",SUMIFS(tblDaily[TransfersOut],tblDaily[EntryDate],DATE(2026,3,8),tblDaily[WardCode],"BF")),"")</f>
        <v/>
      </c>
      <c r="H92" s="29">
        <f>IFERROR(IF(SUMIFS(tblDaily[Remaining],tblDaily[EntryDate],DATE(2026,3,8),tblDaily[WardCode],"BF")=0,"",SUMIFS(tblDaily[Remaining],tblDaily[EntryDate],DATE(2026,3,8),tblDaily[WardCode],"BF")),"")</f>
        <v>9</v>
      </c>
    </row>
    <row r="93" spans="1:8" x14ac:dyDescent="0.25">
      <c r="A93" s="29">
        <v>9</v>
      </c>
      <c r="B93" s="29">
        <f>IFERROR(IF(SUMIFS(tblDaily[Admissions],tblDaily[EntryDate],DATE(2026,3,9),tblDaily[WardCode],"BF")=0,"",SUMIFS(tblDaily[Admissions],tblDaily[EntryDate],DATE(2026,3,9),tblDaily[WardCode],"BF")),"")</f>
        <v>2</v>
      </c>
      <c r="C93" s="29">
        <f>IFERROR(IF(SUMIFS(tblDaily[Discharges],tblDaily[EntryDate],DATE(2026,3,9),tblDaily[WardCode],"BF")=0,"",SUMIFS(tblDaily[Discharges],tblDaily[EntryDate],DATE(2026,3,9),tblDaily[WardCode],"BF")),"")</f>
        <v>4</v>
      </c>
      <c r="D93" s="29" t="str">
        <f>IFERROR(IF(SUMIFS(tblDaily[Deaths],tblDaily[EntryDate],DATE(2026,3,9),tblDaily[WardCode],"BF")=0,"",SUMIFS(tblDaily[Deaths],tblDaily[EntryDate],DATE(2026,3,9),tblDaily[WardCode],"BF")),"")</f>
        <v/>
      </c>
      <c r="E93" s="29" t="str">
        <f>IFERROR(IF(SUMIFS(tblDaily[DeathsUnder24Hrs],tblDaily[EntryDate],DATE(2026,3,9),tblDaily[WardCode],"BF")=0,"",SUMIFS(tblDaily[DeathsUnder24Hrs],tblDaily[EntryDate],DATE(2026,3,9),tblDaily[WardCode],"BF")),"")</f>
        <v/>
      </c>
      <c r="F93" s="29" t="str">
        <f>IFERROR(IF(SUMIFS(tblDaily[TransfersIn],tblDaily[EntryDate],DATE(2026,3,9),tblDaily[WardCode],"BF")=0,"",SUMIFS(tblDaily[TransfersIn],tblDaily[EntryDate],DATE(2026,3,9),tblDaily[WardCode],"BF")),"")</f>
        <v/>
      </c>
      <c r="G93" s="29">
        <f>IFERROR(IF(SUMIFS(tblDaily[TransfersOut],tblDaily[EntryDate],DATE(2026,3,9),tblDaily[WardCode],"BF")=0,"",SUMIFS(tblDaily[TransfersOut],tblDaily[EntryDate],DATE(2026,3,9),tblDaily[WardCode],"BF")),"")</f>
        <v>1</v>
      </c>
      <c r="H93" s="29">
        <f>IFERROR(IF(SUMIFS(tblDaily[Remaining],tblDaily[EntryDate],DATE(2026,3,9),tblDaily[WardCode],"BF")=0,"",SUMIFS(tblDaily[Remaining],tblDaily[EntryDate],DATE(2026,3,9),tblDaily[WardCode],"BF")),"")</f>
        <v>6</v>
      </c>
    </row>
    <row r="94" spans="1:8" x14ac:dyDescent="0.25">
      <c r="A94" s="29">
        <v>10</v>
      </c>
      <c r="B94" s="29">
        <f>IFERROR(IF(SUMIFS(tblDaily[Admissions],tblDaily[EntryDate],DATE(2026,3,10),tblDaily[WardCode],"BF")=0,"",SUMIFS(tblDaily[Admissions],tblDaily[EntryDate],DATE(2026,3,10),tblDaily[WardCode],"BF")),"")</f>
        <v>3</v>
      </c>
      <c r="C94" s="29">
        <f>IFERROR(IF(SUMIFS(tblDaily[Discharges],tblDaily[EntryDate],DATE(2026,3,10),tblDaily[WardCode],"BF")=0,"",SUMIFS(tblDaily[Discharges],tblDaily[EntryDate],DATE(2026,3,10),tblDaily[WardCode],"BF")),"")</f>
        <v>1</v>
      </c>
      <c r="D94" s="29" t="str">
        <f>IFERROR(IF(SUMIFS(tblDaily[Deaths],tblDaily[EntryDate],DATE(2026,3,10),tblDaily[WardCode],"BF")=0,"",SUMIFS(tblDaily[Deaths],tblDaily[EntryDate],DATE(2026,3,10),tblDaily[WardCode],"BF")),"")</f>
        <v/>
      </c>
      <c r="E94" s="29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29" t="str">
        <f>IFERROR(IF(SUMIFS(tblDaily[TransfersIn],tblDaily[EntryDate],DATE(2026,3,10),tblDaily[WardCode],"BF")=0,"",SUMIFS(tblDaily[TransfersIn],tblDaily[EntryDate],DATE(2026,3,10),tblDaily[WardCode],"BF")),"")</f>
        <v/>
      </c>
      <c r="G94" s="29" t="str">
        <f>IFERROR(IF(SUMIFS(tblDaily[TransfersOut],tblDaily[EntryDate],DATE(2026,3,10),tblDaily[WardCode],"BF")=0,"",SUMIFS(tblDaily[TransfersOut],tblDaily[EntryDate],DATE(2026,3,10),tblDaily[WardCode],"BF")),"")</f>
        <v/>
      </c>
      <c r="H94" s="29">
        <f>IFERROR(IF(SUMIFS(tblDaily[Remaining],tblDaily[EntryDate],DATE(2026,3,10),tblDaily[WardCode],"BF")=0,"",SUMIFS(tblDaily[Remaining],tblDaily[EntryDate],DATE(2026,3,10),tblDaily[WardCode],"BF")),"")</f>
        <v>8</v>
      </c>
    </row>
    <row r="95" spans="1:8" x14ac:dyDescent="0.25">
      <c r="A95" s="29">
        <v>11</v>
      </c>
      <c r="B95" s="29">
        <f>IFERROR(IF(SUMIFS(tblDaily[Admissions],tblDaily[EntryDate],DATE(2026,3,11),tblDaily[WardCode],"BF")=0,"",SUMIFS(tblDaily[Admissions],tblDaily[EntryDate],DATE(2026,3,11),tblDaily[WardCode],"BF")),"")</f>
        <v>3</v>
      </c>
      <c r="C95" s="29">
        <f>IFERROR(IF(SUMIFS(tblDaily[Discharges],tblDaily[EntryDate],DATE(2026,3,11),tblDaily[WardCode],"BF")=0,"",SUMIFS(tblDaily[Discharges],tblDaily[EntryDate],DATE(2026,3,11),tblDaily[WardCode],"BF")),"")</f>
        <v>1</v>
      </c>
      <c r="D95" s="29" t="str">
        <f>IFERROR(IF(SUMIFS(tblDaily[Deaths],tblDaily[EntryDate],DATE(2026,3,11),tblDaily[WardCode],"BF")=0,"",SUMIFS(tblDaily[Deaths],tblDaily[EntryDate],DATE(2026,3,11),tblDaily[WardCode],"BF")),"")</f>
        <v/>
      </c>
      <c r="E95" s="29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29" t="str">
        <f>IFERROR(IF(SUMIFS(tblDaily[TransfersIn],tblDaily[EntryDate],DATE(2026,3,11),tblDaily[WardCode],"BF")=0,"",SUMIFS(tblDaily[TransfersIn],tblDaily[EntryDate],DATE(2026,3,11),tblDaily[WardCode],"BF")),"")</f>
        <v/>
      </c>
      <c r="G95" s="29" t="str">
        <f>IFERROR(IF(SUMIFS(tblDaily[TransfersOut],tblDaily[EntryDate],DATE(2026,3,11),tblDaily[WardCode],"BF")=0,"",SUMIFS(tblDaily[TransfersOut],tblDaily[EntryDate],DATE(2026,3,11),tblDaily[WardCode],"BF")),"")</f>
        <v/>
      </c>
      <c r="H95" s="29">
        <f>IFERROR(IF(SUMIFS(tblDaily[Remaining],tblDaily[EntryDate],DATE(2026,3,11),tblDaily[WardCode],"BF")=0,"",SUMIFS(tblDaily[Remaining],tblDaily[EntryDate],DATE(2026,3,11),tblDaily[WardCode],"BF")),"")</f>
        <v>10</v>
      </c>
    </row>
    <row r="96" spans="1:8" x14ac:dyDescent="0.25">
      <c r="A96" s="29">
        <v>12</v>
      </c>
      <c r="B96" s="29">
        <f>IFERROR(IF(SUMIFS(tblDaily[Admissions],tblDaily[EntryDate],DATE(2026,3,12),tblDaily[WardCode],"BF")=0,"",SUMIFS(tblDaily[Admissions],tblDaily[EntryDate],DATE(2026,3,12),tblDaily[WardCode],"BF")),"")</f>
        <v>2</v>
      </c>
      <c r="C96" s="29">
        <f>IFERROR(IF(SUMIFS(tblDaily[Discharges],tblDaily[EntryDate],DATE(2026,3,12),tblDaily[WardCode],"BF")=0,"",SUMIFS(tblDaily[Discharges],tblDaily[EntryDate],DATE(2026,3,12),tblDaily[WardCode],"BF")),"")</f>
        <v>1</v>
      </c>
      <c r="D96" s="29" t="str">
        <f>IFERROR(IF(SUMIFS(tblDaily[Deaths],tblDaily[EntryDate],DATE(2026,3,12),tblDaily[WardCode],"BF")=0,"",SUMIFS(tblDaily[Deaths],tblDaily[EntryDate],DATE(2026,3,12),tblDaily[WardCode],"BF")),"")</f>
        <v/>
      </c>
      <c r="E96" s="29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29" t="str">
        <f>IFERROR(IF(SUMIFS(tblDaily[TransfersIn],tblDaily[EntryDate],DATE(2026,3,12),tblDaily[WardCode],"BF")=0,"",SUMIFS(tblDaily[TransfersIn],tblDaily[EntryDate],DATE(2026,3,12),tblDaily[WardCode],"BF")),"")</f>
        <v/>
      </c>
      <c r="G96" s="29" t="str">
        <f>IFERROR(IF(SUMIFS(tblDaily[TransfersOut],tblDaily[EntryDate],DATE(2026,3,12),tblDaily[WardCode],"BF")=0,"",SUMIFS(tblDaily[TransfersOut],tblDaily[EntryDate],DATE(2026,3,12),tblDaily[WardCode],"BF")),"")</f>
        <v/>
      </c>
      <c r="H96" s="29">
        <f>IFERROR(IF(SUMIFS(tblDaily[Remaining],tblDaily[EntryDate],DATE(2026,3,12),tblDaily[WardCode],"BF")=0,"",SUMIFS(tblDaily[Remaining],tblDaily[EntryDate],DATE(2026,3,12),tblDaily[WardCode],"BF")),"")</f>
        <v>11</v>
      </c>
    </row>
    <row r="97" spans="1:8" x14ac:dyDescent="0.25">
      <c r="A97" s="29">
        <v>13</v>
      </c>
      <c r="B97" s="29">
        <f>IFERROR(IF(SUMIFS(tblDaily[Admissions],tblDaily[EntryDate],DATE(2026,3,13),tblDaily[WardCode],"BF")=0,"",SUMIFS(tblDaily[Admissions],tblDaily[EntryDate],DATE(2026,3,13),tblDaily[WardCode],"BF")),"")</f>
        <v>3</v>
      </c>
      <c r="C97" s="29">
        <f>IFERROR(IF(SUMIFS(tblDaily[Discharges],tblDaily[EntryDate],DATE(2026,3,13),tblDaily[WardCode],"BF")=0,"",SUMIFS(tblDaily[Discharges],tblDaily[EntryDate],DATE(2026,3,13),tblDaily[WardCode],"BF")),"")</f>
        <v>2</v>
      </c>
      <c r="D97" s="29" t="str">
        <f>IFERROR(IF(SUMIFS(tblDaily[Deaths],tblDaily[EntryDate],DATE(2026,3,13),tblDaily[WardCode],"BF")=0,"",SUMIFS(tblDaily[Deaths],tblDaily[EntryDate],DATE(2026,3,13),tblDaily[WardCode],"BF")),"")</f>
        <v/>
      </c>
      <c r="E97" s="29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29">
        <f>IFERROR(IF(SUMIFS(tblDaily[TransfersIn],tblDaily[EntryDate],DATE(2026,3,13),tblDaily[WardCode],"BF")=0,"",SUMIFS(tblDaily[TransfersIn],tblDaily[EntryDate],DATE(2026,3,13),tblDaily[WardCode],"BF")),"")</f>
        <v>1</v>
      </c>
      <c r="G97" s="29" t="str">
        <f>IFERROR(IF(SUMIFS(tblDaily[TransfersOut],tblDaily[EntryDate],DATE(2026,3,13),tblDaily[WardCode],"BF")=0,"",SUMIFS(tblDaily[TransfersOut],tblDaily[EntryDate],DATE(2026,3,13),tblDaily[WardCode],"BF")),"")</f>
        <v/>
      </c>
      <c r="H97" s="29">
        <f>IFERROR(IF(SUMIFS(tblDaily[Remaining],tblDaily[EntryDate],DATE(2026,3,13),tblDaily[WardCode],"BF")=0,"",SUMIFS(tblDaily[Remaining],tblDaily[EntryDate],DATE(2026,3,13),tblDaily[WardCode],"BF")),"")</f>
        <v>13</v>
      </c>
    </row>
    <row r="98" spans="1:8" x14ac:dyDescent="0.25">
      <c r="A98" s="29">
        <v>14</v>
      </c>
      <c r="B98" s="29" t="str">
        <f>IFERROR(IF(SUMIFS(tblDaily[Admissions],tblDaily[EntryDate],DATE(2026,3,14),tblDaily[WardCode],"BF")=0,"",SUMIFS(tblDaily[Admissions],tblDaily[EntryDate],DATE(2026,3,14),tblDaily[WardCode],"BF")),"")</f>
        <v/>
      </c>
      <c r="C98" s="29">
        <f>IFERROR(IF(SUMIFS(tblDaily[Discharges],tblDaily[EntryDate],DATE(2026,3,14),tblDaily[WardCode],"BF")=0,"",SUMIFS(tblDaily[Discharges],tblDaily[EntryDate],DATE(2026,3,14),tblDaily[WardCode],"BF")),"")</f>
        <v>2</v>
      </c>
      <c r="D98" s="29" t="str">
        <f>IFERROR(IF(SUMIFS(tblDaily[Deaths],tblDaily[EntryDate],DATE(2026,3,14),tblDaily[WardCode],"BF")=0,"",SUMIFS(tblDaily[Deaths],tblDaily[EntryDate],DATE(2026,3,14),tblDaily[WardCode],"BF")),"")</f>
        <v/>
      </c>
      <c r="E98" s="29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29" t="str">
        <f>IFERROR(IF(SUMIFS(tblDaily[TransfersIn],tblDaily[EntryDate],DATE(2026,3,14),tblDaily[WardCode],"BF")=0,"",SUMIFS(tblDaily[TransfersIn],tblDaily[EntryDate],DATE(2026,3,14),tblDaily[WardCode],"BF")),"")</f>
        <v/>
      </c>
      <c r="G98" s="29" t="str">
        <f>IFERROR(IF(SUMIFS(tblDaily[TransfersOut],tblDaily[EntryDate],DATE(2026,3,14),tblDaily[WardCode],"BF")=0,"",SUMIFS(tblDaily[TransfersOut],tblDaily[EntryDate],DATE(2026,3,14),tblDaily[WardCode],"BF")),"")</f>
        <v/>
      </c>
      <c r="H98" s="29">
        <f>IFERROR(IF(SUMIFS(tblDaily[Remaining],tblDaily[EntryDate],DATE(2026,3,14),tblDaily[WardCode],"BF")=0,"",SUMIFS(tblDaily[Remaining],tblDaily[EntryDate],DATE(2026,3,14),tblDaily[WardCode],"BF")),"")</f>
        <v>11</v>
      </c>
    </row>
    <row r="99" spans="1:8" x14ac:dyDescent="0.25">
      <c r="A99" s="29">
        <v>15</v>
      </c>
      <c r="B99" s="29">
        <f>IFERROR(IF(SUMIFS(tblDaily[Admissions],tblDaily[EntryDate],DATE(2026,3,15),tblDaily[WardCode],"BF")=0,"",SUMIFS(tblDaily[Admissions],tblDaily[EntryDate],DATE(2026,3,15),tblDaily[WardCode],"BF")),"")</f>
        <v>4</v>
      </c>
      <c r="C99" s="29">
        <f>IFERROR(IF(SUMIFS(tblDaily[Discharges],tblDaily[EntryDate],DATE(2026,3,15),tblDaily[WardCode],"BF")=0,"",SUMIFS(tblDaily[Discharges],tblDaily[EntryDate],DATE(2026,3,15),tblDaily[WardCode],"BF")),"")</f>
        <v>2</v>
      </c>
      <c r="D99" s="29" t="str">
        <f>IFERROR(IF(SUMIFS(tblDaily[Deaths],tblDaily[EntryDate],DATE(2026,3,15),tblDaily[WardCode],"BF")=0,"",SUMIFS(tblDaily[Deaths],tblDaily[EntryDate],DATE(2026,3,15),tblDaily[WardCode],"BF")),"")</f>
        <v/>
      </c>
      <c r="E99" s="29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29" t="str">
        <f>IFERROR(IF(SUMIFS(tblDaily[TransfersIn],tblDaily[EntryDate],DATE(2026,3,15),tblDaily[WardCode],"BF")=0,"",SUMIFS(tblDaily[TransfersIn],tblDaily[EntryDate],DATE(2026,3,15),tblDaily[WardCode],"BF")),"")</f>
        <v/>
      </c>
      <c r="G99" s="29">
        <f>IFERROR(IF(SUMIFS(tblDaily[TransfersOut],tblDaily[EntryDate],DATE(2026,3,15),tblDaily[WardCode],"BF")=0,"",SUMIFS(tblDaily[TransfersOut],tblDaily[EntryDate],DATE(2026,3,15),tblDaily[WardCode],"BF")),"")</f>
        <v>1</v>
      </c>
      <c r="H99" s="29">
        <f>IFERROR(IF(SUMIFS(tblDaily[Remaining],tblDaily[EntryDate],DATE(2026,3,15),tblDaily[WardCode],"BF")=0,"",SUMIFS(tblDaily[Remaining],tblDaily[EntryDate],DATE(2026,3,15),tblDaily[WardCode],"BF")),"")</f>
        <v>12</v>
      </c>
    </row>
    <row r="100" spans="1:8" x14ac:dyDescent="0.25">
      <c r="A100" s="29">
        <v>16</v>
      </c>
      <c r="B100" s="29">
        <f>IFERROR(IF(SUMIFS(tblDaily[Admissions],tblDaily[EntryDate],DATE(2026,3,16),tblDaily[WardCode],"BF")=0,"",SUMIFS(tblDaily[Admissions],tblDaily[EntryDate],DATE(2026,3,16),tblDaily[WardCode],"BF")),"")</f>
        <v>2</v>
      </c>
      <c r="C100" s="29">
        <f>IFERROR(IF(SUMIFS(tblDaily[Discharges],tblDaily[EntryDate],DATE(2026,3,16),tblDaily[WardCode],"BF")=0,"",SUMIFS(tblDaily[Discharges],tblDaily[EntryDate],DATE(2026,3,16),tblDaily[WardCode],"BF")),"")</f>
        <v>2</v>
      </c>
      <c r="D100" s="29" t="str">
        <f>IFERROR(IF(SUMIFS(tblDaily[Deaths],tblDaily[EntryDate],DATE(2026,3,16),tblDaily[WardCode],"BF")=0,"",SUMIFS(tblDaily[Deaths],tblDaily[EntryDate],DATE(2026,3,16),tblDaily[WardCode],"BF")),"")</f>
        <v/>
      </c>
      <c r="E100" s="29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29" t="str">
        <f>IFERROR(IF(SUMIFS(tblDaily[TransfersIn],tblDaily[EntryDate],DATE(2026,3,16),tblDaily[WardCode],"BF")=0,"",SUMIFS(tblDaily[TransfersIn],tblDaily[EntryDate],DATE(2026,3,16),tblDaily[WardCode],"BF")),"")</f>
        <v/>
      </c>
      <c r="G100" s="29" t="str">
        <f>IFERROR(IF(SUMIFS(tblDaily[TransfersOut],tblDaily[EntryDate],DATE(2026,3,16),tblDaily[WardCode],"BF")=0,"",SUMIFS(tblDaily[TransfersOut],tblDaily[EntryDate],DATE(2026,3,16),tblDaily[WardCode],"BF")),"")</f>
        <v/>
      </c>
      <c r="H100" s="29">
        <f>IFERROR(IF(SUMIFS(tblDaily[Remaining],tblDaily[EntryDate],DATE(2026,3,16),tblDaily[WardCode],"BF")=0,"",SUMIFS(tblDaily[Remaining],tblDaily[EntryDate],DATE(2026,3,16),tblDaily[WardCode],"BF")),"")</f>
        <v>12</v>
      </c>
    </row>
    <row r="101" spans="1:8" x14ac:dyDescent="0.25">
      <c r="A101" s="29">
        <v>17</v>
      </c>
      <c r="B101" s="29">
        <f>IFERROR(IF(SUMIFS(tblDaily[Admissions],tblDaily[EntryDate],DATE(2026,3,17),tblDaily[WardCode],"BF")=0,"",SUMIFS(tblDaily[Admissions],tblDaily[EntryDate],DATE(2026,3,17),tblDaily[WardCode],"BF")),"")</f>
        <v>1</v>
      </c>
      <c r="C101" s="29">
        <f>IFERROR(IF(SUMIFS(tblDaily[Discharges],tblDaily[EntryDate],DATE(2026,3,17),tblDaily[WardCode],"BF")=0,"",SUMIFS(tblDaily[Discharges],tblDaily[EntryDate],DATE(2026,3,17),tblDaily[WardCode],"BF")),"")</f>
        <v>2</v>
      </c>
      <c r="D101" s="29" t="str">
        <f>IFERROR(IF(SUMIFS(tblDaily[Deaths],tblDaily[EntryDate],DATE(2026,3,17),tblDaily[WardCode],"BF")=0,"",SUMIFS(tblDaily[Deaths],tblDaily[EntryDate],DATE(2026,3,17),tblDaily[WardCode],"BF")),"")</f>
        <v/>
      </c>
      <c r="E101" s="29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29" t="str">
        <f>IFERROR(IF(SUMIFS(tblDaily[TransfersIn],tblDaily[EntryDate],DATE(2026,3,17),tblDaily[WardCode],"BF")=0,"",SUMIFS(tblDaily[TransfersIn],tblDaily[EntryDate],DATE(2026,3,17),tblDaily[WardCode],"BF")),"")</f>
        <v/>
      </c>
      <c r="G101" s="29" t="str">
        <f>IFERROR(IF(SUMIFS(tblDaily[TransfersOut],tblDaily[EntryDate],DATE(2026,3,17),tblDaily[WardCode],"BF")=0,"",SUMIFS(tblDaily[TransfersOut],tblDaily[EntryDate],DATE(2026,3,17),tblDaily[WardCode],"BF")),"")</f>
        <v/>
      </c>
      <c r="H101" s="29">
        <f>IFERROR(IF(SUMIFS(tblDaily[Remaining],tblDaily[EntryDate],DATE(2026,3,17),tblDaily[WardCode],"BF")=0,"",SUMIFS(tblDaily[Remaining],tblDaily[EntryDate],DATE(2026,3,17),tblDaily[WardCode],"BF")),"")</f>
        <v>11</v>
      </c>
    </row>
    <row r="102" spans="1:8" x14ac:dyDescent="0.25">
      <c r="A102" s="29">
        <v>18</v>
      </c>
      <c r="B102" s="29">
        <f>IFERROR(IF(SUMIFS(tblDaily[Admissions],tblDaily[EntryDate],DATE(2026,3,18),tblDaily[WardCode],"BF")=0,"",SUMIFS(tblDaily[Admissions],tblDaily[EntryDate],DATE(2026,3,18),tblDaily[WardCode],"BF")),"")</f>
        <v>3</v>
      </c>
      <c r="C102" s="29" t="str">
        <f>IFERROR(IF(SUMIFS(tblDaily[Discharges],tblDaily[EntryDate],DATE(2026,3,18),tblDaily[WardCode],"BF")=0,"",SUMIFS(tblDaily[Discharges],tblDaily[EntryDate],DATE(2026,3,18),tblDaily[WardCode],"BF")),"")</f>
        <v/>
      </c>
      <c r="D102" s="29" t="str">
        <f>IFERROR(IF(SUMIFS(tblDaily[Deaths],tblDaily[EntryDate],DATE(2026,3,18),tblDaily[WardCode],"BF")=0,"",SUMIFS(tblDaily[Deaths],tblDaily[EntryDate],DATE(2026,3,18),tblDaily[WardCode],"BF")),"")</f>
        <v/>
      </c>
      <c r="E102" s="29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29" t="str">
        <f>IFERROR(IF(SUMIFS(tblDaily[TransfersIn],tblDaily[EntryDate],DATE(2026,3,18),tblDaily[WardCode],"BF")=0,"",SUMIFS(tblDaily[TransfersIn],tblDaily[EntryDate],DATE(2026,3,18),tblDaily[WardCode],"BF")),"")</f>
        <v/>
      </c>
      <c r="G102" s="29" t="str">
        <f>IFERROR(IF(SUMIFS(tblDaily[TransfersOut],tblDaily[EntryDate],DATE(2026,3,18),tblDaily[WardCode],"BF")=0,"",SUMIFS(tblDaily[TransfersOut],tblDaily[EntryDate],DATE(2026,3,18),tblDaily[WardCode],"BF")),"")</f>
        <v/>
      </c>
      <c r="H102" s="29">
        <f>IFERROR(IF(SUMIFS(tblDaily[Remaining],tblDaily[EntryDate],DATE(2026,3,18),tblDaily[WardCode],"BF")=0,"",SUMIFS(tblDaily[Remaining],tblDaily[EntryDate],DATE(2026,3,18),tblDaily[WardCode],"BF")),"")</f>
        <v>14</v>
      </c>
    </row>
    <row r="103" spans="1:8" x14ac:dyDescent="0.25">
      <c r="A103" s="29">
        <v>19</v>
      </c>
      <c r="B103" s="29">
        <f>IFERROR(IF(SUMIFS(tblDaily[Admissions],tblDaily[EntryDate],DATE(2026,3,19),tblDaily[WardCode],"BF")=0,"",SUMIFS(tblDaily[Admissions],tblDaily[EntryDate],DATE(2026,3,19),tblDaily[WardCode],"BF")),"")</f>
        <v>3</v>
      </c>
      <c r="C103" s="29">
        <f>IFERROR(IF(SUMIFS(tblDaily[Discharges],tblDaily[EntryDate],DATE(2026,3,19),tblDaily[WardCode],"BF")=0,"",SUMIFS(tblDaily[Discharges],tblDaily[EntryDate],DATE(2026,3,19),tblDaily[WardCode],"BF")),"")</f>
        <v>4</v>
      </c>
      <c r="D103" s="29" t="str">
        <f>IFERROR(IF(SUMIFS(tblDaily[Deaths],tblDaily[EntryDate],DATE(2026,3,19),tblDaily[WardCode],"BF")=0,"",SUMIFS(tblDaily[Deaths],tblDaily[EntryDate],DATE(2026,3,19),tblDaily[WardCode],"BF")),"")</f>
        <v/>
      </c>
      <c r="E103" s="29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29" t="str">
        <f>IFERROR(IF(SUMIFS(tblDaily[TransfersIn],tblDaily[EntryDate],DATE(2026,3,19),tblDaily[WardCode],"BF")=0,"",SUMIFS(tblDaily[TransfersIn],tblDaily[EntryDate],DATE(2026,3,19),tblDaily[WardCode],"BF")),"")</f>
        <v/>
      </c>
      <c r="G103" s="29">
        <f>IFERROR(IF(SUMIFS(tblDaily[TransfersOut],tblDaily[EntryDate],DATE(2026,3,19),tblDaily[WardCode],"BF")=0,"",SUMIFS(tblDaily[TransfersOut],tblDaily[EntryDate],DATE(2026,3,19),tblDaily[WardCode],"BF")),"")</f>
        <v>1</v>
      </c>
      <c r="H103" s="29">
        <f>IFERROR(IF(SUMIFS(tblDaily[Remaining],tblDaily[EntryDate],DATE(2026,3,19),tblDaily[WardCode],"BF")=0,"",SUMIFS(tblDaily[Remaining],tblDaily[EntryDate],DATE(2026,3,19),tblDaily[WardCode],"BF")),"")</f>
        <v>12</v>
      </c>
    </row>
    <row r="104" spans="1:8" x14ac:dyDescent="0.25">
      <c r="A104" s="29">
        <v>20</v>
      </c>
      <c r="B104" s="29">
        <f>IFERROR(IF(SUMIFS(tblDaily[Admissions],tblDaily[EntryDate],DATE(2026,3,20),tblDaily[WardCode],"BF")=0,"",SUMIFS(tblDaily[Admissions],tblDaily[EntryDate],DATE(2026,3,20),tblDaily[WardCode],"BF")),"")</f>
        <v>2</v>
      </c>
      <c r="C104" s="29">
        <f>IFERROR(IF(SUMIFS(tblDaily[Discharges],tblDaily[EntryDate],DATE(2026,3,20),tblDaily[WardCode],"BF")=0,"",SUMIFS(tblDaily[Discharges],tblDaily[EntryDate],DATE(2026,3,20),tblDaily[WardCode],"BF")),"")</f>
        <v>4</v>
      </c>
      <c r="D104" s="29" t="str">
        <f>IFERROR(IF(SUMIFS(tblDaily[Deaths],tblDaily[EntryDate],DATE(2026,3,20),tblDaily[WardCode],"BF")=0,"",SUMIFS(tblDaily[Deaths],tblDaily[EntryDate],DATE(2026,3,20),tblDaily[WardCode],"BF")),"")</f>
        <v/>
      </c>
      <c r="E104" s="29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29" t="str">
        <f>IFERROR(IF(SUMIFS(tblDaily[TransfersIn],tblDaily[EntryDate],DATE(2026,3,20),tblDaily[WardCode],"BF")=0,"",SUMIFS(tblDaily[TransfersIn],tblDaily[EntryDate],DATE(2026,3,20),tblDaily[WardCode],"BF")),"")</f>
        <v/>
      </c>
      <c r="G104" s="29" t="str">
        <f>IFERROR(IF(SUMIFS(tblDaily[TransfersOut],tblDaily[EntryDate],DATE(2026,3,20),tblDaily[WardCode],"BF")=0,"",SUMIFS(tblDaily[TransfersOut],tblDaily[EntryDate],DATE(2026,3,20),tblDaily[WardCode],"BF")),"")</f>
        <v/>
      </c>
      <c r="H104" s="29">
        <f>IFERROR(IF(SUMIFS(tblDaily[Remaining],tblDaily[EntryDate],DATE(2026,3,20),tblDaily[WardCode],"BF")=0,"",SUMIFS(tblDaily[Remaining],tblDaily[EntryDate],DATE(2026,3,20),tblDaily[WardCode],"BF")),"")</f>
        <v>10</v>
      </c>
    </row>
    <row r="105" spans="1:8" x14ac:dyDescent="0.25">
      <c r="A105" s="29">
        <v>21</v>
      </c>
      <c r="B105" s="29">
        <f>IFERROR(IF(SUMIFS(tblDaily[Admissions],tblDaily[EntryDate],DATE(2026,3,21),tblDaily[WardCode],"BF")=0,"",SUMIFS(tblDaily[Admissions],tblDaily[EntryDate],DATE(2026,3,21),tblDaily[WardCode],"BF")),"")</f>
        <v>2</v>
      </c>
      <c r="C105" s="29">
        <f>IFERROR(IF(SUMIFS(tblDaily[Discharges],tblDaily[EntryDate],DATE(2026,3,21),tblDaily[WardCode],"BF")=0,"",SUMIFS(tblDaily[Discharges],tblDaily[EntryDate],DATE(2026,3,21),tblDaily[WardCode],"BF")),"")</f>
        <v>2</v>
      </c>
      <c r="D105" s="29" t="str">
        <f>IFERROR(IF(SUMIFS(tblDaily[Deaths],tblDaily[EntryDate],DATE(2026,3,21),tblDaily[WardCode],"BF")=0,"",SUMIFS(tblDaily[Deaths],tblDaily[EntryDate],DATE(2026,3,21),tblDaily[WardCode],"BF")),"")</f>
        <v/>
      </c>
      <c r="E105" s="29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29" t="str">
        <f>IFERROR(IF(SUMIFS(tblDaily[TransfersIn],tblDaily[EntryDate],DATE(2026,3,21),tblDaily[WardCode],"BF")=0,"",SUMIFS(tblDaily[TransfersIn],tblDaily[EntryDate],DATE(2026,3,21),tblDaily[WardCode],"BF")),"")</f>
        <v/>
      </c>
      <c r="G105" s="29" t="str">
        <f>IFERROR(IF(SUMIFS(tblDaily[TransfersOut],tblDaily[EntryDate],DATE(2026,3,21),tblDaily[WardCode],"BF")=0,"",SUMIFS(tblDaily[TransfersOut],tblDaily[EntryDate],DATE(2026,3,21),tblDaily[WardCode],"BF")),"")</f>
        <v/>
      </c>
      <c r="H105" s="29">
        <f>IFERROR(IF(SUMIFS(tblDaily[Remaining],tblDaily[EntryDate],DATE(2026,3,21),tblDaily[WardCode],"BF")=0,"",SUMIFS(tblDaily[Remaining],tblDaily[EntryDate],DATE(2026,3,21),tblDaily[WardCode],"BF")),"")</f>
        <v>10</v>
      </c>
    </row>
    <row r="106" spans="1:8" x14ac:dyDescent="0.25">
      <c r="A106" s="29">
        <v>22</v>
      </c>
      <c r="B106" s="29" t="str">
        <f>IFERROR(IF(SUMIFS(tblDaily[Admissions],tblDaily[EntryDate],DATE(2026,3,22),tblDaily[WardCode],"BF")=0,"",SUMIFS(tblDaily[Admissions],tblDaily[EntryDate],DATE(2026,3,22),tblDaily[WardCode],"BF")),"")</f>
        <v/>
      </c>
      <c r="C106" s="29">
        <f>IFERROR(IF(SUMIFS(tblDaily[Discharges],tblDaily[EntryDate],DATE(2026,3,22),tblDaily[WardCode],"BF")=0,"",SUMIFS(tblDaily[Discharges],tblDaily[EntryDate],DATE(2026,3,22),tblDaily[WardCode],"BF")),"")</f>
        <v>3</v>
      </c>
      <c r="D106" s="29">
        <f>IFERROR(IF(SUMIFS(tblDaily[Deaths],tblDaily[EntryDate],DATE(2026,3,22),tblDaily[WardCode],"BF")=0,"",SUMIFS(tblDaily[Deaths],tblDaily[EntryDate],DATE(2026,3,22),tblDaily[WardCode],"BF")),"")</f>
        <v>1</v>
      </c>
      <c r="E106" s="29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29" t="str">
        <f>IFERROR(IF(SUMIFS(tblDaily[TransfersIn],tblDaily[EntryDate],DATE(2026,3,22),tblDaily[WardCode],"BF")=0,"",SUMIFS(tblDaily[TransfersIn],tblDaily[EntryDate],DATE(2026,3,22),tblDaily[WardCode],"BF")),"")</f>
        <v/>
      </c>
      <c r="G106" s="29" t="str">
        <f>IFERROR(IF(SUMIFS(tblDaily[TransfersOut],tblDaily[EntryDate],DATE(2026,3,22),tblDaily[WardCode],"BF")=0,"",SUMIFS(tblDaily[TransfersOut],tblDaily[EntryDate],DATE(2026,3,22),tblDaily[WardCode],"BF")),"")</f>
        <v/>
      </c>
      <c r="H106" s="29">
        <f>IFERROR(IF(SUMIFS(tblDaily[Remaining],tblDaily[EntryDate],DATE(2026,3,22),tblDaily[WardCode],"BF")=0,"",SUMIFS(tblDaily[Remaining],tblDaily[EntryDate],DATE(2026,3,22),tblDaily[WardCode],"BF")),"")</f>
        <v>6</v>
      </c>
    </row>
    <row r="107" spans="1:8" x14ac:dyDescent="0.25">
      <c r="A107" s="29">
        <v>23</v>
      </c>
      <c r="B107" s="29">
        <f>IFERROR(IF(SUMIFS(tblDaily[Admissions],tblDaily[EntryDate],DATE(2026,3,23),tblDaily[WardCode],"BF")=0,"",SUMIFS(tblDaily[Admissions],tblDaily[EntryDate],DATE(2026,3,23),tblDaily[WardCode],"BF")),"")</f>
        <v>3</v>
      </c>
      <c r="C107" s="29">
        <f>IFERROR(IF(SUMIFS(tblDaily[Discharges],tblDaily[EntryDate],DATE(2026,3,23),tblDaily[WardCode],"BF")=0,"",SUMIFS(tblDaily[Discharges],tblDaily[EntryDate],DATE(2026,3,23),tblDaily[WardCode],"BF")),"")</f>
        <v>2</v>
      </c>
      <c r="D107" s="29" t="str">
        <f>IFERROR(IF(SUMIFS(tblDaily[Deaths],tblDaily[EntryDate],DATE(2026,3,23),tblDaily[WardCode],"BF")=0,"",SUMIFS(tblDaily[Deaths],tblDaily[EntryDate],DATE(2026,3,23),tblDaily[WardCode],"BF")),"")</f>
        <v/>
      </c>
      <c r="E107" s="29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29" t="str">
        <f>IFERROR(IF(SUMIFS(tblDaily[TransfersIn],tblDaily[EntryDate],DATE(2026,3,23),tblDaily[WardCode],"BF")=0,"",SUMIFS(tblDaily[TransfersIn],tblDaily[EntryDate],DATE(2026,3,23),tblDaily[WardCode],"BF")),"")</f>
        <v/>
      </c>
      <c r="G107" s="29" t="str">
        <f>IFERROR(IF(SUMIFS(tblDaily[TransfersOut],tblDaily[EntryDate],DATE(2026,3,23),tblDaily[WardCode],"BF")=0,"",SUMIFS(tblDaily[TransfersOut],tblDaily[EntryDate],DATE(2026,3,23),tblDaily[WardCode],"BF")),"")</f>
        <v/>
      </c>
      <c r="H107" s="29">
        <f>IFERROR(IF(SUMIFS(tblDaily[Remaining],tblDaily[EntryDate],DATE(2026,3,23),tblDaily[WardCode],"BF")=0,"",SUMIFS(tblDaily[Remaining],tblDaily[EntryDate],DATE(2026,3,23),tblDaily[WardCode],"BF")),"")</f>
        <v>7</v>
      </c>
    </row>
    <row r="108" spans="1:8" x14ac:dyDescent="0.25">
      <c r="A108" s="29">
        <v>24</v>
      </c>
      <c r="B108" s="29" t="str">
        <f>IFERROR(IF(SUMIFS(tblDaily[Admissions],tblDaily[EntryDate],DATE(2026,3,24),tblDaily[WardCode],"BF")=0,"",SUMIFS(tblDaily[Admissions],tblDaily[EntryDate],DATE(2026,3,24),tblDaily[WardCode],"BF")),"")</f>
        <v/>
      </c>
      <c r="C108" s="29" t="str">
        <f>IFERROR(IF(SUMIFS(tblDaily[Discharges],tblDaily[EntryDate],DATE(2026,3,24),tblDaily[WardCode],"BF")=0,"",SUMIFS(tblDaily[Discharges],tblDaily[EntryDate],DATE(2026,3,24),tblDaily[WardCode],"BF")),"")</f>
        <v/>
      </c>
      <c r="D108" s="29" t="str">
        <f>IFERROR(IF(SUMIFS(tblDaily[Deaths],tblDaily[EntryDate],DATE(2026,3,24),tblDaily[WardCode],"BF")=0,"",SUMIFS(tblDaily[Deaths],tblDaily[EntryDate],DATE(2026,3,24),tblDaily[WardCode],"BF")),"")</f>
        <v/>
      </c>
      <c r="E108" s="29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29" t="str">
        <f>IFERROR(IF(SUMIFS(tblDaily[TransfersIn],tblDaily[EntryDate],DATE(2026,3,24),tblDaily[WardCode],"BF")=0,"",SUMIFS(tblDaily[TransfersIn],tblDaily[EntryDate],DATE(2026,3,24),tblDaily[WardCode],"BF")),"")</f>
        <v/>
      </c>
      <c r="G108" s="29" t="str">
        <f>IFERROR(IF(SUMIFS(tblDaily[TransfersOut],tblDaily[EntryDate],DATE(2026,3,24),tblDaily[WardCode],"BF")=0,"",SUMIFS(tblDaily[TransfersOut],tblDaily[EntryDate],DATE(2026,3,24),tblDaily[WardCode],"BF")),"")</f>
        <v/>
      </c>
      <c r="H108" s="29">
        <f>IFERROR(IF(SUMIFS(tblDaily[Remaining],tblDaily[EntryDate],DATE(2026,3,24),tblDaily[WardCode],"BF")=0,"",SUMIFS(tblDaily[Remaining],tblDaily[EntryDate],DATE(2026,3,24),tblDaily[WardCode],"BF")),"")</f>
        <v>7</v>
      </c>
    </row>
    <row r="109" spans="1:8" x14ac:dyDescent="0.25">
      <c r="A109" s="29">
        <v>25</v>
      </c>
      <c r="B109" s="29" t="str">
        <f>IFERROR(IF(SUMIFS(tblDaily[Admissions],tblDaily[EntryDate],DATE(2026,3,25),tblDaily[WardCode],"BF")=0,"",SUMIFS(tblDaily[Admissions],tblDaily[EntryDate],DATE(2026,3,25),tblDaily[WardCode],"BF")),"")</f>
        <v/>
      </c>
      <c r="C109" s="29">
        <f>IFERROR(IF(SUMIFS(tblDaily[Discharges],tblDaily[EntryDate],DATE(2026,3,25),tblDaily[WardCode],"BF")=0,"",SUMIFS(tblDaily[Discharges],tblDaily[EntryDate],DATE(2026,3,25),tblDaily[WardCode],"BF")),"")</f>
        <v>2</v>
      </c>
      <c r="D109" s="29" t="str">
        <f>IFERROR(IF(SUMIFS(tblDaily[Deaths],tblDaily[EntryDate],DATE(2026,3,25),tblDaily[WardCode],"BF")=0,"",SUMIFS(tblDaily[Deaths],tblDaily[EntryDate],DATE(2026,3,25),tblDaily[WardCode],"BF")),"")</f>
        <v/>
      </c>
      <c r="E109" s="29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29" t="str">
        <f>IFERROR(IF(SUMIFS(tblDaily[TransfersIn],tblDaily[EntryDate],DATE(2026,3,25),tblDaily[WardCode],"BF")=0,"",SUMIFS(tblDaily[TransfersIn],tblDaily[EntryDate],DATE(2026,3,25),tblDaily[WardCode],"BF")),"")</f>
        <v/>
      </c>
      <c r="G109" s="29" t="str">
        <f>IFERROR(IF(SUMIFS(tblDaily[TransfersOut],tblDaily[EntryDate],DATE(2026,3,25),tblDaily[WardCode],"BF")=0,"",SUMIFS(tblDaily[TransfersOut],tblDaily[EntryDate],DATE(2026,3,25),tblDaily[WardCode],"BF")),"")</f>
        <v/>
      </c>
      <c r="H109" s="29">
        <f>IFERROR(IF(SUMIFS(tblDaily[Remaining],tblDaily[EntryDate],DATE(2026,3,25),tblDaily[WardCode],"BF")=0,"",SUMIFS(tblDaily[Remaining],tblDaily[EntryDate],DATE(2026,3,25),tblDaily[WardCode],"BF")),"")</f>
        <v>5</v>
      </c>
    </row>
    <row r="110" spans="1:8" x14ac:dyDescent="0.25">
      <c r="A110" s="29">
        <v>26</v>
      </c>
      <c r="B110" s="29">
        <f>IFERROR(IF(SUMIFS(tblDaily[Admissions],tblDaily[EntryDate],DATE(2026,3,26),tblDaily[WardCode],"BF")=0,"",SUMIFS(tblDaily[Admissions],tblDaily[EntryDate],DATE(2026,3,26),tblDaily[WardCode],"BF")),"")</f>
        <v>3</v>
      </c>
      <c r="C110" s="29">
        <f>IFERROR(IF(SUMIFS(tblDaily[Discharges],tblDaily[EntryDate],DATE(2026,3,26),tblDaily[WardCode],"BF")=0,"",SUMIFS(tblDaily[Discharges],tblDaily[EntryDate],DATE(2026,3,26),tblDaily[WardCode],"BF")),"")</f>
        <v>1</v>
      </c>
      <c r="D110" s="29" t="str">
        <f>IFERROR(IF(SUMIFS(tblDaily[Deaths],tblDaily[EntryDate],DATE(2026,3,26),tblDaily[WardCode],"BF")=0,"",SUMIFS(tblDaily[Deaths],tblDaily[EntryDate],DATE(2026,3,26),tblDaily[WardCode],"BF")),"")</f>
        <v/>
      </c>
      <c r="E110" s="29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29" t="str">
        <f>IFERROR(IF(SUMIFS(tblDaily[TransfersIn],tblDaily[EntryDate],DATE(2026,3,26),tblDaily[WardCode],"BF")=0,"",SUMIFS(tblDaily[TransfersIn],tblDaily[EntryDate],DATE(2026,3,26),tblDaily[WardCode],"BF")),"")</f>
        <v/>
      </c>
      <c r="G110" s="29" t="str">
        <f>IFERROR(IF(SUMIFS(tblDaily[TransfersOut],tblDaily[EntryDate],DATE(2026,3,26),tblDaily[WardCode],"BF")=0,"",SUMIFS(tblDaily[TransfersOut],tblDaily[EntryDate],DATE(2026,3,26),tblDaily[WardCode],"BF")),"")</f>
        <v/>
      </c>
      <c r="H110" s="29">
        <f>IFERROR(IF(SUMIFS(tblDaily[Remaining],tblDaily[EntryDate],DATE(2026,3,26),tblDaily[WardCode],"BF")=0,"",SUMIFS(tblDaily[Remaining],tblDaily[EntryDate],DATE(2026,3,26),tblDaily[WardCode],"BF")),"")</f>
        <v>7</v>
      </c>
    </row>
    <row r="111" spans="1:8" x14ac:dyDescent="0.25">
      <c r="A111" s="29">
        <v>27</v>
      </c>
      <c r="B111" s="29">
        <f>IFERROR(IF(SUMIFS(tblDaily[Admissions],tblDaily[EntryDate],DATE(2026,3,27),tblDaily[WardCode],"BF")=0,"",SUMIFS(tblDaily[Admissions],tblDaily[EntryDate],DATE(2026,3,27),tblDaily[WardCode],"BF")),"")</f>
        <v>1</v>
      </c>
      <c r="C111" s="29">
        <f>IFERROR(IF(SUMIFS(tblDaily[Discharges],tblDaily[EntryDate],DATE(2026,3,27),tblDaily[WardCode],"BF")=0,"",SUMIFS(tblDaily[Discharges],tblDaily[EntryDate],DATE(2026,3,27),tblDaily[WardCode],"BF")),"")</f>
        <v>1</v>
      </c>
      <c r="D111" s="29" t="str">
        <f>IFERROR(IF(SUMIFS(tblDaily[Deaths],tblDaily[EntryDate],DATE(2026,3,27),tblDaily[WardCode],"BF")=0,"",SUMIFS(tblDaily[Deaths],tblDaily[EntryDate],DATE(2026,3,27),tblDaily[WardCode],"BF")),"")</f>
        <v/>
      </c>
      <c r="E111" s="29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29" t="str">
        <f>IFERROR(IF(SUMIFS(tblDaily[TransfersIn],tblDaily[EntryDate],DATE(2026,3,27),tblDaily[WardCode],"BF")=0,"",SUMIFS(tblDaily[TransfersIn],tblDaily[EntryDate],DATE(2026,3,27),tblDaily[WardCode],"BF")),"")</f>
        <v/>
      </c>
      <c r="G111" s="29" t="str">
        <f>IFERROR(IF(SUMIFS(tblDaily[TransfersOut],tblDaily[EntryDate],DATE(2026,3,27),tblDaily[WardCode],"BF")=0,"",SUMIFS(tblDaily[TransfersOut],tblDaily[EntryDate],DATE(2026,3,27),tblDaily[WardCode],"BF")),"")</f>
        <v/>
      </c>
      <c r="H111" s="29">
        <f>IFERROR(IF(SUMIFS(tblDaily[Remaining],tblDaily[EntryDate],DATE(2026,3,27),tblDaily[WardCode],"BF")=0,"",SUMIFS(tblDaily[Remaining],tblDaily[EntryDate],DATE(2026,3,27),tblDaily[WardCode],"BF")),"")</f>
        <v>7</v>
      </c>
    </row>
    <row r="112" spans="1:8" x14ac:dyDescent="0.25">
      <c r="A112" s="29">
        <v>28</v>
      </c>
      <c r="B112" s="29" t="str">
        <f>IFERROR(IF(SUMIFS(tblDaily[Admissions],tblDaily[EntryDate],DATE(2026,3,28),tblDaily[WardCode],"BF")=0,"",SUMIFS(tblDaily[Admissions],tblDaily[EntryDate],DATE(2026,3,28),tblDaily[WardCode],"BF")),"")</f>
        <v/>
      </c>
      <c r="C112" s="29">
        <f>IFERROR(IF(SUMIFS(tblDaily[Discharges],tblDaily[EntryDate],DATE(2026,3,28),tblDaily[WardCode],"BF")=0,"",SUMIFS(tblDaily[Discharges],tblDaily[EntryDate],DATE(2026,3,28),tblDaily[WardCode],"BF")),"")</f>
        <v>1</v>
      </c>
      <c r="D112" s="29" t="str">
        <f>IFERROR(IF(SUMIFS(tblDaily[Deaths],tblDaily[EntryDate],DATE(2026,3,28),tblDaily[WardCode],"BF")=0,"",SUMIFS(tblDaily[Deaths],tblDaily[EntryDate],DATE(2026,3,28),tblDaily[WardCode],"BF")),"")</f>
        <v/>
      </c>
      <c r="E112" s="29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29" t="str">
        <f>IFERROR(IF(SUMIFS(tblDaily[TransfersIn],tblDaily[EntryDate],DATE(2026,3,28),tblDaily[WardCode],"BF")=0,"",SUMIFS(tblDaily[TransfersIn],tblDaily[EntryDate],DATE(2026,3,28),tblDaily[WardCode],"BF")),"")</f>
        <v/>
      </c>
      <c r="G112" s="29" t="str">
        <f>IFERROR(IF(SUMIFS(tblDaily[TransfersOut],tblDaily[EntryDate],DATE(2026,3,28),tblDaily[WardCode],"BF")=0,"",SUMIFS(tblDaily[TransfersOut],tblDaily[EntryDate],DATE(2026,3,28),tblDaily[WardCode],"BF")),"")</f>
        <v/>
      </c>
      <c r="H112" s="29">
        <f>IFERROR(IF(SUMIFS(tblDaily[Remaining],tblDaily[EntryDate],DATE(2026,3,28),tblDaily[WardCode],"BF")=0,"",SUMIFS(tblDaily[Remaining],tblDaily[EntryDate],DATE(2026,3,28),tblDaily[WardCode],"BF")),"")</f>
        <v>6</v>
      </c>
    </row>
    <row r="113" spans="1:8" x14ac:dyDescent="0.25">
      <c r="A113" s="29">
        <v>29</v>
      </c>
      <c r="B113" s="29" t="str">
        <f>IFERROR(IF(SUMIFS(tblDaily[Admissions],tblDaily[EntryDate],DATE(2026,3,29),tblDaily[WardCode],"BF")=0,"",SUMIFS(tblDaily[Admissions],tblDaily[EntryDate],DATE(2026,3,29),tblDaily[WardCode],"BF")),"")</f>
        <v/>
      </c>
      <c r="C113" s="29" t="str">
        <f>IFERROR(IF(SUMIFS(tblDaily[Discharges],tblDaily[EntryDate],DATE(2026,3,29),tblDaily[WardCode],"BF")=0,"",SUMIFS(tblDaily[Discharges],tblDaily[EntryDate],DATE(2026,3,29),tblDaily[WardCode],"BF")),"")</f>
        <v/>
      </c>
      <c r="D113" s="29" t="str">
        <f>IFERROR(IF(SUMIFS(tblDaily[Deaths],tblDaily[EntryDate],DATE(2026,3,29),tblDaily[WardCode],"BF")=0,"",SUMIFS(tblDaily[Deaths],tblDaily[EntryDate],DATE(2026,3,29),tblDaily[WardCode],"BF")),"")</f>
        <v/>
      </c>
      <c r="E113" s="29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29" t="str">
        <f>IFERROR(IF(SUMIFS(tblDaily[TransfersIn],tblDaily[EntryDate],DATE(2026,3,29),tblDaily[WardCode],"BF")=0,"",SUMIFS(tblDaily[TransfersIn],tblDaily[EntryDate],DATE(2026,3,29),tblDaily[WardCode],"BF")),"")</f>
        <v/>
      </c>
      <c r="G113" s="29" t="str">
        <f>IFERROR(IF(SUMIFS(tblDaily[TransfersOut],tblDaily[EntryDate],DATE(2026,3,29),tblDaily[WardCode],"BF")=0,"",SUMIFS(tblDaily[TransfersOut],tblDaily[EntryDate],DATE(2026,3,29),tblDaily[WardCode],"BF")),"")</f>
        <v/>
      </c>
      <c r="H113" s="29">
        <f>IFERROR(IF(SUMIFS(tblDaily[Remaining],tblDaily[EntryDate],DATE(2026,3,29),tblDaily[WardCode],"BF")=0,"",SUMIFS(tblDaily[Remaining],tblDaily[EntryDate],DATE(2026,3,29),tblDaily[WardCode],"BF")),"")</f>
        <v>6</v>
      </c>
    </row>
    <row r="114" spans="1:8" x14ac:dyDescent="0.25">
      <c r="A114" s="29">
        <v>30</v>
      </c>
      <c r="B114" s="29">
        <f>IFERROR(IF(SUMIFS(tblDaily[Admissions],tblDaily[EntryDate],DATE(2026,3,30),tblDaily[WardCode],"BF")=0,"",SUMIFS(tblDaily[Admissions],tblDaily[EntryDate],DATE(2026,3,30),tblDaily[WardCode],"BF")),"")</f>
        <v>3</v>
      </c>
      <c r="C114" s="29">
        <f>IFERROR(IF(SUMIFS(tblDaily[Discharges],tblDaily[EntryDate],DATE(2026,3,30),tblDaily[WardCode],"BF")=0,"",SUMIFS(tblDaily[Discharges],tblDaily[EntryDate],DATE(2026,3,30),tblDaily[WardCode],"BF")),"")</f>
        <v>1</v>
      </c>
      <c r="D114" s="29" t="str">
        <f>IFERROR(IF(SUMIFS(tblDaily[Deaths],tblDaily[EntryDate],DATE(2026,3,30),tblDaily[WardCode],"BF")=0,"",SUMIFS(tblDaily[Deaths],tblDaily[EntryDate],DATE(2026,3,30),tblDaily[WardCode],"BF")),"")</f>
        <v/>
      </c>
      <c r="E114" s="29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29" t="str">
        <f>IFERROR(IF(SUMIFS(tblDaily[TransfersIn],tblDaily[EntryDate],DATE(2026,3,30),tblDaily[WardCode],"BF")=0,"",SUMIFS(tblDaily[TransfersIn],tblDaily[EntryDate],DATE(2026,3,30),tblDaily[WardCode],"BF")),"")</f>
        <v/>
      </c>
      <c r="G114" s="29" t="str">
        <f>IFERROR(IF(SUMIFS(tblDaily[TransfersOut],tblDaily[EntryDate],DATE(2026,3,30),tblDaily[WardCode],"BF")=0,"",SUMIFS(tblDaily[TransfersOut],tblDaily[EntryDate],DATE(2026,3,30),tblDaily[WardCode],"BF")),"")</f>
        <v/>
      </c>
      <c r="H114" s="29">
        <f>IFERROR(IF(SUMIFS(tblDaily[Remaining],tblDaily[EntryDate],DATE(2026,3,30),tblDaily[WardCode],"BF")=0,"",SUMIFS(tblDaily[Remaining],tblDaily[EntryDate],DATE(2026,3,30),tblDaily[WardCode],"BF")),"")</f>
        <v>8</v>
      </c>
    </row>
    <row r="115" spans="1:8" x14ac:dyDescent="0.25">
      <c r="A115" s="29">
        <v>31</v>
      </c>
      <c r="B115" s="29">
        <f>IFERROR(IF(SUMIFS(tblDaily[Admissions],tblDaily[EntryDate],DATE(2026,3,31),tblDaily[WardCode],"BF")=0,"",SUMIFS(tblDaily[Admissions],tblDaily[EntryDate],DATE(2026,3,31),tblDaily[WardCode],"BF")),"")</f>
        <v>3</v>
      </c>
      <c r="C115" s="29">
        <f>IFERROR(IF(SUMIFS(tblDaily[Discharges],tblDaily[EntryDate],DATE(2026,3,31),tblDaily[WardCode],"BF")=0,"",SUMIFS(tblDaily[Discharges],tblDaily[EntryDate],DATE(2026,3,31),tblDaily[WardCode],"BF")),"")</f>
        <v>2</v>
      </c>
      <c r="D115" s="29" t="str">
        <f>IFERROR(IF(SUMIFS(tblDaily[Deaths],tblDaily[EntryDate],DATE(2026,3,31),tblDaily[WardCode],"BF")=0,"",SUMIFS(tblDaily[Deaths],tblDaily[EntryDate],DATE(2026,3,31),tblDaily[WardCode],"BF")),"")</f>
        <v/>
      </c>
      <c r="E115" s="29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29" t="str">
        <f>IFERROR(IF(SUMIFS(tblDaily[TransfersIn],tblDaily[EntryDate],DATE(2026,3,31),tblDaily[WardCode],"BF")=0,"",SUMIFS(tblDaily[TransfersIn],tblDaily[EntryDate],DATE(2026,3,31),tblDaily[WardCode],"BF")),"")</f>
        <v/>
      </c>
      <c r="G115" s="29" t="str">
        <f>IFERROR(IF(SUMIFS(tblDaily[TransfersOut],tblDaily[EntryDate],DATE(2026,3,31),tblDaily[WardCode],"BF")=0,"",SUMIFS(tblDaily[TransfersOut],tblDaily[EntryDate],DATE(2026,3,31),tblDaily[WardCode],"BF")),"")</f>
        <v/>
      </c>
      <c r="H115" s="29">
        <f>IFERROR(IF(SUMIFS(tblDaily[Remaining],tblDaily[EntryDate],DATE(2026,3,31),tblDaily[WardCode],"BF")=0,"",SUMIFS(tblDaily[Remaining],tblDaily[EntryDate],DATE(2026,3,31),tblDaily[WardCode],"BF")),"")</f>
        <v>9</v>
      </c>
    </row>
    <row r="116" spans="1:8" x14ac:dyDescent="0.25">
      <c r="A116" s="30" t="s">
        <v>115</v>
      </c>
      <c r="B116" s="30">
        <f>SUMIFS(tblDaily[Admissions],tblDaily[Month],3,tblDaily[WardCode],"BF") - SUMIFS(tblDaily[DeathsUnder24Hrs],tblDaily[Month],3,tblDaily[WardCode],"BF")</f>
        <v>65</v>
      </c>
      <c r="C116" s="30">
        <f>SUMIFS(tblDaily[Discharges],tblDaily[Month],3,tblDaily[WardCode],"BF")</f>
        <v>62</v>
      </c>
      <c r="D116" s="30">
        <f>SUMIFS(tblDaily[Deaths],tblDaily[Month],3,tblDaily[WardCode],"BF")</f>
        <v>1</v>
      </c>
      <c r="E116" s="30">
        <f>SUMIFS(tblDaily[DeathsUnder24Hrs],tblDaily[Month],3,tblDaily[WardCode],"BF")</f>
        <v>0</v>
      </c>
      <c r="F116" s="30">
        <f>SUMIFS(tblDaily[TransfersIn],tblDaily[Month],3,tblDaily[WardCode],"BF")</f>
        <v>1</v>
      </c>
      <c r="G116" s="30">
        <f>SUMIFS(tblDaily[TransfersOut],tblDaily[Month],3,tblDaily[WardCode],"BF")</f>
        <v>3</v>
      </c>
      <c r="H116" s="30">
        <f>SUMIFS(tblDaily[Remaining],tblDaily[Month],3,tblDaily[WardCode],"BF")</f>
        <v>293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118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IFERROR(SUMIFS(tblDaily[Remaining],tblDaily[EntryDate],DATE(2026,3,31),tblDaily[WardCode],"BF"),0)</f>
        <v>9</v>
      </c>
    </row>
    <row r="122" spans="1:8" x14ac:dyDescent="0.25">
      <c r="A122" s="24" t="s">
        <v>109</v>
      </c>
      <c r="H122" s="27">
        <f>IFERROR(INDEX(tblWardConfig[BedComplement],MATCH("BF",tblWardConfig[WardCode],0)),0)</f>
        <v>20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IFERROR(IF(SUMIFS(tblDaily[Admissions],tblDaily[EntryDate],DATE(2026,4,1),tblDaily[WardCode],"BF")=0,"",SUMIFS(tblDaily[Admissions],tblDaily[EntryDate],DATE(2026,4,1),tblDaily[WardCode],"BF")),"")</f>
        <v>2</v>
      </c>
      <c r="C124" s="29">
        <f>IFERROR(IF(SUMIFS(tblDaily[Discharges],tblDaily[EntryDate],DATE(2026,4,1),tblDaily[WardCode],"BF")=0,"",SUMIFS(tblDaily[Discharges],tblDaily[EntryDate],DATE(2026,4,1),tblDaily[WardCode],"BF")),"")</f>
        <v>2</v>
      </c>
      <c r="D124" s="29" t="str">
        <f>IFERROR(IF(SUMIFS(tblDaily[Deaths],tblDaily[EntryDate],DATE(2026,4,1),tblDaily[WardCode],"BF")=0,"",SUMIFS(tblDaily[Deaths],tblDaily[EntryDate],DATE(2026,4,1),tblDaily[WardCode],"BF")),"")</f>
        <v/>
      </c>
      <c r="E124" s="29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29" t="str">
        <f>IFERROR(IF(SUMIFS(tblDaily[TransfersIn],tblDaily[EntryDate],DATE(2026,4,1),tblDaily[WardCode],"BF")=0,"",SUMIFS(tblDaily[TransfersIn],tblDaily[EntryDate],DATE(2026,4,1),tblDaily[WardCode],"BF")),"")</f>
        <v/>
      </c>
      <c r="G124" s="29" t="str">
        <f>IFERROR(IF(SUMIFS(tblDaily[TransfersOut],tblDaily[EntryDate],DATE(2026,4,1),tblDaily[WardCode],"BF")=0,"",SUMIFS(tblDaily[TransfersOut],tblDaily[EntryDate],DATE(2026,4,1),tblDaily[WardCode],"BF")),"")</f>
        <v/>
      </c>
      <c r="H124" s="29">
        <f>IFERROR(IF(SUMIFS(tblDaily[Remaining],tblDaily[EntryDate],DATE(2026,4,1),tblDaily[WardCode],"BF")=0,"",SUMIFS(tblDaily[Remaining],tblDaily[EntryDate],DATE(2026,4,1),tblDaily[WardCode],"BF")),"")</f>
        <v>9</v>
      </c>
    </row>
    <row r="125" spans="1:8" x14ac:dyDescent="0.25">
      <c r="A125" s="29">
        <v>2</v>
      </c>
      <c r="B125" s="29">
        <f>IFERROR(IF(SUMIFS(tblDaily[Admissions],tblDaily[EntryDate],DATE(2026,4,2),tblDaily[WardCode],"BF")=0,"",SUMIFS(tblDaily[Admissions],tblDaily[EntryDate],DATE(2026,4,2),tblDaily[WardCode],"BF")),"")</f>
        <v>2</v>
      </c>
      <c r="C125" s="29">
        <f>IFERROR(IF(SUMIFS(tblDaily[Discharges],tblDaily[EntryDate],DATE(2026,4,2),tblDaily[WardCode],"BF")=0,"",SUMIFS(tblDaily[Discharges],tblDaily[EntryDate],DATE(2026,4,2),tblDaily[WardCode],"BF")),"")</f>
        <v>2</v>
      </c>
      <c r="D125" s="29" t="str">
        <f>IFERROR(IF(SUMIFS(tblDaily[Deaths],tblDaily[EntryDate],DATE(2026,4,2),tblDaily[WardCode],"BF")=0,"",SUMIFS(tblDaily[Deaths],tblDaily[EntryDate],DATE(2026,4,2),tblDaily[WardCode],"BF")),"")</f>
        <v/>
      </c>
      <c r="E125" s="29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29" t="str">
        <f>IFERROR(IF(SUMIFS(tblDaily[TransfersIn],tblDaily[EntryDate],DATE(2026,4,2),tblDaily[WardCode],"BF")=0,"",SUMIFS(tblDaily[TransfersIn],tblDaily[EntryDate],DATE(2026,4,2),tblDaily[WardCode],"BF")),"")</f>
        <v/>
      </c>
      <c r="G125" s="29" t="str">
        <f>IFERROR(IF(SUMIFS(tblDaily[TransfersOut],tblDaily[EntryDate],DATE(2026,4,2),tblDaily[WardCode],"BF")=0,"",SUMIFS(tblDaily[TransfersOut],tblDaily[EntryDate],DATE(2026,4,2),tblDaily[WardCode],"BF")),"")</f>
        <v/>
      </c>
      <c r="H125" s="29">
        <f>IFERROR(IF(SUMIFS(tblDaily[Remaining],tblDaily[EntryDate],DATE(2026,4,2),tblDaily[WardCode],"BF")=0,"",SUMIFS(tblDaily[Remaining],tblDaily[EntryDate],DATE(2026,4,2),tblDaily[WardCode],"BF")),"")</f>
        <v>9</v>
      </c>
    </row>
    <row r="126" spans="1:8" x14ac:dyDescent="0.25">
      <c r="A126" s="29">
        <v>3</v>
      </c>
      <c r="B126" s="29">
        <f>IFERROR(IF(SUMIFS(tblDaily[Admissions],tblDaily[EntryDate],DATE(2026,4,3),tblDaily[WardCode],"BF")=0,"",SUMIFS(tblDaily[Admissions],tblDaily[EntryDate],DATE(2026,4,3),tblDaily[WardCode],"BF")),"")</f>
        <v>1</v>
      </c>
      <c r="C126" s="29">
        <f>IFERROR(IF(SUMIFS(tblDaily[Discharges],tblDaily[EntryDate],DATE(2026,4,3),tblDaily[WardCode],"BF")=0,"",SUMIFS(tblDaily[Discharges],tblDaily[EntryDate],DATE(2026,4,3),tblDaily[WardCode],"BF")),"")</f>
        <v>4</v>
      </c>
      <c r="D126" s="29" t="str">
        <f>IFERROR(IF(SUMIFS(tblDaily[Deaths],tblDaily[EntryDate],DATE(2026,4,3),tblDaily[WardCode],"BF")=0,"",SUMIFS(tblDaily[Deaths],tblDaily[EntryDate],DATE(2026,4,3),tblDaily[WardCode],"BF")),"")</f>
        <v/>
      </c>
      <c r="E126" s="29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29">
        <f>IFERROR(IF(SUMIFS(tblDaily[TransfersIn],tblDaily[EntryDate],DATE(2026,4,3),tblDaily[WardCode],"BF")=0,"",SUMIFS(tblDaily[TransfersIn],tblDaily[EntryDate],DATE(2026,4,3),tblDaily[WardCode],"BF")),"")</f>
        <v>1</v>
      </c>
      <c r="G126" s="29" t="str">
        <f>IFERROR(IF(SUMIFS(tblDaily[TransfersOut],tblDaily[EntryDate],DATE(2026,4,3),tblDaily[WardCode],"BF")=0,"",SUMIFS(tblDaily[TransfersOut],tblDaily[EntryDate],DATE(2026,4,3),tblDaily[WardCode],"BF")),"")</f>
        <v/>
      </c>
      <c r="H126" s="29">
        <f>IFERROR(IF(SUMIFS(tblDaily[Remaining],tblDaily[EntryDate],DATE(2026,4,3),tblDaily[WardCode],"BF")=0,"",SUMIFS(tblDaily[Remaining],tblDaily[EntryDate],DATE(2026,4,3),tblDaily[WardCode],"BF")),"")</f>
        <v>7</v>
      </c>
    </row>
    <row r="127" spans="1:8" x14ac:dyDescent="0.25">
      <c r="A127" s="29">
        <v>4</v>
      </c>
      <c r="B127" s="29">
        <f>IFERROR(IF(SUMIFS(tblDaily[Admissions],tblDaily[EntryDate],DATE(2026,4,4),tblDaily[WardCode],"BF")=0,"",SUMIFS(tblDaily[Admissions],tblDaily[EntryDate],DATE(2026,4,4),tblDaily[WardCode],"BF")),"")</f>
        <v>1</v>
      </c>
      <c r="C127" s="29">
        <f>IFERROR(IF(SUMIFS(tblDaily[Discharges],tblDaily[EntryDate],DATE(2026,4,4),tblDaily[WardCode],"BF")=0,"",SUMIFS(tblDaily[Discharges],tblDaily[EntryDate],DATE(2026,4,4),tblDaily[WardCode],"BF")),"")</f>
        <v>3</v>
      </c>
      <c r="D127" s="29" t="str">
        <f>IFERROR(IF(SUMIFS(tblDaily[Deaths],tblDaily[EntryDate],DATE(2026,4,4),tblDaily[WardCode],"BF")=0,"",SUMIFS(tblDaily[Deaths],tblDaily[EntryDate],DATE(2026,4,4),tblDaily[WardCode],"BF")),"")</f>
        <v/>
      </c>
      <c r="E127" s="29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29" t="str">
        <f>IFERROR(IF(SUMIFS(tblDaily[TransfersIn],tblDaily[EntryDate],DATE(2026,4,4),tblDaily[WardCode],"BF")=0,"",SUMIFS(tblDaily[TransfersIn],tblDaily[EntryDate],DATE(2026,4,4),tblDaily[WardCode],"BF")),"")</f>
        <v/>
      </c>
      <c r="G127" s="29" t="str">
        <f>IFERROR(IF(SUMIFS(tblDaily[TransfersOut],tblDaily[EntryDate],DATE(2026,4,4),tblDaily[WardCode],"BF")=0,"",SUMIFS(tblDaily[TransfersOut],tblDaily[EntryDate],DATE(2026,4,4),tblDaily[WardCode],"BF")),"")</f>
        <v/>
      </c>
      <c r="H127" s="29">
        <f>IFERROR(IF(SUMIFS(tblDaily[Remaining],tblDaily[EntryDate],DATE(2026,4,4),tblDaily[WardCode],"BF")=0,"",SUMIFS(tblDaily[Remaining],tblDaily[EntryDate],DATE(2026,4,4),tblDaily[WardCode],"BF")),"")</f>
        <v>5</v>
      </c>
    </row>
    <row r="128" spans="1:8" x14ac:dyDescent="0.25">
      <c r="A128" s="29">
        <v>5</v>
      </c>
      <c r="B128" s="29">
        <f>IFERROR(IF(SUMIFS(tblDaily[Admissions],tblDaily[EntryDate],DATE(2026,4,5),tblDaily[WardCode],"BF")=0,"",SUMIFS(tblDaily[Admissions],tblDaily[EntryDate],DATE(2026,4,5),tblDaily[WardCode],"BF")),"")</f>
        <v>3</v>
      </c>
      <c r="C128" s="29">
        <f>IFERROR(IF(SUMIFS(tblDaily[Discharges],tblDaily[EntryDate],DATE(2026,4,5),tblDaily[WardCode],"BF")=0,"",SUMIFS(tblDaily[Discharges],tblDaily[EntryDate],DATE(2026,4,5),tblDaily[WardCode],"BF")),"")</f>
        <v>1</v>
      </c>
      <c r="D128" s="29" t="str">
        <f>IFERROR(IF(SUMIFS(tblDaily[Deaths],tblDaily[EntryDate],DATE(2026,4,5),tblDaily[WardCode],"BF")=0,"",SUMIFS(tblDaily[Deaths],tblDaily[EntryDate],DATE(2026,4,5),tblDaily[WardCode],"BF")),"")</f>
        <v/>
      </c>
      <c r="E128" s="29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29" t="str">
        <f>IFERROR(IF(SUMIFS(tblDaily[TransfersIn],tblDaily[EntryDate],DATE(2026,4,5),tblDaily[WardCode],"BF")=0,"",SUMIFS(tblDaily[TransfersIn],tblDaily[EntryDate],DATE(2026,4,5),tblDaily[WardCode],"BF")),"")</f>
        <v/>
      </c>
      <c r="G128" s="29" t="str">
        <f>IFERROR(IF(SUMIFS(tblDaily[TransfersOut],tblDaily[EntryDate],DATE(2026,4,5),tblDaily[WardCode],"BF")=0,"",SUMIFS(tblDaily[TransfersOut],tblDaily[EntryDate],DATE(2026,4,5),tblDaily[WardCode],"BF")),"")</f>
        <v/>
      </c>
      <c r="H128" s="29">
        <f>IFERROR(IF(SUMIFS(tblDaily[Remaining],tblDaily[EntryDate],DATE(2026,4,5),tblDaily[WardCode],"BF")=0,"",SUMIFS(tblDaily[Remaining],tblDaily[EntryDate],DATE(2026,4,5),tblDaily[WardCode],"BF")),"")</f>
        <v>7</v>
      </c>
    </row>
    <row r="129" spans="1:8" x14ac:dyDescent="0.25">
      <c r="A129" s="29">
        <v>6</v>
      </c>
      <c r="B129" s="29" t="str">
        <f>IFERROR(IF(SUMIFS(tblDaily[Admissions],tblDaily[EntryDate],DATE(2026,4,6),tblDaily[WardCode],"BF")=0,"",SUMIFS(tblDaily[Admissions],tblDaily[EntryDate],DATE(2026,4,6),tblDaily[WardCode],"BF")),"")</f>
        <v/>
      </c>
      <c r="C129" s="29">
        <f>IFERROR(IF(SUMIFS(tblDaily[Discharges],tblDaily[EntryDate],DATE(2026,4,6),tblDaily[WardCode],"BF")=0,"",SUMIFS(tblDaily[Discharges],tblDaily[EntryDate],DATE(2026,4,6),tblDaily[WardCode],"BF")),"")</f>
        <v>2</v>
      </c>
      <c r="D129" s="29" t="str">
        <f>IFERROR(IF(SUMIFS(tblDaily[Deaths],tblDaily[EntryDate],DATE(2026,4,6),tblDaily[WardCode],"BF")=0,"",SUMIFS(tblDaily[Deaths],tblDaily[EntryDate],DATE(2026,4,6),tblDaily[WardCode],"BF")),"")</f>
        <v/>
      </c>
      <c r="E129" s="29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29" t="str">
        <f>IFERROR(IF(SUMIFS(tblDaily[TransfersIn],tblDaily[EntryDate],DATE(2026,4,6),tblDaily[WardCode],"BF")=0,"",SUMIFS(tblDaily[TransfersIn],tblDaily[EntryDate],DATE(2026,4,6),tblDaily[WardCode],"BF")),"")</f>
        <v/>
      </c>
      <c r="G129" s="29" t="str">
        <f>IFERROR(IF(SUMIFS(tblDaily[TransfersOut],tblDaily[EntryDate],DATE(2026,4,6),tblDaily[WardCode],"BF")=0,"",SUMIFS(tblDaily[TransfersOut],tblDaily[EntryDate],DATE(2026,4,6),tblDaily[WardCode],"BF")),"")</f>
        <v/>
      </c>
      <c r="H129" s="29">
        <f>IFERROR(IF(SUMIFS(tblDaily[Remaining],tblDaily[EntryDate],DATE(2026,4,6),tblDaily[WardCode],"BF")=0,"",SUMIFS(tblDaily[Remaining],tblDaily[EntryDate],DATE(2026,4,6),tblDaily[WardCode],"BF")),"")</f>
        <v>5</v>
      </c>
    </row>
    <row r="130" spans="1:8" x14ac:dyDescent="0.25">
      <c r="A130" s="29">
        <v>7</v>
      </c>
      <c r="B130" s="29" t="str">
        <f>IFERROR(IF(SUMIFS(tblDaily[Admissions],tblDaily[EntryDate],DATE(2026,4,7),tblDaily[WardCode],"BF")=0,"",SUMIFS(tblDaily[Admissions],tblDaily[EntryDate],DATE(2026,4,7),tblDaily[WardCode],"BF")),"")</f>
        <v/>
      </c>
      <c r="C130" s="29" t="str">
        <f>IFERROR(IF(SUMIFS(tblDaily[Discharges],tblDaily[EntryDate],DATE(2026,4,7),tblDaily[WardCode],"BF")=0,"",SUMIFS(tblDaily[Discharges],tblDaily[EntryDate],DATE(2026,4,7),tblDaily[WardCode],"BF")),"")</f>
        <v/>
      </c>
      <c r="D130" s="29" t="str">
        <f>IFERROR(IF(SUMIFS(tblDaily[Deaths],tblDaily[EntryDate],DATE(2026,4,7),tblDaily[WardCode],"BF")=0,"",SUMIFS(tblDaily[Deaths],tblDaily[EntryDate],DATE(2026,4,7),tblDaily[WardCode],"BF")),"")</f>
        <v/>
      </c>
      <c r="E130" s="29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29" t="str">
        <f>IFERROR(IF(SUMIFS(tblDaily[TransfersIn],tblDaily[EntryDate],DATE(2026,4,7),tblDaily[WardCode],"BF")=0,"",SUMIFS(tblDaily[TransfersIn],tblDaily[EntryDate],DATE(2026,4,7),tblDaily[WardCode],"BF")),"")</f>
        <v/>
      </c>
      <c r="G130" s="29" t="str">
        <f>IFERROR(IF(SUMIFS(tblDaily[TransfersOut],tblDaily[EntryDate],DATE(2026,4,7),tblDaily[WardCode],"BF")=0,"",SUMIFS(tblDaily[TransfersOut],tblDaily[EntryDate],DATE(2026,4,7),tblDaily[WardCode],"BF")),"")</f>
        <v/>
      </c>
      <c r="H130" s="29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IFERROR(IF(SUMIFS(tblDaily[Admissions],tblDaily[EntryDate],DATE(2026,4,8),tblDaily[WardCode],"BF")=0,"",SUMIFS(tblDaily[Admissions],tblDaily[EntryDate],DATE(2026,4,8),tblDaily[WardCode],"BF")),"")</f>
        <v/>
      </c>
      <c r="C131" s="29" t="str">
        <f>IFERROR(IF(SUMIFS(tblDaily[Discharges],tblDaily[EntryDate],DATE(2026,4,8),tblDaily[WardCode],"BF")=0,"",SUMIFS(tblDaily[Discharges],tblDaily[EntryDate],DATE(2026,4,8),tblDaily[WardCode],"BF")),"")</f>
        <v/>
      </c>
      <c r="D131" s="29" t="str">
        <f>IFERROR(IF(SUMIFS(tblDaily[Deaths],tblDaily[EntryDate],DATE(2026,4,8),tblDaily[WardCode],"BF")=0,"",SUMIFS(tblDaily[Deaths],tblDaily[EntryDate],DATE(2026,4,8),tblDaily[WardCode],"BF")),"")</f>
        <v/>
      </c>
      <c r="E131" s="29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29" t="str">
        <f>IFERROR(IF(SUMIFS(tblDaily[TransfersIn],tblDaily[EntryDate],DATE(2026,4,8),tblDaily[WardCode],"BF")=0,"",SUMIFS(tblDaily[TransfersIn],tblDaily[EntryDate],DATE(2026,4,8),tblDaily[WardCode],"BF")),"")</f>
        <v/>
      </c>
      <c r="G131" s="29" t="str">
        <f>IFERROR(IF(SUMIFS(tblDaily[TransfersOut],tblDaily[EntryDate],DATE(2026,4,8),tblDaily[WardCode],"BF")=0,"",SUMIFS(tblDaily[TransfersOut],tblDaily[EntryDate],DATE(2026,4,8),tblDaily[WardCode],"BF")),"")</f>
        <v/>
      </c>
      <c r="H131" s="29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IFERROR(IF(SUMIFS(tblDaily[Admissions],tblDaily[EntryDate],DATE(2026,4,9),tblDaily[WardCode],"BF")=0,"",SUMIFS(tblDaily[Admissions],tblDaily[EntryDate],DATE(2026,4,9),tblDaily[WardCode],"BF")),"")</f>
        <v/>
      </c>
      <c r="C132" s="29" t="str">
        <f>IFERROR(IF(SUMIFS(tblDaily[Discharges],tblDaily[EntryDate],DATE(2026,4,9),tblDaily[WardCode],"BF")=0,"",SUMIFS(tblDaily[Discharges],tblDaily[EntryDate],DATE(2026,4,9),tblDaily[WardCode],"BF")),"")</f>
        <v/>
      </c>
      <c r="D132" s="29" t="str">
        <f>IFERROR(IF(SUMIFS(tblDaily[Deaths],tblDaily[EntryDate],DATE(2026,4,9),tblDaily[WardCode],"BF")=0,"",SUMIFS(tblDaily[Deaths],tblDaily[EntryDate],DATE(2026,4,9),tblDaily[WardCode],"BF")),"")</f>
        <v/>
      </c>
      <c r="E132" s="29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29" t="str">
        <f>IFERROR(IF(SUMIFS(tblDaily[TransfersIn],tblDaily[EntryDate],DATE(2026,4,9),tblDaily[WardCode],"BF")=0,"",SUMIFS(tblDaily[TransfersIn],tblDaily[EntryDate],DATE(2026,4,9),tblDaily[WardCode],"BF")),"")</f>
        <v/>
      </c>
      <c r="G132" s="29" t="str">
        <f>IFERROR(IF(SUMIFS(tblDaily[TransfersOut],tblDaily[EntryDate],DATE(2026,4,9),tblDaily[WardCode],"BF")=0,"",SUMIFS(tblDaily[TransfersOut],tblDaily[EntryDate],DATE(2026,4,9),tblDaily[WardCode],"BF")),"")</f>
        <v/>
      </c>
      <c r="H132" s="29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IFERROR(IF(SUMIFS(tblDaily[Admissions],tblDaily[EntryDate],DATE(2026,4,10),tblDaily[WardCode],"BF")=0,"",SUMIFS(tblDaily[Admissions],tblDaily[EntryDate],DATE(2026,4,10),tblDaily[WardCode],"BF")),"")</f>
        <v/>
      </c>
      <c r="C133" s="29" t="str">
        <f>IFERROR(IF(SUMIFS(tblDaily[Discharges],tblDaily[EntryDate],DATE(2026,4,10),tblDaily[WardCode],"BF")=0,"",SUMIFS(tblDaily[Discharges],tblDaily[EntryDate],DATE(2026,4,10),tblDaily[WardCode],"BF")),"")</f>
        <v/>
      </c>
      <c r="D133" s="29" t="str">
        <f>IFERROR(IF(SUMIFS(tblDaily[Deaths],tblDaily[EntryDate],DATE(2026,4,10),tblDaily[WardCode],"BF")=0,"",SUMIFS(tblDaily[Deaths],tblDaily[EntryDate],DATE(2026,4,10),tblDaily[WardCode],"BF")),"")</f>
        <v/>
      </c>
      <c r="E133" s="29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29" t="str">
        <f>IFERROR(IF(SUMIFS(tblDaily[TransfersIn],tblDaily[EntryDate],DATE(2026,4,10),tblDaily[WardCode],"BF")=0,"",SUMIFS(tblDaily[TransfersIn],tblDaily[EntryDate],DATE(2026,4,10),tblDaily[WardCode],"BF")),"")</f>
        <v/>
      </c>
      <c r="G133" s="29" t="str">
        <f>IFERROR(IF(SUMIFS(tblDaily[TransfersOut],tblDaily[EntryDate],DATE(2026,4,10),tblDaily[WardCode],"BF")=0,"",SUMIFS(tblDaily[TransfersOut],tblDaily[EntryDate],DATE(2026,4,10),tblDaily[WardCode],"BF")),"")</f>
        <v/>
      </c>
      <c r="H133" s="29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IFERROR(IF(SUMIFS(tblDaily[Admissions],tblDaily[EntryDate],DATE(2026,4,11),tblDaily[WardCode],"BF")=0,"",SUMIFS(tblDaily[Admissions],tblDaily[EntryDate],DATE(2026,4,11),tblDaily[WardCode],"BF")),"")</f>
        <v/>
      </c>
      <c r="C134" s="29" t="str">
        <f>IFERROR(IF(SUMIFS(tblDaily[Discharges],tblDaily[EntryDate],DATE(2026,4,11),tblDaily[WardCode],"BF")=0,"",SUMIFS(tblDaily[Discharges],tblDaily[EntryDate],DATE(2026,4,11),tblDaily[WardCode],"BF")),"")</f>
        <v/>
      </c>
      <c r="D134" s="29" t="str">
        <f>IFERROR(IF(SUMIFS(tblDaily[Deaths],tblDaily[EntryDate],DATE(2026,4,11),tblDaily[WardCode],"BF")=0,"",SUMIFS(tblDaily[Deaths],tblDaily[EntryDate],DATE(2026,4,11),tblDaily[WardCode],"BF")),"")</f>
        <v/>
      </c>
      <c r="E134" s="29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29" t="str">
        <f>IFERROR(IF(SUMIFS(tblDaily[TransfersIn],tblDaily[EntryDate],DATE(2026,4,11),tblDaily[WardCode],"BF")=0,"",SUMIFS(tblDaily[TransfersIn],tblDaily[EntryDate],DATE(2026,4,11),tblDaily[WardCode],"BF")),"")</f>
        <v/>
      </c>
      <c r="G134" s="29" t="str">
        <f>IFERROR(IF(SUMIFS(tblDaily[TransfersOut],tblDaily[EntryDate],DATE(2026,4,11),tblDaily[WardCode],"BF")=0,"",SUMIFS(tblDaily[TransfersOut],tblDaily[EntryDate],DATE(2026,4,11),tblDaily[WardCode],"BF")),"")</f>
        <v/>
      </c>
      <c r="H134" s="29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IFERROR(IF(SUMIFS(tblDaily[Admissions],tblDaily[EntryDate],DATE(2026,4,12),tblDaily[WardCode],"BF")=0,"",SUMIFS(tblDaily[Admissions],tblDaily[EntryDate],DATE(2026,4,12),tblDaily[WardCode],"BF")),"")</f>
        <v/>
      </c>
      <c r="C135" s="29" t="str">
        <f>IFERROR(IF(SUMIFS(tblDaily[Discharges],tblDaily[EntryDate],DATE(2026,4,12),tblDaily[WardCode],"BF")=0,"",SUMIFS(tblDaily[Discharges],tblDaily[EntryDate],DATE(2026,4,12),tblDaily[WardCode],"BF")),"")</f>
        <v/>
      </c>
      <c r="D135" s="29" t="str">
        <f>IFERROR(IF(SUMIFS(tblDaily[Deaths],tblDaily[EntryDate],DATE(2026,4,12),tblDaily[WardCode],"BF")=0,"",SUMIFS(tblDaily[Deaths],tblDaily[EntryDate],DATE(2026,4,12),tblDaily[WardCode],"BF")),"")</f>
        <v/>
      </c>
      <c r="E135" s="29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29" t="str">
        <f>IFERROR(IF(SUMIFS(tblDaily[TransfersIn],tblDaily[EntryDate],DATE(2026,4,12),tblDaily[WardCode],"BF")=0,"",SUMIFS(tblDaily[TransfersIn],tblDaily[EntryDate],DATE(2026,4,12),tblDaily[WardCode],"BF")),"")</f>
        <v/>
      </c>
      <c r="G135" s="29" t="str">
        <f>IFERROR(IF(SUMIFS(tblDaily[TransfersOut],tblDaily[EntryDate],DATE(2026,4,12),tblDaily[WardCode],"BF")=0,"",SUMIFS(tblDaily[TransfersOut],tblDaily[EntryDate],DATE(2026,4,12),tblDaily[WardCode],"BF")),"")</f>
        <v/>
      </c>
      <c r="H135" s="29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IFERROR(IF(SUMIFS(tblDaily[Admissions],tblDaily[EntryDate],DATE(2026,4,13),tblDaily[WardCode],"BF")=0,"",SUMIFS(tblDaily[Admissions],tblDaily[EntryDate],DATE(2026,4,13),tblDaily[WardCode],"BF")),"")</f>
        <v/>
      </c>
      <c r="C136" s="29" t="str">
        <f>IFERROR(IF(SUMIFS(tblDaily[Discharges],tblDaily[EntryDate],DATE(2026,4,13),tblDaily[WardCode],"BF")=0,"",SUMIFS(tblDaily[Discharges],tblDaily[EntryDate],DATE(2026,4,13),tblDaily[WardCode],"BF")),"")</f>
        <v/>
      </c>
      <c r="D136" s="29" t="str">
        <f>IFERROR(IF(SUMIFS(tblDaily[Deaths],tblDaily[EntryDate],DATE(2026,4,13),tblDaily[WardCode],"BF")=0,"",SUMIFS(tblDaily[Deaths],tblDaily[EntryDate],DATE(2026,4,13),tblDaily[WardCode],"BF")),"")</f>
        <v/>
      </c>
      <c r="E136" s="29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29" t="str">
        <f>IFERROR(IF(SUMIFS(tblDaily[TransfersIn],tblDaily[EntryDate],DATE(2026,4,13),tblDaily[WardCode],"BF")=0,"",SUMIFS(tblDaily[TransfersIn],tblDaily[EntryDate],DATE(2026,4,13),tblDaily[WardCode],"BF")),"")</f>
        <v/>
      </c>
      <c r="G136" s="29" t="str">
        <f>IFERROR(IF(SUMIFS(tblDaily[TransfersOut],tblDaily[EntryDate],DATE(2026,4,13),tblDaily[WardCode],"BF")=0,"",SUMIFS(tblDaily[TransfersOut],tblDaily[EntryDate],DATE(2026,4,13),tblDaily[WardCode],"BF")),"")</f>
        <v/>
      </c>
      <c r="H136" s="29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IFERROR(IF(SUMIFS(tblDaily[Admissions],tblDaily[EntryDate],DATE(2026,4,14),tblDaily[WardCode],"BF")=0,"",SUMIFS(tblDaily[Admissions],tblDaily[EntryDate],DATE(2026,4,14),tblDaily[WardCode],"BF")),"")</f>
        <v/>
      </c>
      <c r="C137" s="29" t="str">
        <f>IFERROR(IF(SUMIFS(tblDaily[Discharges],tblDaily[EntryDate],DATE(2026,4,14),tblDaily[WardCode],"BF")=0,"",SUMIFS(tblDaily[Discharges],tblDaily[EntryDate],DATE(2026,4,14),tblDaily[WardCode],"BF")),"")</f>
        <v/>
      </c>
      <c r="D137" s="29" t="str">
        <f>IFERROR(IF(SUMIFS(tblDaily[Deaths],tblDaily[EntryDate],DATE(2026,4,14),tblDaily[WardCode],"BF")=0,"",SUMIFS(tblDaily[Deaths],tblDaily[EntryDate],DATE(2026,4,14),tblDaily[WardCode],"BF")),"")</f>
        <v/>
      </c>
      <c r="E137" s="29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29" t="str">
        <f>IFERROR(IF(SUMIFS(tblDaily[TransfersIn],tblDaily[EntryDate],DATE(2026,4,14),tblDaily[WardCode],"BF")=0,"",SUMIFS(tblDaily[TransfersIn],tblDaily[EntryDate],DATE(2026,4,14),tblDaily[WardCode],"BF")),"")</f>
        <v/>
      </c>
      <c r="G137" s="29" t="str">
        <f>IFERROR(IF(SUMIFS(tblDaily[TransfersOut],tblDaily[EntryDate],DATE(2026,4,14),tblDaily[WardCode],"BF")=0,"",SUMIFS(tblDaily[TransfersOut],tblDaily[EntryDate],DATE(2026,4,14),tblDaily[WardCode],"BF")),"")</f>
        <v/>
      </c>
      <c r="H137" s="29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IFERROR(IF(SUMIFS(tblDaily[Admissions],tblDaily[EntryDate],DATE(2026,4,15),tblDaily[WardCode],"BF")=0,"",SUMIFS(tblDaily[Admissions],tblDaily[EntryDate],DATE(2026,4,15),tblDaily[WardCode],"BF")),"")</f>
        <v/>
      </c>
      <c r="C138" s="29" t="str">
        <f>IFERROR(IF(SUMIFS(tblDaily[Discharges],tblDaily[EntryDate],DATE(2026,4,15),tblDaily[WardCode],"BF")=0,"",SUMIFS(tblDaily[Discharges],tblDaily[EntryDate],DATE(2026,4,15),tblDaily[WardCode],"BF")),"")</f>
        <v/>
      </c>
      <c r="D138" s="29" t="str">
        <f>IFERROR(IF(SUMIFS(tblDaily[Deaths],tblDaily[EntryDate],DATE(2026,4,15),tblDaily[WardCode],"BF")=0,"",SUMIFS(tblDaily[Deaths],tblDaily[EntryDate],DATE(2026,4,15),tblDaily[WardCode],"BF")),"")</f>
        <v/>
      </c>
      <c r="E138" s="29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29" t="str">
        <f>IFERROR(IF(SUMIFS(tblDaily[TransfersIn],tblDaily[EntryDate],DATE(2026,4,15),tblDaily[WardCode],"BF")=0,"",SUMIFS(tblDaily[TransfersIn],tblDaily[EntryDate],DATE(2026,4,15),tblDaily[WardCode],"BF")),"")</f>
        <v/>
      </c>
      <c r="G138" s="29" t="str">
        <f>IFERROR(IF(SUMIFS(tblDaily[TransfersOut],tblDaily[EntryDate],DATE(2026,4,15),tblDaily[WardCode],"BF")=0,"",SUMIFS(tblDaily[TransfersOut],tblDaily[EntryDate],DATE(2026,4,15),tblDaily[WardCode],"BF")),"")</f>
        <v/>
      </c>
      <c r="H138" s="29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IFERROR(IF(SUMIFS(tblDaily[Admissions],tblDaily[EntryDate],DATE(2026,4,16),tblDaily[WardCode],"BF")=0,"",SUMIFS(tblDaily[Admissions],tblDaily[EntryDate],DATE(2026,4,16),tblDaily[WardCode],"BF")),"")</f>
        <v/>
      </c>
      <c r="C139" s="29" t="str">
        <f>IFERROR(IF(SUMIFS(tblDaily[Discharges],tblDaily[EntryDate],DATE(2026,4,16),tblDaily[WardCode],"BF")=0,"",SUMIFS(tblDaily[Discharges],tblDaily[EntryDate],DATE(2026,4,16),tblDaily[WardCode],"BF")),"")</f>
        <v/>
      </c>
      <c r="D139" s="29" t="str">
        <f>IFERROR(IF(SUMIFS(tblDaily[Deaths],tblDaily[EntryDate],DATE(2026,4,16),tblDaily[WardCode],"BF")=0,"",SUMIFS(tblDaily[Deaths],tblDaily[EntryDate],DATE(2026,4,16),tblDaily[WardCode],"BF")),"")</f>
        <v/>
      </c>
      <c r="E139" s="29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29" t="str">
        <f>IFERROR(IF(SUMIFS(tblDaily[TransfersIn],tblDaily[EntryDate],DATE(2026,4,16),tblDaily[WardCode],"BF")=0,"",SUMIFS(tblDaily[TransfersIn],tblDaily[EntryDate],DATE(2026,4,16),tblDaily[WardCode],"BF")),"")</f>
        <v/>
      </c>
      <c r="G139" s="29" t="str">
        <f>IFERROR(IF(SUMIFS(tblDaily[TransfersOut],tblDaily[EntryDate],DATE(2026,4,16),tblDaily[WardCode],"BF")=0,"",SUMIFS(tblDaily[TransfersOut],tblDaily[EntryDate],DATE(2026,4,16),tblDaily[WardCode],"BF")),"")</f>
        <v/>
      </c>
      <c r="H139" s="29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IFERROR(IF(SUMIFS(tblDaily[Admissions],tblDaily[EntryDate],DATE(2026,4,17),tblDaily[WardCode],"BF")=0,"",SUMIFS(tblDaily[Admissions],tblDaily[EntryDate],DATE(2026,4,17),tblDaily[WardCode],"BF")),"")</f>
        <v/>
      </c>
      <c r="C140" s="29" t="str">
        <f>IFERROR(IF(SUMIFS(tblDaily[Discharges],tblDaily[EntryDate],DATE(2026,4,17),tblDaily[WardCode],"BF")=0,"",SUMIFS(tblDaily[Discharges],tblDaily[EntryDate],DATE(2026,4,17),tblDaily[WardCode],"BF")),"")</f>
        <v/>
      </c>
      <c r="D140" s="29" t="str">
        <f>IFERROR(IF(SUMIFS(tblDaily[Deaths],tblDaily[EntryDate],DATE(2026,4,17),tblDaily[WardCode],"BF")=0,"",SUMIFS(tblDaily[Deaths],tblDaily[EntryDate],DATE(2026,4,17),tblDaily[WardCode],"BF")),"")</f>
        <v/>
      </c>
      <c r="E140" s="29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29" t="str">
        <f>IFERROR(IF(SUMIFS(tblDaily[TransfersIn],tblDaily[EntryDate],DATE(2026,4,17),tblDaily[WardCode],"BF")=0,"",SUMIFS(tblDaily[TransfersIn],tblDaily[EntryDate],DATE(2026,4,17),tblDaily[WardCode],"BF")),"")</f>
        <v/>
      </c>
      <c r="G140" s="29" t="str">
        <f>IFERROR(IF(SUMIFS(tblDaily[TransfersOut],tblDaily[EntryDate],DATE(2026,4,17),tblDaily[WardCode],"BF")=0,"",SUMIFS(tblDaily[TransfersOut],tblDaily[EntryDate],DATE(2026,4,17),tblDaily[WardCode],"BF")),"")</f>
        <v/>
      </c>
      <c r="H140" s="29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IFERROR(IF(SUMIFS(tblDaily[Admissions],tblDaily[EntryDate],DATE(2026,4,18),tblDaily[WardCode],"BF")=0,"",SUMIFS(tblDaily[Admissions],tblDaily[EntryDate],DATE(2026,4,18),tblDaily[WardCode],"BF")),"")</f>
        <v/>
      </c>
      <c r="C141" s="29" t="str">
        <f>IFERROR(IF(SUMIFS(tblDaily[Discharges],tblDaily[EntryDate],DATE(2026,4,18),tblDaily[WardCode],"BF")=0,"",SUMIFS(tblDaily[Discharges],tblDaily[EntryDate],DATE(2026,4,18),tblDaily[WardCode],"BF")),"")</f>
        <v/>
      </c>
      <c r="D141" s="29" t="str">
        <f>IFERROR(IF(SUMIFS(tblDaily[Deaths],tblDaily[EntryDate],DATE(2026,4,18),tblDaily[WardCode],"BF")=0,"",SUMIFS(tblDaily[Deaths],tblDaily[EntryDate],DATE(2026,4,18),tblDaily[WardCode],"BF")),"")</f>
        <v/>
      </c>
      <c r="E141" s="29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29" t="str">
        <f>IFERROR(IF(SUMIFS(tblDaily[TransfersIn],tblDaily[EntryDate],DATE(2026,4,18),tblDaily[WardCode],"BF")=0,"",SUMIFS(tblDaily[TransfersIn],tblDaily[EntryDate],DATE(2026,4,18),tblDaily[WardCode],"BF")),"")</f>
        <v/>
      </c>
      <c r="G141" s="29" t="str">
        <f>IFERROR(IF(SUMIFS(tblDaily[TransfersOut],tblDaily[EntryDate],DATE(2026,4,18),tblDaily[WardCode],"BF")=0,"",SUMIFS(tblDaily[TransfersOut],tblDaily[EntryDate],DATE(2026,4,18),tblDaily[WardCode],"BF")),"")</f>
        <v/>
      </c>
      <c r="H141" s="29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IFERROR(IF(SUMIFS(tblDaily[Admissions],tblDaily[EntryDate],DATE(2026,4,19),tblDaily[WardCode],"BF")=0,"",SUMIFS(tblDaily[Admissions],tblDaily[EntryDate],DATE(2026,4,19),tblDaily[WardCode],"BF")),"")</f>
        <v/>
      </c>
      <c r="C142" s="29" t="str">
        <f>IFERROR(IF(SUMIFS(tblDaily[Discharges],tblDaily[EntryDate],DATE(2026,4,19),tblDaily[WardCode],"BF")=0,"",SUMIFS(tblDaily[Discharges],tblDaily[EntryDate],DATE(2026,4,19),tblDaily[WardCode],"BF")),"")</f>
        <v/>
      </c>
      <c r="D142" s="29" t="str">
        <f>IFERROR(IF(SUMIFS(tblDaily[Deaths],tblDaily[EntryDate],DATE(2026,4,19),tblDaily[WardCode],"BF")=0,"",SUMIFS(tblDaily[Deaths],tblDaily[EntryDate],DATE(2026,4,19),tblDaily[WardCode],"BF")),"")</f>
        <v/>
      </c>
      <c r="E142" s="29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29" t="str">
        <f>IFERROR(IF(SUMIFS(tblDaily[TransfersIn],tblDaily[EntryDate],DATE(2026,4,19),tblDaily[WardCode],"BF")=0,"",SUMIFS(tblDaily[TransfersIn],tblDaily[EntryDate],DATE(2026,4,19),tblDaily[WardCode],"BF")),"")</f>
        <v/>
      </c>
      <c r="G142" s="29" t="str">
        <f>IFERROR(IF(SUMIFS(tblDaily[TransfersOut],tblDaily[EntryDate],DATE(2026,4,19),tblDaily[WardCode],"BF")=0,"",SUMIFS(tblDaily[TransfersOut],tblDaily[EntryDate],DATE(2026,4,19),tblDaily[WardCode],"BF")),"")</f>
        <v/>
      </c>
      <c r="H142" s="29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IFERROR(IF(SUMIFS(tblDaily[Admissions],tblDaily[EntryDate],DATE(2026,4,20),tblDaily[WardCode],"BF")=0,"",SUMIFS(tblDaily[Admissions],tblDaily[EntryDate],DATE(2026,4,20),tblDaily[WardCode],"BF")),"")</f>
        <v/>
      </c>
      <c r="C143" s="29" t="str">
        <f>IFERROR(IF(SUMIFS(tblDaily[Discharges],tblDaily[EntryDate],DATE(2026,4,20),tblDaily[WardCode],"BF")=0,"",SUMIFS(tblDaily[Discharges],tblDaily[EntryDate],DATE(2026,4,20),tblDaily[WardCode],"BF")),"")</f>
        <v/>
      </c>
      <c r="D143" s="29" t="str">
        <f>IFERROR(IF(SUMIFS(tblDaily[Deaths],tblDaily[EntryDate],DATE(2026,4,20),tblDaily[WardCode],"BF")=0,"",SUMIFS(tblDaily[Deaths],tblDaily[EntryDate],DATE(2026,4,20),tblDaily[WardCode],"BF")),"")</f>
        <v/>
      </c>
      <c r="E143" s="29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29" t="str">
        <f>IFERROR(IF(SUMIFS(tblDaily[TransfersIn],tblDaily[EntryDate],DATE(2026,4,20),tblDaily[WardCode],"BF")=0,"",SUMIFS(tblDaily[TransfersIn],tblDaily[EntryDate],DATE(2026,4,20),tblDaily[WardCode],"BF")),"")</f>
        <v/>
      </c>
      <c r="G143" s="29" t="str">
        <f>IFERROR(IF(SUMIFS(tblDaily[TransfersOut],tblDaily[EntryDate],DATE(2026,4,20),tblDaily[WardCode],"BF")=0,"",SUMIFS(tblDaily[TransfersOut],tblDaily[EntryDate],DATE(2026,4,20),tblDaily[WardCode],"BF")),"")</f>
        <v/>
      </c>
      <c r="H143" s="29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IFERROR(IF(SUMIFS(tblDaily[Admissions],tblDaily[EntryDate],DATE(2026,4,21),tblDaily[WardCode],"BF")=0,"",SUMIFS(tblDaily[Admissions],tblDaily[EntryDate],DATE(2026,4,21),tblDaily[WardCode],"BF")),"")</f>
        <v/>
      </c>
      <c r="C144" s="29" t="str">
        <f>IFERROR(IF(SUMIFS(tblDaily[Discharges],tblDaily[EntryDate],DATE(2026,4,21),tblDaily[WardCode],"BF")=0,"",SUMIFS(tblDaily[Discharges],tblDaily[EntryDate],DATE(2026,4,21),tblDaily[WardCode],"BF")),"")</f>
        <v/>
      </c>
      <c r="D144" s="29" t="str">
        <f>IFERROR(IF(SUMIFS(tblDaily[Deaths],tblDaily[EntryDate],DATE(2026,4,21),tblDaily[WardCode],"BF")=0,"",SUMIFS(tblDaily[Deaths],tblDaily[EntryDate],DATE(2026,4,21),tblDaily[WardCode],"BF")),"")</f>
        <v/>
      </c>
      <c r="E144" s="29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29" t="str">
        <f>IFERROR(IF(SUMIFS(tblDaily[TransfersIn],tblDaily[EntryDate],DATE(2026,4,21),tblDaily[WardCode],"BF")=0,"",SUMIFS(tblDaily[TransfersIn],tblDaily[EntryDate],DATE(2026,4,21),tblDaily[WardCode],"BF")),"")</f>
        <v/>
      </c>
      <c r="G144" s="29" t="str">
        <f>IFERROR(IF(SUMIFS(tblDaily[TransfersOut],tblDaily[EntryDate],DATE(2026,4,21),tblDaily[WardCode],"BF")=0,"",SUMIFS(tblDaily[TransfersOut],tblDaily[EntryDate],DATE(2026,4,21),tblDaily[WardCode],"BF")),"")</f>
        <v/>
      </c>
      <c r="H144" s="29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IFERROR(IF(SUMIFS(tblDaily[Admissions],tblDaily[EntryDate],DATE(2026,4,22),tblDaily[WardCode],"BF")=0,"",SUMIFS(tblDaily[Admissions],tblDaily[EntryDate],DATE(2026,4,22),tblDaily[WardCode],"BF")),"")</f>
        <v/>
      </c>
      <c r="C145" s="29" t="str">
        <f>IFERROR(IF(SUMIFS(tblDaily[Discharges],tblDaily[EntryDate],DATE(2026,4,22),tblDaily[WardCode],"BF")=0,"",SUMIFS(tblDaily[Discharges],tblDaily[EntryDate],DATE(2026,4,22),tblDaily[WardCode],"BF")),"")</f>
        <v/>
      </c>
      <c r="D145" s="29" t="str">
        <f>IFERROR(IF(SUMIFS(tblDaily[Deaths],tblDaily[EntryDate],DATE(2026,4,22),tblDaily[WardCode],"BF")=0,"",SUMIFS(tblDaily[Deaths],tblDaily[EntryDate],DATE(2026,4,22),tblDaily[WardCode],"BF")),"")</f>
        <v/>
      </c>
      <c r="E145" s="29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29" t="str">
        <f>IFERROR(IF(SUMIFS(tblDaily[TransfersIn],tblDaily[EntryDate],DATE(2026,4,22),tblDaily[WardCode],"BF")=0,"",SUMIFS(tblDaily[TransfersIn],tblDaily[EntryDate],DATE(2026,4,22),tblDaily[WardCode],"BF")),"")</f>
        <v/>
      </c>
      <c r="G145" s="29" t="str">
        <f>IFERROR(IF(SUMIFS(tblDaily[TransfersOut],tblDaily[EntryDate],DATE(2026,4,22),tblDaily[WardCode],"BF")=0,"",SUMIFS(tblDaily[TransfersOut],tblDaily[EntryDate],DATE(2026,4,22),tblDaily[WardCode],"BF")),"")</f>
        <v/>
      </c>
      <c r="H145" s="29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IFERROR(IF(SUMIFS(tblDaily[Admissions],tblDaily[EntryDate],DATE(2026,4,23),tblDaily[WardCode],"BF")=0,"",SUMIFS(tblDaily[Admissions],tblDaily[EntryDate],DATE(2026,4,23),tblDaily[WardCode],"BF")),"")</f>
        <v/>
      </c>
      <c r="C146" s="29" t="str">
        <f>IFERROR(IF(SUMIFS(tblDaily[Discharges],tblDaily[EntryDate],DATE(2026,4,23),tblDaily[WardCode],"BF")=0,"",SUMIFS(tblDaily[Discharges],tblDaily[EntryDate],DATE(2026,4,23),tblDaily[WardCode],"BF")),"")</f>
        <v/>
      </c>
      <c r="D146" s="29" t="str">
        <f>IFERROR(IF(SUMIFS(tblDaily[Deaths],tblDaily[EntryDate],DATE(2026,4,23),tblDaily[WardCode],"BF")=0,"",SUMIFS(tblDaily[Deaths],tblDaily[EntryDate],DATE(2026,4,23),tblDaily[WardCode],"BF")),"")</f>
        <v/>
      </c>
      <c r="E146" s="29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29" t="str">
        <f>IFERROR(IF(SUMIFS(tblDaily[TransfersIn],tblDaily[EntryDate],DATE(2026,4,23),tblDaily[WardCode],"BF")=0,"",SUMIFS(tblDaily[TransfersIn],tblDaily[EntryDate],DATE(2026,4,23),tblDaily[WardCode],"BF")),"")</f>
        <v/>
      </c>
      <c r="G146" s="29" t="str">
        <f>IFERROR(IF(SUMIFS(tblDaily[TransfersOut],tblDaily[EntryDate],DATE(2026,4,23),tblDaily[WardCode],"BF")=0,"",SUMIFS(tblDaily[TransfersOut],tblDaily[EntryDate],DATE(2026,4,23),tblDaily[WardCode],"BF")),"")</f>
        <v/>
      </c>
      <c r="H146" s="29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IFERROR(IF(SUMIFS(tblDaily[Admissions],tblDaily[EntryDate],DATE(2026,4,24),tblDaily[WardCode],"BF")=0,"",SUMIFS(tblDaily[Admissions],tblDaily[EntryDate],DATE(2026,4,24),tblDaily[WardCode],"BF")),"")</f>
        <v/>
      </c>
      <c r="C147" s="29" t="str">
        <f>IFERROR(IF(SUMIFS(tblDaily[Discharges],tblDaily[EntryDate],DATE(2026,4,24),tblDaily[WardCode],"BF")=0,"",SUMIFS(tblDaily[Discharges],tblDaily[EntryDate],DATE(2026,4,24),tblDaily[WardCode],"BF")),"")</f>
        <v/>
      </c>
      <c r="D147" s="29" t="str">
        <f>IFERROR(IF(SUMIFS(tblDaily[Deaths],tblDaily[EntryDate],DATE(2026,4,24),tblDaily[WardCode],"BF")=0,"",SUMIFS(tblDaily[Deaths],tblDaily[EntryDate],DATE(2026,4,24),tblDaily[WardCode],"BF")),"")</f>
        <v/>
      </c>
      <c r="E147" s="29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29" t="str">
        <f>IFERROR(IF(SUMIFS(tblDaily[TransfersIn],tblDaily[EntryDate],DATE(2026,4,24),tblDaily[WardCode],"BF")=0,"",SUMIFS(tblDaily[TransfersIn],tblDaily[EntryDate],DATE(2026,4,24),tblDaily[WardCode],"BF")),"")</f>
        <v/>
      </c>
      <c r="G147" s="29" t="str">
        <f>IFERROR(IF(SUMIFS(tblDaily[TransfersOut],tblDaily[EntryDate],DATE(2026,4,24),tblDaily[WardCode],"BF")=0,"",SUMIFS(tblDaily[TransfersOut],tblDaily[EntryDate],DATE(2026,4,24),tblDaily[WardCode],"BF")),"")</f>
        <v/>
      </c>
      <c r="H147" s="29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IFERROR(IF(SUMIFS(tblDaily[Admissions],tblDaily[EntryDate],DATE(2026,4,25),tblDaily[WardCode],"BF")=0,"",SUMIFS(tblDaily[Admissions],tblDaily[EntryDate],DATE(2026,4,25),tblDaily[WardCode],"BF")),"")</f>
        <v/>
      </c>
      <c r="C148" s="29" t="str">
        <f>IFERROR(IF(SUMIFS(tblDaily[Discharges],tblDaily[EntryDate],DATE(2026,4,25),tblDaily[WardCode],"BF")=0,"",SUMIFS(tblDaily[Discharges],tblDaily[EntryDate],DATE(2026,4,25),tblDaily[WardCode],"BF")),"")</f>
        <v/>
      </c>
      <c r="D148" s="29" t="str">
        <f>IFERROR(IF(SUMIFS(tblDaily[Deaths],tblDaily[EntryDate],DATE(2026,4,25),tblDaily[WardCode],"BF")=0,"",SUMIFS(tblDaily[Deaths],tblDaily[EntryDate],DATE(2026,4,25),tblDaily[WardCode],"BF")),"")</f>
        <v/>
      </c>
      <c r="E148" s="29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29" t="str">
        <f>IFERROR(IF(SUMIFS(tblDaily[TransfersIn],tblDaily[EntryDate],DATE(2026,4,25),tblDaily[WardCode],"BF")=0,"",SUMIFS(tblDaily[TransfersIn],tblDaily[EntryDate],DATE(2026,4,25),tblDaily[WardCode],"BF")),"")</f>
        <v/>
      </c>
      <c r="G148" s="29" t="str">
        <f>IFERROR(IF(SUMIFS(tblDaily[TransfersOut],tblDaily[EntryDate],DATE(2026,4,25),tblDaily[WardCode],"BF")=0,"",SUMIFS(tblDaily[TransfersOut],tblDaily[EntryDate],DATE(2026,4,25),tblDaily[WardCode],"BF")),"")</f>
        <v/>
      </c>
      <c r="H148" s="29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IFERROR(IF(SUMIFS(tblDaily[Admissions],tblDaily[EntryDate],DATE(2026,4,26),tblDaily[WardCode],"BF")=0,"",SUMIFS(tblDaily[Admissions],tblDaily[EntryDate],DATE(2026,4,26),tblDaily[WardCode],"BF")),"")</f>
        <v/>
      </c>
      <c r="C149" s="29" t="str">
        <f>IFERROR(IF(SUMIFS(tblDaily[Discharges],tblDaily[EntryDate],DATE(2026,4,26),tblDaily[WardCode],"BF")=0,"",SUMIFS(tblDaily[Discharges],tblDaily[EntryDate],DATE(2026,4,26),tblDaily[WardCode],"BF")),"")</f>
        <v/>
      </c>
      <c r="D149" s="29" t="str">
        <f>IFERROR(IF(SUMIFS(tblDaily[Deaths],tblDaily[EntryDate],DATE(2026,4,26),tblDaily[WardCode],"BF")=0,"",SUMIFS(tblDaily[Deaths],tblDaily[EntryDate],DATE(2026,4,26),tblDaily[WardCode],"BF")),"")</f>
        <v/>
      </c>
      <c r="E149" s="29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29" t="str">
        <f>IFERROR(IF(SUMIFS(tblDaily[TransfersIn],tblDaily[EntryDate],DATE(2026,4,26),tblDaily[WardCode],"BF")=0,"",SUMIFS(tblDaily[TransfersIn],tblDaily[EntryDate],DATE(2026,4,26),tblDaily[WardCode],"BF")),"")</f>
        <v/>
      </c>
      <c r="G149" s="29" t="str">
        <f>IFERROR(IF(SUMIFS(tblDaily[TransfersOut],tblDaily[EntryDate],DATE(2026,4,26),tblDaily[WardCode],"BF")=0,"",SUMIFS(tblDaily[TransfersOut],tblDaily[EntryDate],DATE(2026,4,26),tblDaily[WardCode],"BF")),"")</f>
        <v/>
      </c>
      <c r="H149" s="29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IFERROR(IF(SUMIFS(tblDaily[Admissions],tblDaily[EntryDate],DATE(2026,4,27),tblDaily[WardCode],"BF")=0,"",SUMIFS(tblDaily[Admissions],tblDaily[EntryDate],DATE(2026,4,27),tblDaily[WardCode],"BF")),"")</f>
        <v/>
      </c>
      <c r="C150" s="29" t="str">
        <f>IFERROR(IF(SUMIFS(tblDaily[Discharges],tblDaily[EntryDate],DATE(2026,4,27),tblDaily[WardCode],"BF")=0,"",SUMIFS(tblDaily[Discharges],tblDaily[EntryDate],DATE(2026,4,27),tblDaily[WardCode],"BF")),"")</f>
        <v/>
      </c>
      <c r="D150" s="29" t="str">
        <f>IFERROR(IF(SUMIFS(tblDaily[Deaths],tblDaily[EntryDate],DATE(2026,4,27),tblDaily[WardCode],"BF")=0,"",SUMIFS(tblDaily[Deaths],tblDaily[EntryDate],DATE(2026,4,27),tblDaily[WardCode],"BF")),"")</f>
        <v/>
      </c>
      <c r="E150" s="29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29" t="str">
        <f>IFERROR(IF(SUMIFS(tblDaily[TransfersIn],tblDaily[EntryDate],DATE(2026,4,27),tblDaily[WardCode],"BF")=0,"",SUMIFS(tblDaily[TransfersIn],tblDaily[EntryDate],DATE(2026,4,27),tblDaily[WardCode],"BF")),"")</f>
        <v/>
      </c>
      <c r="G150" s="29" t="str">
        <f>IFERROR(IF(SUMIFS(tblDaily[TransfersOut],tblDaily[EntryDate],DATE(2026,4,27),tblDaily[WardCode],"BF")=0,"",SUMIFS(tblDaily[TransfersOut],tblDaily[EntryDate],DATE(2026,4,27),tblDaily[WardCode],"BF")),"")</f>
        <v/>
      </c>
      <c r="H150" s="29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IFERROR(IF(SUMIFS(tblDaily[Admissions],tblDaily[EntryDate],DATE(2026,4,28),tblDaily[WardCode],"BF")=0,"",SUMIFS(tblDaily[Admissions],tblDaily[EntryDate],DATE(2026,4,28),tblDaily[WardCode],"BF")),"")</f>
        <v/>
      </c>
      <c r="C151" s="29" t="str">
        <f>IFERROR(IF(SUMIFS(tblDaily[Discharges],tblDaily[EntryDate],DATE(2026,4,28),tblDaily[WardCode],"BF")=0,"",SUMIFS(tblDaily[Discharges],tblDaily[EntryDate],DATE(2026,4,28),tblDaily[WardCode],"BF")),"")</f>
        <v/>
      </c>
      <c r="D151" s="29" t="str">
        <f>IFERROR(IF(SUMIFS(tblDaily[Deaths],tblDaily[EntryDate],DATE(2026,4,28),tblDaily[WardCode],"BF")=0,"",SUMIFS(tblDaily[Deaths],tblDaily[EntryDate],DATE(2026,4,28),tblDaily[WardCode],"BF")),"")</f>
        <v/>
      </c>
      <c r="E151" s="29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29" t="str">
        <f>IFERROR(IF(SUMIFS(tblDaily[TransfersIn],tblDaily[EntryDate],DATE(2026,4,28),tblDaily[WardCode],"BF")=0,"",SUMIFS(tblDaily[TransfersIn],tblDaily[EntryDate],DATE(2026,4,28),tblDaily[WardCode],"BF")),"")</f>
        <v/>
      </c>
      <c r="G151" s="29" t="str">
        <f>IFERROR(IF(SUMIFS(tblDaily[TransfersOut],tblDaily[EntryDate],DATE(2026,4,28),tblDaily[WardCode],"BF")=0,"",SUMIFS(tblDaily[TransfersOut],tblDaily[EntryDate],DATE(2026,4,28),tblDaily[WardCode],"BF")),"")</f>
        <v/>
      </c>
      <c r="H151" s="29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IFERROR(IF(SUMIFS(tblDaily[Admissions],tblDaily[EntryDate],DATE(2026,4,29),tblDaily[WardCode],"BF")=0,"",SUMIFS(tblDaily[Admissions],tblDaily[EntryDate],DATE(2026,4,29),tblDaily[WardCode],"BF")),"")</f>
        <v/>
      </c>
      <c r="C152" s="29" t="str">
        <f>IFERROR(IF(SUMIFS(tblDaily[Discharges],tblDaily[EntryDate],DATE(2026,4,29),tblDaily[WardCode],"BF")=0,"",SUMIFS(tblDaily[Discharges],tblDaily[EntryDate],DATE(2026,4,29),tblDaily[WardCode],"BF")),"")</f>
        <v/>
      </c>
      <c r="D152" s="29" t="str">
        <f>IFERROR(IF(SUMIFS(tblDaily[Deaths],tblDaily[EntryDate],DATE(2026,4,29),tblDaily[WardCode],"BF")=0,"",SUMIFS(tblDaily[Deaths],tblDaily[EntryDate],DATE(2026,4,29),tblDaily[WardCode],"BF")),"")</f>
        <v/>
      </c>
      <c r="E152" s="29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29" t="str">
        <f>IFERROR(IF(SUMIFS(tblDaily[TransfersIn],tblDaily[EntryDate],DATE(2026,4,29),tblDaily[WardCode],"BF")=0,"",SUMIFS(tblDaily[TransfersIn],tblDaily[EntryDate],DATE(2026,4,29),tblDaily[WardCode],"BF")),"")</f>
        <v/>
      </c>
      <c r="G152" s="29" t="str">
        <f>IFERROR(IF(SUMIFS(tblDaily[TransfersOut],tblDaily[EntryDate],DATE(2026,4,29),tblDaily[WardCode],"BF")=0,"",SUMIFS(tblDaily[TransfersOut],tblDaily[EntryDate],DATE(2026,4,29),tblDaily[WardCode],"BF")),"")</f>
        <v/>
      </c>
      <c r="H152" s="29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IFERROR(IF(SUMIFS(tblDaily[Admissions],tblDaily[EntryDate],DATE(2026,4,30),tblDaily[WardCode],"BF")=0,"",SUMIFS(tblDaily[Admissions],tblDaily[EntryDate],DATE(2026,4,30),tblDaily[WardCode],"BF")),"")</f>
        <v/>
      </c>
      <c r="C153" s="29" t="str">
        <f>IFERROR(IF(SUMIFS(tblDaily[Discharges],tblDaily[EntryDate],DATE(2026,4,30),tblDaily[WardCode],"BF")=0,"",SUMIFS(tblDaily[Discharges],tblDaily[EntryDate],DATE(2026,4,30),tblDaily[WardCode],"BF")),"")</f>
        <v/>
      </c>
      <c r="D153" s="29" t="str">
        <f>IFERROR(IF(SUMIFS(tblDaily[Deaths],tblDaily[EntryDate],DATE(2026,4,30),tblDaily[WardCode],"BF")=0,"",SUMIFS(tblDaily[Deaths],tblDaily[EntryDate],DATE(2026,4,30),tblDaily[WardCode],"BF")),"")</f>
        <v/>
      </c>
      <c r="E153" s="29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29" t="str">
        <f>IFERROR(IF(SUMIFS(tblDaily[TransfersIn],tblDaily[EntryDate],DATE(2026,4,30),tblDaily[WardCode],"BF")=0,"",SUMIFS(tblDaily[TransfersIn],tblDaily[EntryDate],DATE(2026,4,30),tblDaily[WardCode],"BF")),"")</f>
        <v/>
      </c>
      <c r="G153" s="29" t="str">
        <f>IFERROR(IF(SUMIFS(tblDaily[TransfersOut],tblDaily[EntryDate],DATE(2026,4,30),tblDaily[WardCode],"BF")=0,"",SUMIFS(tblDaily[TransfersOut],tblDaily[EntryDate],DATE(2026,4,30),tblDaily[WardCode],"BF")),"")</f>
        <v/>
      </c>
      <c r="H153" s="29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SUMIFS(tblDaily[Admissions],tblDaily[Month],4,tblDaily[WardCode],"BF") - SUMIFS(tblDaily[DeathsUnder24Hrs],tblDaily[Month],4,tblDaily[WardCode],"BF")</f>
        <v>9</v>
      </c>
      <c r="C155" s="30">
        <f>SUMIFS(tblDaily[Discharges],tblDaily[Month],4,tblDaily[WardCode],"BF")</f>
        <v>14</v>
      </c>
      <c r="D155" s="30">
        <f>SUMIFS(tblDaily[Deaths],tblDaily[Month],4,tblDaily[WardCode],"BF")</f>
        <v>0</v>
      </c>
      <c r="E155" s="30">
        <f>SUMIFS(tblDaily[DeathsUnder24Hrs],tblDaily[Month],4,tblDaily[WardCode],"BF")</f>
        <v>0</v>
      </c>
      <c r="F155" s="30">
        <f>SUMIFS(tblDaily[TransfersIn],tblDaily[Month],4,tblDaily[WardCode],"BF")</f>
        <v>1</v>
      </c>
      <c r="G155" s="30">
        <f>SUMIFS(tblDaily[TransfersOut],tblDaily[Month],4,tblDaily[WardCode],"BF")</f>
        <v>0</v>
      </c>
      <c r="H155" s="30">
        <f>SUMIFS(tblDaily[Remaining],tblDaily[Month],4,tblDaily[WardCode],"BF")</f>
        <v>42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118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IFERROR(SUMIFS(tblDaily[Remaining],tblDaily[EntryDate],DATE(2026,4,30),tblDaily[WardCode],"BF"),0)</f>
        <v>0</v>
      </c>
    </row>
    <row r="161" spans="1:8" x14ac:dyDescent="0.25">
      <c r="A161" s="24" t="s">
        <v>109</v>
      </c>
      <c r="H161" s="27">
        <f>IFERROR(INDEX(tblWardConfig[BedComplement],MATCH("BF",tblWardConfig[WardCode],0)),0)</f>
        <v>20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IFERROR(IF(SUMIFS(tblDaily[Admissions],tblDaily[EntryDate],DATE(2026,5,1),tblDaily[WardCode],"BF")=0,"",SUMIFS(tblDaily[Admissions],tblDaily[EntryDate],DATE(2026,5,1),tblDaily[WardCode],"BF")),"")</f>
        <v/>
      </c>
      <c r="C163" s="29" t="str">
        <f>IFERROR(IF(SUMIFS(tblDaily[Discharges],tblDaily[EntryDate],DATE(2026,5,1),tblDaily[WardCode],"BF")=0,"",SUMIFS(tblDaily[Discharges],tblDaily[EntryDate],DATE(2026,5,1),tblDaily[WardCode],"BF")),"")</f>
        <v/>
      </c>
      <c r="D163" s="29" t="str">
        <f>IFERROR(IF(SUMIFS(tblDaily[Deaths],tblDaily[EntryDate],DATE(2026,5,1),tblDaily[WardCode],"BF")=0,"",SUMIFS(tblDaily[Deaths],tblDaily[EntryDate],DATE(2026,5,1),tblDaily[WardCode],"BF")),"")</f>
        <v/>
      </c>
      <c r="E163" s="29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29" t="str">
        <f>IFERROR(IF(SUMIFS(tblDaily[TransfersIn],tblDaily[EntryDate],DATE(2026,5,1),tblDaily[WardCode],"BF")=0,"",SUMIFS(tblDaily[TransfersIn],tblDaily[EntryDate],DATE(2026,5,1),tblDaily[WardCode],"BF")),"")</f>
        <v/>
      </c>
      <c r="G163" s="29" t="str">
        <f>IFERROR(IF(SUMIFS(tblDaily[TransfersOut],tblDaily[EntryDate],DATE(2026,5,1),tblDaily[WardCode],"BF")=0,"",SUMIFS(tblDaily[TransfersOut],tblDaily[EntryDate],DATE(2026,5,1),tblDaily[WardCode],"BF")),"")</f>
        <v/>
      </c>
      <c r="H163" s="29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IFERROR(IF(SUMIFS(tblDaily[Admissions],tblDaily[EntryDate],DATE(2026,5,2),tblDaily[WardCode],"BF")=0,"",SUMIFS(tblDaily[Admissions],tblDaily[EntryDate],DATE(2026,5,2),tblDaily[WardCode],"BF")),"")</f>
        <v/>
      </c>
      <c r="C164" s="29" t="str">
        <f>IFERROR(IF(SUMIFS(tblDaily[Discharges],tblDaily[EntryDate],DATE(2026,5,2),tblDaily[WardCode],"BF")=0,"",SUMIFS(tblDaily[Discharges],tblDaily[EntryDate],DATE(2026,5,2),tblDaily[WardCode],"BF")),"")</f>
        <v/>
      </c>
      <c r="D164" s="29" t="str">
        <f>IFERROR(IF(SUMIFS(tblDaily[Deaths],tblDaily[EntryDate],DATE(2026,5,2),tblDaily[WardCode],"BF")=0,"",SUMIFS(tblDaily[Deaths],tblDaily[EntryDate],DATE(2026,5,2),tblDaily[WardCode],"BF")),"")</f>
        <v/>
      </c>
      <c r="E164" s="29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29" t="str">
        <f>IFERROR(IF(SUMIFS(tblDaily[TransfersIn],tblDaily[EntryDate],DATE(2026,5,2),tblDaily[WardCode],"BF")=0,"",SUMIFS(tblDaily[TransfersIn],tblDaily[EntryDate],DATE(2026,5,2),tblDaily[WardCode],"BF")),"")</f>
        <v/>
      </c>
      <c r="G164" s="29" t="str">
        <f>IFERROR(IF(SUMIFS(tblDaily[TransfersOut],tblDaily[EntryDate],DATE(2026,5,2),tblDaily[WardCode],"BF")=0,"",SUMIFS(tblDaily[TransfersOut],tblDaily[EntryDate],DATE(2026,5,2),tblDaily[WardCode],"BF")),"")</f>
        <v/>
      </c>
      <c r="H164" s="29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IFERROR(IF(SUMIFS(tblDaily[Admissions],tblDaily[EntryDate],DATE(2026,5,3),tblDaily[WardCode],"BF")=0,"",SUMIFS(tblDaily[Admissions],tblDaily[EntryDate],DATE(2026,5,3),tblDaily[WardCode],"BF")),"")</f>
        <v/>
      </c>
      <c r="C165" s="29" t="str">
        <f>IFERROR(IF(SUMIFS(tblDaily[Discharges],tblDaily[EntryDate],DATE(2026,5,3),tblDaily[WardCode],"BF")=0,"",SUMIFS(tblDaily[Discharges],tblDaily[EntryDate],DATE(2026,5,3),tblDaily[WardCode],"BF")),"")</f>
        <v/>
      </c>
      <c r="D165" s="29" t="str">
        <f>IFERROR(IF(SUMIFS(tblDaily[Deaths],tblDaily[EntryDate],DATE(2026,5,3),tblDaily[WardCode],"BF")=0,"",SUMIFS(tblDaily[Deaths],tblDaily[EntryDate],DATE(2026,5,3),tblDaily[WardCode],"BF")),"")</f>
        <v/>
      </c>
      <c r="E165" s="29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29" t="str">
        <f>IFERROR(IF(SUMIFS(tblDaily[TransfersIn],tblDaily[EntryDate],DATE(2026,5,3),tblDaily[WardCode],"BF")=0,"",SUMIFS(tblDaily[TransfersIn],tblDaily[EntryDate],DATE(2026,5,3),tblDaily[WardCode],"BF")),"")</f>
        <v/>
      </c>
      <c r="G165" s="29" t="str">
        <f>IFERROR(IF(SUMIFS(tblDaily[TransfersOut],tblDaily[EntryDate],DATE(2026,5,3),tblDaily[WardCode],"BF")=0,"",SUMIFS(tblDaily[TransfersOut],tblDaily[EntryDate],DATE(2026,5,3),tblDaily[WardCode],"BF")),"")</f>
        <v/>
      </c>
      <c r="H165" s="29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IFERROR(IF(SUMIFS(tblDaily[Admissions],tblDaily[EntryDate],DATE(2026,5,4),tblDaily[WardCode],"BF")=0,"",SUMIFS(tblDaily[Admissions],tblDaily[EntryDate],DATE(2026,5,4),tblDaily[WardCode],"BF")),"")</f>
        <v/>
      </c>
      <c r="C166" s="29" t="str">
        <f>IFERROR(IF(SUMIFS(tblDaily[Discharges],tblDaily[EntryDate],DATE(2026,5,4),tblDaily[WardCode],"BF")=0,"",SUMIFS(tblDaily[Discharges],tblDaily[EntryDate],DATE(2026,5,4),tblDaily[WardCode],"BF")),"")</f>
        <v/>
      </c>
      <c r="D166" s="29" t="str">
        <f>IFERROR(IF(SUMIFS(tblDaily[Deaths],tblDaily[EntryDate],DATE(2026,5,4),tblDaily[WardCode],"BF")=0,"",SUMIFS(tblDaily[Deaths],tblDaily[EntryDate],DATE(2026,5,4),tblDaily[WardCode],"BF")),"")</f>
        <v/>
      </c>
      <c r="E166" s="29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29" t="str">
        <f>IFERROR(IF(SUMIFS(tblDaily[TransfersIn],tblDaily[EntryDate],DATE(2026,5,4),tblDaily[WardCode],"BF")=0,"",SUMIFS(tblDaily[TransfersIn],tblDaily[EntryDate],DATE(2026,5,4),tblDaily[WardCode],"BF")),"")</f>
        <v/>
      </c>
      <c r="G166" s="29" t="str">
        <f>IFERROR(IF(SUMIFS(tblDaily[TransfersOut],tblDaily[EntryDate],DATE(2026,5,4),tblDaily[WardCode],"BF")=0,"",SUMIFS(tblDaily[TransfersOut],tblDaily[EntryDate],DATE(2026,5,4),tblDaily[WardCode],"BF")),"")</f>
        <v/>
      </c>
      <c r="H166" s="29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IFERROR(IF(SUMIFS(tblDaily[Admissions],tblDaily[EntryDate],DATE(2026,5,5),tblDaily[WardCode],"BF")=0,"",SUMIFS(tblDaily[Admissions],tblDaily[EntryDate],DATE(2026,5,5),tblDaily[WardCode],"BF")),"")</f>
        <v/>
      </c>
      <c r="C167" s="29" t="str">
        <f>IFERROR(IF(SUMIFS(tblDaily[Discharges],tblDaily[EntryDate],DATE(2026,5,5),tblDaily[WardCode],"BF")=0,"",SUMIFS(tblDaily[Discharges],tblDaily[EntryDate],DATE(2026,5,5),tblDaily[WardCode],"BF")),"")</f>
        <v/>
      </c>
      <c r="D167" s="29" t="str">
        <f>IFERROR(IF(SUMIFS(tblDaily[Deaths],tblDaily[EntryDate],DATE(2026,5,5),tblDaily[WardCode],"BF")=0,"",SUMIFS(tblDaily[Deaths],tblDaily[EntryDate],DATE(2026,5,5),tblDaily[WardCode],"BF")),"")</f>
        <v/>
      </c>
      <c r="E167" s="29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29" t="str">
        <f>IFERROR(IF(SUMIFS(tblDaily[TransfersIn],tblDaily[EntryDate],DATE(2026,5,5),tblDaily[WardCode],"BF")=0,"",SUMIFS(tblDaily[TransfersIn],tblDaily[EntryDate],DATE(2026,5,5),tblDaily[WardCode],"BF")),"")</f>
        <v/>
      </c>
      <c r="G167" s="29" t="str">
        <f>IFERROR(IF(SUMIFS(tblDaily[TransfersOut],tblDaily[EntryDate],DATE(2026,5,5),tblDaily[WardCode],"BF")=0,"",SUMIFS(tblDaily[TransfersOut],tblDaily[EntryDate],DATE(2026,5,5),tblDaily[WardCode],"BF")),"")</f>
        <v/>
      </c>
      <c r="H167" s="29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IFERROR(IF(SUMIFS(tblDaily[Admissions],tblDaily[EntryDate],DATE(2026,5,6),tblDaily[WardCode],"BF")=0,"",SUMIFS(tblDaily[Admissions],tblDaily[EntryDate],DATE(2026,5,6),tblDaily[WardCode],"BF")),"")</f>
        <v/>
      </c>
      <c r="C168" s="29" t="str">
        <f>IFERROR(IF(SUMIFS(tblDaily[Discharges],tblDaily[EntryDate],DATE(2026,5,6),tblDaily[WardCode],"BF")=0,"",SUMIFS(tblDaily[Discharges],tblDaily[EntryDate],DATE(2026,5,6),tblDaily[WardCode],"BF")),"")</f>
        <v/>
      </c>
      <c r="D168" s="29" t="str">
        <f>IFERROR(IF(SUMIFS(tblDaily[Deaths],tblDaily[EntryDate],DATE(2026,5,6),tblDaily[WardCode],"BF")=0,"",SUMIFS(tblDaily[Deaths],tblDaily[EntryDate],DATE(2026,5,6),tblDaily[WardCode],"BF")),"")</f>
        <v/>
      </c>
      <c r="E168" s="29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29" t="str">
        <f>IFERROR(IF(SUMIFS(tblDaily[TransfersIn],tblDaily[EntryDate],DATE(2026,5,6),tblDaily[WardCode],"BF")=0,"",SUMIFS(tblDaily[TransfersIn],tblDaily[EntryDate],DATE(2026,5,6),tblDaily[WardCode],"BF")),"")</f>
        <v/>
      </c>
      <c r="G168" s="29" t="str">
        <f>IFERROR(IF(SUMIFS(tblDaily[TransfersOut],tblDaily[EntryDate],DATE(2026,5,6),tblDaily[WardCode],"BF")=0,"",SUMIFS(tblDaily[TransfersOut],tblDaily[EntryDate],DATE(2026,5,6),tblDaily[WardCode],"BF")),"")</f>
        <v/>
      </c>
      <c r="H168" s="29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IFERROR(IF(SUMIFS(tblDaily[Admissions],tblDaily[EntryDate],DATE(2026,5,7),tblDaily[WardCode],"BF")=0,"",SUMIFS(tblDaily[Admissions],tblDaily[EntryDate],DATE(2026,5,7),tblDaily[WardCode],"BF")),"")</f>
        <v/>
      </c>
      <c r="C169" s="29" t="str">
        <f>IFERROR(IF(SUMIFS(tblDaily[Discharges],tblDaily[EntryDate],DATE(2026,5,7),tblDaily[WardCode],"BF")=0,"",SUMIFS(tblDaily[Discharges],tblDaily[EntryDate],DATE(2026,5,7),tblDaily[WardCode],"BF")),"")</f>
        <v/>
      </c>
      <c r="D169" s="29" t="str">
        <f>IFERROR(IF(SUMIFS(tblDaily[Deaths],tblDaily[EntryDate],DATE(2026,5,7),tblDaily[WardCode],"BF")=0,"",SUMIFS(tblDaily[Deaths],tblDaily[EntryDate],DATE(2026,5,7),tblDaily[WardCode],"BF")),"")</f>
        <v/>
      </c>
      <c r="E169" s="29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29" t="str">
        <f>IFERROR(IF(SUMIFS(tblDaily[TransfersIn],tblDaily[EntryDate],DATE(2026,5,7),tblDaily[WardCode],"BF")=0,"",SUMIFS(tblDaily[TransfersIn],tblDaily[EntryDate],DATE(2026,5,7),tblDaily[WardCode],"BF")),"")</f>
        <v/>
      </c>
      <c r="G169" s="29" t="str">
        <f>IFERROR(IF(SUMIFS(tblDaily[TransfersOut],tblDaily[EntryDate],DATE(2026,5,7),tblDaily[WardCode],"BF")=0,"",SUMIFS(tblDaily[TransfersOut],tblDaily[EntryDate],DATE(2026,5,7),tblDaily[WardCode],"BF")),"")</f>
        <v/>
      </c>
      <c r="H169" s="29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IFERROR(IF(SUMIFS(tblDaily[Admissions],tblDaily[EntryDate],DATE(2026,5,8),tblDaily[WardCode],"BF")=0,"",SUMIFS(tblDaily[Admissions],tblDaily[EntryDate],DATE(2026,5,8),tblDaily[WardCode],"BF")),"")</f>
        <v/>
      </c>
      <c r="C170" s="29" t="str">
        <f>IFERROR(IF(SUMIFS(tblDaily[Discharges],tblDaily[EntryDate],DATE(2026,5,8),tblDaily[WardCode],"BF")=0,"",SUMIFS(tblDaily[Discharges],tblDaily[EntryDate],DATE(2026,5,8),tblDaily[WardCode],"BF")),"")</f>
        <v/>
      </c>
      <c r="D170" s="29" t="str">
        <f>IFERROR(IF(SUMIFS(tblDaily[Deaths],tblDaily[EntryDate],DATE(2026,5,8),tblDaily[WardCode],"BF")=0,"",SUMIFS(tblDaily[Deaths],tblDaily[EntryDate],DATE(2026,5,8),tblDaily[WardCode],"BF")),"")</f>
        <v/>
      </c>
      <c r="E170" s="29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29" t="str">
        <f>IFERROR(IF(SUMIFS(tblDaily[TransfersIn],tblDaily[EntryDate],DATE(2026,5,8),tblDaily[WardCode],"BF")=0,"",SUMIFS(tblDaily[TransfersIn],tblDaily[EntryDate],DATE(2026,5,8),tblDaily[WardCode],"BF")),"")</f>
        <v/>
      </c>
      <c r="G170" s="29" t="str">
        <f>IFERROR(IF(SUMIFS(tblDaily[TransfersOut],tblDaily[EntryDate],DATE(2026,5,8),tblDaily[WardCode],"BF")=0,"",SUMIFS(tblDaily[TransfersOut],tblDaily[EntryDate],DATE(2026,5,8),tblDaily[WardCode],"BF")),"")</f>
        <v/>
      </c>
      <c r="H170" s="29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IFERROR(IF(SUMIFS(tblDaily[Admissions],tblDaily[EntryDate],DATE(2026,5,9),tblDaily[WardCode],"BF")=0,"",SUMIFS(tblDaily[Admissions],tblDaily[EntryDate],DATE(2026,5,9),tblDaily[WardCode],"BF")),"")</f>
        <v/>
      </c>
      <c r="C171" s="29" t="str">
        <f>IFERROR(IF(SUMIFS(tblDaily[Discharges],tblDaily[EntryDate],DATE(2026,5,9),tblDaily[WardCode],"BF")=0,"",SUMIFS(tblDaily[Discharges],tblDaily[EntryDate],DATE(2026,5,9),tblDaily[WardCode],"BF")),"")</f>
        <v/>
      </c>
      <c r="D171" s="29" t="str">
        <f>IFERROR(IF(SUMIFS(tblDaily[Deaths],tblDaily[EntryDate],DATE(2026,5,9),tblDaily[WardCode],"BF")=0,"",SUMIFS(tblDaily[Deaths],tblDaily[EntryDate],DATE(2026,5,9),tblDaily[WardCode],"BF")),"")</f>
        <v/>
      </c>
      <c r="E171" s="29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29" t="str">
        <f>IFERROR(IF(SUMIFS(tblDaily[TransfersIn],tblDaily[EntryDate],DATE(2026,5,9),tblDaily[WardCode],"BF")=0,"",SUMIFS(tblDaily[TransfersIn],tblDaily[EntryDate],DATE(2026,5,9),tblDaily[WardCode],"BF")),"")</f>
        <v/>
      </c>
      <c r="G171" s="29" t="str">
        <f>IFERROR(IF(SUMIFS(tblDaily[TransfersOut],tblDaily[EntryDate],DATE(2026,5,9),tblDaily[WardCode],"BF")=0,"",SUMIFS(tblDaily[TransfersOut],tblDaily[EntryDate],DATE(2026,5,9),tblDaily[WardCode],"BF")),"")</f>
        <v/>
      </c>
      <c r="H171" s="29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IFERROR(IF(SUMIFS(tblDaily[Admissions],tblDaily[EntryDate],DATE(2026,5,10),tblDaily[WardCode],"BF")=0,"",SUMIFS(tblDaily[Admissions],tblDaily[EntryDate],DATE(2026,5,10),tblDaily[WardCode],"BF")),"")</f>
        <v/>
      </c>
      <c r="C172" s="29" t="str">
        <f>IFERROR(IF(SUMIFS(tblDaily[Discharges],tblDaily[EntryDate],DATE(2026,5,10),tblDaily[WardCode],"BF")=0,"",SUMIFS(tblDaily[Discharges],tblDaily[EntryDate],DATE(2026,5,10),tblDaily[WardCode],"BF")),"")</f>
        <v/>
      </c>
      <c r="D172" s="29" t="str">
        <f>IFERROR(IF(SUMIFS(tblDaily[Deaths],tblDaily[EntryDate],DATE(2026,5,10),tblDaily[WardCode],"BF")=0,"",SUMIFS(tblDaily[Deaths],tblDaily[EntryDate],DATE(2026,5,10),tblDaily[WardCode],"BF")),"")</f>
        <v/>
      </c>
      <c r="E172" s="29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29" t="str">
        <f>IFERROR(IF(SUMIFS(tblDaily[TransfersIn],tblDaily[EntryDate],DATE(2026,5,10),tblDaily[WardCode],"BF")=0,"",SUMIFS(tblDaily[TransfersIn],tblDaily[EntryDate],DATE(2026,5,10),tblDaily[WardCode],"BF")),"")</f>
        <v/>
      </c>
      <c r="G172" s="29" t="str">
        <f>IFERROR(IF(SUMIFS(tblDaily[TransfersOut],tblDaily[EntryDate],DATE(2026,5,10),tblDaily[WardCode],"BF")=0,"",SUMIFS(tblDaily[TransfersOut],tblDaily[EntryDate],DATE(2026,5,10),tblDaily[WardCode],"BF")),"")</f>
        <v/>
      </c>
      <c r="H172" s="29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IFERROR(IF(SUMIFS(tblDaily[Admissions],tblDaily[EntryDate],DATE(2026,5,11),tblDaily[WardCode],"BF")=0,"",SUMIFS(tblDaily[Admissions],tblDaily[EntryDate],DATE(2026,5,11),tblDaily[WardCode],"BF")),"")</f>
        <v/>
      </c>
      <c r="C173" s="29" t="str">
        <f>IFERROR(IF(SUMIFS(tblDaily[Discharges],tblDaily[EntryDate],DATE(2026,5,11),tblDaily[WardCode],"BF")=0,"",SUMIFS(tblDaily[Discharges],tblDaily[EntryDate],DATE(2026,5,11),tblDaily[WardCode],"BF")),"")</f>
        <v/>
      </c>
      <c r="D173" s="29" t="str">
        <f>IFERROR(IF(SUMIFS(tblDaily[Deaths],tblDaily[EntryDate],DATE(2026,5,11),tblDaily[WardCode],"BF")=0,"",SUMIFS(tblDaily[Deaths],tblDaily[EntryDate],DATE(2026,5,11),tblDaily[WardCode],"BF")),"")</f>
        <v/>
      </c>
      <c r="E173" s="29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29" t="str">
        <f>IFERROR(IF(SUMIFS(tblDaily[TransfersIn],tblDaily[EntryDate],DATE(2026,5,11),tblDaily[WardCode],"BF")=0,"",SUMIFS(tblDaily[TransfersIn],tblDaily[EntryDate],DATE(2026,5,11),tblDaily[WardCode],"BF")),"")</f>
        <v/>
      </c>
      <c r="G173" s="29" t="str">
        <f>IFERROR(IF(SUMIFS(tblDaily[TransfersOut],tblDaily[EntryDate],DATE(2026,5,11),tblDaily[WardCode],"BF")=0,"",SUMIFS(tblDaily[TransfersOut],tblDaily[EntryDate],DATE(2026,5,11),tblDaily[WardCode],"BF")),"")</f>
        <v/>
      </c>
      <c r="H173" s="29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IFERROR(IF(SUMIFS(tblDaily[Admissions],tblDaily[EntryDate],DATE(2026,5,12),tblDaily[WardCode],"BF")=0,"",SUMIFS(tblDaily[Admissions],tblDaily[EntryDate],DATE(2026,5,12),tblDaily[WardCode],"BF")),"")</f>
        <v/>
      </c>
      <c r="C174" s="29" t="str">
        <f>IFERROR(IF(SUMIFS(tblDaily[Discharges],tblDaily[EntryDate],DATE(2026,5,12),tblDaily[WardCode],"BF")=0,"",SUMIFS(tblDaily[Discharges],tblDaily[EntryDate],DATE(2026,5,12),tblDaily[WardCode],"BF")),"")</f>
        <v/>
      </c>
      <c r="D174" s="29" t="str">
        <f>IFERROR(IF(SUMIFS(tblDaily[Deaths],tblDaily[EntryDate],DATE(2026,5,12),tblDaily[WardCode],"BF")=0,"",SUMIFS(tblDaily[Deaths],tblDaily[EntryDate],DATE(2026,5,12),tblDaily[WardCode],"BF")),"")</f>
        <v/>
      </c>
      <c r="E174" s="29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29" t="str">
        <f>IFERROR(IF(SUMIFS(tblDaily[TransfersIn],tblDaily[EntryDate],DATE(2026,5,12),tblDaily[WardCode],"BF")=0,"",SUMIFS(tblDaily[TransfersIn],tblDaily[EntryDate],DATE(2026,5,12),tblDaily[WardCode],"BF")),"")</f>
        <v/>
      </c>
      <c r="G174" s="29" t="str">
        <f>IFERROR(IF(SUMIFS(tblDaily[TransfersOut],tblDaily[EntryDate],DATE(2026,5,12),tblDaily[WardCode],"BF")=0,"",SUMIFS(tblDaily[TransfersOut],tblDaily[EntryDate],DATE(2026,5,12),tblDaily[WardCode],"BF")),"")</f>
        <v/>
      </c>
      <c r="H174" s="29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IFERROR(IF(SUMIFS(tblDaily[Admissions],tblDaily[EntryDate],DATE(2026,5,13),tblDaily[WardCode],"BF")=0,"",SUMIFS(tblDaily[Admissions],tblDaily[EntryDate],DATE(2026,5,13),tblDaily[WardCode],"BF")),"")</f>
        <v/>
      </c>
      <c r="C175" s="29" t="str">
        <f>IFERROR(IF(SUMIFS(tblDaily[Discharges],tblDaily[EntryDate],DATE(2026,5,13),tblDaily[WardCode],"BF")=0,"",SUMIFS(tblDaily[Discharges],tblDaily[EntryDate],DATE(2026,5,13),tblDaily[WardCode],"BF")),"")</f>
        <v/>
      </c>
      <c r="D175" s="29" t="str">
        <f>IFERROR(IF(SUMIFS(tblDaily[Deaths],tblDaily[EntryDate],DATE(2026,5,13),tblDaily[WardCode],"BF")=0,"",SUMIFS(tblDaily[Deaths],tblDaily[EntryDate],DATE(2026,5,13),tblDaily[WardCode],"BF")),"")</f>
        <v/>
      </c>
      <c r="E175" s="29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29" t="str">
        <f>IFERROR(IF(SUMIFS(tblDaily[TransfersIn],tblDaily[EntryDate],DATE(2026,5,13),tblDaily[WardCode],"BF")=0,"",SUMIFS(tblDaily[TransfersIn],tblDaily[EntryDate],DATE(2026,5,13),tblDaily[WardCode],"BF")),"")</f>
        <v/>
      </c>
      <c r="G175" s="29" t="str">
        <f>IFERROR(IF(SUMIFS(tblDaily[TransfersOut],tblDaily[EntryDate],DATE(2026,5,13),tblDaily[WardCode],"BF")=0,"",SUMIFS(tblDaily[TransfersOut],tblDaily[EntryDate],DATE(2026,5,13),tblDaily[WardCode],"BF")),"")</f>
        <v/>
      </c>
      <c r="H175" s="29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IFERROR(IF(SUMIFS(tblDaily[Admissions],tblDaily[EntryDate],DATE(2026,5,14),tblDaily[WardCode],"BF")=0,"",SUMIFS(tblDaily[Admissions],tblDaily[EntryDate],DATE(2026,5,14),tblDaily[WardCode],"BF")),"")</f>
        <v/>
      </c>
      <c r="C176" s="29" t="str">
        <f>IFERROR(IF(SUMIFS(tblDaily[Discharges],tblDaily[EntryDate],DATE(2026,5,14),tblDaily[WardCode],"BF")=0,"",SUMIFS(tblDaily[Discharges],tblDaily[EntryDate],DATE(2026,5,14),tblDaily[WardCode],"BF")),"")</f>
        <v/>
      </c>
      <c r="D176" s="29" t="str">
        <f>IFERROR(IF(SUMIFS(tblDaily[Deaths],tblDaily[EntryDate],DATE(2026,5,14),tblDaily[WardCode],"BF")=0,"",SUMIFS(tblDaily[Deaths],tblDaily[EntryDate],DATE(2026,5,14),tblDaily[WardCode],"BF")),"")</f>
        <v/>
      </c>
      <c r="E176" s="29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29" t="str">
        <f>IFERROR(IF(SUMIFS(tblDaily[TransfersIn],tblDaily[EntryDate],DATE(2026,5,14),tblDaily[WardCode],"BF")=0,"",SUMIFS(tblDaily[TransfersIn],tblDaily[EntryDate],DATE(2026,5,14),tblDaily[WardCode],"BF")),"")</f>
        <v/>
      </c>
      <c r="G176" s="29" t="str">
        <f>IFERROR(IF(SUMIFS(tblDaily[TransfersOut],tblDaily[EntryDate],DATE(2026,5,14),tblDaily[WardCode],"BF")=0,"",SUMIFS(tblDaily[TransfersOut],tblDaily[EntryDate],DATE(2026,5,14),tblDaily[WardCode],"BF")),"")</f>
        <v/>
      </c>
      <c r="H176" s="29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IFERROR(IF(SUMIFS(tblDaily[Admissions],tblDaily[EntryDate],DATE(2026,5,15),tblDaily[WardCode],"BF")=0,"",SUMIFS(tblDaily[Admissions],tblDaily[EntryDate],DATE(2026,5,15),tblDaily[WardCode],"BF")),"")</f>
        <v/>
      </c>
      <c r="C177" s="29" t="str">
        <f>IFERROR(IF(SUMIFS(tblDaily[Discharges],tblDaily[EntryDate],DATE(2026,5,15),tblDaily[WardCode],"BF")=0,"",SUMIFS(tblDaily[Discharges],tblDaily[EntryDate],DATE(2026,5,15),tblDaily[WardCode],"BF")),"")</f>
        <v/>
      </c>
      <c r="D177" s="29" t="str">
        <f>IFERROR(IF(SUMIFS(tblDaily[Deaths],tblDaily[EntryDate],DATE(2026,5,15),tblDaily[WardCode],"BF")=0,"",SUMIFS(tblDaily[Deaths],tblDaily[EntryDate],DATE(2026,5,15),tblDaily[WardCode],"BF")),"")</f>
        <v/>
      </c>
      <c r="E177" s="29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29" t="str">
        <f>IFERROR(IF(SUMIFS(tblDaily[TransfersIn],tblDaily[EntryDate],DATE(2026,5,15),tblDaily[WardCode],"BF")=0,"",SUMIFS(tblDaily[TransfersIn],tblDaily[EntryDate],DATE(2026,5,15),tblDaily[WardCode],"BF")),"")</f>
        <v/>
      </c>
      <c r="G177" s="29" t="str">
        <f>IFERROR(IF(SUMIFS(tblDaily[TransfersOut],tblDaily[EntryDate],DATE(2026,5,15),tblDaily[WardCode],"BF")=0,"",SUMIFS(tblDaily[TransfersOut],tblDaily[EntryDate],DATE(2026,5,15),tblDaily[WardCode],"BF")),"")</f>
        <v/>
      </c>
      <c r="H177" s="29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IFERROR(IF(SUMIFS(tblDaily[Admissions],tblDaily[EntryDate],DATE(2026,5,16),tblDaily[WardCode],"BF")=0,"",SUMIFS(tblDaily[Admissions],tblDaily[EntryDate],DATE(2026,5,16),tblDaily[WardCode],"BF")),"")</f>
        <v/>
      </c>
      <c r="C178" s="29" t="str">
        <f>IFERROR(IF(SUMIFS(tblDaily[Discharges],tblDaily[EntryDate],DATE(2026,5,16),tblDaily[WardCode],"BF")=0,"",SUMIFS(tblDaily[Discharges],tblDaily[EntryDate],DATE(2026,5,16),tblDaily[WardCode],"BF")),"")</f>
        <v/>
      </c>
      <c r="D178" s="29" t="str">
        <f>IFERROR(IF(SUMIFS(tblDaily[Deaths],tblDaily[EntryDate],DATE(2026,5,16),tblDaily[WardCode],"BF")=0,"",SUMIFS(tblDaily[Deaths],tblDaily[EntryDate],DATE(2026,5,16),tblDaily[WardCode],"BF")),"")</f>
        <v/>
      </c>
      <c r="E178" s="29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29" t="str">
        <f>IFERROR(IF(SUMIFS(tblDaily[TransfersIn],tblDaily[EntryDate],DATE(2026,5,16),tblDaily[WardCode],"BF")=0,"",SUMIFS(tblDaily[TransfersIn],tblDaily[EntryDate],DATE(2026,5,16),tblDaily[WardCode],"BF")),"")</f>
        <v/>
      </c>
      <c r="G178" s="29" t="str">
        <f>IFERROR(IF(SUMIFS(tblDaily[TransfersOut],tblDaily[EntryDate],DATE(2026,5,16),tblDaily[WardCode],"BF")=0,"",SUMIFS(tblDaily[TransfersOut],tblDaily[EntryDate],DATE(2026,5,16),tblDaily[WardCode],"BF")),"")</f>
        <v/>
      </c>
      <c r="H178" s="29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IFERROR(IF(SUMIFS(tblDaily[Admissions],tblDaily[EntryDate],DATE(2026,5,17),tblDaily[WardCode],"BF")=0,"",SUMIFS(tblDaily[Admissions],tblDaily[EntryDate],DATE(2026,5,17),tblDaily[WardCode],"BF")),"")</f>
        <v/>
      </c>
      <c r="C179" s="29" t="str">
        <f>IFERROR(IF(SUMIFS(tblDaily[Discharges],tblDaily[EntryDate],DATE(2026,5,17),tblDaily[WardCode],"BF")=0,"",SUMIFS(tblDaily[Discharges],tblDaily[EntryDate],DATE(2026,5,17),tblDaily[WardCode],"BF")),"")</f>
        <v/>
      </c>
      <c r="D179" s="29" t="str">
        <f>IFERROR(IF(SUMIFS(tblDaily[Deaths],tblDaily[EntryDate],DATE(2026,5,17),tblDaily[WardCode],"BF")=0,"",SUMIFS(tblDaily[Deaths],tblDaily[EntryDate],DATE(2026,5,17),tblDaily[WardCode],"BF")),"")</f>
        <v/>
      </c>
      <c r="E179" s="29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29" t="str">
        <f>IFERROR(IF(SUMIFS(tblDaily[TransfersIn],tblDaily[EntryDate],DATE(2026,5,17),tblDaily[WardCode],"BF")=0,"",SUMIFS(tblDaily[TransfersIn],tblDaily[EntryDate],DATE(2026,5,17),tblDaily[WardCode],"BF")),"")</f>
        <v/>
      </c>
      <c r="G179" s="29" t="str">
        <f>IFERROR(IF(SUMIFS(tblDaily[TransfersOut],tblDaily[EntryDate],DATE(2026,5,17),tblDaily[WardCode],"BF")=0,"",SUMIFS(tblDaily[TransfersOut],tblDaily[EntryDate],DATE(2026,5,17),tblDaily[WardCode],"BF")),"")</f>
        <v/>
      </c>
      <c r="H179" s="29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IFERROR(IF(SUMIFS(tblDaily[Admissions],tblDaily[EntryDate],DATE(2026,5,18),tblDaily[WardCode],"BF")=0,"",SUMIFS(tblDaily[Admissions],tblDaily[EntryDate],DATE(2026,5,18),tblDaily[WardCode],"BF")),"")</f>
        <v/>
      </c>
      <c r="C180" s="29" t="str">
        <f>IFERROR(IF(SUMIFS(tblDaily[Discharges],tblDaily[EntryDate],DATE(2026,5,18),tblDaily[WardCode],"BF")=0,"",SUMIFS(tblDaily[Discharges],tblDaily[EntryDate],DATE(2026,5,18),tblDaily[WardCode],"BF")),"")</f>
        <v/>
      </c>
      <c r="D180" s="29" t="str">
        <f>IFERROR(IF(SUMIFS(tblDaily[Deaths],tblDaily[EntryDate],DATE(2026,5,18),tblDaily[WardCode],"BF")=0,"",SUMIFS(tblDaily[Deaths],tblDaily[EntryDate],DATE(2026,5,18),tblDaily[WardCode],"BF")),"")</f>
        <v/>
      </c>
      <c r="E180" s="29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29" t="str">
        <f>IFERROR(IF(SUMIFS(tblDaily[TransfersIn],tblDaily[EntryDate],DATE(2026,5,18),tblDaily[WardCode],"BF")=0,"",SUMIFS(tblDaily[TransfersIn],tblDaily[EntryDate],DATE(2026,5,18),tblDaily[WardCode],"BF")),"")</f>
        <v/>
      </c>
      <c r="G180" s="29" t="str">
        <f>IFERROR(IF(SUMIFS(tblDaily[TransfersOut],tblDaily[EntryDate],DATE(2026,5,18),tblDaily[WardCode],"BF")=0,"",SUMIFS(tblDaily[TransfersOut],tblDaily[EntryDate],DATE(2026,5,18),tblDaily[WardCode],"BF")),"")</f>
        <v/>
      </c>
      <c r="H180" s="29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IFERROR(IF(SUMIFS(tblDaily[Admissions],tblDaily[EntryDate],DATE(2026,5,19),tblDaily[WardCode],"BF")=0,"",SUMIFS(tblDaily[Admissions],tblDaily[EntryDate],DATE(2026,5,19),tblDaily[WardCode],"BF")),"")</f>
        <v/>
      </c>
      <c r="C181" s="29" t="str">
        <f>IFERROR(IF(SUMIFS(tblDaily[Discharges],tblDaily[EntryDate],DATE(2026,5,19),tblDaily[WardCode],"BF")=0,"",SUMIFS(tblDaily[Discharges],tblDaily[EntryDate],DATE(2026,5,19),tblDaily[WardCode],"BF")),"")</f>
        <v/>
      </c>
      <c r="D181" s="29" t="str">
        <f>IFERROR(IF(SUMIFS(tblDaily[Deaths],tblDaily[EntryDate],DATE(2026,5,19),tblDaily[WardCode],"BF")=0,"",SUMIFS(tblDaily[Deaths],tblDaily[EntryDate],DATE(2026,5,19),tblDaily[WardCode],"BF")),"")</f>
        <v/>
      </c>
      <c r="E181" s="29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29" t="str">
        <f>IFERROR(IF(SUMIFS(tblDaily[TransfersIn],tblDaily[EntryDate],DATE(2026,5,19),tblDaily[WardCode],"BF")=0,"",SUMIFS(tblDaily[TransfersIn],tblDaily[EntryDate],DATE(2026,5,19),tblDaily[WardCode],"BF")),"")</f>
        <v/>
      </c>
      <c r="G181" s="29" t="str">
        <f>IFERROR(IF(SUMIFS(tblDaily[TransfersOut],tblDaily[EntryDate],DATE(2026,5,19),tblDaily[WardCode],"BF")=0,"",SUMIFS(tblDaily[TransfersOut],tblDaily[EntryDate],DATE(2026,5,19),tblDaily[WardCode],"BF")),"")</f>
        <v/>
      </c>
      <c r="H181" s="29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IFERROR(IF(SUMIFS(tblDaily[Admissions],tblDaily[EntryDate],DATE(2026,5,20),tblDaily[WardCode],"BF")=0,"",SUMIFS(tblDaily[Admissions],tblDaily[EntryDate],DATE(2026,5,20),tblDaily[WardCode],"BF")),"")</f>
        <v/>
      </c>
      <c r="C182" s="29" t="str">
        <f>IFERROR(IF(SUMIFS(tblDaily[Discharges],tblDaily[EntryDate],DATE(2026,5,20),tblDaily[WardCode],"BF")=0,"",SUMIFS(tblDaily[Discharges],tblDaily[EntryDate],DATE(2026,5,20),tblDaily[WardCode],"BF")),"")</f>
        <v/>
      </c>
      <c r="D182" s="29" t="str">
        <f>IFERROR(IF(SUMIFS(tblDaily[Deaths],tblDaily[EntryDate],DATE(2026,5,20),tblDaily[WardCode],"BF")=0,"",SUMIFS(tblDaily[Deaths],tblDaily[EntryDate],DATE(2026,5,20),tblDaily[WardCode],"BF")),"")</f>
        <v/>
      </c>
      <c r="E182" s="29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29" t="str">
        <f>IFERROR(IF(SUMIFS(tblDaily[TransfersIn],tblDaily[EntryDate],DATE(2026,5,20),tblDaily[WardCode],"BF")=0,"",SUMIFS(tblDaily[TransfersIn],tblDaily[EntryDate],DATE(2026,5,20),tblDaily[WardCode],"BF")),"")</f>
        <v/>
      </c>
      <c r="G182" s="29" t="str">
        <f>IFERROR(IF(SUMIFS(tblDaily[TransfersOut],tblDaily[EntryDate],DATE(2026,5,20),tblDaily[WardCode],"BF")=0,"",SUMIFS(tblDaily[TransfersOut],tblDaily[EntryDate],DATE(2026,5,20),tblDaily[WardCode],"BF")),"")</f>
        <v/>
      </c>
      <c r="H182" s="29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IFERROR(IF(SUMIFS(tblDaily[Admissions],tblDaily[EntryDate],DATE(2026,5,21),tblDaily[WardCode],"BF")=0,"",SUMIFS(tblDaily[Admissions],tblDaily[EntryDate],DATE(2026,5,21),tblDaily[WardCode],"BF")),"")</f>
        <v/>
      </c>
      <c r="C183" s="29" t="str">
        <f>IFERROR(IF(SUMIFS(tblDaily[Discharges],tblDaily[EntryDate],DATE(2026,5,21),tblDaily[WardCode],"BF")=0,"",SUMIFS(tblDaily[Discharges],tblDaily[EntryDate],DATE(2026,5,21),tblDaily[WardCode],"BF")),"")</f>
        <v/>
      </c>
      <c r="D183" s="29" t="str">
        <f>IFERROR(IF(SUMIFS(tblDaily[Deaths],tblDaily[EntryDate],DATE(2026,5,21),tblDaily[WardCode],"BF")=0,"",SUMIFS(tblDaily[Deaths],tblDaily[EntryDate],DATE(2026,5,21),tblDaily[WardCode],"BF")),"")</f>
        <v/>
      </c>
      <c r="E183" s="29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29" t="str">
        <f>IFERROR(IF(SUMIFS(tblDaily[TransfersIn],tblDaily[EntryDate],DATE(2026,5,21),tblDaily[WardCode],"BF")=0,"",SUMIFS(tblDaily[TransfersIn],tblDaily[EntryDate],DATE(2026,5,21),tblDaily[WardCode],"BF")),"")</f>
        <v/>
      </c>
      <c r="G183" s="29" t="str">
        <f>IFERROR(IF(SUMIFS(tblDaily[TransfersOut],tblDaily[EntryDate],DATE(2026,5,21),tblDaily[WardCode],"BF")=0,"",SUMIFS(tblDaily[TransfersOut],tblDaily[EntryDate],DATE(2026,5,21),tblDaily[WardCode],"BF")),"")</f>
        <v/>
      </c>
      <c r="H183" s="29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IFERROR(IF(SUMIFS(tblDaily[Admissions],tblDaily[EntryDate],DATE(2026,5,22),tblDaily[WardCode],"BF")=0,"",SUMIFS(tblDaily[Admissions],tblDaily[EntryDate],DATE(2026,5,22),tblDaily[WardCode],"BF")),"")</f>
        <v/>
      </c>
      <c r="C184" s="29" t="str">
        <f>IFERROR(IF(SUMIFS(tblDaily[Discharges],tblDaily[EntryDate],DATE(2026,5,22),tblDaily[WardCode],"BF")=0,"",SUMIFS(tblDaily[Discharges],tblDaily[EntryDate],DATE(2026,5,22),tblDaily[WardCode],"BF")),"")</f>
        <v/>
      </c>
      <c r="D184" s="29" t="str">
        <f>IFERROR(IF(SUMIFS(tblDaily[Deaths],tblDaily[EntryDate],DATE(2026,5,22),tblDaily[WardCode],"BF")=0,"",SUMIFS(tblDaily[Deaths],tblDaily[EntryDate],DATE(2026,5,22),tblDaily[WardCode],"BF")),"")</f>
        <v/>
      </c>
      <c r="E184" s="29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29" t="str">
        <f>IFERROR(IF(SUMIFS(tblDaily[TransfersIn],tblDaily[EntryDate],DATE(2026,5,22),tblDaily[WardCode],"BF")=0,"",SUMIFS(tblDaily[TransfersIn],tblDaily[EntryDate],DATE(2026,5,22),tblDaily[WardCode],"BF")),"")</f>
        <v/>
      </c>
      <c r="G184" s="29" t="str">
        <f>IFERROR(IF(SUMIFS(tblDaily[TransfersOut],tblDaily[EntryDate],DATE(2026,5,22),tblDaily[WardCode],"BF")=0,"",SUMIFS(tblDaily[TransfersOut],tblDaily[EntryDate],DATE(2026,5,22),tblDaily[WardCode],"BF")),"")</f>
        <v/>
      </c>
      <c r="H184" s="29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IFERROR(IF(SUMIFS(tblDaily[Admissions],tblDaily[EntryDate],DATE(2026,5,23),tblDaily[WardCode],"BF")=0,"",SUMIFS(tblDaily[Admissions],tblDaily[EntryDate],DATE(2026,5,23),tblDaily[WardCode],"BF")),"")</f>
        <v/>
      </c>
      <c r="C185" s="29" t="str">
        <f>IFERROR(IF(SUMIFS(tblDaily[Discharges],tblDaily[EntryDate],DATE(2026,5,23),tblDaily[WardCode],"BF")=0,"",SUMIFS(tblDaily[Discharges],tblDaily[EntryDate],DATE(2026,5,23),tblDaily[WardCode],"BF")),"")</f>
        <v/>
      </c>
      <c r="D185" s="29" t="str">
        <f>IFERROR(IF(SUMIFS(tblDaily[Deaths],tblDaily[EntryDate],DATE(2026,5,23),tblDaily[WardCode],"BF")=0,"",SUMIFS(tblDaily[Deaths],tblDaily[EntryDate],DATE(2026,5,23),tblDaily[WardCode],"BF")),"")</f>
        <v/>
      </c>
      <c r="E185" s="29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29" t="str">
        <f>IFERROR(IF(SUMIFS(tblDaily[TransfersIn],tblDaily[EntryDate],DATE(2026,5,23),tblDaily[WardCode],"BF")=0,"",SUMIFS(tblDaily[TransfersIn],tblDaily[EntryDate],DATE(2026,5,23),tblDaily[WardCode],"BF")),"")</f>
        <v/>
      </c>
      <c r="G185" s="29" t="str">
        <f>IFERROR(IF(SUMIFS(tblDaily[TransfersOut],tblDaily[EntryDate],DATE(2026,5,23),tblDaily[WardCode],"BF")=0,"",SUMIFS(tblDaily[TransfersOut],tblDaily[EntryDate],DATE(2026,5,23),tblDaily[WardCode],"BF")),"")</f>
        <v/>
      </c>
      <c r="H185" s="29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IFERROR(IF(SUMIFS(tblDaily[Admissions],tblDaily[EntryDate],DATE(2026,5,24),tblDaily[WardCode],"BF")=0,"",SUMIFS(tblDaily[Admissions],tblDaily[EntryDate],DATE(2026,5,24),tblDaily[WardCode],"BF")),"")</f>
        <v/>
      </c>
      <c r="C186" s="29" t="str">
        <f>IFERROR(IF(SUMIFS(tblDaily[Discharges],tblDaily[EntryDate],DATE(2026,5,24),tblDaily[WardCode],"BF")=0,"",SUMIFS(tblDaily[Discharges],tblDaily[EntryDate],DATE(2026,5,24),tblDaily[WardCode],"BF")),"")</f>
        <v/>
      </c>
      <c r="D186" s="29" t="str">
        <f>IFERROR(IF(SUMIFS(tblDaily[Deaths],tblDaily[EntryDate],DATE(2026,5,24),tblDaily[WardCode],"BF")=0,"",SUMIFS(tblDaily[Deaths],tblDaily[EntryDate],DATE(2026,5,24),tblDaily[WardCode],"BF")),"")</f>
        <v/>
      </c>
      <c r="E186" s="29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29" t="str">
        <f>IFERROR(IF(SUMIFS(tblDaily[TransfersIn],tblDaily[EntryDate],DATE(2026,5,24),tblDaily[WardCode],"BF")=0,"",SUMIFS(tblDaily[TransfersIn],tblDaily[EntryDate],DATE(2026,5,24),tblDaily[WardCode],"BF")),"")</f>
        <v/>
      </c>
      <c r="G186" s="29" t="str">
        <f>IFERROR(IF(SUMIFS(tblDaily[TransfersOut],tblDaily[EntryDate],DATE(2026,5,24),tblDaily[WardCode],"BF")=0,"",SUMIFS(tblDaily[TransfersOut],tblDaily[EntryDate],DATE(2026,5,24),tblDaily[WardCode],"BF")),"")</f>
        <v/>
      </c>
      <c r="H186" s="29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IFERROR(IF(SUMIFS(tblDaily[Admissions],tblDaily[EntryDate],DATE(2026,5,25),tblDaily[WardCode],"BF")=0,"",SUMIFS(tblDaily[Admissions],tblDaily[EntryDate],DATE(2026,5,25),tblDaily[WardCode],"BF")),"")</f>
        <v/>
      </c>
      <c r="C187" s="29" t="str">
        <f>IFERROR(IF(SUMIFS(tblDaily[Discharges],tblDaily[EntryDate],DATE(2026,5,25),tblDaily[WardCode],"BF")=0,"",SUMIFS(tblDaily[Discharges],tblDaily[EntryDate],DATE(2026,5,25),tblDaily[WardCode],"BF")),"")</f>
        <v/>
      </c>
      <c r="D187" s="29" t="str">
        <f>IFERROR(IF(SUMIFS(tblDaily[Deaths],tblDaily[EntryDate],DATE(2026,5,25),tblDaily[WardCode],"BF")=0,"",SUMIFS(tblDaily[Deaths],tblDaily[EntryDate],DATE(2026,5,25),tblDaily[WardCode],"BF")),"")</f>
        <v/>
      </c>
      <c r="E187" s="29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29" t="str">
        <f>IFERROR(IF(SUMIFS(tblDaily[TransfersIn],tblDaily[EntryDate],DATE(2026,5,25),tblDaily[WardCode],"BF")=0,"",SUMIFS(tblDaily[TransfersIn],tblDaily[EntryDate],DATE(2026,5,25),tblDaily[WardCode],"BF")),"")</f>
        <v/>
      </c>
      <c r="G187" s="29" t="str">
        <f>IFERROR(IF(SUMIFS(tblDaily[TransfersOut],tblDaily[EntryDate],DATE(2026,5,25),tblDaily[WardCode],"BF")=0,"",SUMIFS(tblDaily[TransfersOut],tblDaily[EntryDate],DATE(2026,5,25),tblDaily[WardCode],"BF")),"")</f>
        <v/>
      </c>
      <c r="H187" s="29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IFERROR(IF(SUMIFS(tblDaily[Admissions],tblDaily[EntryDate],DATE(2026,5,26),tblDaily[WardCode],"BF")=0,"",SUMIFS(tblDaily[Admissions],tblDaily[EntryDate],DATE(2026,5,26),tblDaily[WardCode],"BF")),"")</f>
        <v/>
      </c>
      <c r="C188" s="29" t="str">
        <f>IFERROR(IF(SUMIFS(tblDaily[Discharges],tblDaily[EntryDate],DATE(2026,5,26),tblDaily[WardCode],"BF")=0,"",SUMIFS(tblDaily[Discharges],tblDaily[EntryDate],DATE(2026,5,26),tblDaily[WardCode],"BF")),"")</f>
        <v/>
      </c>
      <c r="D188" s="29" t="str">
        <f>IFERROR(IF(SUMIFS(tblDaily[Deaths],tblDaily[EntryDate],DATE(2026,5,26),tblDaily[WardCode],"BF")=0,"",SUMIFS(tblDaily[Deaths],tblDaily[EntryDate],DATE(2026,5,26),tblDaily[WardCode],"BF")),"")</f>
        <v/>
      </c>
      <c r="E188" s="29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29" t="str">
        <f>IFERROR(IF(SUMIFS(tblDaily[TransfersIn],tblDaily[EntryDate],DATE(2026,5,26),tblDaily[WardCode],"BF")=0,"",SUMIFS(tblDaily[TransfersIn],tblDaily[EntryDate],DATE(2026,5,26),tblDaily[WardCode],"BF")),"")</f>
        <v/>
      </c>
      <c r="G188" s="29" t="str">
        <f>IFERROR(IF(SUMIFS(tblDaily[TransfersOut],tblDaily[EntryDate],DATE(2026,5,26),tblDaily[WardCode],"BF")=0,"",SUMIFS(tblDaily[TransfersOut],tblDaily[EntryDate],DATE(2026,5,26),tblDaily[WardCode],"BF")),"")</f>
        <v/>
      </c>
      <c r="H188" s="29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IFERROR(IF(SUMIFS(tblDaily[Admissions],tblDaily[EntryDate],DATE(2026,5,27),tblDaily[WardCode],"BF")=0,"",SUMIFS(tblDaily[Admissions],tblDaily[EntryDate],DATE(2026,5,27),tblDaily[WardCode],"BF")),"")</f>
        <v/>
      </c>
      <c r="C189" s="29" t="str">
        <f>IFERROR(IF(SUMIFS(tblDaily[Discharges],tblDaily[EntryDate],DATE(2026,5,27),tblDaily[WardCode],"BF")=0,"",SUMIFS(tblDaily[Discharges],tblDaily[EntryDate],DATE(2026,5,27),tblDaily[WardCode],"BF")),"")</f>
        <v/>
      </c>
      <c r="D189" s="29" t="str">
        <f>IFERROR(IF(SUMIFS(tblDaily[Deaths],tblDaily[EntryDate],DATE(2026,5,27),tblDaily[WardCode],"BF")=0,"",SUMIFS(tblDaily[Deaths],tblDaily[EntryDate],DATE(2026,5,27),tblDaily[WardCode],"BF")),"")</f>
        <v/>
      </c>
      <c r="E189" s="29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29" t="str">
        <f>IFERROR(IF(SUMIFS(tblDaily[TransfersIn],tblDaily[EntryDate],DATE(2026,5,27),tblDaily[WardCode],"BF")=0,"",SUMIFS(tblDaily[TransfersIn],tblDaily[EntryDate],DATE(2026,5,27),tblDaily[WardCode],"BF")),"")</f>
        <v/>
      </c>
      <c r="G189" s="29" t="str">
        <f>IFERROR(IF(SUMIFS(tblDaily[TransfersOut],tblDaily[EntryDate],DATE(2026,5,27),tblDaily[WardCode],"BF")=0,"",SUMIFS(tblDaily[TransfersOut],tblDaily[EntryDate],DATE(2026,5,27),tblDaily[WardCode],"BF")),"")</f>
        <v/>
      </c>
      <c r="H189" s="29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IFERROR(IF(SUMIFS(tblDaily[Admissions],tblDaily[EntryDate],DATE(2026,5,28),tblDaily[WardCode],"BF")=0,"",SUMIFS(tblDaily[Admissions],tblDaily[EntryDate],DATE(2026,5,28),tblDaily[WardCode],"BF")),"")</f>
        <v/>
      </c>
      <c r="C190" s="29" t="str">
        <f>IFERROR(IF(SUMIFS(tblDaily[Discharges],tblDaily[EntryDate],DATE(2026,5,28),tblDaily[WardCode],"BF")=0,"",SUMIFS(tblDaily[Discharges],tblDaily[EntryDate],DATE(2026,5,28),tblDaily[WardCode],"BF")),"")</f>
        <v/>
      </c>
      <c r="D190" s="29" t="str">
        <f>IFERROR(IF(SUMIFS(tblDaily[Deaths],tblDaily[EntryDate],DATE(2026,5,28),tblDaily[WardCode],"BF")=0,"",SUMIFS(tblDaily[Deaths],tblDaily[EntryDate],DATE(2026,5,28),tblDaily[WardCode],"BF")),"")</f>
        <v/>
      </c>
      <c r="E190" s="29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29" t="str">
        <f>IFERROR(IF(SUMIFS(tblDaily[TransfersIn],tblDaily[EntryDate],DATE(2026,5,28),tblDaily[WardCode],"BF")=0,"",SUMIFS(tblDaily[TransfersIn],tblDaily[EntryDate],DATE(2026,5,28),tblDaily[WardCode],"BF")),"")</f>
        <v/>
      </c>
      <c r="G190" s="29" t="str">
        <f>IFERROR(IF(SUMIFS(tblDaily[TransfersOut],tblDaily[EntryDate],DATE(2026,5,28),tblDaily[WardCode],"BF")=0,"",SUMIFS(tblDaily[TransfersOut],tblDaily[EntryDate],DATE(2026,5,28),tblDaily[WardCode],"BF")),"")</f>
        <v/>
      </c>
      <c r="H190" s="29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IFERROR(IF(SUMIFS(tblDaily[Admissions],tblDaily[EntryDate],DATE(2026,5,29),tblDaily[WardCode],"BF")=0,"",SUMIFS(tblDaily[Admissions],tblDaily[EntryDate],DATE(2026,5,29),tblDaily[WardCode],"BF")),"")</f>
        <v/>
      </c>
      <c r="C191" s="29" t="str">
        <f>IFERROR(IF(SUMIFS(tblDaily[Discharges],tblDaily[EntryDate],DATE(2026,5,29),tblDaily[WardCode],"BF")=0,"",SUMIFS(tblDaily[Discharges],tblDaily[EntryDate],DATE(2026,5,29),tblDaily[WardCode],"BF")),"")</f>
        <v/>
      </c>
      <c r="D191" s="29" t="str">
        <f>IFERROR(IF(SUMIFS(tblDaily[Deaths],tblDaily[EntryDate],DATE(2026,5,29),tblDaily[WardCode],"BF")=0,"",SUMIFS(tblDaily[Deaths],tblDaily[EntryDate],DATE(2026,5,29),tblDaily[WardCode],"BF")),"")</f>
        <v/>
      </c>
      <c r="E191" s="29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29" t="str">
        <f>IFERROR(IF(SUMIFS(tblDaily[TransfersIn],tblDaily[EntryDate],DATE(2026,5,29),tblDaily[WardCode],"BF")=0,"",SUMIFS(tblDaily[TransfersIn],tblDaily[EntryDate],DATE(2026,5,29),tblDaily[WardCode],"BF")),"")</f>
        <v/>
      </c>
      <c r="G191" s="29" t="str">
        <f>IFERROR(IF(SUMIFS(tblDaily[TransfersOut],tblDaily[EntryDate],DATE(2026,5,29),tblDaily[WardCode],"BF")=0,"",SUMIFS(tblDaily[TransfersOut],tblDaily[EntryDate],DATE(2026,5,29),tblDaily[WardCode],"BF")),"")</f>
        <v/>
      </c>
      <c r="H191" s="29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IFERROR(IF(SUMIFS(tblDaily[Admissions],tblDaily[EntryDate],DATE(2026,5,30),tblDaily[WardCode],"BF")=0,"",SUMIFS(tblDaily[Admissions],tblDaily[EntryDate],DATE(2026,5,30),tblDaily[WardCode],"BF")),"")</f>
        <v/>
      </c>
      <c r="C192" s="29" t="str">
        <f>IFERROR(IF(SUMIFS(tblDaily[Discharges],tblDaily[EntryDate],DATE(2026,5,30),tblDaily[WardCode],"BF")=0,"",SUMIFS(tblDaily[Discharges],tblDaily[EntryDate],DATE(2026,5,30),tblDaily[WardCode],"BF")),"")</f>
        <v/>
      </c>
      <c r="D192" s="29" t="str">
        <f>IFERROR(IF(SUMIFS(tblDaily[Deaths],tblDaily[EntryDate],DATE(2026,5,30),tblDaily[WardCode],"BF")=0,"",SUMIFS(tblDaily[Deaths],tblDaily[EntryDate],DATE(2026,5,30),tblDaily[WardCode],"BF")),"")</f>
        <v/>
      </c>
      <c r="E192" s="29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29" t="str">
        <f>IFERROR(IF(SUMIFS(tblDaily[TransfersIn],tblDaily[EntryDate],DATE(2026,5,30),tblDaily[WardCode],"BF")=0,"",SUMIFS(tblDaily[TransfersIn],tblDaily[EntryDate],DATE(2026,5,30),tblDaily[WardCode],"BF")),"")</f>
        <v/>
      </c>
      <c r="G192" s="29" t="str">
        <f>IFERROR(IF(SUMIFS(tblDaily[TransfersOut],tblDaily[EntryDate],DATE(2026,5,30),tblDaily[WardCode],"BF")=0,"",SUMIFS(tblDaily[TransfersOut],tblDaily[EntryDate],DATE(2026,5,30),tblDaily[WardCode],"BF")),"")</f>
        <v/>
      </c>
      <c r="H192" s="29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IFERROR(IF(SUMIFS(tblDaily[Admissions],tblDaily[EntryDate],DATE(2026,5,31),tblDaily[WardCode],"BF")=0,"",SUMIFS(tblDaily[Admissions],tblDaily[EntryDate],DATE(2026,5,31),tblDaily[WardCode],"BF")),"")</f>
        <v/>
      </c>
      <c r="C193" s="29" t="str">
        <f>IFERROR(IF(SUMIFS(tblDaily[Discharges],tblDaily[EntryDate],DATE(2026,5,31),tblDaily[WardCode],"BF")=0,"",SUMIFS(tblDaily[Discharges],tblDaily[EntryDate],DATE(2026,5,31),tblDaily[WardCode],"BF")),"")</f>
        <v/>
      </c>
      <c r="D193" s="29" t="str">
        <f>IFERROR(IF(SUMIFS(tblDaily[Deaths],tblDaily[EntryDate],DATE(2026,5,31),tblDaily[WardCode],"BF")=0,"",SUMIFS(tblDaily[Deaths],tblDaily[EntryDate],DATE(2026,5,31),tblDaily[WardCode],"BF")),"")</f>
        <v/>
      </c>
      <c r="E193" s="29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29" t="str">
        <f>IFERROR(IF(SUMIFS(tblDaily[TransfersIn],tblDaily[EntryDate],DATE(2026,5,31),tblDaily[WardCode],"BF")=0,"",SUMIFS(tblDaily[TransfersIn],tblDaily[EntryDate],DATE(2026,5,31),tblDaily[WardCode],"BF")),"")</f>
        <v/>
      </c>
      <c r="G193" s="29" t="str">
        <f>IFERROR(IF(SUMIFS(tblDaily[TransfersOut],tblDaily[EntryDate],DATE(2026,5,31),tblDaily[WardCode],"BF")=0,"",SUMIFS(tblDaily[TransfersOut],tblDaily[EntryDate],DATE(2026,5,31),tblDaily[WardCode],"BF")),"")</f>
        <v/>
      </c>
      <c r="H193" s="29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30" t="s">
        <v>115</v>
      </c>
      <c r="B194" s="30">
        <f>SUMIFS(tblDaily[Admissions],tblDaily[Month],5,tblDaily[WardCode],"BF") - SUMIFS(tblDaily[DeathsUnder24Hrs],tblDaily[Month],5,tblDaily[WardCode],"BF")</f>
        <v>0</v>
      </c>
      <c r="C194" s="30">
        <f>SUMIFS(tblDaily[Discharges],tblDaily[Month],5,tblDaily[WardCode],"BF")</f>
        <v>0</v>
      </c>
      <c r="D194" s="30">
        <f>SUMIFS(tblDaily[Deaths],tblDaily[Month],5,tblDaily[WardCode],"BF")</f>
        <v>0</v>
      </c>
      <c r="E194" s="30">
        <f>SUMIFS(tblDaily[DeathsUnder24Hrs],tblDaily[Month],5,tblDaily[WardCode],"BF")</f>
        <v>0</v>
      </c>
      <c r="F194" s="30">
        <f>SUMIFS(tblDaily[TransfersIn],tblDaily[Month],5,tblDaily[WardCode],"BF")</f>
        <v>0</v>
      </c>
      <c r="G194" s="30">
        <f>SUMIFS(tblDaily[TransfersOut],tblDaily[Month],5,tblDaily[WardCode],"BF")</f>
        <v>0</v>
      </c>
      <c r="H194" s="30">
        <f>SUMIFS(tblDaily[Remaining],tblDaily[Month],5,tblDaily[WardCode],"BF")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118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IFERROR(SUMIFS(tblDaily[Remaining],tblDaily[EntryDate],DATE(2026,5,31),tblDaily[WardCode],"BF"),0)</f>
        <v>0</v>
      </c>
    </row>
    <row r="200" spans="1:8" x14ac:dyDescent="0.25">
      <c r="A200" s="24" t="s">
        <v>109</v>
      </c>
      <c r="H200" s="27">
        <f>IFERROR(INDEX(tblWardConfig[BedComplement],MATCH("BF",tblWardConfig[WardCode],0)),0)</f>
        <v>20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IFERROR(IF(SUMIFS(tblDaily[Admissions],tblDaily[EntryDate],DATE(2026,6,1),tblDaily[WardCode],"BF")=0,"",SUMIFS(tblDaily[Admissions],tblDaily[EntryDate],DATE(2026,6,1),tblDaily[WardCode],"BF")),"")</f>
        <v/>
      </c>
      <c r="C202" s="29" t="str">
        <f>IFERROR(IF(SUMIFS(tblDaily[Discharges],tblDaily[EntryDate],DATE(2026,6,1),tblDaily[WardCode],"BF")=0,"",SUMIFS(tblDaily[Discharges],tblDaily[EntryDate],DATE(2026,6,1),tblDaily[WardCode],"BF")),"")</f>
        <v/>
      </c>
      <c r="D202" s="29" t="str">
        <f>IFERROR(IF(SUMIFS(tblDaily[Deaths],tblDaily[EntryDate],DATE(2026,6,1),tblDaily[WardCode],"BF")=0,"",SUMIFS(tblDaily[Deaths],tblDaily[EntryDate],DATE(2026,6,1),tblDaily[WardCode],"BF")),"")</f>
        <v/>
      </c>
      <c r="E202" s="29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29" t="str">
        <f>IFERROR(IF(SUMIFS(tblDaily[TransfersIn],tblDaily[EntryDate],DATE(2026,6,1),tblDaily[WardCode],"BF")=0,"",SUMIFS(tblDaily[TransfersIn],tblDaily[EntryDate],DATE(2026,6,1),tblDaily[WardCode],"BF")),"")</f>
        <v/>
      </c>
      <c r="G202" s="29" t="str">
        <f>IFERROR(IF(SUMIFS(tblDaily[TransfersOut],tblDaily[EntryDate],DATE(2026,6,1),tblDaily[WardCode],"BF")=0,"",SUMIFS(tblDaily[TransfersOut],tblDaily[EntryDate],DATE(2026,6,1),tblDaily[WardCode],"BF")),"")</f>
        <v/>
      </c>
      <c r="H202" s="29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IFERROR(IF(SUMIFS(tblDaily[Admissions],tblDaily[EntryDate],DATE(2026,6,2),tblDaily[WardCode],"BF")=0,"",SUMIFS(tblDaily[Admissions],tblDaily[EntryDate],DATE(2026,6,2),tblDaily[WardCode],"BF")),"")</f>
        <v/>
      </c>
      <c r="C203" s="29" t="str">
        <f>IFERROR(IF(SUMIFS(tblDaily[Discharges],tblDaily[EntryDate],DATE(2026,6,2),tblDaily[WardCode],"BF")=0,"",SUMIFS(tblDaily[Discharges],tblDaily[EntryDate],DATE(2026,6,2),tblDaily[WardCode],"BF")),"")</f>
        <v/>
      </c>
      <c r="D203" s="29" t="str">
        <f>IFERROR(IF(SUMIFS(tblDaily[Deaths],tblDaily[EntryDate],DATE(2026,6,2),tblDaily[WardCode],"BF")=0,"",SUMIFS(tblDaily[Deaths],tblDaily[EntryDate],DATE(2026,6,2),tblDaily[WardCode],"BF")),"")</f>
        <v/>
      </c>
      <c r="E203" s="29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29" t="str">
        <f>IFERROR(IF(SUMIFS(tblDaily[TransfersIn],tblDaily[EntryDate],DATE(2026,6,2),tblDaily[WardCode],"BF")=0,"",SUMIFS(tblDaily[TransfersIn],tblDaily[EntryDate],DATE(2026,6,2),tblDaily[WardCode],"BF")),"")</f>
        <v/>
      </c>
      <c r="G203" s="29" t="str">
        <f>IFERROR(IF(SUMIFS(tblDaily[TransfersOut],tblDaily[EntryDate],DATE(2026,6,2),tblDaily[WardCode],"BF")=0,"",SUMIFS(tblDaily[TransfersOut],tblDaily[EntryDate],DATE(2026,6,2),tblDaily[WardCode],"BF")),"")</f>
        <v/>
      </c>
      <c r="H203" s="29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IFERROR(IF(SUMIFS(tblDaily[Admissions],tblDaily[EntryDate],DATE(2026,6,3),tblDaily[WardCode],"BF")=0,"",SUMIFS(tblDaily[Admissions],tblDaily[EntryDate],DATE(2026,6,3),tblDaily[WardCode],"BF")),"")</f>
        <v/>
      </c>
      <c r="C204" s="29" t="str">
        <f>IFERROR(IF(SUMIFS(tblDaily[Discharges],tblDaily[EntryDate],DATE(2026,6,3),tblDaily[WardCode],"BF")=0,"",SUMIFS(tblDaily[Discharges],tblDaily[EntryDate],DATE(2026,6,3),tblDaily[WardCode],"BF")),"")</f>
        <v/>
      </c>
      <c r="D204" s="29" t="str">
        <f>IFERROR(IF(SUMIFS(tblDaily[Deaths],tblDaily[EntryDate],DATE(2026,6,3),tblDaily[WardCode],"BF")=0,"",SUMIFS(tblDaily[Deaths],tblDaily[EntryDate],DATE(2026,6,3),tblDaily[WardCode],"BF")),"")</f>
        <v/>
      </c>
      <c r="E204" s="29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29" t="str">
        <f>IFERROR(IF(SUMIFS(tblDaily[TransfersIn],tblDaily[EntryDate],DATE(2026,6,3),tblDaily[WardCode],"BF")=0,"",SUMIFS(tblDaily[TransfersIn],tblDaily[EntryDate],DATE(2026,6,3),tblDaily[WardCode],"BF")),"")</f>
        <v/>
      </c>
      <c r="G204" s="29" t="str">
        <f>IFERROR(IF(SUMIFS(tblDaily[TransfersOut],tblDaily[EntryDate],DATE(2026,6,3),tblDaily[WardCode],"BF")=0,"",SUMIFS(tblDaily[TransfersOut],tblDaily[EntryDate],DATE(2026,6,3),tblDaily[WardCode],"BF")),"")</f>
        <v/>
      </c>
      <c r="H204" s="29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IFERROR(IF(SUMIFS(tblDaily[Admissions],tblDaily[EntryDate],DATE(2026,6,4),tblDaily[WardCode],"BF")=0,"",SUMIFS(tblDaily[Admissions],tblDaily[EntryDate],DATE(2026,6,4),tblDaily[WardCode],"BF")),"")</f>
        <v/>
      </c>
      <c r="C205" s="29" t="str">
        <f>IFERROR(IF(SUMIFS(tblDaily[Discharges],tblDaily[EntryDate],DATE(2026,6,4),tblDaily[WardCode],"BF")=0,"",SUMIFS(tblDaily[Discharges],tblDaily[EntryDate],DATE(2026,6,4),tblDaily[WardCode],"BF")),"")</f>
        <v/>
      </c>
      <c r="D205" s="29" t="str">
        <f>IFERROR(IF(SUMIFS(tblDaily[Deaths],tblDaily[EntryDate],DATE(2026,6,4),tblDaily[WardCode],"BF")=0,"",SUMIFS(tblDaily[Deaths],tblDaily[EntryDate],DATE(2026,6,4),tblDaily[WardCode],"BF")),"")</f>
        <v/>
      </c>
      <c r="E205" s="29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29" t="str">
        <f>IFERROR(IF(SUMIFS(tblDaily[TransfersIn],tblDaily[EntryDate],DATE(2026,6,4),tblDaily[WardCode],"BF")=0,"",SUMIFS(tblDaily[TransfersIn],tblDaily[EntryDate],DATE(2026,6,4),tblDaily[WardCode],"BF")),"")</f>
        <v/>
      </c>
      <c r="G205" s="29" t="str">
        <f>IFERROR(IF(SUMIFS(tblDaily[TransfersOut],tblDaily[EntryDate],DATE(2026,6,4),tblDaily[WardCode],"BF")=0,"",SUMIFS(tblDaily[TransfersOut],tblDaily[EntryDate],DATE(2026,6,4),tblDaily[WardCode],"BF")),"")</f>
        <v/>
      </c>
      <c r="H205" s="29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IFERROR(IF(SUMIFS(tblDaily[Admissions],tblDaily[EntryDate],DATE(2026,6,5),tblDaily[WardCode],"BF")=0,"",SUMIFS(tblDaily[Admissions],tblDaily[EntryDate],DATE(2026,6,5),tblDaily[WardCode],"BF")),"")</f>
        <v/>
      </c>
      <c r="C206" s="29" t="str">
        <f>IFERROR(IF(SUMIFS(tblDaily[Discharges],tblDaily[EntryDate],DATE(2026,6,5),tblDaily[WardCode],"BF")=0,"",SUMIFS(tblDaily[Discharges],tblDaily[EntryDate],DATE(2026,6,5),tblDaily[WardCode],"BF")),"")</f>
        <v/>
      </c>
      <c r="D206" s="29" t="str">
        <f>IFERROR(IF(SUMIFS(tblDaily[Deaths],tblDaily[EntryDate],DATE(2026,6,5),tblDaily[WardCode],"BF")=0,"",SUMIFS(tblDaily[Deaths],tblDaily[EntryDate],DATE(2026,6,5),tblDaily[WardCode],"BF")),"")</f>
        <v/>
      </c>
      <c r="E206" s="29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29" t="str">
        <f>IFERROR(IF(SUMIFS(tblDaily[TransfersIn],tblDaily[EntryDate],DATE(2026,6,5),tblDaily[WardCode],"BF")=0,"",SUMIFS(tblDaily[TransfersIn],tblDaily[EntryDate],DATE(2026,6,5),tblDaily[WardCode],"BF")),"")</f>
        <v/>
      </c>
      <c r="G206" s="29" t="str">
        <f>IFERROR(IF(SUMIFS(tblDaily[TransfersOut],tblDaily[EntryDate],DATE(2026,6,5),tblDaily[WardCode],"BF")=0,"",SUMIFS(tblDaily[TransfersOut],tblDaily[EntryDate],DATE(2026,6,5),tblDaily[WardCode],"BF")),"")</f>
        <v/>
      </c>
      <c r="H206" s="29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IFERROR(IF(SUMIFS(tblDaily[Admissions],tblDaily[EntryDate],DATE(2026,6,6),tblDaily[WardCode],"BF")=0,"",SUMIFS(tblDaily[Admissions],tblDaily[EntryDate],DATE(2026,6,6),tblDaily[WardCode],"BF")),"")</f>
        <v/>
      </c>
      <c r="C207" s="29" t="str">
        <f>IFERROR(IF(SUMIFS(tblDaily[Discharges],tblDaily[EntryDate],DATE(2026,6,6),tblDaily[WardCode],"BF")=0,"",SUMIFS(tblDaily[Discharges],tblDaily[EntryDate],DATE(2026,6,6),tblDaily[WardCode],"BF")),"")</f>
        <v/>
      </c>
      <c r="D207" s="29" t="str">
        <f>IFERROR(IF(SUMIFS(tblDaily[Deaths],tblDaily[EntryDate],DATE(2026,6,6),tblDaily[WardCode],"BF")=0,"",SUMIFS(tblDaily[Deaths],tblDaily[EntryDate],DATE(2026,6,6),tblDaily[WardCode],"BF")),"")</f>
        <v/>
      </c>
      <c r="E207" s="29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29" t="str">
        <f>IFERROR(IF(SUMIFS(tblDaily[TransfersIn],tblDaily[EntryDate],DATE(2026,6,6),tblDaily[WardCode],"BF")=0,"",SUMIFS(tblDaily[TransfersIn],tblDaily[EntryDate],DATE(2026,6,6),tblDaily[WardCode],"BF")),"")</f>
        <v/>
      </c>
      <c r="G207" s="29" t="str">
        <f>IFERROR(IF(SUMIFS(tblDaily[TransfersOut],tblDaily[EntryDate],DATE(2026,6,6),tblDaily[WardCode],"BF")=0,"",SUMIFS(tblDaily[TransfersOut],tblDaily[EntryDate],DATE(2026,6,6),tblDaily[WardCode],"BF")),"")</f>
        <v/>
      </c>
      <c r="H207" s="29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IFERROR(IF(SUMIFS(tblDaily[Admissions],tblDaily[EntryDate],DATE(2026,6,7),tblDaily[WardCode],"BF")=0,"",SUMIFS(tblDaily[Admissions],tblDaily[EntryDate],DATE(2026,6,7),tblDaily[WardCode],"BF")),"")</f>
        <v/>
      </c>
      <c r="C208" s="29" t="str">
        <f>IFERROR(IF(SUMIFS(tblDaily[Discharges],tblDaily[EntryDate],DATE(2026,6,7),tblDaily[WardCode],"BF")=0,"",SUMIFS(tblDaily[Discharges],tblDaily[EntryDate],DATE(2026,6,7),tblDaily[WardCode],"BF")),"")</f>
        <v/>
      </c>
      <c r="D208" s="29" t="str">
        <f>IFERROR(IF(SUMIFS(tblDaily[Deaths],tblDaily[EntryDate],DATE(2026,6,7),tblDaily[WardCode],"BF")=0,"",SUMIFS(tblDaily[Deaths],tblDaily[EntryDate],DATE(2026,6,7),tblDaily[WardCode],"BF")),"")</f>
        <v/>
      </c>
      <c r="E208" s="29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29" t="str">
        <f>IFERROR(IF(SUMIFS(tblDaily[TransfersIn],tblDaily[EntryDate],DATE(2026,6,7),tblDaily[WardCode],"BF")=0,"",SUMIFS(tblDaily[TransfersIn],tblDaily[EntryDate],DATE(2026,6,7),tblDaily[WardCode],"BF")),"")</f>
        <v/>
      </c>
      <c r="G208" s="29" t="str">
        <f>IFERROR(IF(SUMIFS(tblDaily[TransfersOut],tblDaily[EntryDate],DATE(2026,6,7),tblDaily[WardCode],"BF")=0,"",SUMIFS(tblDaily[TransfersOut],tblDaily[EntryDate],DATE(2026,6,7),tblDaily[WardCode],"BF")),"")</f>
        <v/>
      </c>
      <c r="H208" s="29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IFERROR(IF(SUMIFS(tblDaily[Admissions],tblDaily[EntryDate],DATE(2026,6,8),tblDaily[WardCode],"BF")=0,"",SUMIFS(tblDaily[Admissions],tblDaily[EntryDate],DATE(2026,6,8),tblDaily[WardCode],"BF")),"")</f>
        <v/>
      </c>
      <c r="C209" s="29" t="str">
        <f>IFERROR(IF(SUMIFS(tblDaily[Discharges],tblDaily[EntryDate],DATE(2026,6,8),tblDaily[WardCode],"BF")=0,"",SUMIFS(tblDaily[Discharges],tblDaily[EntryDate],DATE(2026,6,8),tblDaily[WardCode],"BF")),"")</f>
        <v/>
      </c>
      <c r="D209" s="29" t="str">
        <f>IFERROR(IF(SUMIFS(tblDaily[Deaths],tblDaily[EntryDate],DATE(2026,6,8),tblDaily[WardCode],"BF")=0,"",SUMIFS(tblDaily[Deaths],tblDaily[EntryDate],DATE(2026,6,8),tblDaily[WardCode],"BF")),"")</f>
        <v/>
      </c>
      <c r="E209" s="29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29" t="str">
        <f>IFERROR(IF(SUMIFS(tblDaily[TransfersIn],tblDaily[EntryDate],DATE(2026,6,8),tblDaily[WardCode],"BF")=0,"",SUMIFS(tblDaily[TransfersIn],tblDaily[EntryDate],DATE(2026,6,8),tblDaily[WardCode],"BF")),"")</f>
        <v/>
      </c>
      <c r="G209" s="29" t="str">
        <f>IFERROR(IF(SUMIFS(tblDaily[TransfersOut],tblDaily[EntryDate],DATE(2026,6,8),tblDaily[WardCode],"BF")=0,"",SUMIFS(tblDaily[TransfersOut],tblDaily[EntryDate],DATE(2026,6,8),tblDaily[WardCode],"BF")),"")</f>
        <v/>
      </c>
      <c r="H209" s="29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IFERROR(IF(SUMIFS(tblDaily[Admissions],tblDaily[EntryDate],DATE(2026,6,9),tblDaily[WardCode],"BF")=0,"",SUMIFS(tblDaily[Admissions],tblDaily[EntryDate],DATE(2026,6,9),tblDaily[WardCode],"BF")),"")</f>
        <v/>
      </c>
      <c r="C210" s="29" t="str">
        <f>IFERROR(IF(SUMIFS(tblDaily[Discharges],tblDaily[EntryDate],DATE(2026,6,9),tblDaily[WardCode],"BF")=0,"",SUMIFS(tblDaily[Discharges],tblDaily[EntryDate],DATE(2026,6,9),tblDaily[WardCode],"BF")),"")</f>
        <v/>
      </c>
      <c r="D210" s="29" t="str">
        <f>IFERROR(IF(SUMIFS(tblDaily[Deaths],tblDaily[EntryDate],DATE(2026,6,9),tblDaily[WardCode],"BF")=0,"",SUMIFS(tblDaily[Deaths],tblDaily[EntryDate],DATE(2026,6,9),tblDaily[WardCode],"BF")),"")</f>
        <v/>
      </c>
      <c r="E210" s="29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29" t="str">
        <f>IFERROR(IF(SUMIFS(tblDaily[TransfersIn],tblDaily[EntryDate],DATE(2026,6,9),tblDaily[WardCode],"BF")=0,"",SUMIFS(tblDaily[TransfersIn],tblDaily[EntryDate],DATE(2026,6,9),tblDaily[WardCode],"BF")),"")</f>
        <v/>
      </c>
      <c r="G210" s="29" t="str">
        <f>IFERROR(IF(SUMIFS(tblDaily[TransfersOut],tblDaily[EntryDate],DATE(2026,6,9),tblDaily[WardCode],"BF")=0,"",SUMIFS(tblDaily[TransfersOut],tblDaily[EntryDate],DATE(2026,6,9),tblDaily[WardCode],"BF")),"")</f>
        <v/>
      </c>
      <c r="H210" s="29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IFERROR(IF(SUMIFS(tblDaily[Admissions],tblDaily[EntryDate],DATE(2026,6,10),tblDaily[WardCode],"BF")=0,"",SUMIFS(tblDaily[Admissions],tblDaily[EntryDate],DATE(2026,6,10),tblDaily[WardCode],"BF")),"")</f>
        <v/>
      </c>
      <c r="C211" s="29" t="str">
        <f>IFERROR(IF(SUMIFS(tblDaily[Discharges],tblDaily[EntryDate],DATE(2026,6,10),tblDaily[WardCode],"BF")=0,"",SUMIFS(tblDaily[Discharges],tblDaily[EntryDate],DATE(2026,6,10),tblDaily[WardCode],"BF")),"")</f>
        <v/>
      </c>
      <c r="D211" s="29" t="str">
        <f>IFERROR(IF(SUMIFS(tblDaily[Deaths],tblDaily[EntryDate],DATE(2026,6,10),tblDaily[WardCode],"BF")=0,"",SUMIFS(tblDaily[Deaths],tblDaily[EntryDate],DATE(2026,6,10),tblDaily[WardCode],"BF")),"")</f>
        <v/>
      </c>
      <c r="E211" s="29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29" t="str">
        <f>IFERROR(IF(SUMIFS(tblDaily[TransfersIn],tblDaily[EntryDate],DATE(2026,6,10),tblDaily[WardCode],"BF")=0,"",SUMIFS(tblDaily[TransfersIn],tblDaily[EntryDate],DATE(2026,6,10),tblDaily[WardCode],"BF")),"")</f>
        <v/>
      </c>
      <c r="G211" s="29" t="str">
        <f>IFERROR(IF(SUMIFS(tblDaily[TransfersOut],tblDaily[EntryDate],DATE(2026,6,10),tblDaily[WardCode],"BF")=0,"",SUMIFS(tblDaily[TransfersOut],tblDaily[EntryDate],DATE(2026,6,10),tblDaily[WardCode],"BF")),"")</f>
        <v/>
      </c>
      <c r="H211" s="29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IFERROR(IF(SUMIFS(tblDaily[Admissions],tblDaily[EntryDate],DATE(2026,6,11),tblDaily[WardCode],"BF")=0,"",SUMIFS(tblDaily[Admissions],tblDaily[EntryDate],DATE(2026,6,11),tblDaily[WardCode],"BF")),"")</f>
        <v/>
      </c>
      <c r="C212" s="29" t="str">
        <f>IFERROR(IF(SUMIFS(tblDaily[Discharges],tblDaily[EntryDate],DATE(2026,6,11),tblDaily[WardCode],"BF")=0,"",SUMIFS(tblDaily[Discharges],tblDaily[EntryDate],DATE(2026,6,11),tblDaily[WardCode],"BF")),"")</f>
        <v/>
      </c>
      <c r="D212" s="29" t="str">
        <f>IFERROR(IF(SUMIFS(tblDaily[Deaths],tblDaily[EntryDate],DATE(2026,6,11),tblDaily[WardCode],"BF")=0,"",SUMIFS(tblDaily[Deaths],tblDaily[EntryDate],DATE(2026,6,11),tblDaily[WardCode],"BF")),"")</f>
        <v/>
      </c>
      <c r="E212" s="29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29" t="str">
        <f>IFERROR(IF(SUMIFS(tblDaily[TransfersIn],tblDaily[EntryDate],DATE(2026,6,11),tblDaily[WardCode],"BF")=0,"",SUMIFS(tblDaily[TransfersIn],tblDaily[EntryDate],DATE(2026,6,11),tblDaily[WardCode],"BF")),"")</f>
        <v/>
      </c>
      <c r="G212" s="29" t="str">
        <f>IFERROR(IF(SUMIFS(tblDaily[TransfersOut],tblDaily[EntryDate],DATE(2026,6,11),tblDaily[WardCode],"BF")=0,"",SUMIFS(tblDaily[TransfersOut],tblDaily[EntryDate],DATE(2026,6,11),tblDaily[WardCode],"BF")),"")</f>
        <v/>
      </c>
      <c r="H212" s="29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IFERROR(IF(SUMIFS(tblDaily[Admissions],tblDaily[EntryDate],DATE(2026,6,12),tblDaily[WardCode],"BF")=0,"",SUMIFS(tblDaily[Admissions],tblDaily[EntryDate],DATE(2026,6,12),tblDaily[WardCode],"BF")),"")</f>
        <v/>
      </c>
      <c r="C213" s="29" t="str">
        <f>IFERROR(IF(SUMIFS(tblDaily[Discharges],tblDaily[EntryDate],DATE(2026,6,12),tblDaily[WardCode],"BF")=0,"",SUMIFS(tblDaily[Discharges],tblDaily[EntryDate],DATE(2026,6,12),tblDaily[WardCode],"BF")),"")</f>
        <v/>
      </c>
      <c r="D213" s="29" t="str">
        <f>IFERROR(IF(SUMIFS(tblDaily[Deaths],tblDaily[EntryDate],DATE(2026,6,12),tblDaily[WardCode],"BF")=0,"",SUMIFS(tblDaily[Deaths],tblDaily[EntryDate],DATE(2026,6,12),tblDaily[WardCode],"BF")),"")</f>
        <v/>
      </c>
      <c r="E213" s="29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29" t="str">
        <f>IFERROR(IF(SUMIFS(tblDaily[TransfersIn],tblDaily[EntryDate],DATE(2026,6,12),tblDaily[WardCode],"BF")=0,"",SUMIFS(tblDaily[TransfersIn],tblDaily[EntryDate],DATE(2026,6,12),tblDaily[WardCode],"BF")),"")</f>
        <v/>
      </c>
      <c r="G213" s="29" t="str">
        <f>IFERROR(IF(SUMIFS(tblDaily[TransfersOut],tblDaily[EntryDate],DATE(2026,6,12),tblDaily[WardCode],"BF")=0,"",SUMIFS(tblDaily[TransfersOut],tblDaily[EntryDate],DATE(2026,6,12),tblDaily[WardCode],"BF")),"")</f>
        <v/>
      </c>
      <c r="H213" s="29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IFERROR(IF(SUMIFS(tblDaily[Admissions],tblDaily[EntryDate],DATE(2026,6,13),tblDaily[WardCode],"BF")=0,"",SUMIFS(tblDaily[Admissions],tblDaily[EntryDate],DATE(2026,6,13),tblDaily[WardCode],"BF")),"")</f>
        <v/>
      </c>
      <c r="C214" s="29" t="str">
        <f>IFERROR(IF(SUMIFS(tblDaily[Discharges],tblDaily[EntryDate],DATE(2026,6,13),tblDaily[WardCode],"BF")=0,"",SUMIFS(tblDaily[Discharges],tblDaily[EntryDate],DATE(2026,6,13),tblDaily[WardCode],"BF")),"")</f>
        <v/>
      </c>
      <c r="D214" s="29" t="str">
        <f>IFERROR(IF(SUMIFS(tblDaily[Deaths],tblDaily[EntryDate],DATE(2026,6,13),tblDaily[WardCode],"BF")=0,"",SUMIFS(tblDaily[Deaths],tblDaily[EntryDate],DATE(2026,6,13),tblDaily[WardCode],"BF")),"")</f>
        <v/>
      </c>
      <c r="E214" s="29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29" t="str">
        <f>IFERROR(IF(SUMIFS(tblDaily[TransfersIn],tblDaily[EntryDate],DATE(2026,6,13),tblDaily[WardCode],"BF")=0,"",SUMIFS(tblDaily[TransfersIn],tblDaily[EntryDate],DATE(2026,6,13),tblDaily[WardCode],"BF")),"")</f>
        <v/>
      </c>
      <c r="G214" s="29" t="str">
        <f>IFERROR(IF(SUMIFS(tblDaily[TransfersOut],tblDaily[EntryDate],DATE(2026,6,13),tblDaily[WardCode],"BF")=0,"",SUMIFS(tblDaily[TransfersOut],tblDaily[EntryDate],DATE(2026,6,13),tblDaily[WardCode],"BF")),"")</f>
        <v/>
      </c>
      <c r="H214" s="29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IFERROR(IF(SUMIFS(tblDaily[Admissions],tblDaily[EntryDate],DATE(2026,6,14),tblDaily[WardCode],"BF")=0,"",SUMIFS(tblDaily[Admissions],tblDaily[EntryDate],DATE(2026,6,14),tblDaily[WardCode],"BF")),"")</f>
        <v/>
      </c>
      <c r="C215" s="29" t="str">
        <f>IFERROR(IF(SUMIFS(tblDaily[Discharges],tblDaily[EntryDate],DATE(2026,6,14),tblDaily[WardCode],"BF")=0,"",SUMIFS(tblDaily[Discharges],tblDaily[EntryDate],DATE(2026,6,14),tblDaily[WardCode],"BF")),"")</f>
        <v/>
      </c>
      <c r="D215" s="29" t="str">
        <f>IFERROR(IF(SUMIFS(tblDaily[Deaths],tblDaily[EntryDate],DATE(2026,6,14),tblDaily[WardCode],"BF")=0,"",SUMIFS(tblDaily[Deaths],tblDaily[EntryDate],DATE(2026,6,14),tblDaily[WardCode],"BF")),"")</f>
        <v/>
      </c>
      <c r="E215" s="29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29" t="str">
        <f>IFERROR(IF(SUMIFS(tblDaily[TransfersIn],tblDaily[EntryDate],DATE(2026,6,14),tblDaily[WardCode],"BF")=0,"",SUMIFS(tblDaily[TransfersIn],tblDaily[EntryDate],DATE(2026,6,14),tblDaily[WardCode],"BF")),"")</f>
        <v/>
      </c>
      <c r="G215" s="29" t="str">
        <f>IFERROR(IF(SUMIFS(tblDaily[TransfersOut],tblDaily[EntryDate],DATE(2026,6,14),tblDaily[WardCode],"BF")=0,"",SUMIFS(tblDaily[TransfersOut],tblDaily[EntryDate],DATE(2026,6,14),tblDaily[WardCode],"BF")),"")</f>
        <v/>
      </c>
      <c r="H215" s="29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IFERROR(IF(SUMIFS(tblDaily[Admissions],tblDaily[EntryDate],DATE(2026,6,15),tblDaily[WardCode],"BF")=0,"",SUMIFS(tblDaily[Admissions],tblDaily[EntryDate],DATE(2026,6,15),tblDaily[WardCode],"BF")),"")</f>
        <v/>
      </c>
      <c r="C216" s="29" t="str">
        <f>IFERROR(IF(SUMIFS(tblDaily[Discharges],tblDaily[EntryDate],DATE(2026,6,15),tblDaily[WardCode],"BF")=0,"",SUMIFS(tblDaily[Discharges],tblDaily[EntryDate],DATE(2026,6,15),tblDaily[WardCode],"BF")),"")</f>
        <v/>
      </c>
      <c r="D216" s="29" t="str">
        <f>IFERROR(IF(SUMIFS(tblDaily[Deaths],tblDaily[EntryDate],DATE(2026,6,15),tblDaily[WardCode],"BF")=0,"",SUMIFS(tblDaily[Deaths],tblDaily[EntryDate],DATE(2026,6,15),tblDaily[WardCode],"BF")),"")</f>
        <v/>
      </c>
      <c r="E216" s="29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29" t="str">
        <f>IFERROR(IF(SUMIFS(tblDaily[TransfersIn],tblDaily[EntryDate],DATE(2026,6,15),tblDaily[WardCode],"BF")=0,"",SUMIFS(tblDaily[TransfersIn],tblDaily[EntryDate],DATE(2026,6,15),tblDaily[WardCode],"BF")),"")</f>
        <v/>
      </c>
      <c r="G216" s="29" t="str">
        <f>IFERROR(IF(SUMIFS(tblDaily[TransfersOut],tblDaily[EntryDate],DATE(2026,6,15),tblDaily[WardCode],"BF")=0,"",SUMIFS(tblDaily[TransfersOut],tblDaily[EntryDate],DATE(2026,6,15),tblDaily[WardCode],"BF")),"")</f>
        <v/>
      </c>
      <c r="H216" s="29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IFERROR(IF(SUMIFS(tblDaily[Admissions],tblDaily[EntryDate],DATE(2026,6,16),tblDaily[WardCode],"BF")=0,"",SUMIFS(tblDaily[Admissions],tblDaily[EntryDate],DATE(2026,6,16),tblDaily[WardCode],"BF")),"")</f>
        <v/>
      </c>
      <c r="C217" s="29" t="str">
        <f>IFERROR(IF(SUMIFS(tblDaily[Discharges],tblDaily[EntryDate],DATE(2026,6,16),tblDaily[WardCode],"BF")=0,"",SUMIFS(tblDaily[Discharges],tblDaily[EntryDate],DATE(2026,6,16),tblDaily[WardCode],"BF")),"")</f>
        <v/>
      </c>
      <c r="D217" s="29" t="str">
        <f>IFERROR(IF(SUMIFS(tblDaily[Deaths],tblDaily[EntryDate],DATE(2026,6,16),tblDaily[WardCode],"BF")=0,"",SUMIFS(tblDaily[Deaths],tblDaily[EntryDate],DATE(2026,6,16),tblDaily[WardCode],"BF")),"")</f>
        <v/>
      </c>
      <c r="E217" s="29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29" t="str">
        <f>IFERROR(IF(SUMIFS(tblDaily[TransfersIn],tblDaily[EntryDate],DATE(2026,6,16),tblDaily[WardCode],"BF")=0,"",SUMIFS(tblDaily[TransfersIn],tblDaily[EntryDate],DATE(2026,6,16),tblDaily[WardCode],"BF")),"")</f>
        <v/>
      </c>
      <c r="G217" s="29" t="str">
        <f>IFERROR(IF(SUMIFS(tblDaily[TransfersOut],tblDaily[EntryDate],DATE(2026,6,16),tblDaily[WardCode],"BF")=0,"",SUMIFS(tblDaily[TransfersOut],tblDaily[EntryDate],DATE(2026,6,16),tblDaily[WardCode],"BF")),"")</f>
        <v/>
      </c>
      <c r="H217" s="29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IFERROR(IF(SUMIFS(tblDaily[Admissions],tblDaily[EntryDate],DATE(2026,6,17),tblDaily[WardCode],"BF")=0,"",SUMIFS(tblDaily[Admissions],tblDaily[EntryDate],DATE(2026,6,17),tblDaily[WardCode],"BF")),"")</f>
        <v/>
      </c>
      <c r="C218" s="29" t="str">
        <f>IFERROR(IF(SUMIFS(tblDaily[Discharges],tblDaily[EntryDate],DATE(2026,6,17),tblDaily[WardCode],"BF")=0,"",SUMIFS(tblDaily[Discharges],tblDaily[EntryDate],DATE(2026,6,17),tblDaily[WardCode],"BF")),"")</f>
        <v/>
      </c>
      <c r="D218" s="29" t="str">
        <f>IFERROR(IF(SUMIFS(tblDaily[Deaths],tblDaily[EntryDate],DATE(2026,6,17),tblDaily[WardCode],"BF")=0,"",SUMIFS(tblDaily[Deaths],tblDaily[EntryDate],DATE(2026,6,17),tblDaily[WardCode],"BF")),"")</f>
        <v/>
      </c>
      <c r="E218" s="29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29" t="str">
        <f>IFERROR(IF(SUMIFS(tblDaily[TransfersIn],tblDaily[EntryDate],DATE(2026,6,17),tblDaily[WardCode],"BF")=0,"",SUMIFS(tblDaily[TransfersIn],tblDaily[EntryDate],DATE(2026,6,17),tblDaily[WardCode],"BF")),"")</f>
        <v/>
      </c>
      <c r="G218" s="29" t="str">
        <f>IFERROR(IF(SUMIFS(tblDaily[TransfersOut],tblDaily[EntryDate],DATE(2026,6,17),tblDaily[WardCode],"BF")=0,"",SUMIFS(tblDaily[TransfersOut],tblDaily[EntryDate],DATE(2026,6,17),tblDaily[WardCode],"BF")),"")</f>
        <v/>
      </c>
      <c r="H218" s="29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IFERROR(IF(SUMIFS(tblDaily[Admissions],tblDaily[EntryDate],DATE(2026,6,18),tblDaily[WardCode],"BF")=0,"",SUMIFS(tblDaily[Admissions],tblDaily[EntryDate],DATE(2026,6,18),tblDaily[WardCode],"BF")),"")</f>
        <v/>
      </c>
      <c r="C219" s="29" t="str">
        <f>IFERROR(IF(SUMIFS(tblDaily[Discharges],tblDaily[EntryDate],DATE(2026,6,18),tblDaily[WardCode],"BF")=0,"",SUMIFS(tblDaily[Discharges],tblDaily[EntryDate],DATE(2026,6,18),tblDaily[WardCode],"BF")),"")</f>
        <v/>
      </c>
      <c r="D219" s="29" t="str">
        <f>IFERROR(IF(SUMIFS(tblDaily[Deaths],tblDaily[EntryDate],DATE(2026,6,18),tblDaily[WardCode],"BF")=0,"",SUMIFS(tblDaily[Deaths],tblDaily[EntryDate],DATE(2026,6,18),tblDaily[WardCode],"BF")),"")</f>
        <v/>
      </c>
      <c r="E219" s="29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29" t="str">
        <f>IFERROR(IF(SUMIFS(tblDaily[TransfersIn],tblDaily[EntryDate],DATE(2026,6,18),tblDaily[WardCode],"BF")=0,"",SUMIFS(tblDaily[TransfersIn],tblDaily[EntryDate],DATE(2026,6,18),tblDaily[WardCode],"BF")),"")</f>
        <v/>
      </c>
      <c r="G219" s="29" t="str">
        <f>IFERROR(IF(SUMIFS(tblDaily[TransfersOut],tblDaily[EntryDate],DATE(2026,6,18),tblDaily[WardCode],"BF")=0,"",SUMIFS(tblDaily[TransfersOut],tblDaily[EntryDate],DATE(2026,6,18),tblDaily[WardCode],"BF")),"")</f>
        <v/>
      </c>
      <c r="H219" s="29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IFERROR(IF(SUMIFS(tblDaily[Admissions],tblDaily[EntryDate],DATE(2026,6,19),tblDaily[WardCode],"BF")=0,"",SUMIFS(tblDaily[Admissions],tblDaily[EntryDate],DATE(2026,6,19),tblDaily[WardCode],"BF")),"")</f>
        <v/>
      </c>
      <c r="C220" s="29" t="str">
        <f>IFERROR(IF(SUMIFS(tblDaily[Discharges],tblDaily[EntryDate],DATE(2026,6,19),tblDaily[WardCode],"BF")=0,"",SUMIFS(tblDaily[Discharges],tblDaily[EntryDate],DATE(2026,6,19),tblDaily[WardCode],"BF")),"")</f>
        <v/>
      </c>
      <c r="D220" s="29" t="str">
        <f>IFERROR(IF(SUMIFS(tblDaily[Deaths],tblDaily[EntryDate],DATE(2026,6,19),tblDaily[WardCode],"BF")=0,"",SUMIFS(tblDaily[Deaths],tblDaily[EntryDate],DATE(2026,6,19),tblDaily[WardCode],"BF")),"")</f>
        <v/>
      </c>
      <c r="E220" s="29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29" t="str">
        <f>IFERROR(IF(SUMIFS(tblDaily[TransfersIn],tblDaily[EntryDate],DATE(2026,6,19),tblDaily[WardCode],"BF")=0,"",SUMIFS(tblDaily[TransfersIn],tblDaily[EntryDate],DATE(2026,6,19),tblDaily[WardCode],"BF")),"")</f>
        <v/>
      </c>
      <c r="G220" s="29" t="str">
        <f>IFERROR(IF(SUMIFS(tblDaily[TransfersOut],tblDaily[EntryDate],DATE(2026,6,19),tblDaily[WardCode],"BF")=0,"",SUMIFS(tblDaily[TransfersOut],tblDaily[EntryDate],DATE(2026,6,19),tblDaily[WardCode],"BF")),"")</f>
        <v/>
      </c>
      <c r="H220" s="29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IFERROR(IF(SUMIFS(tblDaily[Admissions],tblDaily[EntryDate],DATE(2026,6,20),tblDaily[WardCode],"BF")=0,"",SUMIFS(tblDaily[Admissions],tblDaily[EntryDate],DATE(2026,6,20),tblDaily[WardCode],"BF")),"")</f>
        <v/>
      </c>
      <c r="C221" s="29" t="str">
        <f>IFERROR(IF(SUMIFS(tblDaily[Discharges],tblDaily[EntryDate],DATE(2026,6,20),tblDaily[WardCode],"BF")=0,"",SUMIFS(tblDaily[Discharges],tblDaily[EntryDate],DATE(2026,6,20),tblDaily[WardCode],"BF")),"")</f>
        <v/>
      </c>
      <c r="D221" s="29" t="str">
        <f>IFERROR(IF(SUMIFS(tblDaily[Deaths],tblDaily[EntryDate],DATE(2026,6,20),tblDaily[WardCode],"BF")=0,"",SUMIFS(tblDaily[Deaths],tblDaily[EntryDate],DATE(2026,6,20),tblDaily[WardCode],"BF")),"")</f>
        <v/>
      </c>
      <c r="E221" s="29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29" t="str">
        <f>IFERROR(IF(SUMIFS(tblDaily[TransfersIn],tblDaily[EntryDate],DATE(2026,6,20),tblDaily[WardCode],"BF")=0,"",SUMIFS(tblDaily[TransfersIn],tblDaily[EntryDate],DATE(2026,6,20),tblDaily[WardCode],"BF")),"")</f>
        <v/>
      </c>
      <c r="G221" s="29" t="str">
        <f>IFERROR(IF(SUMIFS(tblDaily[TransfersOut],tblDaily[EntryDate],DATE(2026,6,20),tblDaily[WardCode],"BF")=0,"",SUMIFS(tblDaily[TransfersOut],tblDaily[EntryDate],DATE(2026,6,20),tblDaily[WardCode],"BF")),"")</f>
        <v/>
      </c>
      <c r="H221" s="29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IFERROR(IF(SUMIFS(tblDaily[Admissions],tblDaily[EntryDate],DATE(2026,6,21),tblDaily[WardCode],"BF")=0,"",SUMIFS(tblDaily[Admissions],tblDaily[EntryDate],DATE(2026,6,21),tblDaily[WardCode],"BF")),"")</f>
        <v/>
      </c>
      <c r="C222" s="29" t="str">
        <f>IFERROR(IF(SUMIFS(tblDaily[Discharges],tblDaily[EntryDate],DATE(2026,6,21),tblDaily[WardCode],"BF")=0,"",SUMIFS(tblDaily[Discharges],tblDaily[EntryDate],DATE(2026,6,21),tblDaily[WardCode],"BF")),"")</f>
        <v/>
      </c>
      <c r="D222" s="29" t="str">
        <f>IFERROR(IF(SUMIFS(tblDaily[Deaths],tblDaily[EntryDate],DATE(2026,6,21),tblDaily[WardCode],"BF")=0,"",SUMIFS(tblDaily[Deaths],tblDaily[EntryDate],DATE(2026,6,21),tblDaily[WardCode],"BF")),"")</f>
        <v/>
      </c>
      <c r="E222" s="29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29" t="str">
        <f>IFERROR(IF(SUMIFS(tblDaily[TransfersIn],tblDaily[EntryDate],DATE(2026,6,21),tblDaily[WardCode],"BF")=0,"",SUMIFS(tblDaily[TransfersIn],tblDaily[EntryDate],DATE(2026,6,21),tblDaily[WardCode],"BF")),"")</f>
        <v/>
      </c>
      <c r="G222" s="29" t="str">
        <f>IFERROR(IF(SUMIFS(tblDaily[TransfersOut],tblDaily[EntryDate],DATE(2026,6,21),tblDaily[WardCode],"BF")=0,"",SUMIFS(tblDaily[TransfersOut],tblDaily[EntryDate],DATE(2026,6,21),tblDaily[WardCode],"BF")),"")</f>
        <v/>
      </c>
      <c r="H222" s="29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IFERROR(IF(SUMIFS(tblDaily[Admissions],tblDaily[EntryDate],DATE(2026,6,22),tblDaily[WardCode],"BF")=0,"",SUMIFS(tblDaily[Admissions],tblDaily[EntryDate],DATE(2026,6,22),tblDaily[WardCode],"BF")),"")</f>
        <v/>
      </c>
      <c r="C223" s="29" t="str">
        <f>IFERROR(IF(SUMIFS(tblDaily[Discharges],tblDaily[EntryDate],DATE(2026,6,22),tblDaily[WardCode],"BF")=0,"",SUMIFS(tblDaily[Discharges],tblDaily[EntryDate],DATE(2026,6,22),tblDaily[WardCode],"BF")),"")</f>
        <v/>
      </c>
      <c r="D223" s="29" t="str">
        <f>IFERROR(IF(SUMIFS(tblDaily[Deaths],tblDaily[EntryDate],DATE(2026,6,22),tblDaily[WardCode],"BF")=0,"",SUMIFS(tblDaily[Deaths],tblDaily[EntryDate],DATE(2026,6,22),tblDaily[WardCode],"BF")),"")</f>
        <v/>
      </c>
      <c r="E223" s="29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29" t="str">
        <f>IFERROR(IF(SUMIFS(tblDaily[TransfersIn],tblDaily[EntryDate],DATE(2026,6,22),tblDaily[WardCode],"BF")=0,"",SUMIFS(tblDaily[TransfersIn],tblDaily[EntryDate],DATE(2026,6,22),tblDaily[WardCode],"BF")),"")</f>
        <v/>
      </c>
      <c r="G223" s="29" t="str">
        <f>IFERROR(IF(SUMIFS(tblDaily[TransfersOut],tblDaily[EntryDate],DATE(2026,6,22),tblDaily[WardCode],"BF")=0,"",SUMIFS(tblDaily[TransfersOut],tblDaily[EntryDate],DATE(2026,6,22),tblDaily[WardCode],"BF")),"")</f>
        <v/>
      </c>
      <c r="H223" s="29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IFERROR(IF(SUMIFS(tblDaily[Admissions],tblDaily[EntryDate],DATE(2026,6,23),tblDaily[WardCode],"BF")=0,"",SUMIFS(tblDaily[Admissions],tblDaily[EntryDate],DATE(2026,6,23),tblDaily[WardCode],"BF")),"")</f>
        <v/>
      </c>
      <c r="C224" s="29" t="str">
        <f>IFERROR(IF(SUMIFS(tblDaily[Discharges],tblDaily[EntryDate],DATE(2026,6,23),tblDaily[WardCode],"BF")=0,"",SUMIFS(tblDaily[Discharges],tblDaily[EntryDate],DATE(2026,6,23),tblDaily[WardCode],"BF")),"")</f>
        <v/>
      </c>
      <c r="D224" s="29" t="str">
        <f>IFERROR(IF(SUMIFS(tblDaily[Deaths],tblDaily[EntryDate],DATE(2026,6,23),tblDaily[WardCode],"BF")=0,"",SUMIFS(tblDaily[Deaths],tblDaily[EntryDate],DATE(2026,6,23),tblDaily[WardCode],"BF")),"")</f>
        <v/>
      </c>
      <c r="E224" s="29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29" t="str">
        <f>IFERROR(IF(SUMIFS(tblDaily[TransfersIn],tblDaily[EntryDate],DATE(2026,6,23),tblDaily[WardCode],"BF")=0,"",SUMIFS(tblDaily[TransfersIn],tblDaily[EntryDate],DATE(2026,6,23),tblDaily[WardCode],"BF")),"")</f>
        <v/>
      </c>
      <c r="G224" s="29" t="str">
        <f>IFERROR(IF(SUMIFS(tblDaily[TransfersOut],tblDaily[EntryDate],DATE(2026,6,23),tblDaily[WardCode],"BF")=0,"",SUMIFS(tblDaily[TransfersOut],tblDaily[EntryDate],DATE(2026,6,23),tblDaily[WardCode],"BF")),"")</f>
        <v/>
      </c>
      <c r="H224" s="29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IFERROR(IF(SUMIFS(tblDaily[Admissions],tblDaily[EntryDate],DATE(2026,6,24),tblDaily[WardCode],"BF")=0,"",SUMIFS(tblDaily[Admissions],tblDaily[EntryDate],DATE(2026,6,24),tblDaily[WardCode],"BF")),"")</f>
        <v/>
      </c>
      <c r="C225" s="29" t="str">
        <f>IFERROR(IF(SUMIFS(tblDaily[Discharges],tblDaily[EntryDate],DATE(2026,6,24),tblDaily[WardCode],"BF")=0,"",SUMIFS(tblDaily[Discharges],tblDaily[EntryDate],DATE(2026,6,24),tblDaily[WardCode],"BF")),"")</f>
        <v/>
      </c>
      <c r="D225" s="29" t="str">
        <f>IFERROR(IF(SUMIFS(tblDaily[Deaths],tblDaily[EntryDate],DATE(2026,6,24),tblDaily[WardCode],"BF")=0,"",SUMIFS(tblDaily[Deaths],tblDaily[EntryDate],DATE(2026,6,24),tblDaily[WardCode],"BF")),"")</f>
        <v/>
      </c>
      <c r="E225" s="29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29" t="str">
        <f>IFERROR(IF(SUMIFS(tblDaily[TransfersIn],tblDaily[EntryDate],DATE(2026,6,24),tblDaily[WardCode],"BF")=0,"",SUMIFS(tblDaily[TransfersIn],tblDaily[EntryDate],DATE(2026,6,24),tblDaily[WardCode],"BF")),"")</f>
        <v/>
      </c>
      <c r="G225" s="29" t="str">
        <f>IFERROR(IF(SUMIFS(tblDaily[TransfersOut],tblDaily[EntryDate],DATE(2026,6,24),tblDaily[WardCode],"BF")=0,"",SUMIFS(tblDaily[TransfersOut],tblDaily[EntryDate],DATE(2026,6,24),tblDaily[WardCode],"BF")),"")</f>
        <v/>
      </c>
      <c r="H225" s="29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IFERROR(IF(SUMIFS(tblDaily[Admissions],tblDaily[EntryDate],DATE(2026,6,25),tblDaily[WardCode],"BF")=0,"",SUMIFS(tblDaily[Admissions],tblDaily[EntryDate],DATE(2026,6,25),tblDaily[WardCode],"BF")),"")</f>
        <v/>
      </c>
      <c r="C226" s="29" t="str">
        <f>IFERROR(IF(SUMIFS(tblDaily[Discharges],tblDaily[EntryDate],DATE(2026,6,25),tblDaily[WardCode],"BF")=0,"",SUMIFS(tblDaily[Discharges],tblDaily[EntryDate],DATE(2026,6,25),tblDaily[WardCode],"BF")),"")</f>
        <v/>
      </c>
      <c r="D226" s="29" t="str">
        <f>IFERROR(IF(SUMIFS(tblDaily[Deaths],tblDaily[EntryDate],DATE(2026,6,25),tblDaily[WardCode],"BF")=0,"",SUMIFS(tblDaily[Deaths],tblDaily[EntryDate],DATE(2026,6,25),tblDaily[WardCode],"BF")),"")</f>
        <v/>
      </c>
      <c r="E226" s="29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29" t="str">
        <f>IFERROR(IF(SUMIFS(tblDaily[TransfersIn],tblDaily[EntryDate],DATE(2026,6,25),tblDaily[WardCode],"BF")=0,"",SUMIFS(tblDaily[TransfersIn],tblDaily[EntryDate],DATE(2026,6,25),tblDaily[WardCode],"BF")),"")</f>
        <v/>
      </c>
      <c r="G226" s="29" t="str">
        <f>IFERROR(IF(SUMIFS(tblDaily[TransfersOut],tblDaily[EntryDate],DATE(2026,6,25),tblDaily[WardCode],"BF")=0,"",SUMIFS(tblDaily[TransfersOut],tblDaily[EntryDate],DATE(2026,6,25),tblDaily[WardCode],"BF")),"")</f>
        <v/>
      </c>
      <c r="H226" s="29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IFERROR(IF(SUMIFS(tblDaily[Admissions],tblDaily[EntryDate],DATE(2026,6,26),tblDaily[WardCode],"BF")=0,"",SUMIFS(tblDaily[Admissions],tblDaily[EntryDate],DATE(2026,6,26),tblDaily[WardCode],"BF")),"")</f>
        <v/>
      </c>
      <c r="C227" s="29" t="str">
        <f>IFERROR(IF(SUMIFS(tblDaily[Discharges],tblDaily[EntryDate],DATE(2026,6,26),tblDaily[WardCode],"BF")=0,"",SUMIFS(tblDaily[Discharges],tblDaily[EntryDate],DATE(2026,6,26),tblDaily[WardCode],"BF")),"")</f>
        <v/>
      </c>
      <c r="D227" s="29" t="str">
        <f>IFERROR(IF(SUMIFS(tblDaily[Deaths],tblDaily[EntryDate],DATE(2026,6,26),tblDaily[WardCode],"BF")=0,"",SUMIFS(tblDaily[Deaths],tblDaily[EntryDate],DATE(2026,6,26),tblDaily[WardCode],"BF")),"")</f>
        <v/>
      </c>
      <c r="E227" s="29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29" t="str">
        <f>IFERROR(IF(SUMIFS(tblDaily[TransfersIn],tblDaily[EntryDate],DATE(2026,6,26),tblDaily[WardCode],"BF")=0,"",SUMIFS(tblDaily[TransfersIn],tblDaily[EntryDate],DATE(2026,6,26),tblDaily[WardCode],"BF")),"")</f>
        <v/>
      </c>
      <c r="G227" s="29" t="str">
        <f>IFERROR(IF(SUMIFS(tblDaily[TransfersOut],tblDaily[EntryDate],DATE(2026,6,26),tblDaily[WardCode],"BF")=0,"",SUMIFS(tblDaily[TransfersOut],tblDaily[EntryDate],DATE(2026,6,26),tblDaily[WardCode],"BF")),"")</f>
        <v/>
      </c>
      <c r="H227" s="29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IFERROR(IF(SUMIFS(tblDaily[Admissions],tblDaily[EntryDate],DATE(2026,6,27),tblDaily[WardCode],"BF")=0,"",SUMIFS(tblDaily[Admissions],tblDaily[EntryDate],DATE(2026,6,27),tblDaily[WardCode],"BF")),"")</f>
        <v/>
      </c>
      <c r="C228" s="29" t="str">
        <f>IFERROR(IF(SUMIFS(tblDaily[Discharges],tblDaily[EntryDate],DATE(2026,6,27),tblDaily[WardCode],"BF")=0,"",SUMIFS(tblDaily[Discharges],tblDaily[EntryDate],DATE(2026,6,27),tblDaily[WardCode],"BF")),"")</f>
        <v/>
      </c>
      <c r="D228" s="29" t="str">
        <f>IFERROR(IF(SUMIFS(tblDaily[Deaths],tblDaily[EntryDate],DATE(2026,6,27),tblDaily[WardCode],"BF")=0,"",SUMIFS(tblDaily[Deaths],tblDaily[EntryDate],DATE(2026,6,27),tblDaily[WardCode],"BF")),"")</f>
        <v/>
      </c>
      <c r="E228" s="29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29" t="str">
        <f>IFERROR(IF(SUMIFS(tblDaily[TransfersIn],tblDaily[EntryDate],DATE(2026,6,27),tblDaily[WardCode],"BF")=0,"",SUMIFS(tblDaily[TransfersIn],tblDaily[EntryDate],DATE(2026,6,27),tblDaily[WardCode],"BF")),"")</f>
        <v/>
      </c>
      <c r="G228" s="29" t="str">
        <f>IFERROR(IF(SUMIFS(tblDaily[TransfersOut],tblDaily[EntryDate],DATE(2026,6,27),tblDaily[WardCode],"BF")=0,"",SUMIFS(tblDaily[TransfersOut],tblDaily[EntryDate],DATE(2026,6,27),tblDaily[WardCode],"BF")),"")</f>
        <v/>
      </c>
      <c r="H228" s="29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IFERROR(IF(SUMIFS(tblDaily[Admissions],tblDaily[EntryDate],DATE(2026,6,28),tblDaily[WardCode],"BF")=0,"",SUMIFS(tblDaily[Admissions],tblDaily[EntryDate],DATE(2026,6,28),tblDaily[WardCode],"BF")),"")</f>
        <v/>
      </c>
      <c r="C229" s="29" t="str">
        <f>IFERROR(IF(SUMIFS(tblDaily[Discharges],tblDaily[EntryDate],DATE(2026,6,28),tblDaily[WardCode],"BF")=0,"",SUMIFS(tblDaily[Discharges],tblDaily[EntryDate],DATE(2026,6,28),tblDaily[WardCode],"BF")),"")</f>
        <v/>
      </c>
      <c r="D229" s="29" t="str">
        <f>IFERROR(IF(SUMIFS(tblDaily[Deaths],tblDaily[EntryDate],DATE(2026,6,28),tblDaily[WardCode],"BF")=0,"",SUMIFS(tblDaily[Deaths],tblDaily[EntryDate],DATE(2026,6,28),tblDaily[WardCode],"BF")),"")</f>
        <v/>
      </c>
      <c r="E229" s="29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29" t="str">
        <f>IFERROR(IF(SUMIFS(tblDaily[TransfersIn],tblDaily[EntryDate],DATE(2026,6,28),tblDaily[WardCode],"BF")=0,"",SUMIFS(tblDaily[TransfersIn],tblDaily[EntryDate],DATE(2026,6,28),tblDaily[WardCode],"BF")),"")</f>
        <v/>
      </c>
      <c r="G229" s="29" t="str">
        <f>IFERROR(IF(SUMIFS(tblDaily[TransfersOut],tblDaily[EntryDate],DATE(2026,6,28),tblDaily[WardCode],"BF")=0,"",SUMIFS(tblDaily[TransfersOut],tblDaily[EntryDate],DATE(2026,6,28),tblDaily[WardCode],"BF")),"")</f>
        <v/>
      </c>
      <c r="H229" s="29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IFERROR(IF(SUMIFS(tblDaily[Admissions],tblDaily[EntryDate],DATE(2026,6,29),tblDaily[WardCode],"BF")=0,"",SUMIFS(tblDaily[Admissions],tblDaily[EntryDate],DATE(2026,6,29),tblDaily[WardCode],"BF")),"")</f>
        <v/>
      </c>
      <c r="C230" s="29" t="str">
        <f>IFERROR(IF(SUMIFS(tblDaily[Discharges],tblDaily[EntryDate],DATE(2026,6,29),tblDaily[WardCode],"BF")=0,"",SUMIFS(tblDaily[Discharges],tblDaily[EntryDate],DATE(2026,6,29),tblDaily[WardCode],"BF")),"")</f>
        <v/>
      </c>
      <c r="D230" s="29" t="str">
        <f>IFERROR(IF(SUMIFS(tblDaily[Deaths],tblDaily[EntryDate],DATE(2026,6,29),tblDaily[WardCode],"BF")=0,"",SUMIFS(tblDaily[Deaths],tblDaily[EntryDate],DATE(2026,6,29),tblDaily[WardCode],"BF")),"")</f>
        <v/>
      </c>
      <c r="E230" s="29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29" t="str">
        <f>IFERROR(IF(SUMIFS(tblDaily[TransfersIn],tblDaily[EntryDate],DATE(2026,6,29),tblDaily[WardCode],"BF")=0,"",SUMIFS(tblDaily[TransfersIn],tblDaily[EntryDate],DATE(2026,6,29),tblDaily[WardCode],"BF")),"")</f>
        <v/>
      </c>
      <c r="G230" s="29" t="str">
        <f>IFERROR(IF(SUMIFS(tblDaily[TransfersOut],tblDaily[EntryDate],DATE(2026,6,29),tblDaily[WardCode],"BF")=0,"",SUMIFS(tblDaily[TransfersOut],tblDaily[EntryDate],DATE(2026,6,29),tblDaily[WardCode],"BF")),"")</f>
        <v/>
      </c>
      <c r="H230" s="29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IFERROR(IF(SUMIFS(tblDaily[Admissions],tblDaily[EntryDate],DATE(2026,6,30),tblDaily[WardCode],"BF")=0,"",SUMIFS(tblDaily[Admissions],tblDaily[EntryDate],DATE(2026,6,30),tblDaily[WardCode],"BF")),"")</f>
        <v/>
      </c>
      <c r="C231" s="29" t="str">
        <f>IFERROR(IF(SUMIFS(tblDaily[Discharges],tblDaily[EntryDate],DATE(2026,6,30),tblDaily[WardCode],"BF")=0,"",SUMIFS(tblDaily[Discharges],tblDaily[EntryDate],DATE(2026,6,30),tblDaily[WardCode],"BF")),"")</f>
        <v/>
      </c>
      <c r="D231" s="29" t="str">
        <f>IFERROR(IF(SUMIFS(tblDaily[Deaths],tblDaily[EntryDate],DATE(2026,6,30),tblDaily[WardCode],"BF")=0,"",SUMIFS(tblDaily[Deaths],tblDaily[EntryDate],DATE(2026,6,30),tblDaily[WardCode],"BF")),"")</f>
        <v/>
      </c>
      <c r="E231" s="29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29" t="str">
        <f>IFERROR(IF(SUMIFS(tblDaily[TransfersIn],tblDaily[EntryDate],DATE(2026,6,30),tblDaily[WardCode],"BF")=0,"",SUMIFS(tblDaily[TransfersIn],tblDaily[EntryDate],DATE(2026,6,30),tblDaily[WardCode],"BF")),"")</f>
        <v/>
      </c>
      <c r="G231" s="29" t="str">
        <f>IFERROR(IF(SUMIFS(tblDaily[TransfersOut],tblDaily[EntryDate],DATE(2026,6,30),tblDaily[WardCode],"BF")=0,"",SUMIFS(tblDaily[TransfersOut],tblDaily[EntryDate],DATE(2026,6,30),tblDaily[WardCode],"BF")),"")</f>
        <v/>
      </c>
      <c r="H231" s="29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SUMIFS(tblDaily[Admissions],tblDaily[Month],6,tblDaily[WardCode],"BF") - SUMIFS(tblDaily[DeathsUnder24Hrs],tblDaily[Month],6,tblDaily[WardCode],"BF")</f>
        <v>0</v>
      </c>
      <c r="C233" s="30">
        <f>SUMIFS(tblDaily[Discharges],tblDaily[Month],6,tblDaily[WardCode],"BF")</f>
        <v>0</v>
      </c>
      <c r="D233" s="30">
        <f>SUMIFS(tblDaily[Deaths],tblDaily[Month],6,tblDaily[WardCode],"BF")</f>
        <v>0</v>
      </c>
      <c r="E233" s="30">
        <f>SUMIFS(tblDaily[DeathsUnder24Hrs],tblDaily[Month],6,tblDaily[WardCode],"BF")</f>
        <v>0</v>
      </c>
      <c r="F233" s="30">
        <f>SUMIFS(tblDaily[TransfersIn],tblDaily[Month],6,tblDaily[WardCode],"BF")</f>
        <v>0</v>
      </c>
      <c r="G233" s="30">
        <f>SUMIFS(tblDaily[TransfersOut],tblDaily[Month],6,tblDaily[WardCode],"BF")</f>
        <v>0</v>
      </c>
      <c r="H233" s="30">
        <f>SUMIFS(tblDaily[Remaining],tblDaily[Month],6,tblDaily[WardCode],"BF")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118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IFERROR(SUMIFS(tblDaily[Remaining],tblDaily[EntryDate],DATE(2026,6,30),tblDaily[WardCode],"BF"),0)</f>
        <v>0</v>
      </c>
    </row>
    <row r="239" spans="1:8" x14ac:dyDescent="0.25">
      <c r="A239" s="24" t="s">
        <v>109</v>
      </c>
      <c r="H239" s="27">
        <f>IFERROR(INDEX(tblWardConfig[BedComplement],MATCH("BF",tblWardConfig[WardCode],0)),0)</f>
        <v>20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IFERROR(IF(SUMIFS(tblDaily[Admissions],tblDaily[EntryDate],DATE(2026,7,1),tblDaily[WardCode],"BF")=0,"",SUMIFS(tblDaily[Admissions],tblDaily[EntryDate],DATE(2026,7,1),tblDaily[WardCode],"BF")),"")</f>
        <v/>
      </c>
      <c r="C241" s="29" t="str">
        <f>IFERROR(IF(SUMIFS(tblDaily[Discharges],tblDaily[EntryDate],DATE(2026,7,1),tblDaily[WardCode],"BF")=0,"",SUMIFS(tblDaily[Discharges],tblDaily[EntryDate],DATE(2026,7,1),tblDaily[WardCode],"BF")),"")</f>
        <v/>
      </c>
      <c r="D241" s="29" t="str">
        <f>IFERROR(IF(SUMIFS(tblDaily[Deaths],tblDaily[EntryDate],DATE(2026,7,1),tblDaily[WardCode],"BF")=0,"",SUMIFS(tblDaily[Deaths],tblDaily[EntryDate],DATE(2026,7,1),tblDaily[WardCode],"BF")),"")</f>
        <v/>
      </c>
      <c r="E241" s="29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29" t="str">
        <f>IFERROR(IF(SUMIFS(tblDaily[TransfersIn],tblDaily[EntryDate],DATE(2026,7,1),tblDaily[WardCode],"BF")=0,"",SUMIFS(tblDaily[TransfersIn],tblDaily[EntryDate],DATE(2026,7,1),tblDaily[WardCode],"BF")),"")</f>
        <v/>
      </c>
      <c r="G241" s="29" t="str">
        <f>IFERROR(IF(SUMIFS(tblDaily[TransfersOut],tblDaily[EntryDate],DATE(2026,7,1),tblDaily[WardCode],"BF")=0,"",SUMIFS(tblDaily[TransfersOut],tblDaily[EntryDate],DATE(2026,7,1),tblDaily[WardCode],"BF")),"")</f>
        <v/>
      </c>
      <c r="H241" s="29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IFERROR(IF(SUMIFS(tblDaily[Admissions],tblDaily[EntryDate],DATE(2026,7,2),tblDaily[WardCode],"BF")=0,"",SUMIFS(tblDaily[Admissions],tblDaily[EntryDate],DATE(2026,7,2),tblDaily[WardCode],"BF")),"")</f>
        <v/>
      </c>
      <c r="C242" s="29" t="str">
        <f>IFERROR(IF(SUMIFS(tblDaily[Discharges],tblDaily[EntryDate],DATE(2026,7,2),tblDaily[WardCode],"BF")=0,"",SUMIFS(tblDaily[Discharges],tblDaily[EntryDate],DATE(2026,7,2),tblDaily[WardCode],"BF")),"")</f>
        <v/>
      </c>
      <c r="D242" s="29" t="str">
        <f>IFERROR(IF(SUMIFS(tblDaily[Deaths],tblDaily[EntryDate],DATE(2026,7,2),tblDaily[WardCode],"BF")=0,"",SUMIFS(tblDaily[Deaths],tblDaily[EntryDate],DATE(2026,7,2),tblDaily[WardCode],"BF")),"")</f>
        <v/>
      </c>
      <c r="E242" s="29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29" t="str">
        <f>IFERROR(IF(SUMIFS(tblDaily[TransfersIn],tblDaily[EntryDate],DATE(2026,7,2),tblDaily[WardCode],"BF")=0,"",SUMIFS(tblDaily[TransfersIn],tblDaily[EntryDate],DATE(2026,7,2),tblDaily[WardCode],"BF")),"")</f>
        <v/>
      </c>
      <c r="G242" s="29" t="str">
        <f>IFERROR(IF(SUMIFS(tblDaily[TransfersOut],tblDaily[EntryDate],DATE(2026,7,2),tblDaily[WardCode],"BF")=0,"",SUMIFS(tblDaily[TransfersOut],tblDaily[EntryDate],DATE(2026,7,2),tblDaily[WardCode],"BF")),"")</f>
        <v/>
      </c>
      <c r="H242" s="29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IFERROR(IF(SUMIFS(tblDaily[Admissions],tblDaily[EntryDate],DATE(2026,7,3),tblDaily[WardCode],"BF")=0,"",SUMIFS(tblDaily[Admissions],tblDaily[EntryDate],DATE(2026,7,3),tblDaily[WardCode],"BF")),"")</f>
        <v/>
      </c>
      <c r="C243" s="29" t="str">
        <f>IFERROR(IF(SUMIFS(tblDaily[Discharges],tblDaily[EntryDate],DATE(2026,7,3),tblDaily[WardCode],"BF")=0,"",SUMIFS(tblDaily[Discharges],tblDaily[EntryDate],DATE(2026,7,3),tblDaily[WardCode],"BF")),"")</f>
        <v/>
      </c>
      <c r="D243" s="29" t="str">
        <f>IFERROR(IF(SUMIFS(tblDaily[Deaths],tblDaily[EntryDate],DATE(2026,7,3),tblDaily[WardCode],"BF")=0,"",SUMIFS(tblDaily[Deaths],tblDaily[EntryDate],DATE(2026,7,3),tblDaily[WardCode],"BF")),"")</f>
        <v/>
      </c>
      <c r="E243" s="29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29" t="str">
        <f>IFERROR(IF(SUMIFS(tblDaily[TransfersIn],tblDaily[EntryDate],DATE(2026,7,3),tblDaily[WardCode],"BF")=0,"",SUMIFS(tblDaily[TransfersIn],tblDaily[EntryDate],DATE(2026,7,3),tblDaily[WardCode],"BF")),"")</f>
        <v/>
      </c>
      <c r="G243" s="29" t="str">
        <f>IFERROR(IF(SUMIFS(tblDaily[TransfersOut],tblDaily[EntryDate],DATE(2026,7,3),tblDaily[WardCode],"BF")=0,"",SUMIFS(tblDaily[TransfersOut],tblDaily[EntryDate],DATE(2026,7,3),tblDaily[WardCode],"BF")),"")</f>
        <v/>
      </c>
      <c r="H243" s="29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IFERROR(IF(SUMIFS(tblDaily[Admissions],tblDaily[EntryDate],DATE(2026,7,4),tblDaily[WardCode],"BF")=0,"",SUMIFS(tblDaily[Admissions],tblDaily[EntryDate],DATE(2026,7,4),tblDaily[WardCode],"BF")),"")</f>
        <v/>
      </c>
      <c r="C244" s="29" t="str">
        <f>IFERROR(IF(SUMIFS(tblDaily[Discharges],tblDaily[EntryDate],DATE(2026,7,4),tblDaily[WardCode],"BF")=0,"",SUMIFS(tblDaily[Discharges],tblDaily[EntryDate],DATE(2026,7,4),tblDaily[WardCode],"BF")),"")</f>
        <v/>
      </c>
      <c r="D244" s="29" t="str">
        <f>IFERROR(IF(SUMIFS(tblDaily[Deaths],tblDaily[EntryDate],DATE(2026,7,4),tblDaily[WardCode],"BF")=0,"",SUMIFS(tblDaily[Deaths],tblDaily[EntryDate],DATE(2026,7,4),tblDaily[WardCode],"BF")),"")</f>
        <v/>
      </c>
      <c r="E244" s="29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29" t="str">
        <f>IFERROR(IF(SUMIFS(tblDaily[TransfersIn],tblDaily[EntryDate],DATE(2026,7,4),tblDaily[WardCode],"BF")=0,"",SUMIFS(tblDaily[TransfersIn],tblDaily[EntryDate],DATE(2026,7,4),tblDaily[WardCode],"BF")),"")</f>
        <v/>
      </c>
      <c r="G244" s="29" t="str">
        <f>IFERROR(IF(SUMIFS(tblDaily[TransfersOut],tblDaily[EntryDate],DATE(2026,7,4),tblDaily[WardCode],"BF")=0,"",SUMIFS(tblDaily[TransfersOut],tblDaily[EntryDate],DATE(2026,7,4),tblDaily[WardCode],"BF")),"")</f>
        <v/>
      </c>
      <c r="H244" s="29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IFERROR(IF(SUMIFS(tblDaily[Admissions],tblDaily[EntryDate],DATE(2026,7,5),tblDaily[WardCode],"BF")=0,"",SUMIFS(tblDaily[Admissions],tblDaily[EntryDate],DATE(2026,7,5),tblDaily[WardCode],"BF")),"")</f>
        <v/>
      </c>
      <c r="C245" s="29" t="str">
        <f>IFERROR(IF(SUMIFS(tblDaily[Discharges],tblDaily[EntryDate],DATE(2026,7,5),tblDaily[WardCode],"BF")=0,"",SUMIFS(tblDaily[Discharges],tblDaily[EntryDate],DATE(2026,7,5),tblDaily[WardCode],"BF")),"")</f>
        <v/>
      </c>
      <c r="D245" s="29" t="str">
        <f>IFERROR(IF(SUMIFS(tblDaily[Deaths],tblDaily[EntryDate],DATE(2026,7,5),tblDaily[WardCode],"BF")=0,"",SUMIFS(tblDaily[Deaths],tblDaily[EntryDate],DATE(2026,7,5),tblDaily[WardCode],"BF")),"")</f>
        <v/>
      </c>
      <c r="E245" s="29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29" t="str">
        <f>IFERROR(IF(SUMIFS(tblDaily[TransfersIn],tblDaily[EntryDate],DATE(2026,7,5),tblDaily[WardCode],"BF")=0,"",SUMIFS(tblDaily[TransfersIn],tblDaily[EntryDate],DATE(2026,7,5),tblDaily[WardCode],"BF")),"")</f>
        <v/>
      </c>
      <c r="G245" s="29" t="str">
        <f>IFERROR(IF(SUMIFS(tblDaily[TransfersOut],tblDaily[EntryDate],DATE(2026,7,5),tblDaily[WardCode],"BF")=0,"",SUMIFS(tblDaily[TransfersOut],tblDaily[EntryDate],DATE(2026,7,5),tblDaily[WardCode],"BF")),"")</f>
        <v/>
      </c>
      <c r="H245" s="29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IFERROR(IF(SUMIFS(tblDaily[Admissions],tblDaily[EntryDate],DATE(2026,7,6),tblDaily[WardCode],"BF")=0,"",SUMIFS(tblDaily[Admissions],tblDaily[EntryDate],DATE(2026,7,6),tblDaily[WardCode],"BF")),"")</f>
        <v/>
      </c>
      <c r="C246" s="29" t="str">
        <f>IFERROR(IF(SUMIFS(tblDaily[Discharges],tblDaily[EntryDate],DATE(2026,7,6),tblDaily[WardCode],"BF")=0,"",SUMIFS(tblDaily[Discharges],tblDaily[EntryDate],DATE(2026,7,6),tblDaily[WardCode],"BF")),"")</f>
        <v/>
      </c>
      <c r="D246" s="29" t="str">
        <f>IFERROR(IF(SUMIFS(tblDaily[Deaths],tblDaily[EntryDate],DATE(2026,7,6),tblDaily[WardCode],"BF")=0,"",SUMIFS(tblDaily[Deaths],tblDaily[EntryDate],DATE(2026,7,6),tblDaily[WardCode],"BF")),"")</f>
        <v/>
      </c>
      <c r="E246" s="29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29" t="str">
        <f>IFERROR(IF(SUMIFS(tblDaily[TransfersIn],tblDaily[EntryDate],DATE(2026,7,6),tblDaily[WardCode],"BF")=0,"",SUMIFS(tblDaily[TransfersIn],tblDaily[EntryDate],DATE(2026,7,6),tblDaily[WardCode],"BF")),"")</f>
        <v/>
      </c>
      <c r="G246" s="29" t="str">
        <f>IFERROR(IF(SUMIFS(tblDaily[TransfersOut],tblDaily[EntryDate],DATE(2026,7,6),tblDaily[WardCode],"BF")=0,"",SUMIFS(tblDaily[TransfersOut],tblDaily[EntryDate],DATE(2026,7,6),tblDaily[WardCode],"BF")),"")</f>
        <v/>
      </c>
      <c r="H246" s="29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IFERROR(IF(SUMIFS(tblDaily[Admissions],tblDaily[EntryDate],DATE(2026,7,7),tblDaily[WardCode],"BF")=0,"",SUMIFS(tblDaily[Admissions],tblDaily[EntryDate],DATE(2026,7,7),tblDaily[WardCode],"BF")),"")</f>
        <v/>
      </c>
      <c r="C247" s="29" t="str">
        <f>IFERROR(IF(SUMIFS(tblDaily[Discharges],tblDaily[EntryDate],DATE(2026,7,7),tblDaily[WardCode],"BF")=0,"",SUMIFS(tblDaily[Discharges],tblDaily[EntryDate],DATE(2026,7,7),tblDaily[WardCode],"BF")),"")</f>
        <v/>
      </c>
      <c r="D247" s="29" t="str">
        <f>IFERROR(IF(SUMIFS(tblDaily[Deaths],tblDaily[EntryDate],DATE(2026,7,7),tblDaily[WardCode],"BF")=0,"",SUMIFS(tblDaily[Deaths],tblDaily[EntryDate],DATE(2026,7,7),tblDaily[WardCode],"BF")),"")</f>
        <v/>
      </c>
      <c r="E247" s="29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29" t="str">
        <f>IFERROR(IF(SUMIFS(tblDaily[TransfersIn],tblDaily[EntryDate],DATE(2026,7,7),tblDaily[WardCode],"BF")=0,"",SUMIFS(tblDaily[TransfersIn],tblDaily[EntryDate],DATE(2026,7,7),tblDaily[WardCode],"BF")),"")</f>
        <v/>
      </c>
      <c r="G247" s="29" t="str">
        <f>IFERROR(IF(SUMIFS(tblDaily[TransfersOut],tblDaily[EntryDate],DATE(2026,7,7),tblDaily[WardCode],"BF")=0,"",SUMIFS(tblDaily[TransfersOut],tblDaily[EntryDate],DATE(2026,7,7),tblDaily[WardCode],"BF")),"")</f>
        <v/>
      </c>
      <c r="H247" s="29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IFERROR(IF(SUMIFS(tblDaily[Admissions],tblDaily[EntryDate],DATE(2026,7,8),tblDaily[WardCode],"BF")=0,"",SUMIFS(tblDaily[Admissions],tblDaily[EntryDate],DATE(2026,7,8),tblDaily[WardCode],"BF")),"")</f>
        <v/>
      </c>
      <c r="C248" s="29" t="str">
        <f>IFERROR(IF(SUMIFS(tblDaily[Discharges],tblDaily[EntryDate],DATE(2026,7,8),tblDaily[WardCode],"BF")=0,"",SUMIFS(tblDaily[Discharges],tblDaily[EntryDate],DATE(2026,7,8),tblDaily[WardCode],"BF")),"")</f>
        <v/>
      </c>
      <c r="D248" s="29" t="str">
        <f>IFERROR(IF(SUMIFS(tblDaily[Deaths],tblDaily[EntryDate],DATE(2026,7,8),tblDaily[WardCode],"BF")=0,"",SUMIFS(tblDaily[Deaths],tblDaily[EntryDate],DATE(2026,7,8),tblDaily[WardCode],"BF")),"")</f>
        <v/>
      </c>
      <c r="E248" s="29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29" t="str">
        <f>IFERROR(IF(SUMIFS(tblDaily[TransfersIn],tblDaily[EntryDate],DATE(2026,7,8),tblDaily[WardCode],"BF")=0,"",SUMIFS(tblDaily[TransfersIn],tblDaily[EntryDate],DATE(2026,7,8),tblDaily[WardCode],"BF")),"")</f>
        <v/>
      </c>
      <c r="G248" s="29" t="str">
        <f>IFERROR(IF(SUMIFS(tblDaily[TransfersOut],tblDaily[EntryDate],DATE(2026,7,8),tblDaily[WardCode],"BF")=0,"",SUMIFS(tblDaily[TransfersOut],tblDaily[EntryDate],DATE(2026,7,8),tblDaily[WardCode],"BF")),"")</f>
        <v/>
      </c>
      <c r="H248" s="29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IFERROR(IF(SUMIFS(tblDaily[Admissions],tblDaily[EntryDate],DATE(2026,7,9),tblDaily[WardCode],"BF")=0,"",SUMIFS(tblDaily[Admissions],tblDaily[EntryDate],DATE(2026,7,9),tblDaily[WardCode],"BF")),"")</f>
        <v/>
      </c>
      <c r="C249" s="29" t="str">
        <f>IFERROR(IF(SUMIFS(tblDaily[Discharges],tblDaily[EntryDate],DATE(2026,7,9),tblDaily[WardCode],"BF")=0,"",SUMIFS(tblDaily[Discharges],tblDaily[EntryDate],DATE(2026,7,9),tblDaily[WardCode],"BF")),"")</f>
        <v/>
      </c>
      <c r="D249" s="29" t="str">
        <f>IFERROR(IF(SUMIFS(tblDaily[Deaths],tblDaily[EntryDate],DATE(2026,7,9),tblDaily[WardCode],"BF")=0,"",SUMIFS(tblDaily[Deaths],tblDaily[EntryDate],DATE(2026,7,9),tblDaily[WardCode],"BF")),"")</f>
        <v/>
      </c>
      <c r="E249" s="29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29" t="str">
        <f>IFERROR(IF(SUMIFS(tblDaily[TransfersIn],tblDaily[EntryDate],DATE(2026,7,9),tblDaily[WardCode],"BF")=0,"",SUMIFS(tblDaily[TransfersIn],tblDaily[EntryDate],DATE(2026,7,9),tblDaily[WardCode],"BF")),"")</f>
        <v/>
      </c>
      <c r="G249" s="29" t="str">
        <f>IFERROR(IF(SUMIFS(tblDaily[TransfersOut],tblDaily[EntryDate],DATE(2026,7,9),tblDaily[WardCode],"BF")=0,"",SUMIFS(tblDaily[TransfersOut],tblDaily[EntryDate],DATE(2026,7,9),tblDaily[WardCode],"BF")),"")</f>
        <v/>
      </c>
      <c r="H249" s="29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IFERROR(IF(SUMIFS(tblDaily[Admissions],tblDaily[EntryDate],DATE(2026,7,10),tblDaily[WardCode],"BF")=0,"",SUMIFS(tblDaily[Admissions],tblDaily[EntryDate],DATE(2026,7,10),tblDaily[WardCode],"BF")),"")</f>
        <v/>
      </c>
      <c r="C250" s="29" t="str">
        <f>IFERROR(IF(SUMIFS(tblDaily[Discharges],tblDaily[EntryDate],DATE(2026,7,10),tblDaily[WardCode],"BF")=0,"",SUMIFS(tblDaily[Discharges],tblDaily[EntryDate],DATE(2026,7,10),tblDaily[WardCode],"BF")),"")</f>
        <v/>
      </c>
      <c r="D250" s="29" t="str">
        <f>IFERROR(IF(SUMIFS(tblDaily[Deaths],tblDaily[EntryDate],DATE(2026,7,10),tblDaily[WardCode],"BF")=0,"",SUMIFS(tblDaily[Deaths],tblDaily[EntryDate],DATE(2026,7,10),tblDaily[WardCode],"BF")),"")</f>
        <v/>
      </c>
      <c r="E250" s="29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29" t="str">
        <f>IFERROR(IF(SUMIFS(tblDaily[TransfersIn],tblDaily[EntryDate],DATE(2026,7,10),tblDaily[WardCode],"BF")=0,"",SUMIFS(tblDaily[TransfersIn],tblDaily[EntryDate],DATE(2026,7,10),tblDaily[WardCode],"BF")),"")</f>
        <v/>
      </c>
      <c r="G250" s="29" t="str">
        <f>IFERROR(IF(SUMIFS(tblDaily[TransfersOut],tblDaily[EntryDate],DATE(2026,7,10),tblDaily[WardCode],"BF")=0,"",SUMIFS(tblDaily[TransfersOut],tblDaily[EntryDate],DATE(2026,7,10),tblDaily[WardCode],"BF")),"")</f>
        <v/>
      </c>
      <c r="H250" s="29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IFERROR(IF(SUMIFS(tblDaily[Admissions],tblDaily[EntryDate],DATE(2026,7,11),tblDaily[WardCode],"BF")=0,"",SUMIFS(tblDaily[Admissions],tblDaily[EntryDate],DATE(2026,7,11),tblDaily[WardCode],"BF")),"")</f>
        <v/>
      </c>
      <c r="C251" s="29" t="str">
        <f>IFERROR(IF(SUMIFS(tblDaily[Discharges],tblDaily[EntryDate],DATE(2026,7,11),tblDaily[WardCode],"BF")=0,"",SUMIFS(tblDaily[Discharges],tblDaily[EntryDate],DATE(2026,7,11),tblDaily[WardCode],"BF")),"")</f>
        <v/>
      </c>
      <c r="D251" s="29" t="str">
        <f>IFERROR(IF(SUMIFS(tblDaily[Deaths],tblDaily[EntryDate],DATE(2026,7,11),tblDaily[WardCode],"BF")=0,"",SUMIFS(tblDaily[Deaths],tblDaily[EntryDate],DATE(2026,7,11),tblDaily[WardCode],"BF")),"")</f>
        <v/>
      </c>
      <c r="E251" s="29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29" t="str">
        <f>IFERROR(IF(SUMIFS(tblDaily[TransfersIn],tblDaily[EntryDate],DATE(2026,7,11),tblDaily[WardCode],"BF")=0,"",SUMIFS(tblDaily[TransfersIn],tblDaily[EntryDate],DATE(2026,7,11),tblDaily[WardCode],"BF")),"")</f>
        <v/>
      </c>
      <c r="G251" s="29" t="str">
        <f>IFERROR(IF(SUMIFS(tblDaily[TransfersOut],tblDaily[EntryDate],DATE(2026,7,11),tblDaily[WardCode],"BF")=0,"",SUMIFS(tblDaily[TransfersOut],tblDaily[EntryDate],DATE(2026,7,11),tblDaily[WardCode],"BF")),"")</f>
        <v/>
      </c>
      <c r="H251" s="29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IFERROR(IF(SUMIFS(tblDaily[Admissions],tblDaily[EntryDate],DATE(2026,7,12),tblDaily[WardCode],"BF")=0,"",SUMIFS(tblDaily[Admissions],tblDaily[EntryDate],DATE(2026,7,12),tblDaily[WardCode],"BF")),"")</f>
        <v/>
      </c>
      <c r="C252" s="29" t="str">
        <f>IFERROR(IF(SUMIFS(tblDaily[Discharges],tblDaily[EntryDate],DATE(2026,7,12),tblDaily[WardCode],"BF")=0,"",SUMIFS(tblDaily[Discharges],tblDaily[EntryDate],DATE(2026,7,12),tblDaily[WardCode],"BF")),"")</f>
        <v/>
      </c>
      <c r="D252" s="29" t="str">
        <f>IFERROR(IF(SUMIFS(tblDaily[Deaths],tblDaily[EntryDate],DATE(2026,7,12),tblDaily[WardCode],"BF")=0,"",SUMIFS(tblDaily[Deaths],tblDaily[EntryDate],DATE(2026,7,12),tblDaily[WardCode],"BF")),"")</f>
        <v/>
      </c>
      <c r="E252" s="29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29" t="str">
        <f>IFERROR(IF(SUMIFS(tblDaily[TransfersIn],tblDaily[EntryDate],DATE(2026,7,12),tblDaily[WardCode],"BF")=0,"",SUMIFS(tblDaily[TransfersIn],tblDaily[EntryDate],DATE(2026,7,12),tblDaily[WardCode],"BF")),"")</f>
        <v/>
      </c>
      <c r="G252" s="29" t="str">
        <f>IFERROR(IF(SUMIFS(tblDaily[TransfersOut],tblDaily[EntryDate],DATE(2026,7,12),tblDaily[WardCode],"BF")=0,"",SUMIFS(tblDaily[TransfersOut],tblDaily[EntryDate],DATE(2026,7,12),tblDaily[WardCode],"BF")),"")</f>
        <v/>
      </c>
      <c r="H252" s="29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IFERROR(IF(SUMIFS(tblDaily[Admissions],tblDaily[EntryDate],DATE(2026,7,13),tblDaily[WardCode],"BF")=0,"",SUMIFS(tblDaily[Admissions],tblDaily[EntryDate],DATE(2026,7,13),tblDaily[WardCode],"BF")),"")</f>
        <v/>
      </c>
      <c r="C253" s="29" t="str">
        <f>IFERROR(IF(SUMIFS(tblDaily[Discharges],tblDaily[EntryDate],DATE(2026,7,13),tblDaily[WardCode],"BF")=0,"",SUMIFS(tblDaily[Discharges],tblDaily[EntryDate],DATE(2026,7,13),tblDaily[WardCode],"BF")),"")</f>
        <v/>
      </c>
      <c r="D253" s="29" t="str">
        <f>IFERROR(IF(SUMIFS(tblDaily[Deaths],tblDaily[EntryDate],DATE(2026,7,13),tblDaily[WardCode],"BF")=0,"",SUMIFS(tblDaily[Deaths],tblDaily[EntryDate],DATE(2026,7,13),tblDaily[WardCode],"BF")),"")</f>
        <v/>
      </c>
      <c r="E253" s="29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29" t="str">
        <f>IFERROR(IF(SUMIFS(tblDaily[TransfersIn],tblDaily[EntryDate],DATE(2026,7,13),tblDaily[WardCode],"BF")=0,"",SUMIFS(tblDaily[TransfersIn],tblDaily[EntryDate],DATE(2026,7,13),tblDaily[WardCode],"BF")),"")</f>
        <v/>
      </c>
      <c r="G253" s="29" t="str">
        <f>IFERROR(IF(SUMIFS(tblDaily[TransfersOut],tblDaily[EntryDate],DATE(2026,7,13),tblDaily[WardCode],"BF")=0,"",SUMIFS(tblDaily[TransfersOut],tblDaily[EntryDate],DATE(2026,7,13),tblDaily[WardCode],"BF")),"")</f>
        <v/>
      </c>
      <c r="H253" s="29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IFERROR(IF(SUMIFS(tblDaily[Admissions],tblDaily[EntryDate],DATE(2026,7,14),tblDaily[WardCode],"BF")=0,"",SUMIFS(tblDaily[Admissions],tblDaily[EntryDate],DATE(2026,7,14),tblDaily[WardCode],"BF")),"")</f>
        <v/>
      </c>
      <c r="C254" s="29" t="str">
        <f>IFERROR(IF(SUMIFS(tblDaily[Discharges],tblDaily[EntryDate],DATE(2026,7,14),tblDaily[WardCode],"BF")=0,"",SUMIFS(tblDaily[Discharges],tblDaily[EntryDate],DATE(2026,7,14),tblDaily[WardCode],"BF")),"")</f>
        <v/>
      </c>
      <c r="D254" s="29" t="str">
        <f>IFERROR(IF(SUMIFS(tblDaily[Deaths],tblDaily[EntryDate],DATE(2026,7,14),tblDaily[WardCode],"BF")=0,"",SUMIFS(tblDaily[Deaths],tblDaily[EntryDate],DATE(2026,7,14),tblDaily[WardCode],"BF")),"")</f>
        <v/>
      </c>
      <c r="E254" s="29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29" t="str">
        <f>IFERROR(IF(SUMIFS(tblDaily[TransfersIn],tblDaily[EntryDate],DATE(2026,7,14),tblDaily[WardCode],"BF")=0,"",SUMIFS(tblDaily[TransfersIn],tblDaily[EntryDate],DATE(2026,7,14),tblDaily[WardCode],"BF")),"")</f>
        <v/>
      </c>
      <c r="G254" s="29" t="str">
        <f>IFERROR(IF(SUMIFS(tblDaily[TransfersOut],tblDaily[EntryDate],DATE(2026,7,14),tblDaily[WardCode],"BF")=0,"",SUMIFS(tblDaily[TransfersOut],tblDaily[EntryDate],DATE(2026,7,14),tblDaily[WardCode],"BF")),"")</f>
        <v/>
      </c>
      <c r="H254" s="29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IFERROR(IF(SUMIFS(tblDaily[Admissions],tblDaily[EntryDate],DATE(2026,7,15),tblDaily[WardCode],"BF")=0,"",SUMIFS(tblDaily[Admissions],tblDaily[EntryDate],DATE(2026,7,15),tblDaily[WardCode],"BF")),"")</f>
        <v/>
      </c>
      <c r="C255" s="29" t="str">
        <f>IFERROR(IF(SUMIFS(tblDaily[Discharges],tblDaily[EntryDate],DATE(2026,7,15),tblDaily[WardCode],"BF")=0,"",SUMIFS(tblDaily[Discharges],tblDaily[EntryDate],DATE(2026,7,15),tblDaily[WardCode],"BF")),"")</f>
        <v/>
      </c>
      <c r="D255" s="29" t="str">
        <f>IFERROR(IF(SUMIFS(tblDaily[Deaths],tblDaily[EntryDate],DATE(2026,7,15),tblDaily[WardCode],"BF")=0,"",SUMIFS(tblDaily[Deaths],tblDaily[EntryDate],DATE(2026,7,15),tblDaily[WardCode],"BF")),"")</f>
        <v/>
      </c>
      <c r="E255" s="29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29" t="str">
        <f>IFERROR(IF(SUMIFS(tblDaily[TransfersIn],tblDaily[EntryDate],DATE(2026,7,15),tblDaily[WardCode],"BF")=0,"",SUMIFS(tblDaily[TransfersIn],tblDaily[EntryDate],DATE(2026,7,15),tblDaily[WardCode],"BF")),"")</f>
        <v/>
      </c>
      <c r="G255" s="29" t="str">
        <f>IFERROR(IF(SUMIFS(tblDaily[TransfersOut],tblDaily[EntryDate],DATE(2026,7,15),tblDaily[WardCode],"BF")=0,"",SUMIFS(tblDaily[TransfersOut],tblDaily[EntryDate],DATE(2026,7,15),tblDaily[WardCode],"BF")),"")</f>
        <v/>
      </c>
      <c r="H255" s="29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IFERROR(IF(SUMIFS(tblDaily[Admissions],tblDaily[EntryDate],DATE(2026,7,16),tblDaily[WardCode],"BF")=0,"",SUMIFS(tblDaily[Admissions],tblDaily[EntryDate],DATE(2026,7,16),tblDaily[WardCode],"BF")),"")</f>
        <v/>
      </c>
      <c r="C256" s="29" t="str">
        <f>IFERROR(IF(SUMIFS(tblDaily[Discharges],tblDaily[EntryDate],DATE(2026,7,16),tblDaily[WardCode],"BF")=0,"",SUMIFS(tblDaily[Discharges],tblDaily[EntryDate],DATE(2026,7,16),tblDaily[WardCode],"BF")),"")</f>
        <v/>
      </c>
      <c r="D256" s="29" t="str">
        <f>IFERROR(IF(SUMIFS(tblDaily[Deaths],tblDaily[EntryDate],DATE(2026,7,16),tblDaily[WardCode],"BF")=0,"",SUMIFS(tblDaily[Deaths],tblDaily[EntryDate],DATE(2026,7,16),tblDaily[WardCode],"BF")),"")</f>
        <v/>
      </c>
      <c r="E256" s="29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29" t="str">
        <f>IFERROR(IF(SUMIFS(tblDaily[TransfersIn],tblDaily[EntryDate],DATE(2026,7,16),tblDaily[WardCode],"BF")=0,"",SUMIFS(tblDaily[TransfersIn],tblDaily[EntryDate],DATE(2026,7,16),tblDaily[WardCode],"BF")),"")</f>
        <v/>
      </c>
      <c r="G256" s="29" t="str">
        <f>IFERROR(IF(SUMIFS(tblDaily[TransfersOut],tblDaily[EntryDate],DATE(2026,7,16),tblDaily[WardCode],"BF")=0,"",SUMIFS(tblDaily[TransfersOut],tblDaily[EntryDate],DATE(2026,7,16),tblDaily[WardCode],"BF")),"")</f>
        <v/>
      </c>
      <c r="H256" s="29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IFERROR(IF(SUMIFS(tblDaily[Admissions],tblDaily[EntryDate],DATE(2026,7,17),tblDaily[WardCode],"BF")=0,"",SUMIFS(tblDaily[Admissions],tblDaily[EntryDate],DATE(2026,7,17),tblDaily[WardCode],"BF")),"")</f>
        <v/>
      </c>
      <c r="C257" s="29" t="str">
        <f>IFERROR(IF(SUMIFS(tblDaily[Discharges],tblDaily[EntryDate],DATE(2026,7,17),tblDaily[WardCode],"BF")=0,"",SUMIFS(tblDaily[Discharges],tblDaily[EntryDate],DATE(2026,7,17),tblDaily[WardCode],"BF")),"")</f>
        <v/>
      </c>
      <c r="D257" s="29" t="str">
        <f>IFERROR(IF(SUMIFS(tblDaily[Deaths],tblDaily[EntryDate],DATE(2026,7,17),tblDaily[WardCode],"BF")=0,"",SUMIFS(tblDaily[Deaths],tblDaily[EntryDate],DATE(2026,7,17),tblDaily[WardCode],"BF")),"")</f>
        <v/>
      </c>
      <c r="E257" s="29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29" t="str">
        <f>IFERROR(IF(SUMIFS(tblDaily[TransfersIn],tblDaily[EntryDate],DATE(2026,7,17),tblDaily[WardCode],"BF")=0,"",SUMIFS(tblDaily[TransfersIn],tblDaily[EntryDate],DATE(2026,7,17),tblDaily[WardCode],"BF")),"")</f>
        <v/>
      </c>
      <c r="G257" s="29" t="str">
        <f>IFERROR(IF(SUMIFS(tblDaily[TransfersOut],tblDaily[EntryDate],DATE(2026,7,17),tblDaily[WardCode],"BF")=0,"",SUMIFS(tblDaily[TransfersOut],tblDaily[EntryDate],DATE(2026,7,17),tblDaily[WardCode],"BF")),"")</f>
        <v/>
      </c>
      <c r="H257" s="29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IFERROR(IF(SUMIFS(tblDaily[Admissions],tblDaily[EntryDate],DATE(2026,7,18),tblDaily[WardCode],"BF")=0,"",SUMIFS(tblDaily[Admissions],tblDaily[EntryDate],DATE(2026,7,18),tblDaily[WardCode],"BF")),"")</f>
        <v/>
      </c>
      <c r="C258" s="29" t="str">
        <f>IFERROR(IF(SUMIFS(tblDaily[Discharges],tblDaily[EntryDate],DATE(2026,7,18),tblDaily[WardCode],"BF")=0,"",SUMIFS(tblDaily[Discharges],tblDaily[EntryDate],DATE(2026,7,18),tblDaily[WardCode],"BF")),"")</f>
        <v/>
      </c>
      <c r="D258" s="29" t="str">
        <f>IFERROR(IF(SUMIFS(tblDaily[Deaths],tblDaily[EntryDate],DATE(2026,7,18),tblDaily[WardCode],"BF")=0,"",SUMIFS(tblDaily[Deaths],tblDaily[EntryDate],DATE(2026,7,18),tblDaily[WardCode],"BF")),"")</f>
        <v/>
      </c>
      <c r="E258" s="29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29" t="str">
        <f>IFERROR(IF(SUMIFS(tblDaily[TransfersIn],tblDaily[EntryDate],DATE(2026,7,18),tblDaily[WardCode],"BF")=0,"",SUMIFS(tblDaily[TransfersIn],tblDaily[EntryDate],DATE(2026,7,18),tblDaily[WardCode],"BF")),"")</f>
        <v/>
      </c>
      <c r="G258" s="29" t="str">
        <f>IFERROR(IF(SUMIFS(tblDaily[TransfersOut],tblDaily[EntryDate],DATE(2026,7,18),tblDaily[WardCode],"BF")=0,"",SUMIFS(tblDaily[TransfersOut],tblDaily[EntryDate],DATE(2026,7,18),tblDaily[WardCode],"BF")),"")</f>
        <v/>
      </c>
      <c r="H258" s="29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IFERROR(IF(SUMIFS(tblDaily[Admissions],tblDaily[EntryDate],DATE(2026,7,19),tblDaily[WardCode],"BF")=0,"",SUMIFS(tblDaily[Admissions],tblDaily[EntryDate],DATE(2026,7,19),tblDaily[WardCode],"BF")),"")</f>
        <v/>
      </c>
      <c r="C259" s="29" t="str">
        <f>IFERROR(IF(SUMIFS(tblDaily[Discharges],tblDaily[EntryDate],DATE(2026,7,19),tblDaily[WardCode],"BF")=0,"",SUMIFS(tblDaily[Discharges],tblDaily[EntryDate],DATE(2026,7,19),tblDaily[WardCode],"BF")),"")</f>
        <v/>
      </c>
      <c r="D259" s="29" t="str">
        <f>IFERROR(IF(SUMIFS(tblDaily[Deaths],tblDaily[EntryDate],DATE(2026,7,19),tblDaily[WardCode],"BF")=0,"",SUMIFS(tblDaily[Deaths],tblDaily[EntryDate],DATE(2026,7,19),tblDaily[WardCode],"BF")),"")</f>
        <v/>
      </c>
      <c r="E259" s="29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29" t="str">
        <f>IFERROR(IF(SUMIFS(tblDaily[TransfersIn],tblDaily[EntryDate],DATE(2026,7,19),tblDaily[WardCode],"BF")=0,"",SUMIFS(tblDaily[TransfersIn],tblDaily[EntryDate],DATE(2026,7,19),tblDaily[WardCode],"BF")),"")</f>
        <v/>
      </c>
      <c r="G259" s="29" t="str">
        <f>IFERROR(IF(SUMIFS(tblDaily[TransfersOut],tblDaily[EntryDate],DATE(2026,7,19),tblDaily[WardCode],"BF")=0,"",SUMIFS(tblDaily[TransfersOut],tblDaily[EntryDate],DATE(2026,7,19),tblDaily[WardCode],"BF")),"")</f>
        <v/>
      </c>
      <c r="H259" s="29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IFERROR(IF(SUMIFS(tblDaily[Admissions],tblDaily[EntryDate],DATE(2026,7,20),tblDaily[WardCode],"BF")=0,"",SUMIFS(tblDaily[Admissions],tblDaily[EntryDate],DATE(2026,7,20),tblDaily[WardCode],"BF")),"")</f>
        <v/>
      </c>
      <c r="C260" s="29" t="str">
        <f>IFERROR(IF(SUMIFS(tblDaily[Discharges],tblDaily[EntryDate],DATE(2026,7,20),tblDaily[WardCode],"BF")=0,"",SUMIFS(tblDaily[Discharges],tblDaily[EntryDate],DATE(2026,7,20),tblDaily[WardCode],"BF")),"")</f>
        <v/>
      </c>
      <c r="D260" s="29" t="str">
        <f>IFERROR(IF(SUMIFS(tblDaily[Deaths],tblDaily[EntryDate],DATE(2026,7,20),tblDaily[WardCode],"BF")=0,"",SUMIFS(tblDaily[Deaths],tblDaily[EntryDate],DATE(2026,7,20),tblDaily[WardCode],"BF")),"")</f>
        <v/>
      </c>
      <c r="E260" s="29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29" t="str">
        <f>IFERROR(IF(SUMIFS(tblDaily[TransfersIn],tblDaily[EntryDate],DATE(2026,7,20),tblDaily[WardCode],"BF")=0,"",SUMIFS(tblDaily[TransfersIn],tblDaily[EntryDate],DATE(2026,7,20),tblDaily[WardCode],"BF")),"")</f>
        <v/>
      </c>
      <c r="G260" s="29" t="str">
        <f>IFERROR(IF(SUMIFS(tblDaily[TransfersOut],tblDaily[EntryDate],DATE(2026,7,20),tblDaily[WardCode],"BF")=0,"",SUMIFS(tblDaily[TransfersOut],tblDaily[EntryDate],DATE(2026,7,20),tblDaily[WardCode],"BF")),"")</f>
        <v/>
      </c>
      <c r="H260" s="29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IFERROR(IF(SUMIFS(tblDaily[Admissions],tblDaily[EntryDate],DATE(2026,7,21),tblDaily[WardCode],"BF")=0,"",SUMIFS(tblDaily[Admissions],tblDaily[EntryDate],DATE(2026,7,21),tblDaily[WardCode],"BF")),"")</f>
        <v/>
      </c>
      <c r="C261" s="29" t="str">
        <f>IFERROR(IF(SUMIFS(tblDaily[Discharges],tblDaily[EntryDate],DATE(2026,7,21),tblDaily[WardCode],"BF")=0,"",SUMIFS(tblDaily[Discharges],tblDaily[EntryDate],DATE(2026,7,21),tblDaily[WardCode],"BF")),"")</f>
        <v/>
      </c>
      <c r="D261" s="29" t="str">
        <f>IFERROR(IF(SUMIFS(tblDaily[Deaths],tblDaily[EntryDate],DATE(2026,7,21),tblDaily[WardCode],"BF")=0,"",SUMIFS(tblDaily[Deaths],tblDaily[EntryDate],DATE(2026,7,21),tblDaily[WardCode],"BF")),"")</f>
        <v/>
      </c>
      <c r="E261" s="29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29" t="str">
        <f>IFERROR(IF(SUMIFS(tblDaily[TransfersIn],tblDaily[EntryDate],DATE(2026,7,21),tblDaily[WardCode],"BF")=0,"",SUMIFS(tblDaily[TransfersIn],tblDaily[EntryDate],DATE(2026,7,21),tblDaily[WardCode],"BF")),"")</f>
        <v/>
      </c>
      <c r="G261" s="29" t="str">
        <f>IFERROR(IF(SUMIFS(tblDaily[TransfersOut],tblDaily[EntryDate],DATE(2026,7,21),tblDaily[WardCode],"BF")=0,"",SUMIFS(tblDaily[TransfersOut],tblDaily[EntryDate],DATE(2026,7,21),tblDaily[WardCode],"BF")),"")</f>
        <v/>
      </c>
      <c r="H261" s="29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IFERROR(IF(SUMIFS(tblDaily[Admissions],tblDaily[EntryDate],DATE(2026,7,22),tblDaily[WardCode],"BF")=0,"",SUMIFS(tblDaily[Admissions],tblDaily[EntryDate],DATE(2026,7,22),tblDaily[WardCode],"BF")),"")</f>
        <v/>
      </c>
      <c r="C262" s="29" t="str">
        <f>IFERROR(IF(SUMIFS(tblDaily[Discharges],tblDaily[EntryDate],DATE(2026,7,22),tblDaily[WardCode],"BF")=0,"",SUMIFS(tblDaily[Discharges],tblDaily[EntryDate],DATE(2026,7,22),tblDaily[WardCode],"BF")),"")</f>
        <v/>
      </c>
      <c r="D262" s="29" t="str">
        <f>IFERROR(IF(SUMIFS(tblDaily[Deaths],tblDaily[EntryDate],DATE(2026,7,22),tblDaily[WardCode],"BF")=0,"",SUMIFS(tblDaily[Deaths],tblDaily[EntryDate],DATE(2026,7,22),tblDaily[WardCode],"BF")),"")</f>
        <v/>
      </c>
      <c r="E262" s="29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29" t="str">
        <f>IFERROR(IF(SUMIFS(tblDaily[TransfersIn],tblDaily[EntryDate],DATE(2026,7,22),tblDaily[WardCode],"BF")=0,"",SUMIFS(tblDaily[TransfersIn],tblDaily[EntryDate],DATE(2026,7,22),tblDaily[WardCode],"BF")),"")</f>
        <v/>
      </c>
      <c r="G262" s="29" t="str">
        <f>IFERROR(IF(SUMIFS(tblDaily[TransfersOut],tblDaily[EntryDate],DATE(2026,7,22),tblDaily[WardCode],"BF")=0,"",SUMIFS(tblDaily[TransfersOut],tblDaily[EntryDate],DATE(2026,7,22),tblDaily[WardCode],"BF")),"")</f>
        <v/>
      </c>
      <c r="H262" s="29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IFERROR(IF(SUMIFS(tblDaily[Admissions],tblDaily[EntryDate],DATE(2026,7,23),tblDaily[WardCode],"BF")=0,"",SUMIFS(tblDaily[Admissions],tblDaily[EntryDate],DATE(2026,7,23),tblDaily[WardCode],"BF")),"")</f>
        <v/>
      </c>
      <c r="C263" s="29" t="str">
        <f>IFERROR(IF(SUMIFS(tblDaily[Discharges],tblDaily[EntryDate],DATE(2026,7,23),tblDaily[WardCode],"BF")=0,"",SUMIFS(tblDaily[Discharges],tblDaily[EntryDate],DATE(2026,7,23),tblDaily[WardCode],"BF")),"")</f>
        <v/>
      </c>
      <c r="D263" s="29" t="str">
        <f>IFERROR(IF(SUMIFS(tblDaily[Deaths],tblDaily[EntryDate],DATE(2026,7,23),tblDaily[WardCode],"BF")=0,"",SUMIFS(tblDaily[Deaths],tblDaily[EntryDate],DATE(2026,7,23),tblDaily[WardCode],"BF")),"")</f>
        <v/>
      </c>
      <c r="E263" s="29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29" t="str">
        <f>IFERROR(IF(SUMIFS(tblDaily[TransfersIn],tblDaily[EntryDate],DATE(2026,7,23),tblDaily[WardCode],"BF")=0,"",SUMIFS(tblDaily[TransfersIn],tblDaily[EntryDate],DATE(2026,7,23),tblDaily[WardCode],"BF")),"")</f>
        <v/>
      </c>
      <c r="G263" s="29" t="str">
        <f>IFERROR(IF(SUMIFS(tblDaily[TransfersOut],tblDaily[EntryDate],DATE(2026,7,23),tblDaily[WardCode],"BF")=0,"",SUMIFS(tblDaily[TransfersOut],tblDaily[EntryDate],DATE(2026,7,23),tblDaily[WardCode],"BF")),"")</f>
        <v/>
      </c>
      <c r="H263" s="29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IFERROR(IF(SUMIFS(tblDaily[Admissions],tblDaily[EntryDate],DATE(2026,7,24),tblDaily[WardCode],"BF")=0,"",SUMIFS(tblDaily[Admissions],tblDaily[EntryDate],DATE(2026,7,24),tblDaily[WardCode],"BF")),"")</f>
        <v/>
      </c>
      <c r="C264" s="29" t="str">
        <f>IFERROR(IF(SUMIFS(tblDaily[Discharges],tblDaily[EntryDate],DATE(2026,7,24),tblDaily[WardCode],"BF")=0,"",SUMIFS(tblDaily[Discharges],tblDaily[EntryDate],DATE(2026,7,24),tblDaily[WardCode],"BF")),"")</f>
        <v/>
      </c>
      <c r="D264" s="29" t="str">
        <f>IFERROR(IF(SUMIFS(tblDaily[Deaths],tblDaily[EntryDate],DATE(2026,7,24),tblDaily[WardCode],"BF")=0,"",SUMIFS(tblDaily[Deaths],tblDaily[EntryDate],DATE(2026,7,24),tblDaily[WardCode],"BF")),"")</f>
        <v/>
      </c>
      <c r="E264" s="29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29" t="str">
        <f>IFERROR(IF(SUMIFS(tblDaily[TransfersIn],tblDaily[EntryDate],DATE(2026,7,24),tblDaily[WardCode],"BF")=0,"",SUMIFS(tblDaily[TransfersIn],tblDaily[EntryDate],DATE(2026,7,24),tblDaily[WardCode],"BF")),"")</f>
        <v/>
      </c>
      <c r="G264" s="29" t="str">
        <f>IFERROR(IF(SUMIFS(tblDaily[TransfersOut],tblDaily[EntryDate],DATE(2026,7,24),tblDaily[WardCode],"BF")=0,"",SUMIFS(tblDaily[TransfersOut],tblDaily[EntryDate],DATE(2026,7,24),tblDaily[WardCode],"BF")),"")</f>
        <v/>
      </c>
      <c r="H264" s="29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IFERROR(IF(SUMIFS(tblDaily[Admissions],tblDaily[EntryDate],DATE(2026,7,25),tblDaily[WardCode],"BF")=0,"",SUMIFS(tblDaily[Admissions],tblDaily[EntryDate],DATE(2026,7,25),tblDaily[WardCode],"BF")),"")</f>
        <v/>
      </c>
      <c r="C265" s="29" t="str">
        <f>IFERROR(IF(SUMIFS(tblDaily[Discharges],tblDaily[EntryDate],DATE(2026,7,25),tblDaily[WardCode],"BF")=0,"",SUMIFS(tblDaily[Discharges],tblDaily[EntryDate],DATE(2026,7,25),tblDaily[WardCode],"BF")),"")</f>
        <v/>
      </c>
      <c r="D265" s="29" t="str">
        <f>IFERROR(IF(SUMIFS(tblDaily[Deaths],tblDaily[EntryDate],DATE(2026,7,25),tblDaily[WardCode],"BF")=0,"",SUMIFS(tblDaily[Deaths],tblDaily[EntryDate],DATE(2026,7,25),tblDaily[WardCode],"BF")),"")</f>
        <v/>
      </c>
      <c r="E265" s="29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29" t="str">
        <f>IFERROR(IF(SUMIFS(tblDaily[TransfersIn],tblDaily[EntryDate],DATE(2026,7,25),tblDaily[WardCode],"BF")=0,"",SUMIFS(tblDaily[TransfersIn],tblDaily[EntryDate],DATE(2026,7,25),tblDaily[WardCode],"BF")),"")</f>
        <v/>
      </c>
      <c r="G265" s="29" t="str">
        <f>IFERROR(IF(SUMIFS(tblDaily[TransfersOut],tblDaily[EntryDate],DATE(2026,7,25),tblDaily[WardCode],"BF")=0,"",SUMIFS(tblDaily[TransfersOut],tblDaily[EntryDate],DATE(2026,7,25),tblDaily[WardCode],"BF")),"")</f>
        <v/>
      </c>
      <c r="H265" s="29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IFERROR(IF(SUMIFS(tblDaily[Admissions],tblDaily[EntryDate],DATE(2026,7,26),tblDaily[WardCode],"BF")=0,"",SUMIFS(tblDaily[Admissions],tblDaily[EntryDate],DATE(2026,7,26),tblDaily[WardCode],"BF")),"")</f>
        <v/>
      </c>
      <c r="C266" s="29" t="str">
        <f>IFERROR(IF(SUMIFS(tblDaily[Discharges],tblDaily[EntryDate],DATE(2026,7,26),tblDaily[WardCode],"BF")=0,"",SUMIFS(tblDaily[Discharges],tblDaily[EntryDate],DATE(2026,7,26),tblDaily[WardCode],"BF")),"")</f>
        <v/>
      </c>
      <c r="D266" s="29" t="str">
        <f>IFERROR(IF(SUMIFS(tblDaily[Deaths],tblDaily[EntryDate],DATE(2026,7,26),tblDaily[WardCode],"BF")=0,"",SUMIFS(tblDaily[Deaths],tblDaily[EntryDate],DATE(2026,7,26),tblDaily[WardCode],"BF")),"")</f>
        <v/>
      </c>
      <c r="E266" s="29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29" t="str">
        <f>IFERROR(IF(SUMIFS(tblDaily[TransfersIn],tblDaily[EntryDate],DATE(2026,7,26),tblDaily[WardCode],"BF")=0,"",SUMIFS(tblDaily[TransfersIn],tblDaily[EntryDate],DATE(2026,7,26),tblDaily[WardCode],"BF")),"")</f>
        <v/>
      </c>
      <c r="G266" s="29" t="str">
        <f>IFERROR(IF(SUMIFS(tblDaily[TransfersOut],tblDaily[EntryDate],DATE(2026,7,26),tblDaily[WardCode],"BF")=0,"",SUMIFS(tblDaily[TransfersOut],tblDaily[EntryDate],DATE(2026,7,26),tblDaily[WardCode],"BF")),"")</f>
        <v/>
      </c>
      <c r="H266" s="29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IFERROR(IF(SUMIFS(tblDaily[Admissions],tblDaily[EntryDate],DATE(2026,7,27),tblDaily[WardCode],"BF")=0,"",SUMIFS(tblDaily[Admissions],tblDaily[EntryDate],DATE(2026,7,27),tblDaily[WardCode],"BF")),"")</f>
        <v/>
      </c>
      <c r="C267" s="29" t="str">
        <f>IFERROR(IF(SUMIFS(tblDaily[Discharges],tblDaily[EntryDate],DATE(2026,7,27),tblDaily[WardCode],"BF")=0,"",SUMIFS(tblDaily[Discharges],tblDaily[EntryDate],DATE(2026,7,27),tblDaily[WardCode],"BF")),"")</f>
        <v/>
      </c>
      <c r="D267" s="29" t="str">
        <f>IFERROR(IF(SUMIFS(tblDaily[Deaths],tblDaily[EntryDate],DATE(2026,7,27),tblDaily[WardCode],"BF")=0,"",SUMIFS(tblDaily[Deaths],tblDaily[EntryDate],DATE(2026,7,27),tblDaily[WardCode],"BF")),"")</f>
        <v/>
      </c>
      <c r="E267" s="29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29" t="str">
        <f>IFERROR(IF(SUMIFS(tblDaily[TransfersIn],tblDaily[EntryDate],DATE(2026,7,27),tblDaily[WardCode],"BF")=0,"",SUMIFS(tblDaily[TransfersIn],tblDaily[EntryDate],DATE(2026,7,27),tblDaily[WardCode],"BF")),"")</f>
        <v/>
      </c>
      <c r="G267" s="29" t="str">
        <f>IFERROR(IF(SUMIFS(tblDaily[TransfersOut],tblDaily[EntryDate],DATE(2026,7,27),tblDaily[WardCode],"BF")=0,"",SUMIFS(tblDaily[TransfersOut],tblDaily[EntryDate],DATE(2026,7,27),tblDaily[WardCode],"BF")),"")</f>
        <v/>
      </c>
      <c r="H267" s="29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IFERROR(IF(SUMIFS(tblDaily[Admissions],tblDaily[EntryDate],DATE(2026,7,28),tblDaily[WardCode],"BF")=0,"",SUMIFS(tblDaily[Admissions],tblDaily[EntryDate],DATE(2026,7,28),tblDaily[WardCode],"BF")),"")</f>
        <v/>
      </c>
      <c r="C268" s="29" t="str">
        <f>IFERROR(IF(SUMIFS(tblDaily[Discharges],tblDaily[EntryDate],DATE(2026,7,28),tblDaily[WardCode],"BF")=0,"",SUMIFS(tblDaily[Discharges],tblDaily[EntryDate],DATE(2026,7,28),tblDaily[WardCode],"BF")),"")</f>
        <v/>
      </c>
      <c r="D268" s="29" t="str">
        <f>IFERROR(IF(SUMIFS(tblDaily[Deaths],tblDaily[EntryDate],DATE(2026,7,28),tblDaily[WardCode],"BF")=0,"",SUMIFS(tblDaily[Deaths],tblDaily[EntryDate],DATE(2026,7,28),tblDaily[WardCode],"BF")),"")</f>
        <v/>
      </c>
      <c r="E268" s="29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29" t="str">
        <f>IFERROR(IF(SUMIFS(tblDaily[TransfersIn],tblDaily[EntryDate],DATE(2026,7,28),tblDaily[WardCode],"BF")=0,"",SUMIFS(tblDaily[TransfersIn],tblDaily[EntryDate],DATE(2026,7,28),tblDaily[WardCode],"BF")),"")</f>
        <v/>
      </c>
      <c r="G268" s="29" t="str">
        <f>IFERROR(IF(SUMIFS(tblDaily[TransfersOut],tblDaily[EntryDate],DATE(2026,7,28),tblDaily[WardCode],"BF")=0,"",SUMIFS(tblDaily[TransfersOut],tblDaily[EntryDate],DATE(2026,7,28),tblDaily[WardCode],"BF")),"")</f>
        <v/>
      </c>
      <c r="H268" s="29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IFERROR(IF(SUMIFS(tblDaily[Admissions],tblDaily[EntryDate],DATE(2026,7,29),tblDaily[WardCode],"BF")=0,"",SUMIFS(tblDaily[Admissions],tblDaily[EntryDate],DATE(2026,7,29),tblDaily[WardCode],"BF")),"")</f>
        <v/>
      </c>
      <c r="C269" s="29" t="str">
        <f>IFERROR(IF(SUMIFS(tblDaily[Discharges],tblDaily[EntryDate],DATE(2026,7,29),tblDaily[WardCode],"BF")=0,"",SUMIFS(tblDaily[Discharges],tblDaily[EntryDate],DATE(2026,7,29),tblDaily[WardCode],"BF")),"")</f>
        <v/>
      </c>
      <c r="D269" s="29" t="str">
        <f>IFERROR(IF(SUMIFS(tblDaily[Deaths],tblDaily[EntryDate],DATE(2026,7,29),tblDaily[WardCode],"BF")=0,"",SUMIFS(tblDaily[Deaths],tblDaily[EntryDate],DATE(2026,7,29),tblDaily[WardCode],"BF")),"")</f>
        <v/>
      </c>
      <c r="E269" s="29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29" t="str">
        <f>IFERROR(IF(SUMIFS(tblDaily[TransfersIn],tblDaily[EntryDate],DATE(2026,7,29),tblDaily[WardCode],"BF")=0,"",SUMIFS(tblDaily[TransfersIn],tblDaily[EntryDate],DATE(2026,7,29),tblDaily[WardCode],"BF")),"")</f>
        <v/>
      </c>
      <c r="G269" s="29" t="str">
        <f>IFERROR(IF(SUMIFS(tblDaily[TransfersOut],tblDaily[EntryDate],DATE(2026,7,29),tblDaily[WardCode],"BF")=0,"",SUMIFS(tblDaily[TransfersOut],tblDaily[EntryDate],DATE(2026,7,29),tblDaily[WardCode],"BF")),"")</f>
        <v/>
      </c>
      <c r="H269" s="29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IFERROR(IF(SUMIFS(tblDaily[Admissions],tblDaily[EntryDate],DATE(2026,7,30),tblDaily[WardCode],"BF")=0,"",SUMIFS(tblDaily[Admissions],tblDaily[EntryDate],DATE(2026,7,30),tblDaily[WardCode],"BF")),"")</f>
        <v/>
      </c>
      <c r="C270" s="29" t="str">
        <f>IFERROR(IF(SUMIFS(tblDaily[Discharges],tblDaily[EntryDate],DATE(2026,7,30),tblDaily[WardCode],"BF")=0,"",SUMIFS(tblDaily[Discharges],tblDaily[EntryDate],DATE(2026,7,30),tblDaily[WardCode],"BF")),"")</f>
        <v/>
      </c>
      <c r="D270" s="29" t="str">
        <f>IFERROR(IF(SUMIFS(tblDaily[Deaths],tblDaily[EntryDate],DATE(2026,7,30),tblDaily[WardCode],"BF")=0,"",SUMIFS(tblDaily[Deaths],tblDaily[EntryDate],DATE(2026,7,30),tblDaily[WardCode],"BF")),"")</f>
        <v/>
      </c>
      <c r="E270" s="29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29" t="str">
        <f>IFERROR(IF(SUMIFS(tblDaily[TransfersIn],tblDaily[EntryDate],DATE(2026,7,30),tblDaily[WardCode],"BF")=0,"",SUMIFS(tblDaily[TransfersIn],tblDaily[EntryDate],DATE(2026,7,30),tblDaily[WardCode],"BF")),"")</f>
        <v/>
      </c>
      <c r="G270" s="29" t="str">
        <f>IFERROR(IF(SUMIFS(tblDaily[TransfersOut],tblDaily[EntryDate],DATE(2026,7,30),tblDaily[WardCode],"BF")=0,"",SUMIFS(tblDaily[TransfersOut],tblDaily[EntryDate],DATE(2026,7,30),tblDaily[WardCode],"BF")),"")</f>
        <v/>
      </c>
      <c r="H270" s="29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IFERROR(IF(SUMIFS(tblDaily[Admissions],tblDaily[EntryDate],DATE(2026,7,31),tblDaily[WardCode],"BF")=0,"",SUMIFS(tblDaily[Admissions],tblDaily[EntryDate],DATE(2026,7,31),tblDaily[WardCode],"BF")),"")</f>
        <v/>
      </c>
      <c r="C271" s="29" t="str">
        <f>IFERROR(IF(SUMIFS(tblDaily[Discharges],tblDaily[EntryDate],DATE(2026,7,31),tblDaily[WardCode],"BF")=0,"",SUMIFS(tblDaily[Discharges],tblDaily[EntryDate],DATE(2026,7,31),tblDaily[WardCode],"BF")),"")</f>
        <v/>
      </c>
      <c r="D271" s="29" t="str">
        <f>IFERROR(IF(SUMIFS(tblDaily[Deaths],tblDaily[EntryDate],DATE(2026,7,31),tblDaily[WardCode],"BF")=0,"",SUMIFS(tblDaily[Deaths],tblDaily[EntryDate],DATE(2026,7,31),tblDaily[WardCode],"BF")),"")</f>
        <v/>
      </c>
      <c r="E271" s="29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29" t="str">
        <f>IFERROR(IF(SUMIFS(tblDaily[TransfersIn],tblDaily[EntryDate],DATE(2026,7,31),tblDaily[WardCode],"BF")=0,"",SUMIFS(tblDaily[TransfersIn],tblDaily[EntryDate],DATE(2026,7,31),tblDaily[WardCode],"BF")),"")</f>
        <v/>
      </c>
      <c r="G271" s="29" t="str">
        <f>IFERROR(IF(SUMIFS(tblDaily[TransfersOut],tblDaily[EntryDate],DATE(2026,7,31),tblDaily[WardCode],"BF")=0,"",SUMIFS(tblDaily[TransfersOut],tblDaily[EntryDate],DATE(2026,7,31),tblDaily[WardCode],"BF")),"")</f>
        <v/>
      </c>
      <c r="H271" s="29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30" t="s">
        <v>115</v>
      </c>
      <c r="B272" s="30">
        <f>SUMIFS(tblDaily[Admissions],tblDaily[Month],7,tblDaily[WardCode],"BF") - SUMIFS(tblDaily[DeathsUnder24Hrs],tblDaily[Month],7,tblDaily[WardCode],"BF")</f>
        <v>0</v>
      </c>
      <c r="C272" s="30">
        <f>SUMIFS(tblDaily[Discharges],tblDaily[Month],7,tblDaily[WardCode],"BF")</f>
        <v>0</v>
      </c>
      <c r="D272" s="30">
        <f>SUMIFS(tblDaily[Deaths],tblDaily[Month],7,tblDaily[WardCode],"BF")</f>
        <v>0</v>
      </c>
      <c r="E272" s="30">
        <f>SUMIFS(tblDaily[DeathsUnder24Hrs],tblDaily[Month],7,tblDaily[WardCode],"BF")</f>
        <v>0</v>
      </c>
      <c r="F272" s="30">
        <f>SUMIFS(tblDaily[TransfersIn],tblDaily[Month],7,tblDaily[WardCode],"BF")</f>
        <v>0</v>
      </c>
      <c r="G272" s="30">
        <f>SUMIFS(tblDaily[TransfersOut],tblDaily[Month],7,tblDaily[WardCode],"BF")</f>
        <v>0</v>
      </c>
      <c r="H272" s="30">
        <f>SUMIFS(tblDaily[Remaining],tblDaily[Month],7,tblDaily[WardCode],"BF")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118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IFERROR(SUMIFS(tblDaily[Remaining],tblDaily[EntryDate],DATE(2026,7,31),tblDaily[WardCode],"BF"),0)</f>
        <v>0</v>
      </c>
    </row>
    <row r="278" spans="1:8" x14ac:dyDescent="0.25">
      <c r="A278" s="24" t="s">
        <v>109</v>
      </c>
      <c r="H278" s="27">
        <f>IFERROR(INDEX(tblWardConfig[BedComplement],MATCH("BF",tblWardConfig[WardCode],0)),0)</f>
        <v>20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IFERROR(IF(SUMIFS(tblDaily[Admissions],tblDaily[EntryDate],DATE(2026,8,1),tblDaily[WardCode],"BF")=0,"",SUMIFS(tblDaily[Admissions],tblDaily[EntryDate],DATE(2026,8,1),tblDaily[WardCode],"BF")),"")</f>
        <v/>
      </c>
      <c r="C280" s="29" t="str">
        <f>IFERROR(IF(SUMIFS(tblDaily[Discharges],tblDaily[EntryDate],DATE(2026,8,1),tblDaily[WardCode],"BF")=0,"",SUMIFS(tblDaily[Discharges],tblDaily[EntryDate],DATE(2026,8,1),tblDaily[WardCode],"BF")),"")</f>
        <v/>
      </c>
      <c r="D280" s="29" t="str">
        <f>IFERROR(IF(SUMIFS(tblDaily[Deaths],tblDaily[EntryDate],DATE(2026,8,1),tblDaily[WardCode],"BF")=0,"",SUMIFS(tblDaily[Deaths],tblDaily[EntryDate],DATE(2026,8,1),tblDaily[WardCode],"BF")),"")</f>
        <v/>
      </c>
      <c r="E280" s="29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29" t="str">
        <f>IFERROR(IF(SUMIFS(tblDaily[TransfersIn],tblDaily[EntryDate],DATE(2026,8,1),tblDaily[WardCode],"BF")=0,"",SUMIFS(tblDaily[TransfersIn],tblDaily[EntryDate],DATE(2026,8,1),tblDaily[WardCode],"BF")),"")</f>
        <v/>
      </c>
      <c r="G280" s="29" t="str">
        <f>IFERROR(IF(SUMIFS(tblDaily[TransfersOut],tblDaily[EntryDate],DATE(2026,8,1),tblDaily[WardCode],"BF")=0,"",SUMIFS(tblDaily[TransfersOut],tblDaily[EntryDate],DATE(2026,8,1),tblDaily[WardCode],"BF")),"")</f>
        <v/>
      </c>
      <c r="H280" s="29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IFERROR(IF(SUMIFS(tblDaily[Admissions],tblDaily[EntryDate],DATE(2026,8,2),tblDaily[WardCode],"BF")=0,"",SUMIFS(tblDaily[Admissions],tblDaily[EntryDate],DATE(2026,8,2),tblDaily[WardCode],"BF")),"")</f>
        <v/>
      </c>
      <c r="C281" s="29" t="str">
        <f>IFERROR(IF(SUMIFS(tblDaily[Discharges],tblDaily[EntryDate],DATE(2026,8,2),tblDaily[WardCode],"BF")=0,"",SUMIFS(tblDaily[Discharges],tblDaily[EntryDate],DATE(2026,8,2),tblDaily[WardCode],"BF")),"")</f>
        <v/>
      </c>
      <c r="D281" s="29" t="str">
        <f>IFERROR(IF(SUMIFS(tblDaily[Deaths],tblDaily[EntryDate],DATE(2026,8,2),tblDaily[WardCode],"BF")=0,"",SUMIFS(tblDaily[Deaths],tblDaily[EntryDate],DATE(2026,8,2),tblDaily[WardCode],"BF")),"")</f>
        <v/>
      </c>
      <c r="E281" s="29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29" t="str">
        <f>IFERROR(IF(SUMIFS(tblDaily[TransfersIn],tblDaily[EntryDate],DATE(2026,8,2),tblDaily[WardCode],"BF")=0,"",SUMIFS(tblDaily[TransfersIn],tblDaily[EntryDate],DATE(2026,8,2),tblDaily[WardCode],"BF")),"")</f>
        <v/>
      </c>
      <c r="G281" s="29" t="str">
        <f>IFERROR(IF(SUMIFS(tblDaily[TransfersOut],tblDaily[EntryDate],DATE(2026,8,2),tblDaily[WardCode],"BF")=0,"",SUMIFS(tblDaily[TransfersOut],tblDaily[EntryDate],DATE(2026,8,2),tblDaily[WardCode],"BF")),"")</f>
        <v/>
      </c>
      <c r="H281" s="29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IFERROR(IF(SUMIFS(tblDaily[Admissions],tblDaily[EntryDate],DATE(2026,8,3),tblDaily[WardCode],"BF")=0,"",SUMIFS(tblDaily[Admissions],tblDaily[EntryDate],DATE(2026,8,3),tblDaily[WardCode],"BF")),"")</f>
        <v/>
      </c>
      <c r="C282" s="29" t="str">
        <f>IFERROR(IF(SUMIFS(tblDaily[Discharges],tblDaily[EntryDate],DATE(2026,8,3),tblDaily[WardCode],"BF")=0,"",SUMIFS(tblDaily[Discharges],tblDaily[EntryDate],DATE(2026,8,3),tblDaily[WardCode],"BF")),"")</f>
        <v/>
      </c>
      <c r="D282" s="29" t="str">
        <f>IFERROR(IF(SUMIFS(tblDaily[Deaths],tblDaily[EntryDate],DATE(2026,8,3),tblDaily[WardCode],"BF")=0,"",SUMIFS(tblDaily[Deaths],tblDaily[EntryDate],DATE(2026,8,3),tblDaily[WardCode],"BF")),"")</f>
        <v/>
      </c>
      <c r="E282" s="29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29" t="str">
        <f>IFERROR(IF(SUMIFS(tblDaily[TransfersIn],tblDaily[EntryDate],DATE(2026,8,3),tblDaily[WardCode],"BF")=0,"",SUMIFS(tblDaily[TransfersIn],tblDaily[EntryDate],DATE(2026,8,3),tblDaily[WardCode],"BF")),"")</f>
        <v/>
      </c>
      <c r="G282" s="29" t="str">
        <f>IFERROR(IF(SUMIFS(tblDaily[TransfersOut],tblDaily[EntryDate],DATE(2026,8,3),tblDaily[WardCode],"BF")=0,"",SUMIFS(tblDaily[TransfersOut],tblDaily[EntryDate],DATE(2026,8,3),tblDaily[WardCode],"BF")),"")</f>
        <v/>
      </c>
      <c r="H282" s="29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IFERROR(IF(SUMIFS(tblDaily[Admissions],tblDaily[EntryDate],DATE(2026,8,4),tblDaily[WardCode],"BF")=0,"",SUMIFS(tblDaily[Admissions],tblDaily[EntryDate],DATE(2026,8,4),tblDaily[WardCode],"BF")),"")</f>
        <v/>
      </c>
      <c r="C283" s="29" t="str">
        <f>IFERROR(IF(SUMIFS(tblDaily[Discharges],tblDaily[EntryDate],DATE(2026,8,4),tblDaily[WardCode],"BF")=0,"",SUMIFS(tblDaily[Discharges],tblDaily[EntryDate],DATE(2026,8,4),tblDaily[WardCode],"BF")),"")</f>
        <v/>
      </c>
      <c r="D283" s="29" t="str">
        <f>IFERROR(IF(SUMIFS(tblDaily[Deaths],tblDaily[EntryDate],DATE(2026,8,4),tblDaily[WardCode],"BF")=0,"",SUMIFS(tblDaily[Deaths],tblDaily[EntryDate],DATE(2026,8,4),tblDaily[WardCode],"BF")),"")</f>
        <v/>
      </c>
      <c r="E283" s="29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29" t="str">
        <f>IFERROR(IF(SUMIFS(tblDaily[TransfersIn],tblDaily[EntryDate],DATE(2026,8,4),tblDaily[WardCode],"BF")=0,"",SUMIFS(tblDaily[TransfersIn],tblDaily[EntryDate],DATE(2026,8,4),tblDaily[WardCode],"BF")),"")</f>
        <v/>
      </c>
      <c r="G283" s="29" t="str">
        <f>IFERROR(IF(SUMIFS(tblDaily[TransfersOut],tblDaily[EntryDate],DATE(2026,8,4),tblDaily[WardCode],"BF")=0,"",SUMIFS(tblDaily[TransfersOut],tblDaily[EntryDate],DATE(2026,8,4),tblDaily[WardCode],"BF")),"")</f>
        <v/>
      </c>
      <c r="H283" s="29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IFERROR(IF(SUMIFS(tblDaily[Admissions],tblDaily[EntryDate],DATE(2026,8,5),tblDaily[WardCode],"BF")=0,"",SUMIFS(tblDaily[Admissions],tblDaily[EntryDate],DATE(2026,8,5),tblDaily[WardCode],"BF")),"")</f>
        <v/>
      </c>
      <c r="C284" s="29" t="str">
        <f>IFERROR(IF(SUMIFS(tblDaily[Discharges],tblDaily[EntryDate],DATE(2026,8,5),tblDaily[WardCode],"BF")=0,"",SUMIFS(tblDaily[Discharges],tblDaily[EntryDate],DATE(2026,8,5),tblDaily[WardCode],"BF")),"")</f>
        <v/>
      </c>
      <c r="D284" s="29" t="str">
        <f>IFERROR(IF(SUMIFS(tblDaily[Deaths],tblDaily[EntryDate],DATE(2026,8,5),tblDaily[WardCode],"BF")=0,"",SUMIFS(tblDaily[Deaths],tblDaily[EntryDate],DATE(2026,8,5),tblDaily[WardCode],"BF")),"")</f>
        <v/>
      </c>
      <c r="E284" s="29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29" t="str">
        <f>IFERROR(IF(SUMIFS(tblDaily[TransfersIn],tblDaily[EntryDate],DATE(2026,8,5),tblDaily[WardCode],"BF")=0,"",SUMIFS(tblDaily[TransfersIn],tblDaily[EntryDate],DATE(2026,8,5),tblDaily[WardCode],"BF")),"")</f>
        <v/>
      </c>
      <c r="G284" s="29" t="str">
        <f>IFERROR(IF(SUMIFS(tblDaily[TransfersOut],tblDaily[EntryDate],DATE(2026,8,5),tblDaily[WardCode],"BF")=0,"",SUMIFS(tblDaily[TransfersOut],tblDaily[EntryDate],DATE(2026,8,5),tblDaily[WardCode],"BF")),"")</f>
        <v/>
      </c>
      <c r="H284" s="29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IFERROR(IF(SUMIFS(tblDaily[Admissions],tblDaily[EntryDate],DATE(2026,8,6),tblDaily[WardCode],"BF")=0,"",SUMIFS(tblDaily[Admissions],tblDaily[EntryDate],DATE(2026,8,6),tblDaily[WardCode],"BF")),"")</f>
        <v/>
      </c>
      <c r="C285" s="29" t="str">
        <f>IFERROR(IF(SUMIFS(tblDaily[Discharges],tblDaily[EntryDate],DATE(2026,8,6),tblDaily[WardCode],"BF")=0,"",SUMIFS(tblDaily[Discharges],tblDaily[EntryDate],DATE(2026,8,6),tblDaily[WardCode],"BF")),"")</f>
        <v/>
      </c>
      <c r="D285" s="29" t="str">
        <f>IFERROR(IF(SUMIFS(tblDaily[Deaths],tblDaily[EntryDate],DATE(2026,8,6),tblDaily[WardCode],"BF")=0,"",SUMIFS(tblDaily[Deaths],tblDaily[EntryDate],DATE(2026,8,6),tblDaily[WardCode],"BF")),"")</f>
        <v/>
      </c>
      <c r="E285" s="29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29" t="str">
        <f>IFERROR(IF(SUMIFS(tblDaily[TransfersIn],tblDaily[EntryDate],DATE(2026,8,6),tblDaily[WardCode],"BF")=0,"",SUMIFS(tblDaily[TransfersIn],tblDaily[EntryDate],DATE(2026,8,6),tblDaily[WardCode],"BF")),"")</f>
        <v/>
      </c>
      <c r="G285" s="29" t="str">
        <f>IFERROR(IF(SUMIFS(tblDaily[TransfersOut],tblDaily[EntryDate],DATE(2026,8,6),tblDaily[WardCode],"BF")=0,"",SUMIFS(tblDaily[TransfersOut],tblDaily[EntryDate],DATE(2026,8,6),tblDaily[WardCode],"BF")),"")</f>
        <v/>
      </c>
      <c r="H285" s="29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IFERROR(IF(SUMIFS(tblDaily[Admissions],tblDaily[EntryDate],DATE(2026,8,7),tblDaily[WardCode],"BF")=0,"",SUMIFS(tblDaily[Admissions],tblDaily[EntryDate],DATE(2026,8,7),tblDaily[WardCode],"BF")),"")</f>
        <v/>
      </c>
      <c r="C286" s="29" t="str">
        <f>IFERROR(IF(SUMIFS(tblDaily[Discharges],tblDaily[EntryDate],DATE(2026,8,7),tblDaily[WardCode],"BF")=0,"",SUMIFS(tblDaily[Discharges],tblDaily[EntryDate],DATE(2026,8,7),tblDaily[WardCode],"BF")),"")</f>
        <v/>
      </c>
      <c r="D286" s="29" t="str">
        <f>IFERROR(IF(SUMIFS(tblDaily[Deaths],tblDaily[EntryDate],DATE(2026,8,7),tblDaily[WardCode],"BF")=0,"",SUMIFS(tblDaily[Deaths],tblDaily[EntryDate],DATE(2026,8,7),tblDaily[WardCode],"BF")),"")</f>
        <v/>
      </c>
      <c r="E286" s="29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29" t="str">
        <f>IFERROR(IF(SUMIFS(tblDaily[TransfersIn],tblDaily[EntryDate],DATE(2026,8,7),tblDaily[WardCode],"BF")=0,"",SUMIFS(tblDaily[TransfersIn],tblDaily[EntryDate],DATE(2026,8,7),tblDaily[WardCode],"BF")),"")</f>
        <v/>
      </c>
      <c r="G286" s="29" t="str">
        <f>IFERROR(IF(SUMIFS(tblDaily[TransfersOut],tblDaily[EntryDate],DATE(2026,8,7),tblDaily[WardCode],"BF")=0,"",SUMIFS(tblDaily[TransfersOut],tblDaily[EntryDate],DATE(2026,8,7),tblDaily[WardCode],"BF")),"")</f>
        <v/>
      </c>
      <c r="H286" s="29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IFERROR(IF(SUMIFS(tblDaily[Admissions],tblDaily[EntryDate],DATE(2026,8,8),tblDaily[WardCode],"BF")=0,"",SUMIFS(tblDaily[Admissions],tblDaily[EntryDate],DATE(2026,8,8),tblDaily[WardCode],"BF")),"")</f>
        <v/>
      </c>
      <c r="C287" s="29" t="str">
        <f>IFERROR(IF(SUMIFS(tblDaily[Discharges],tblDaily[EntryDate],DATE(2026,8,8),tblDaily[WardCode],"BF")=0,"",SUMIFS(tblDaily[Discharges],tblDaily[EntryDate],DATE(2026,8,8),tblDaily[WardCode],"BF")),"")</f>
        <v/>
      </c>
      <c r="D287" s="29" t="str">
        <f>IFERROR(IF(SUMIFS(tblDaily[Deaths],tblDaily[EntryDate],DATE(2026,8,8),tblDaily[WardCode],"BF")=0,"",SUMIFS(tblDaily[Deaths],tblDaily[EntryDate],DATE(2026,8,8),tblDaily[WardCode],"BF")),"")</f>
        <v/>
      </c>
      <c r="E287" s="29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29" t="str">
        <f>IFERROR(IF(SUMIFS(tblDaily[TransfersIn],tblDaily[EntryDate],DATE(2026,8,8),tblDaily[WardCode],"BF")=0,"",SUMIFS(tblDaily[TransfersIn],tblDaily[EntryDate],DATE(2026,8,8),tblDaily[WardCode],"BF")),"")</f>
        <v/>
      </c>
      <c r="G287" s="29" t="str">
        <f>IFERROR(IF(SUMIFS(tblDaily[TransfersOut],tblDaily[EntryDate],DATE(2026,8,8),tblDaily[WardCode],"BF")=0,"",SUMIFS(tblDaily[TransfersOut],tblDaily[EntryDate],DATE(2026,8,8),tblDaily[WardCode],"BF")),"")</f>
        <v/>
      </c>
      <c r="H287" s="29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IFERROR(IF(SUMIFS(tblDaily[Admissions],tblDaily[EntryDate],DATE(2026,8,9),tblDaily[WardCode],"BF")=0,"",SUMIFS(tblDaily[Admissions],tblDaily[EntryDate],DATE(2026,8,9),tblDaily[WardCode],"BF")),"")</f>
        <v/>
      </c>
      <c r="C288" s="29" t="str">
        <f>IFERROR(IF(SUMIFS(tblDaily[Discharges],tblDaily[EntryDate],DATE(2026,8,9),tblDaily[WardCode],"BF")=0,"",SUMIFS(tblDaily[Discharges],tblDaily[EntryDate],DATE(2026,8,9),tblDaily[WardCode],"BF")),"")</f>
        <v/>
      </c>
      <c r="D288" s="29" t="str">
        <f>IFERROR(IF(SUMIFS(tblDaily[Deaths],tblDaily[EntryDate],DATE(2026,8,9),tblDaily[WardCode],"BF")=0,"",SUMIFS(tblDaily[Deaths],tblDaily[EntryDate],DATE(2026,8,9),tblDaily[WardCode],"BF")),"")</f>
        <v/>
      </c>
      <c r="E288" s="29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29" t="str">
        <f>IFERROR(IF(SUMIFS(tblDaily[TransfersIn],tblDaily[EntryDate],DATE(2026,8,9),tblDaily[WardCode],"BF")=0,"",SUMIFS(tblDaily[TransfersIn],tblDaily[EntryDate],DATE(2026,8,9),tblDaily[WardCode],"BF")),"")</f>
        <v/>
      </c>
      <c r="G288" s="29" t="str">
        <f>IFERROR(IF(SUMIFS(tblDaily[TransfersOut],tblDaily[EntryDate],DATE(2026,8,9),tblDaily[WardCode],"BF")=0,"",SUMIFS(tblDaily[TransfersOut],tblDaily[EntryDate],DATE(2026,8,9),tblDaily[WardCode],"BF")),"")</f>
        <v/>
      </c>
      <c r="H288" s="29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IFERROR(IF(SUMIFS(tblDaily[Admissions],tblDaily[EntryDate],DATE(2026,8,10),tblDaily[WardCode],"BF")=0,"",SUMIFS(tblDaily[Admissions],tblDaily[EntryDate],DATE(2026,8,10),tblDaily[WardCode],"BF")),"")</f>
        <v/>
      </c>
      <c r="C289" s="29" t="str">
        <f>IFERROR(IF(SUMIFS(tblDaily[Discharges],tblDaily[EntryDate],DATE(2026,8,10),tblDaily[WardCode],"BF")=0,"",SUMIFS(tblDaily[Discharges],tblDaily[EntryDate],DATE(2026,8,10),tblDaily[WardCode],"BF")),"")</f>
        <v/>
      </c>
      <c r="D289" s="29" t="str">
        <f>IFERROR(IF(SUMIFS(tblDaily[Deaths],tblDaily[EntryDate],DATE(2026,8,10),tblDaily[WardCode],"BF")=0,"",SUMIFS(tblDaily[Deaths],tblDaily[EntryDate],DATE(2026,8,10),tblDaily[WardCode],"BF")),"")</f>
        <v/>
      </c>
      <c r="E289" s="29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29" t="str">
        <f>IFERROR(IF(SUMIFS(tblDaily[TransfersIn],tblDaily[EntryDate],DATE(2026,8,10),tblDaily[WardCode],"BF")=0,"",SUMIFS(tblDaily[TransfersIn],tblDaily[EntryDate],DATE(2026,8,10),tblDaily[WardCode],"BF")),"")</f>
        <v/>
      </c>
      <c r="G289" s="29" t="str">
        <f>IFERROR(IF(SUMIFS(tblDaily[TransfersOut],tblDaily[EntryDate],DATE(2026,8,10),tblDaily[WardCode],"BF")=0,"",SUMIFS(tblDaily[TransfersOut],tblDaily[EntryDate],DATE(2026,8,10),tblDaily[WardCode],"BF")),"")</f>
        <v/>
      </c>
      <c r="H289" s="29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IFERROR(IF(SUMIFS(tblDaily[Admissions],tblDaily[EntryDate],DATE(2026,8,11),tblDaily[WardCode],"BF")=0,"",SUMIFS(tblDaily[Admissions],tblDaily[EntryDate],DATE(2026,8,11),tblDaily[WardCode],"BF")),"")</f>
        <v/>
      </c>
      <c r="C290" s="29" t="str">
        <f>IFERROR(IF(SUMIFS(tblDaily[Discharges],tblDaily[EntryDate],DATE(2026,8,11),tblDaily[WardCode],"BF")=0,"",SUMIFS(tblDaily[Discharges],tblDaily[EntryDate],DATE(2026,8,11),tblDaily[WardCode],"BF")),"")</f>
        <v/>
      </c>
      <c r="D290" s="29" t="str">
        <f>IFERROR(IF(SUMIFS(tblDaily[Deaths],tblDaily[EntryDate],DATE(2026,8,11),tblDaily[WardCode],"BF")=0,"",SUMIFS(tblDaily[Deaths],tblDaily[EntryDate],DATE(2026,8,11),tblDaily[WardCode],"BF")),"")</f>
        <v/>
      </c>
      <c r="E290" s="29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29" t="str">
        <f>IFERROR(IF(SUMIFS(tblDaily[TransfersIn],tblDaily[EntryDate],DATE(2026,8,11),tblDaily[WardCode],"BF")=0,"",SUMIFS(tblDaily[TransfersIn],tblDaily[EntryDate],DATE(2026,8,11),tblDaily[WardCode],"BF")),"")</f>
        <v/>
      </c>
      <c r="G290" s="29" t="str">
        <f>IFERROR(IF(SUMIFS(tblDaily[TransfersOut],tblDaily[EntryDate],DATE(2026,8,11),tblDaily[WardCode],"BF")=0,"",SUMIFS(tblDaily[TransfersOut],tblDaily[EntryDate],DATE(2026,8,11),tblDaily[WardCode],"BF")),"")</f>
        <v/>
      </c>
      <c r="H290" s="29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IFERROR(IF(SUMIFS(tblDaily[Admissions],tblDaily[EntryDate],DATE(2026,8,12),tblDaily[WardCode],"BF")=0,"",SUMIFS(tblDaily[Admissions],tblDaily[EntryDate],DATE(2026,8,12),tblDaily[WardCode],"BF")),"")</f>
        <v/>
      </c>
      <c r="C291" s="29" t="str">
        <f>IFERROR(IF(SUMIFS(tblDaily[Discharges],tblDaily[EntryDate],DATE(2026,8,12),tblDaily[WardCode],"BF")=0,"",SUMIFS(tblDaily[Discharges],tblDaily[EntryDate],DATE(2026,8,12),tblDaily[WardCode],"BF")),"")</f>
        <v/>
      </c>
      <c r="D291" s="29" t="str">
        <f>IFERROR(IF(SUMIFS(tblDaily[Deaths],tblDaily[EntryDate],DATE(2026,8,12),tblDaily[WardCode],"BF")=0,"",SUMIFS(tblDaily[Deaths],tblDaily[EntryDate],DATE(2026,8,12),tblDaily[WardCode],"BF")),"")</f>
        <v/>
      </c>
      <c r="E291" s="29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29" t="str">
        <f>IFERROR(IF(SUMIFS(tblDaily[TransfersIn],tblDaily[EntryDate],DATE(2026,8,12),tblDaily[WardCode],"BF")=0,"",SUMIFS(tblDaily[TransfersIn],tblDaily[EntryDate],DATE(2026,8,12),tblDaily[WardCode],"BF")),"")</f>
        <v/>
      </c>
      <c r="G291" s="29" t="str">
        <f>IFERROR(IF(SUMIFS(tblDaily[TransfersOut],tblDaily[EntryDate],DATE(2026,8,12),tblDaily[WardCode],"BF")=0,"",SUMIFS(tblDaily[TransfersOut],tblDaily[EntryDate],DATE(2026,8,12),tblDaily[WardCode],"BF")),"")</f>
        <v/>
      </c>
      <c r="H291" s="29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IFERROR(IF(SUMIFS(tblDaily[Admissions],tblDaily[EntryDate],DATE(2026,8,13),tblDaily[WardCode],"BF")=0,"",SUMIFS(tblDaily[Admissions],tblDaily[EntryDate],DATE(2026,8,13),tblDaily[WardCode],"BF")),"")</f>
        <v/>
      </c>
      <c r="C292" s="29" t="str">
        <f>IFERROR(IF(SUMIFS(tblDaily[Discharges],tblDaily[EntryDate],DATE(2026,8,13),tblDaily[WardCode],"BF")=0,"",SUMIFS(tblDaily[Discharges],tblDaily[EntryDate],DATE(2026,8,13),tblDaily[WardCode],"BF")),"")</f>
        <v/>
      </c>
      <c r="D292" s="29" t="str">
        <f>IFERROR(IF(SUMIFS(tblDaily[Deaths],tblDaily[EntryDate],DATE(2026,8,13),tblDaily[WardCode],"BF")=0,"",SUMIFS(tblDaily[Deaths],tblDaily[EntryDate],DATE(2026,8,13),tblDaily[WardCode],"BF")),"")</f>
        <v/>
      </c>
      <c r="E292" s="29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29" t="str">
        <f>IFERROR(IF(SUMIFS(tblDaily[TransfersIn],tblDaily[EntryDate],DATE(2026,8,13),tblDaily[WardCode],"BF")=0,"",SUMIFS(tblDaily[TransfersIn],tblDaily[EntryDate],DATE(2026,8,13),tblDaily[WardCode],"BF")),"")</f>
        <v/>
      </c>
      <c r="G292" s="29" t="str">
        <f>IFERROR(IF(SUMIFS(tblDaily[TransfersOut],tblDaily[EntryDate],DATE(2026,8,13),tblDaily[WardCode],"BF")=0,"",SUMIFS(tblDaily[TransfersOut],tblDaily[EntryDate],DATE(2026,8,13),tblDaily[WardCode],"BF")),"")</f>
        <v/>
      </c>
      <c r="H292" s="29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IFERROR(IF(SUMIFS(tblDaily[Admissions],tblDaily[EntryDate],DATE(2026,8,14),tblDaily[WardCode],"BF")=0,"",SUMIFS(tblDaily[Admissions],tblDaily[EntryDate],DATE(2026,8,14),tblDaily[WardCode],"BF")),"")</f>
        <v/>
      </c>
      <c r="C293" s="29" t="str">
        <f>IFERROR(IF(SUMIFS(tblDaily[Discharges],tblDaily[EntryDate],DATE(2026,8,14),tblDaily[WardCode],"BF")=0,"",SUMIFS(tblDaily[Discharges],tblDaily[EntryDate],DATE(2026,8,14),tblDaily[WardCode],"BF")),"")</f>
        <v/>
      </c>
      <c r="D293" s="29" t="str">
        <f>IFERROR(IF(SUMIFS(tblDaily[Deaths],tblDaily[EntryDate],DATE(2026,8,14),tblDaily[WardCode],"BF")=0,"",SUMIFS(tblDaily[Deaths],tblDaily[EntryDate],DATE(2026,8,14),tblDaily[WardCode],"BF")),"")</f>
        <v/>
      </c>
      <c r="E293" s="29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29" t="str">
        <f>IFERROR(IF(SUMIFS(tblDaily[TransfersIn],tblDaily[EntryDate],DATE(2026,8,14),tblDaily[WardCode],"BF")=0,"",SUMIFS(tblDaily[TransfersIn],tblDaily[EntryDate],DATE(2026,8,14),tblDaily[WardCode],"BF")),"")</f>
        <v/>
      </c>
      <c r="G293" s="29" t="str">
        <f>IFERROR(IF(SUMIFS(tblDaily[TransfersOut],tblDaily[EntryDate],DATE(2026,8,14),tblDaily[WardCode],"BF")=0,"",SUMIFS(tblDaily[TransfersOut],tblDaily[EntryDate],DATE(2026,8,14),tblDaily[WardCode],"BF")),"")</f>
        <v/>
      </c>
      <c r="H293" s="29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IFERROR(IF(SUMIFS(tblDaily[Admissions],tblDaily[EntryDate],DATE(2026,8,15),tblDaily[WardCode],"BF")=0,"",SUMIFS(tblDaily[Admissions],tblDaily[EntryDate],DATE(2026,8,15),tblDaily[WardCode],"BF")),"")</f>
        <v/>
      </c>
      <c r="C294" s="29" t="str">
        <f>IFERROR(IF(SUMIFS(tblDaily[Discharges],tblDaily[EntryDate],DATE(2026,8,15),tblDaily[WardCode],"BF")=0,"",SUMIFS(tblDaily[Discharges],tblDaily[EntryDate],DATE(2026,8,15),tblDaily[WardCode],"BF")),"")</f>
        <v/>
      </c>
      <c r="D294" s="29" t="str">
        <f>IFERROR(IF(SUMIFS(tblDaily[Deaths],tblDaily[EntryDate],DATE(2026,8,15),tblDaily[WardCode],"BF")=0,"",SUMIFS(tblDaily[Deaths],tblDaily[EntryDate],DATE(2026,8,15),tblDaily[WardCode],"BF")),"")</f>
        <v/>
      </c>
      <c r="E294" s="29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29" t="str">
        <f>IFERROR(IF(SUMIFS(tblDaily[TransfersIn],tblDaily[EntryDate],DATE(2026,8,15),tblDaily[WardCode],"BF")=0,"",SUMIFS(tblDaily[TransfersIn],tblDaily[EntryDate],DATE(2026,8,15),tblDaily[WardCode],"BF")),"")</f>
        <v/>
      </c>
      <c r="G294" s="29" t="str">
        <f>IFERROR(IF(SUMIFS(tblDaily[TransfersOut],tblDaily[EntryDate],DATE(2026,8,15),tblDaily[WardCode],"BF")=0,"",SUMIFS(tblDaily[TransfersOut],tblDaily[EntryDate],DATE(2026,8,15),tblDaily[WardCode],"BF")),"")</f>
        <v/>
      </c>
      <c r="H294" s="29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IFERROR(IF(SUMIFS(tblDaily[Admissions],tblDaily[EntryDate],DATE(2026,8,16),tblDaily[WardCode],"BF")=0,"",SUMIFS(tblDaily[Admissions],tblDaily[EntryDate],DATE(2026,8,16),tblDaily[WardCode],"BF")),"")</f>
        <v/>
      </c>
      <c r="C295" s="29" t="str">
        <f>IFERROR(IF(SUMIFS(tblDaily[Discharges],tblDaily[EntryDate],DATE(2026,8,16),tblDaily[WardCode],"BF")=0,"",SUMIFS(tblDaily[Discharges],tblDaily[EntryDate],DATE(2026,8,16),tblDaily[WardCode],"BF")),"")</f>
        <v/>
      </c>
      <c r="D295" s="29" t="str">
        <f>IFERROR(IF(SUMIFS(tblDaily[Deaths],tblDaily[EntryDate],DATE(2026,8,16),tblDaily[WardCode],"BF")=0,"",SUMIFS(tblDaily[Deaths],tblDaily[EntryDate],DATE(2026,8,16),tblDaily[WardCode],"BF")),"")</f>
        <v/>
      </c>
      <c r="E295" s="29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29" t="str">
        <f>IFERROR(IF(SUMIFS(tblDaily[TransfersIn],tblDaily[EntryDate],DATE(2026,8,16),tblDaily[WardCode],"BF")=0,"",SUMIFS(tblDaily[TransfersIn],tblDaily[EntryDate],DATE(2026,8,16),tblDaily[WardCode],"BF")),"")</f>
        <v/>
      </c>
      <c r="G295" s="29" t="str">
        <f>IFERROR(IF(SUMIFS(tblDaily[TransfersOut],tblDaily[EntryDate],DATE(2026,8,16),tblDaily[WardCode],"BF")=0,"",SUMIFS(tblDaily[TransfersOut],tblDaily[EntryDate],DATE(2026,8,16),tblDaily[WardCode],"BF")),"")</f>
        <v/>
      </c>
      <c r="H295" s="29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IFERROR(IF(SUMIFS(tblDaily[Admissions],tblDaily[EntryDate],DATE(2026,8,17),tblDaily[WardCode],"BF")=0,"",SUMIFS(tblDaily[Admissions],tblDaily[EntryDate],DATE(2026,8,17),tblDaily[WardCode],"BF")),"")</f>
        <v/>
      </c>
      <c r="C296" s="29" t="str">
        <f>IFERROR(IF(SUMIFS(tblDaily[Discharges],tblDaily[EntryDate],DATE(2026,8,17),tblDaily[WardCode],"BF")=0,"",SUMIFS(tblDaily[Discharges],tblDaily[EntryDate],DATE(2026,8,17),tblDaily[WardCode],"BF")),"")</f>
        <v/>
      </c>
      <c r="D296" s="29" t="str">
        <f>IFERROR(IF(SUMIFS(tblDaily[Deaths],tblDaily[EntryDate],DATE(2026,8,17),tblDaily[WardCode],"BF")=0,"",SUMIFS(tblDaily[Deaths],tblDaily[EntryDate],DATE(2026,8,17),tblDaily[WardCode],"BF")),"")</f>
        <v/>
      </c>
      <c r="E296" s="29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29" t="str">
        <f>IFERROR(IF(SUMIFS(tblDaily[TransfersIn],tblDaily[EntryDate],DATE(2026,8,17),tblDaily[WardCode],"BF")=0,"",SUMIFS(tblDaily[TransfersIn],tblDaily[EntryDate],DATE(2026,8,17),tblDaily[WardCode],"BF")),"")</f>
        <v/>
      </c>
      <c r="G296" s="29" t="str">
        <f>IFERROR(IF(SUMIFS(tblDaily[TransfersOut],tblDaily[EntryDate],DATE(2026,8,17),tblDaily[WardCode],"BF")=0,"",SUMIFS(tblDaily[TransfersOut],tblDaily[EntryDate],DATE(2026,8,17),tblDaily[WardCode],"BF")),"")</f>
        <v/>
      </c>
      <c r="H296" s="29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IFERROR(IF(SUMIFS(tblDaily[Admissions],tblDaily[EntryDate],DATE(2026,8,18),tblDaily[WardCode],"BF")=0,"",SUMIFS(tblDaily[Admissions],tblDaily[EntryDate],DATE(2026,8,18),tblDaily[WardCode],"BF")),"")</f>
        <v/>
      </c>
      <c r="C297" s="29" t="str">
        <f>IFERROR(IF(SUMIFS(tblDaily[Discharges],tblDaily[EntryDate],DATE(2026,8,18),tblDaily[WardCode],"BF")=0,"",SUMIFS(tblDaily[Discharges],tblDaily[EntryDate],DATE(2026,8,18),tblDaily[WardCode],"BF")),"")</f>
        <v/>
      </c>
      <c r="D297" s="29" t="str">
        <f>IFERROR(IF(SUMIFS(tblDaily[Deaths],tblDaily[EntryDate],DATE(2026,8,18),tblDaily[WardCode],"BF")=0,"",SUMIFS(tblDaily[Deaths],tblDaily[EntryDate],DATE(2026,8,18),tblDaily[WardCode],"BF")),"")</f>
        <v/>
      </c>
      <c r="E297" s="29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29" t="str">
        <f>IFERROR(IF(SUMIFS(tblDaily[TransfersIn],tblDaily[EntryDate],DATE(2026,8,18),tblDaily[WardCode],"BF")=0,"",SUMIFS(tblDaily[TransfersIn],tblDaily[EntryDate],DATE(2026,8,18),tblDaily[WardCode],"BF")),"")</f>
        <v/>
      </c>
      <c r="G297" s="29" t="str">
        <f>IFERROR(IF(SUMIFS(tblDaily[TransfersOut],tblDaily[EntryDate],DATE(2026,8,18),tblDaily[WardCode],"BF")=0,"",SUMIFS(tblDaily[TransfersOut],tblDaily[EntryDate],DATE(2026,8,18),tblDaily[WardCode],"BF")),"")</f>
        <v/>
      </c>
      <c r="H297" s="29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IFERROR(IF(SUMIFS(tblDaily[Admissions],tblDaily[EntryDate],DATE(2026,8,19),tblDaily[WardCode],"BF")=0,"",SUMIFS(tblDaily[Admissions],tblDaily[EntryDate],DATE(2026,8,19),tblDaily[WardCode],"BF")),"")</f>
        <v/>
      </c>
      <c r="C298" s="29" t="str">
        <f>IFERROR(IF(SUMIFS(tblDaily[Discharges],tblDaily[EntryDate],DATE(2026,8,19),tblDaily[WardCode],"BF")=0,"",SUMIFS(tblDaily[Discharges],tblDaily[EntryDate],DATE(2026,8,19),tblDaily[WardCode],"BF")),"")</f>
        <v/>
      </c>
      <c r="D298" s="29" t="str">
        <f>IFERROR(IF(SUMIFS(tblDaily[Deaths],tblDaily[EntryDate],DATE(2026,8,19),tblDaily[WardCode],"BF")=0,"",SUMIFS(tblDaily[Deaths],tblDaily[EntryDate],DATE(2026,8,19),tblDaily[WardCode],"BF")),"")</f>
        <v/>
      </c>
      <c r="E298" s="29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29" t="str">
        <f>IFERROR(IF(SUMIFS(tblDaily[TransfersIn],tblDaily[EntryDate],DATE(2026,8,19),tblDaily[WardCode],"BF")=0,"",SUMIFS(tblDaily[TransfersIn],tblDaily[EntryDate],DATE(2026,8,19),tblDaily[WardCode],"BF")),"")</f>
        <v/>
      </c>
      <c r="G298" s="29" t="str">
        <f>IFERROR(IF(SUMIFS(tblDaily[TransfersOut],tblDaily[EntryDate],DATE(2026,8,19),tblDaily[WardCode],"BF")=0,"",SUMIFS(tblDaily[TransfersOut],tblDaily[EntryDate],DATE(2026,8,19),tblDaily[WardCode],"BF")),"")</f>
        <v/>
      </c>
      <c r="H298" s="29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IFERROR(IF(SUMIFS(tblDaily[Admissions],tblDaily[EntryDate],DATE(2026,8,20),tblDaily[WardCode],"BF")=0,"",SUMIFS(tblDaily[Admissions],tblDaily[EntryDate],DATE(2026,8,20),tblDaily[WardCode],"BF")),"")</f>
        <v/>
      </c>
      <c r="C299" s="29" t="str">
        <f>IFERROR(IF(SUMIFS(tblDaily[Discharges],tblDaily[EntryDate],DATE(2026,8,20),tblDaily[WardCode],"BF")=0,"",SUMIFS(tblDaily[Discharges],tblDaily[EntryDate],DATE(2026,8,20),tblDaily[WardCode],"BF")),"")</f>
        <v/>
      </c>
      <c r="D299" s="29" t="str">
        <f>IFERROR(IF(SUMIFS(tblDaily[Deaths],tblDaily[EntryDate],DATE(2026,8,20),tblDaily[WardCode],"BF")=0,"",SUMIFS(tblDaily[Deaths],tblDaily[EntryDate],DATE(2026,8,20),tblDaily[WardCode],"BF")),"")</f>
        <v/>
      </c>
      <c r="E299" s="29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29" t="str">
        <f>IFERROR(IF(SUMIFS(tblDaily[TransfersIn],tblDaily[EntryDate],DATE(2026,8,20),tblDaily[WardCode],"BF")=0,"",SUMIFS(tblDaily[TransfersIn],tblDaily[EntryDate],DATE(2026,8,20),tblDaily[WardCode],"BF")),"")</f>
        <v/>
      </c>
      <c r="G299" s="29" t="str">
        <f>IFERROR(IF(SUMIFS(tblDaily[TransfersOut],tblDaily[EntryDate],DATE(2026,8,20),tblDaily[WardCode],"BF")=0,"",SUMIFS(tblDaily[TransfersOut],tblDaily[EntryDate],DATE(2026,8,20),tblDaily[WardCode],"BF")),"")</f>
        <v/>
      </c>
      <c r="H299" s="29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IFERROR(IF(SUMIFS(tblDaily[Admissions],tblDaily[EntryDate],DATE(2026,8,21),tblDaily[WardCode],"BF")=0,"",SUMIFS(tblDaily[Admissions],tblDaily[EntryDate],DATE(2026,8,21),tblDaily[WardCode],"BF")),"")</f>
        <v/>
      </c>
      <c r="C300" s="29" t="str">
        <f>IFERROR(IF(SUMIFS(tblDaily[Discharges],tblDaily[EntryDate],DATE(2026,8,21),tblDaily[WardCode],"BF")=0,"",SUMIFS(tblDaily[Discharges],tblDaily[EntryDate],DATE(2026,8,21),tblDaily[WardCode],"BF")),"")</f>
        <v/>
      </c>
      <c r="D300" s="29" t="str">
        <f>IFERROR(IF(SUMIFS(tblDaily[Deaths],tblDaily[EntryDate],DATE(2026,8,21),tblDaily[WardCode],"BF")=0,"",SUMIFS(tblDaily[Deaths],tblDaily[EntryDate],DATE(2026,8,21),tblDaily[WardCode],"BF")),"")</f>
        <v/>
      </c>
      <c r="E300" s="29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29" t="str">
        <f>IFERROR(IF(SUMIFS(tblDaily[TransfersIn],tblDaily[EntryDate],DATE(2026,8,21),tblDaily[WardCode],"BF")=0,"",SUMIFS(tblDaily[TransfersIn],tblDaily[EntryDate],DATE(2026,8,21),tblDaily[WardCode],"BF")),"")</f>
        <v/>
      </c>
      <c r="G300" s="29" t="str">
        <f>IFERROR(IF(SUMIFS(tblDaily[TransfersOut],tblDaily[EntryDate],DATE(2026,8,21),tblDaily[WardCode],"BF")=0,"",SUMIFS(tblDaily[TransfersOut],tblDaily[EntryDate],DATE(2026,8,21),tblDaily[WardCode],"BF")),"")</f>
        <v/>
      </c>
      <c r="H300" s="29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IFERROR(IF(SUMIFS(tblDaily[Admissions],tblDaily[EntryDate],DATE(2026,8,22),tblDaily[WardCode],"BF")=0,"",SUMIFS(tblDaily[Admissions],tblDaily[EntryDate],DATE(2026,8,22),tblDaily[WardCode],"BF")),"")</f>
        <v/>
      </c>
      <c r="C301" s="29" t="str">
        <f>IFERROR(IF(SUMIFS(tblDaily[Discharges],tblDaily[EntryDate],DATE(2026,8,22),tblDaily[WardCode],"BF")=0,"",SUMIFS(tblDaily[Discharges],tblDaily[EntryDate],DATE(2026,8,22),tblDaily[WardCode],"BF")),"")</f>
        <v/>
      </c>
      <c r="D301" s="29" t="str">
        <f>IFERROR(IF(SUMIFS(tblDaily[Deaths],tblDaily[EntryDate],DATE(2026,8,22),tblDaily[WardCode],"BF")=0,"",SUMIFS(tblDaily[Deaths],tblDaily[EntryDate],DATE(2026,8,22),tblDaily[WardCode],"BF")),"")</f>
        <v/>
      </c>
      <c r="E301" s="29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29" t="str">
        <f>IFERROR(IF(SUMIFS(tblDaily[TransfersIn],tblDaily[EntryDate],DATE(2026,8,22),tblDaily[WardCode],"BF")=0,"",SUMIFS(tblDaily[TransfersIn],tblDaily[EntryDate],DATE(2026,8,22),tblDaily[WardCode],"BF")),"")</f>
        <v/>
      </c>
      <c r="G301" s="29" t="str">
        <f>IFERROR(IF(SUMIFS(tblDaily[TransfersOut],tblDaily[EntryDate],DATE(2026,8,22),tblDaily[WardCode],"BF")=0,"",SUMIFS(tblDaily[TransfersOut],tblDaily[EntryDate],DATE(2026,8,22),tblDaily[WardCode],"BF")),"")</f>
        <v/>
      </c>
      <c r="H301" s="29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IFERROR(IF(SUMIFS(tblDaily[Admissions],tblDaily[EntryDate],DATE(2026,8,23),tblDaily[WardCode],"BF")=0,"",SUMIFS(tblDaily[Admissions],tblDaily[EntryDate],DATE(2026,8,23),tblDaily[WardCode],"BF")),"")</f>
        <v/>
      </c>
      <c r="C302" s="29" t="str">
        <f>IFERROR(IF(SUMIFS(tblDaily[Discharges],tblDaily[EntryDate],DATE(2026,8,23),tblDaily[WardCode],"BF")=0,"",SUMIFS(tblDaily[Discharges],tblDaily[EntryDate],DATE(2026,8,23),tblDaily[WardCode],"BF")),"")</f>
        <v/>
      </c>
      <c r="D302" s="29" t="str">
        <f>IFERROR(IF(SUMIFS(tblDaily[Deaths],tblDaily[EntryDate],DATE(2026,8,23),tblDaily[WardCode],"BF")=0,"",SUMIFS(tblDaily[Deaths],tblDaily[EntryDate],DATE(2026,8,23),tblDaily[WardCode],"BF")),"")</f>
        <v/>
      </c>
      <c r="E302" s="29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29" t="str">
        <f>IFERROR(IF(SUMIFS(tblDaily[TransfersIn],tblDaily[EntryDate],DATE(2026,8,23),tblDaily[WardCode],"BF")=0,"",SUMIFS(tblDaily[TransfersIn],tblDaily[EntryDate],DATE(2026,8,23),tblDaily[WardCode],"BF")),"")</f>
        <v/>
      </c>
      <c r="G302" s="29" t="str">
        <f>IFERROR(IF(SUMIFS(tblDaily[TransfersOut],tblDaily[EntryDate],DATE(2026,8,23),tblDaily[WardCode],"BF")=0,"",SUMIFS(tblDaily[TransfersOut],tblDaily[EntryDate],DATE(2026,8,23),tblDaily[WardCode],"BF")),"")</f>
        <v/>
      </c>
      <c r="H302" s="29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IFERROR(IF(SUMIFS(tblDaily[Admissions],tblDaily[EntryDate],DATE(2026,8,24),tblDaily[WardCode],"BF")=0,"",SUMIFS(tblDaily[Admissions],tblDaily[EntryDate],DATE(2026,8,24),tblDaily[WardCode],"BF")),"")</f>
        <v/>
      </c>
      <c r="C303" s="29" t="str">
        <f>IFERROR(IF(SUMIFS(tblDaily[Discharges],tblDaily[EntryDate],DATE(2026,8,24),tblDaily[WardCode],"BF")=0,"",SUMIFS(tblDaily[Discharges],tblDaily[EntryDate],DATE(2026,8,24),tblDaily[WardCode],"BF")),"")</f>
        <v/>
      </c>
      <c r="D303" s="29" t="str">
        <f>IFERROR(IF(SUMIFS(tblDaily[Deaths],tblDaily[EntryDate],DATE(2026,8,24),tblDaily[WardCode],"BF")=0,"",SUMIFS(tblDaily[Deaths],tblDaily[EntryDate],DATE(2026,8,24),tblDaily[WardCode],"BF")),"")</f>
        <v/>
      </c>
      <c r="E303" s="29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29" t="str">
        <f>IFERROR(IF(SUMIFS(tblDaily[TransfersIn],tblDaily[EntryDate],DATE(2026,8,24),tblDaily[WardCode],"BF")=0,"",SUMIFS(tblDaily[TransfersIn],tblDaily[EntryDate],DATE(2026,8,24),tblDaily[WardCode],"BF")),"")</f>
        <v/>
      </c>
      <c r="G303" s="29" t="str">
        <f>IFERROR(IF(SUMIFS(tblDaily[TransfersOut],tblDaily[EntryDate],DATE(2026,8,24),tblDaily[WardCode],"BF")=0,"",SUMIFS(tblDaily[TransfersOut],tblDaily[EntryDate],DATE(2026,8,24),tblDaily[WardCode],"BF")),"")</f>
        <v/>
      </c>
      <c r="H303" s="29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IFERROR(IF(SUMIFS(tblDaily[Admissions],tblDaily[EntryDate],DATE(2026,8,25),tblDaily[WardCode],"BF")=0,"",SUMIFS(tblDaily[Admissions],tblDaily[EntryDate],DATE(2026,8,25),tblDaily[WardCode],"BF")),"")</f>
        <v/>
      </c>
      <c r="C304" s="29" t="str">
        <f>IFERROR(IF(SUMIFS(tblDaily[Discharges],tblDaily[EntryDate],DATE(2026,8,25),tblDaily[WardCode],"BF")=0,"",SUMIFS(tblDaily[Discharges],tblDaily[EntryDate],DATE(2026,8,25),tblDaily[WardCode],"BF")),"")</f>
        <v/>
      </c>
      <c r="D304" s="29" t="str">
        <f>IFERROR(IF(SUMIFS(tblDaily[Deaths],tblDaily[EntryDate],DATE(2026,8,25),tblDaily[WardCode],"BF")=0,"",SUMIFS(tblDaily[Deaths],tblDaily[EntryDate],DATE(2026,8,25),tblDaily[WardCode],"BF")),"")</f>
        <v/>
      </c>
      <c r="E304" s="29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29" t="str">
        <f>IFERROR(IF(SUMIFS(tblDaily[TransfersIn],tblDaily[EntryDate],DATE(2026,8,25),tblDaily[WardCode],"BF")=0,"",SUMIFS(tblDaily[TransfersIn],tblDaily[EntryDate],DATE(2026,8,25),tblDaily[WardCode],"BF")),"")</f>
        <v/>
      </c>
      <c r="G304" s="29" t="str">
        <f>IFERROR(IF(SUMIFS(tblDaily[TransfersOut],tblDaily[EntryDate],DATE(2026,8,25),tblDaily[WardCode],"BF")=0,"",SUMIFS(tblDaily[TransfersOut],tblDaily[EntryDate],DATE(2026,8,25),tblDaily[WardCode],"BF")),"")</f>
        <v/>
      </c>
      <c r="H304" s="29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IFERROR(IF(SUMIFS(tblDaily[Admissions],tblDaily[EntryDate],DATE(2026,8,26),tblDaily[WardCode],"BF")=0,"",SUMIFS(tblDaily[Admissions],tblDaily[EntryDate],DATE(2026,8,26),tblDaily[WardCode],"BF")),"")</f>
        <v/>
      </c>
      <c r="C305" s="29" t="str">
        <f>IFERROR(IF(SUMIFS(tblDaily[Discharges],tblDaily[EntryDate],DATE(2026,8,26),tblDaily[WardCode],"BF")=0,"",SUMIFS(tblDaily[Discharges],tblDaily[EntryDate],DATE(2026,8,26),tblDaily[WardCode],"BF")),"")</f>
        <v/>
      </c>
      <c r="D305" s="29" t="str">
        <f>IFERROR(IF(SUMIFS(tblDaily[Deaths],tblDaily[EntryDate],DATE(2026,8,26),tblDaily[WardCode],"BF")=0,"",SUMIFS(tblDaily[Deaths],tblDaily[EntryDate],DATE(2026,8,26),tblDaily[WardCode],"BF")),"")</f>
        <v/>
      </c>
      <c r="E305" s="29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29" t="str">
        <f>IFERROR(IF(SUMIFS(tblDaily[TransfersIn],tblDaily[EntryDate],DATE(2026,8,26),tblDaily[WardCode],"BF")=0,"",SUMIFS(tblDaily[TransfersIn],tblDaily[EntryDate],DATE(2026,8,26),tblDaily[WardCode],"BF")),"")</f>
        <v/>
      </c>
      <c r="G305" s="29" t="str">
        <f>IFERROR(IF(SUMIFS(tblDaily[TransfersOut],tblDaily[EntryDate],DATE(2026,8,26),tblDaily[WardCode],"BF")=0,"",SUMIFS(tblDaily[TransfersOut],tblDaily[EntryDate],DATE(2026,8,26),tblDaily[WardCode],"BF")),"")</f>
        <v/>
      </c>
      <c r="H305" s="29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IFERROR(IF(SUMIFS(tblDaily[Admissions],tblDaily[EntryDate],DATE(2026,8,27),tblDaily[WardCode],"BF")=0,"",SUMIFS(tblDaily[Admissions],tblDaily[EntryDate],DATE(2026,8,27),tblDaily[WardCode],"BF")),"")</f>
        <v/>
      </c>
      <c r="C306" s="29" t="str">
        <f>IFERROR(IF(SUMIFS(tblDaily[Discharges],tblDaily[EntryDate],DATE(2026,8,27),tblDaily[WardCode],"BF")=0,"",SUMIFS(tblDaily[Discharges],tblDaily[EntryDate],DATE(2026,8,27),tblDaily[WardCode],"BF")),"")</f>
        <v/>
      </c>
      <c r="D306" s="29" t="str">
        <f>IFERROR(IF(SUMIFS(tblDaily[Deaths],tblDaily[EntryDate],DATE(2026,8,27),tblDaily[WardCode],"BF")=0,"",SUMIFS(tblDaily[Deaths],tblDaily[EntryDate],DATE(2026,8,27),tblDaily[WardCode],"BF")),"")</f>
        <v/>
      </c>
      <c r="E306" s="29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29" t="str">
        <f>IFERROR(IF(SUMIFS(tblDaily[TransfersIn],tblDaily[EntryDate],DATE(2026,8,27),tblDaily[WardCode],"BF")=0,"",SUMIFS(tblDaily[TransfersIn],tblDaily[EntryDate],DATE(2026,8,27),tblDaily[WardCode],"BF")),"")</f>
        <v/>
      </c>
      <c r="G306" s="29" t="str">
        <f>IFERROR(IF(SUMIFS(tblDaily[TransfersOut],tblDaily[EntryDate],DATE(2026,8,27),tblDaily[WardCode],"BF")=0,"",SUMIFS(tblDaily[TransfersOut],tblDaily[EntryDate],DATE(2026,8,27),tblDaily[WardCode],"BF")),"")</f>
        <v/>
      </c>
      <c r="H306" s="29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IFERROR(IF(SUMIFS(tblDaily[Admissions],tblDaily[EntryDate],DATE(2026,8,28),tblDaily[WardCode],"BF")=0,"",SUMIFS(tblDaily[Admissions],tblDaily[EntryDate],DATE(2026,8,28),tblDaily[WardCode],"BF")),"")</f>
        <v/>
      </c>
      <c r="C307" s="29" t="str">
        <f>IFERROR(IF(SUMIFS(tblDaily[Discharges],tblDaily[EntryDate],DATE(2026,8,28),tblDaily[WardCode],"BF")=0,"",SUMIFS(tblDaily[Discharges],tblDaily[EntryDate],DATE(2026,8,28),tblDaily[WardCode],"BF")),"")</f>
        <v/>
      </c>
      <c r="D307" s="29" t="str">
        <f>IFERROR(IF(SUMIFS(tblDaily[Deaths],tblDaily[EntryDate],DATE(2026,8,28),tblDaily[WardCode],"BF")=0,"",SUMIFS(tblDaily[Deaths],tblDaily[EntryDate],DATE(2026,8,28),tblDaily[WardCode],"BF")),"")</f>
        <v/>
      </c>
      <c r="E307" s="29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29" t="str">
        <f>IFERROR(IF(SUMIFS(tblDaily[TransfersIn],tblDaily[EntryDate],DATE(2026,8,28),tblDaily[WardCode],"BF")=0,"",SUMIFS(tblDaily[TransfersIn],tblDaily[EntryDate],DATE(2026,8,28),tblDaily[WardCode],"BF")),"")</f>
        <v/>
      </c>
      <c r="G307" s="29" t="str">
        <f>IFERROR(IF(SUMIFS(tblDaily[TransfersOut],tblDaily[EntryDate],DATE(2026,8,28),tblDaily[WardCode],"BF")=0,"",SUMIFS(tblDaily[TransfersOut],tblDaily[EntryDate],DATE(2026,8,28),tblDaily[WardCode],"BF")),"")</f>
        <v/>
      </c>
      <c r="H307" s="29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IFERROR(IF(SUMIFS(tblDaily[Admissions],tblDaily[EntryDate],DATE(2026,8,29),tblDaily[WardCode],"BF")=0,"",SUMIFS(tblDaily[Admissions],tblDaily[EntryDate],DATE(2026,8,29),tblDaily[WardCode],"BF")),"")</f>
        <v/>
      </c>
      <c r="C308" s="29" t="str">
        <f>IFERROR(IF(SUMIFS(tblDaily[Discharges],tblDaily[EntryDate],DATE(2026,8,29),tblDaily[WardCode],"BF")=0,"",SUMIFS(tblDaily[Discharges],tblDaily[EntryDate],DATE(2026,8,29),tblDaily[WardCode],"BF")),"")</f>
        <v/>
      </c>
      <c r="D308" s="29" t="str">
        <f>IFERROR(IF(SUMIFS(tblDaily[Deaths],tblDaily[EntryDate],DATE(2026,8,29),tblDaily[WardCode],"BF")=0,"",SUMIFS(tblDaily[Deaths],tblDaily[EntryDate],DATE(2026,8,29),tblDaily[WardCode],"BF")),"")</f>
        <v/>
      </c>
      <c r="E308" s="29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29" t="str">
        <f>IFERROR(IF(SUMIFS(tblDaily[TransfersIn],tblDaily[EntryDate],DATE(2026,8,29),tblDaily[WardCode],"BF")=0,"",SUMIFS(tblDaily[TransfersIn],tblDaily[EntryDate],DATE(2026,8,29),tblDaily[WardCode],"BF")),"")</f>
        <v/>
      </c>
      <c r="G308" s="29" t="str">
        <f>IFERROR(IF(SUMIFS(tblDaily[TransfersOut],tblDaily[EntryDate],DATE(2026,8,29),tblDaily[WardCode],"BF")=0,"",SUMIFS(tblDaily[TransfersOut],tblDaily[EntryDate],DATE(2026,8,29),tblDaily[WardCode],"BF")),"")</f>
        <v/>
      </c>
      <c r="H308" s="29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IFERROR(IF(SUMIFS(tblDaily[Admissions],tblDaily[EntryDate],DATE(2026,8,30),tblDaily[WardCode],"BF")=0,"",SUMIFS(tblDaily[Admissions],tblDaily[EntryDate],DATE(2026,8,30),tblDaily[WardCode],"BF")),"")</f>
        <v/>
      </c>
      <c r="C309" s="29" t="str">
        <f>IFERROR(IF(SUMIFS(tblDaily[Discharges],tblDaily[EntryDate],DATE(2026,8,30),tblDaily[WardCode],"BF")=0,"",SUMIFS(tblDaily[Discharges],tblDaily[EntryDate],DATE(2026,8,30),tblDaily[WardCode],"BF")),"")</f>
        <v/>
      </c>
      <c r="D309" s="29" t="str">
        <f>IFERROR(IF(SUMIFS(tblDaily[Deaths],tblDaily[EntryDate],DATE(2026,8,30),tblDaily[WardCode],"BF")=0,"",SUMIFS(tblDaily[Deaths],tblDaily[EntryDate],DATE(2026,8,30),tblDaily[WardCode],"BF")),"")</f>
        <v/>
      </c>
      <c r="E309" s="29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29" t="str">
        <f>IFERROR(IF(SUMIFS(tblDaily[TransfersIn],tblDaily[EntryDate],DATE(2026,8,30),tblDaily[WardCode],"BF")=0,"",SUMIFS(tblDaily[TransfersIn],tblDaily[EntryDate],DATE(2026,8,30),tblDaily[WardCode],"BF")),"")</f>
        <v/>
      </c>
      <c r="G309" s="29" t="str">
        <f>IFERROR(IF(SUMIFS(tblDaily[TransfersOut],tblDaily[EntryDate],DATE(2026,8,30),tblDaily[WardCode],"BF")=0,"",SUMIFS(tblDaily[TransfersOut],tblDaily[EntryDate],DATE(2026,8,30),tblDaily[WardCode],"BF")),"")</f>
        <v/>
      </c>
      <c r="H309" s="29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IFERROR(IF(SUMIFS(tblDaily[Admissions],tblDaily[EntryDate],DATE(2026,8,31),tblDaily[WardCode],"BF")=0,"",SUMIFS(tblDaily[Admissions],tblDaily[EntryDate],DATE(2026,8,31),tblDaily[WardCode],"BF")),"")</f>
        <v/>
      </c>
      <c r="C310" s="29" t="str">
        <f>IFERROR(IF(SUMIFS(tblDaily[Discharges],tblDaily[EntryDate],DATE(2026,8,31),tblDaily[WardCode],"BF")=0,"",SUMIFS(tblDaily[Discharges],tblDaily[EntryDate],DATE(2026,8,31),tblDaily[WardCode],"BF")),"")</f>
        <v/>
      </c>
      <c r="D310" s="29" t="str">
        <f>IFERROR(IF(SUMIFS(tblDaily[Deaths],tblDaily[EntryDate],DATE(2026,8,31),tblDaily[WardCode],"BF")=0,"",SUMIFS(tblDaily[Deaths],tblDaily[EntryDate],DATE(2026,8,31),tblDaily[WardCode],"BF")),"")</f>
        <v/>
      </c>
      <c r="E310" s="29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29" t="str">
        <f>IFERROR(IF(SUMIFS(tblDaily[TransfersIn],tblDaily[EntryDate],DATE(2026,8,31),tblDaily[WardCode],"BF")=0,"",SUMIFS(tblDaily[TransfersIn],tblDaily[EntryDate],DATE(2026,8,31),tblDaily[WardCode],"BF")),"")</f>
        <v/>
      </c>
      <c r="G310" s="29" t="str">
        <f>IFERROR(IF(SUMIFS(tblDaily[TransfersOut],tblDaily[EntryDate],DATE(2026,8,31),tblDaily[WardCode],"BF")=0,"",SUMIFS(tblDaily[TransfersOut],tblDaily[EntryDate],DATE(2026,8,31),tblDaily[WardCode],"BF")),"")</f>
        <v/>
      </c>
      <c r="H310" s="29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30" t="s">
        <v>115</v>
      </c>
      <c r="B311" s="30">
        <f>SUMIFS(tblDaily[Admissions],tblDaily[Month],8,tblDaily[WardCode],"BF") - SUMIFS(tblDaily[DeathsUnder24Hrs],tblDaily[Month],8,tblDaily[WardCode],"BF")</f>
        <v>0</v>
      </c>
      <c r="C311" s="30">
        <f>SUMIFS(tblDaily[Discharges],tblDaily[Month],8,tblDaily[WardCode],"BF")</f>
        <v>0</v>
      </c>
      <c r="D311" s="30">
        <f>SUMIFS(tblDaily[Deaths],tblDaily[Month],8,tblDaily[WardCode],"BF")</f>
        <v>0</v>
      </c>
      <c r="E311" s="30">
        <f>SUMIFS(tblDaily[DeathsUnder24Hrs],tblDaily[Month],8,tblDaily[WardCode],"BF")</f>
        <v>0</v>
      </c>
      <c r="F311" s="30">
        <f>SUMIFS(tblDaily[TransfersIn],tblDaily[Month],8,tblDaily[WardCode],"BF")</f>
        <v>0</v>
      </c>
      <c r="G311" s="30">
        <f>SUMIFS(tblDaily[TransfersOut],tblDaily[Month],8,tblDaily[WardCode],"BF")</f>
        <v>0</v>
      </c>
      <c r="H311" s="30">
        <f>SUMIFS(tblDaily[Remaining],tblDaily[Month],8,tblDaily[WardCode],"BF")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118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IFERROR(SUMIFS(tblDaily[Remaining],tblDaily[EntryDate],DATE(2026,8,31),tblDaily[WardCode],"BF"),0)</f>
        <v>0</v>
      </c>
    </row>
    <row r="317" spans="1:8" x14ac:dyDescent="0.25">
      <c r="A317" s="24" t="s">
        <v>109</v>
      </c>
      <c r="H317" s="27">
        <f>IFERROR(INDEX(tblWardConfig[BedComplement],MATCH("BF",tblWardConfig[WardCode],0)),0)</f>
        <v>20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IFERROR(IF(SUMIFS(tblDaily[Admissions],tblDaily[EntryDate],DATE(2026,9,1),tblDaily[WardCode],"BF")=0,"",SUMIFS(tblDaily[Admissions],tblDaily[EntryDate],DATE(2026,9,1),tblDaily[WardCode],"BF")),"")</f>
        <v/>
      </c>
      <c r="C319" s="29" t="str">
        <f>IFERROR(IF(SUMIFS(tblDaily[Discharges],tblDaily[EntryDate],DATE(2026,9,1),tblDaily[WardCode],"BF")=0,"",SUMIFS(tblDaily[Discharges],tblDaily[EntryDate],DATE(2026,9,1),tblDaily[WardCode],"BF")),"")</f>
        <v/>
      </c>
      <c r="D319" s="29" t="str">
        <f>IFERROR(IF(SUMIFS(tblDaily[Deaths],tblDaily[EntryDate],DATE(2026,9,1),tblDaily[WardCode],"BF")=0,"",SUMIFS(tblDaily[Deaths],tblDaily[EntryDate],DATE(2026,9,1),tblDaily[WardCode],"BF")),"")</f>
        <v/>
      </c>
      <c r="E319" s="29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29" t="str">
        <f>IFERROR(IF(SUMIFS(tblDaily[TransfersIn],tblDaily[EntryDate],DATE(2026,9,1),tblDaily[WardCode],"BF")=0,"",SUMIFS(tblDaily[TransfersIn],tblDaily[EntryDate],DATE(2026,9,1),tblDaily[WardCode],"BF")),"")</f>
        <v/>
      </c>
      <c r="G319" s="29" t="str">
        <f>IFERROR(IF(SUMIFS(tblDaily[TransfersOut],tblDaily[EntryDate],DATE(2026,9,1),tblDaily[WardCode],"BF")=0,"",SUMIFS(tblDaily[TransfersOut],tblDaily[EntryDate],DATE(2026,9,1),tblDaily[WardCode],"BF")),"")</f>
        <v/>
      </c>
      <c r="H319" s="29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IFERROR(IF(SUMIFS(tblDaily[Admissions],tblDaily[EntryDate],DATE(2026,9,2),tblDaily[WardCode],"BF")=0,"",SUMIFS(tblDaily[Admissions],tblDaily[EntryDate],DATE(2026,9,2),tblDaily[WardCode],"BF")),"")</f>
        <v/>
      </c>
      <c r="C320" s="29" t="str">
        <f>IFERROR(IF(SUMIFS(tblDaily[Discharges],tblDaily[EntryDate],DATE(2026,9,2),tblDaily[WardCode],"BF")=0,"",SUMIFS(tblDaily[Discharges],tblDaily[EntryDate],DATE(2026,9,2),tblDaily[WardCode],"BF")),"")</f>
        <v/>
      </c>
      <c r="D320" s="29" t="str">
        <f>IFERROR(IF(SUMIFS(tblDaily[Deaths],tblDaily[EntryDate],DATE(2026,9,2),tblDaily[WardCode],"BF")=0,"",SUMIFS(tblDaily[Deaths],tblDaily[EntryDate],DATE(2026,9,2),tblDaily[WardCode],"BF")),"")</f>
        <v/>
      </c>
      <c r="E320" s="29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29" t="str">
        <f>IFERROR(IF(SUMIFS(tblDaily[TransfersIn],tblDaily[EntryDate],DATE(2026,9,2),tblDaily[WardCode],"BF")=0,"",SUMIFS(tblDaily[TransfersIn],tblDaily[EntryDate],DATE(2026,9,2),tblDaily[WardCode],"BF")),"")</f>
        <v/>
      </c>
      <c r="G320" s="29" t="str">
        <f>IFERROR(IF(SUMIFS(tblDaily[TransfersOut],tblDaily[EntryDate],DATE(2026,9,2),tblDaily[WardCode],"BF")=0,"",SUMIFS(tblDaily[TransfersOut],tblDaily[EntryDate],DATE(2026,9,2),tblDaily[WardCode],"BF")),"")</f>
        <v/>
      </c>
      <c r="H320" s="29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IFERROR(IF(SUMIFS(tblDaily[Admissions],tblDaily[EntryDate],DATE(2026,9,3),tblDaily[WardCode],"BF")=0,"",SUMIFS(tblDaily[Admissions],tblDaily[EntryDate],DATE(2026,9,3),tblDaily[WardCode],"BF")),"")</f>
        <v/>
      </c>
      <c r="C321" s="29" t="str">
        <f>IFERROR(IF(SUMIFS(tblDaily[Discharges],tblDaily[EntryDate],DATE(2026,9,3),tblDaily[WardCode],"BF")=0,"",SUMIFS(tblDaily[Discharges],tblDaily[EntryDate],DATE(2026,9,3),tblDaily[WardCode],"BF")),"")</f>
        <v/>
      </c>
      <c r="D321" s="29" t="str">
        <f>IFERROR(IF(SUMIFS(tblDaily[Deaths],tblDaily[EntryDate],DATE(2026,9,3),tblDaily[WardCode],"BF")=0,"",SUMIFS(tblDaily[Deaths],tblDaily[EntryDate],DATE(2026,9,3),tblDaily[WardCode],"BF")),"")</f>
        <v/>
      </c>
      <c r="E321" s="29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29" t="str">
        <f>IFERROR(IF(SUMIFS(tblDaily[TransfersIn],tblDaily[EntryDate],DATE(2026,9,3),tblDaily[WardCode],"BF")=0,"",SUMIFS(tblDaily[TransfersIn],tblDaily[EntryDate],DATE(2026,9,3),tblDaily[WardCode],"BF")),"")</f>
        <v/>
      </c>
      <c r="G321" s="29" t="str">
        <f>IFERROR(IF(SUMIFS(tblDaily[TransfersOut],tblDaily[EntryDate],DATE(2026,9,3),tblDaily[WardCode],"BF")=0,"",SUMIFS(tblDaily[TransfersOut],tblDaily[EntryDate],DATE(2026,9,3),tblDaily[WardCode],"BF")),"")</f>
        <v/>
      </c>
      <c r="H321" s="29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IFERROR(IF(SUMIFS(tblDaily[Admissions],tblDaily[EntryDate],DATE(2026,9,4),tblDaily[WardCode],"BF")=0,"",SUMIFS(tblDaily[Admissions],tblDaily[EntryDate],DATE(2026,9,4),tblDaily[WardCode],"BF")),"")</f>
        <v/>
      </c>
      <c r="C322" s="29" t="str">
        <f>IFERROR(IF(SUMIFS(tblDaily[Discharges],tblDaily[EntryDate],DATE(2026,9,4),tblDaily[WardCode],"BF")=0,"",SUMIFS(tblDaily[Discharges],tblDaily[EntryDate],DATE(2026,9,4),tblDaily[WardCode],"BF")),"")</f>
        <v/>
      </c>
      <c r="D322" s="29" t="str">
        <f>IFERROR(IF(SUMIFS(tblDaily[Deaths],tblDaily[EntryDate],DATE(2026,9,4),tblDaily[WardCode],"BF")=0,"",SUMIFS(tblDaily[Deaths],tblDaily[EntryDate],DATE(2026,9,4),tblDaily[WardCode],"BF")),"")</f>
        <v/>
      </c>
      <c r="E322" s="29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29" t="str">
        <f>IFERROR(IF(SUMIFS(tblDaily[TransfersIn],tblDaily[EntryDate],DATE(2026,9,4),tblDaily[WardCode],"BF")=0,"",SUMIFS(tblDaily[TransfersIn],tblDaily[EntryDate],DATE(2026,9,4),tblDaily[WardCode],"BF")),"")</f>
        <v/>
      </c>
      <c r="G322" s="29" t="str">
        <f>IFERROR(IF(SUMIFS(tblDaily[TransfersOut],tblDaily[EntryDate],DATE(2026,9,4),tblDaily[WardCode],"BF")=0,"",SUMIFS(tblDaily[TransfersOut],tblDaily[EntryDate],DATE(2026,9,4),tblDaily[WardCode],"BF")),"")</f>
        <v/>
      </c>
      <c r="H322" s="29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IFERROR(IF(SUMIFS(tblDaily[Admissions],tblDaily[EntryDate],DATE(2026,9,5),tblDaily[WardCode],"BF")=0,"",SUMIFS(tblDaily[Admissions],tblDaily[EntryDate],DATE(2026,9,5),tblDaily[WardCode],"BF")),"")</f>
        <v/>
      </c>
      <c r="C323" s="29" t="str">
        <f>IFERROR(IF(SUMIFS(tblDaily[Discharges],tblDaily[EntryDate],DATE(2026,9,5),tblDaily[WardCode],"BF")=0,"",SUMIFS(tblDaily[Discharges],tblDaily[EntryDate],DATE(2026,9,5),tblDaily[WardCode],"BF")),"")</f>
        <v/>
      </c>
      <c r="D323" s="29" t="str">
        <f>IFERROR(IF(SUMIFS(tblDaily[Deaths],tblDaily[EntryDate],DATE(2026,9,5),tblDaily[WardCode],"BF")=0,"",SUMIFS(tblDaily[Deaths],tblDaily[EntryDate],DATE(2026,9,5),tblDaily[WardCode],"BF")),"")</f>
        <v/>
      </c>
      <c r="E323" s="29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29" t="str">
        <f>IFERROR(IF(SUMIFS(tblDaily[TransfersIn],tblDaily[EntryDate],DATE(2026,9,5),tblDaily[WardCode],"BF")=0,"",SUMIFS(tblDaily[TransfersIn],tblDaily[EntryDate],DATE(2026,9,5),tblDaily[WardCode],"BF")),"")</f>
        <v/>
      </c>
      <c r="G323" s="29" t="str">
        <f>IFERROR(IF(SUMIFS(tblDaily[TransfersOut],tblDaily[EntryDate],DATE(2026,9,5),tblDaily[WardCode],"BF")=0,"",SUMIFS(tblDaily[TransfersOut],tblDaily[EntryDate],DATE(2026,9,5),tblDaily[WardCode],"BF")),"")</f>
        <v/>
      </c>
      <c r="H323" s="29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IFERROR(IF(SUMIFS(tblDaily[Admissions],tblDaily[EntryDate],DATE(2026,9,6),tblDaily[WardCode],"BF")=0,"",SUMIFS(tblDaily[Admissions],tblDaily[EntryDate],DATE(2026,9,6),tblDaily[WardCode],"BF")),"")</f>
        <v/>
      </c>
      <c r="C324" s="29" t="str">
        <f>IFERROR(IF(SUMIFS(tblDaily[Discharges],tblDaily[EntryDate],DATE(2026,9,6),tblDaily[WardCode],"BF")=0,"",SUMIFS(tblDaily[Discharges],tblDaily[EntryDate],DATE(2026,9,6),tblDaily[WardCode],"BF")),"")</f>
        <v/>
      </c>
      <c r="D324" s="29" t="str">
        <f>IFERROR(IF(SUMIFS(tblDaily[Deaths],tblDaily[EntryDate],DATE(2026,9,6),tblDaily[WardCode],"BF")=0,"",SUMIFS(tblDaily[Deaths],tblDaily[EntryDate],DATE(2026,9,6),tblDaily[WardCode],"BF")),"")</f>
        <v/>
      </c>
      <c r="E324" s="29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29" t="str">
        <f>IFERROR(IF(SUMIFS(tblDaily[TransfersIn],tblDaily[EntryDate],DATE(2026,9,6),tblDaily[WardCode],"BF")=0,"",SUMIFS(tblDaily[TransfersIn],tblDaily[EntryDate],DATE(2026,9,6),tblDaily[WardCode],"BF")),"")</f>
        <v/>
      </c>
      <c r="G324" s="29" t="str">
        <f>IFERROR(IF(SUMIFS(tblDaily[TransfersOut],tblDaily[EntryDate],DATE(2026,9,6),tblDaily[WardCode],"BF")=0,"",SUMIFS(tblDaily[TransfersOut],tblDaily[EntryDate],DATE(2026,9,6),tblDaily[WardCode],"BF")),"")</f>
        <v/>
      </c>
      <c r="H324" s="29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IFERROR(IF(SUMIFS(tblDaily[Admissions],tblDaily[EntryDate],DATE(2026,9,7),tblDaily[WardCode],"BF")=0,"",SUMIFS(tblDaily[Admissions],tblDaily[EntryDate],DATE(2026,9,7),tblDaily[WardCode],"BF")),"")</f>
        <v/>
      </c>
      <c r="C325" s="29" t="str">
        <f>IFERROR(IF(SUMIFS(tblDaily[Discharges],tblDaily[EntryDate],DATE(2026,9,7),tblDaily[WardCode],"BF")=0,"",SUMIFS(tblDaily[Discharges],tblDaily[EntryDate],DATE(2026,9,7),tblDaily[WardCode],"BF")),"")</f>
        <v/>
      </c>
      <c r="D325" s="29" t="str">
        <f>IFERROR(IF(SUMIFS(tblDaily[Deaths],tblDaily[EntryDate],DATE(2026,9,7),tblDaily[WardCode],"BF")=0,"",SUMIFS(tblDaily[Deaths],tblDaily[EntryDate],DATE(2026,9,7),tblDaily[WardCode],"BF")),"")</f>
        <v/>
      </c>
      <c r="E325" s="29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29" t="str">
        <f>IFERROR(IF(SUMIFS(tblDaily[TransfersIn],tblDaily[EntryDate],DATE(2026,9,7),tblDaily[WardCode],"BF")=0,"",SUMIFS(tblDaily[TransfersIn],tblDaily[EntryDate],DATE(2026,9,7),tblDaily[WardCode],"BF")),"")</f>
        <v/>
      </c>
      <c r="G325" s="29" t="str">
        <f>IFERROR(IF(SUMIFS(tblDaily[TransfersOut],tblDaily[EntryDate],DATE(2026,9,7),tblDaily[WardCode],"BF")=0,"",SUMIFS(tblDaily[TransfersOut],tblDaily[EntryDate],DATE(2026,9,7),tblDaily[WardCode],"BF")),"")</f>
        <v/>
      </c>
      <c r="H325" s="29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IFERROR(IF(SUMIFS(tblDaily[Admissions],tblDaily[EntryDate],DATE(2026,9,8),tblDaily[WardCode],"BF")=0,"",SUMIFS(tblDaily[Admissions],tblDaily[EntryDate],DATE(2026,9,8),tblDaily[WardCode],"BF")),"")</f>
        <v/>
      </c>
      <c r="C326" s="29" t="str">
        <f>IFERROR(IF(SUMIFS(tblDaily[Discharges],tblDaily[EntryDate],DATE(2026,9,8),tblDaily[WardCode],"BF")=0,"",SUMIFS(tblDaily[Discharges],tblDaily[EntryDate],DATE(2026,9,8),tblDaily[WardCode],"BF")),"")</f>
        <v/>
      </c>
      <c r="D326" s="29" t="str">
        <f>IFERROR(IF(SUMIFS(tblDaily[Deaths],tblDaily[EntryDate],DATE(2026,9,8),tblDaily[WardCode],"BF")=0,"",SUMIFS(tblDaily[Deaths],tblDaily[EntryDate],DATE(2026,9,8),tblDaily[WardCode],"BF")),"")</f>
        <v/>
      </c>
      <c r="E326" s="29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29" t="str">
        <f>IFERROR(IF(SUMIFS(tblDaily[TransfersIn],tblDaily[EntryDate],DATE(2026,9,8),tblDaily[WardCode],"BF")=0,"",SUMIFS(tblDaily[TransfersIn],tblDaily[EntryDate],DATE(2026,9,8),tblDaily[WardCode],"BF")),"")</f>
        <v/>
      </c>
      <c r="G326" s="29" t="str">
        <f>IFERROR(IF(SUMIFS(tblDaily[TransfersOut],tblDaily[EntryDate],DATE(2026,9,8),tblDaily[WardCode],"BF")=0,"",SUMIFS(tblDaily[TransfersOut],tblDaily[EntryDate],DATE(2026,9,8),tblDaily[WardCode],"BF")),"")</f>
        <v/>
      </c>
      <c r="H326" s="29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IFERROR(IF(SUMIFS(tblDaily[Admissions],tblDaily[EntryDate],DATE(2026,9,9),tblDaily[WardCode],"BF")=0,"",SUMIFS(tblDaily[Admissions],tblDaily[EntryDate],DATE(2026,9,9),tblDaily[WardCode],"BF")),"")</f>
        <v/>
      </c>
      <c r="C327" s="29" t="str">
        <f>IFERROR(IF(SUMIFS(tblDaily[Discharges],tblDaily[EntryDate],DATE(2026,9,9),tblDaily[WardCode],"BF")=0,"",SUMIFS(tblDaily[Discharges],tblDaily[EntryDate],DATE(2026,9,9),tblDaily[WardCode],"BF")),"")</f>
        <v/>
      </c>
      <c r="D327" s="29" t="str">
        <f>IFERROR(IF(SUMIFS(tblDaily[Deaths],tblDaily[EntryDate],DATE(2026,9,9),tblDaily[WardCode],"BF")=0,"",SUMIFS(tblDaily[Deaths],tblDaily[EntryDate],DATE(2026,9,9),tblDaily[WardCode],"BF")),"")</f>
        <v/>
      </c>
      <c r="E327" s="29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29" t="str">
        <f>IFERROR(IF(SUMIFS(tblDaily[TransfersIn],tblDaily[EntryDate],DATE(2026,9,9),tblDaily[WardCode],"BF")=0,"",SUMIFS(tblDaily[TransfersIn],tblDaily[EntryDate],DATE(2026,9,9),tblDaily[WardCode],"BF")),"")</f>
        <v/>
      </c>
      <c r="G327" s="29" t="str">
        <f>IFERROR(IF(SUMIFS(tblDaily[TransfersOut],tblDaily[EntryDate],DATE(2026,9,9),tblDaily[WardCode],"BF")=0,"",SUMIFS(tblDaily[TransfersOut],tblDaily[EntryDate],DATE(2026,9,9),tblDaily[WardCode],"BF")),"")</f>
        <v/>
      </c>
      <c r="H327" s="29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IFERROR(IF(SUMIFS(tblDaily[Admissions],tblDaily[EntryDate],DATE(2026,9,10),tblDaily[WardCode],"BF")=0,"",SUMIFS(tblDaily[Admissions],tblDaily[EntryDate],DATE(2026,9,10),tblDaily[WardCode],"BF")),"")</f>
        <v/>
      </c>
      <c r="C328" s="29" t="str">
        <f>IFERROR(IF(SUMIFS(tblDaily[Discharges],tblDaily[EntryDate],DATE(2026,9,10),tblDaily[WardCode],"BF")=0,"",SUMIFS(tblDaily[Discharges],tblDaily[EntryDate],DATE(2026,9,10),tblDaily[WardCode],"BF")),"")</f>
        <v/>
      </c>
      <c r="D328" s="29" t="str">
        <f>IFERROR(IF(SUMIFS(tblDaily[Deaths],tblDaily[EntryDate],DATE(2026,9,10),tblDaily[WardCode],"BF")=0,"",SUMIFS(tblDaily[Deaths],tblDaily[EntryDate],DATE(2026,9,10),tblDaily[WardCode],"BF")),"")</f>
        <v/>
      </c>
      <c r="E328" s="29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29" t="str">
        <f>IFERROR(IF(SUMIFS(tblDaily[TransfersIn],tblDaily[EntryDate],DATE(2026,9,10),tblDaily[WardCode],"BF")=0,"",SUMIFS(tblDaily[TransfersIn],tblDaily[EntryDate],DATE(2026,9,10),tblDaily[WardCode],"BF")),"")</f>
        <v/>
      </c>
      <c r="G328" s="29" t="str">
        <f>IFERROR(IF(SUMIFS(tblDaily[TransfersOut],tblDaily[EntryDate],DATE(2026,9,10),tblDaily[WardCode],"BF")=0,"",SUMIFS(tblDaily[TransfersOut],tblDaily[EntryDate],DATE(2026,9,10),tblDaily[WardCode],"BF")),"")</f>
        <v/>
      </c>
      <c r="H328" s="29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IFERROR(IF(SUMIFS(tblDaily[Admissions],tblDaily[EntryDate],DATE(2026,9,11),tblDaily[WardCode],"BF")=0,"",SUMIFS(tblDaily[Admissions],tblDaily[EntryDate],DATE(2026,9,11),tblDaily[WardCode],"BF")),"")</f>
        <v/>
      </c>
      <c r="C329" s="29" t="str">
        <f>IFERROR(IF(SUMIFS(tblDaily[Discharges],tblDaily[EntryDate],DATE(2026,9,11),tblDaily[WardCode],"BF")=0,"",SUMIFS(tblDaily[Discharges],tblDaily[EntryDate],DATE(2026,9,11),tblDaily[WardCode],"BF")),"")</f>
        <v/>
      </c>
      <c r="D329" s="29" t="str">
        <f>IFERROR(IF(SUMIFS(tblDaily[Deaths],tblDaily[EntryDate],DATE(2026,9,11),tblDaily[WardCode],"BF")=0,"",SUMIFS(tblDaily[Deaths],tblDaily[EntryDate],DATE(2026,9,11),tblDaily[WardCode],"BF")),"")</f>
        <v/>
      </c>
      <c r="E329" s="29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29" t="str">
        <f>IFERROR(IF(SUMIFS(tblDaily[TransfersIn],tblDaily[EntryDate],DATE(2026,9,11),tblDaily[WardCode],"BF")=0,"",SUMIFS(tblDaily[TransfersIn],tblDaily[EntryDate],DATE(2026,9,11),tblDaily[WardCode],"BF")),"")</f>
        <v/>
      </c>
      <c r="G329" s="29" t="str">
        <f>IFERROR(IF(SUMIFS(tblDaily[TransfersOut],tblDaily[EntryDate],DATE(2026,9,11),tblDaily[WardCode],"BF")=0,"",SUMIFS(tblDaily[TransfersOut],tblDaily[EntryDate],DATE(2026,9,11),tblDaily[WardCode],"BF")),"")</f>
        <v/>
      </c>
      <c r="H329" s="29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IFERROR(IF(SUMIFS(tblDaily[Admissions],tblDaily[EntryDate],DATE(2026,9,12),tblDaily[WardCode],"BF")=0,"",SUMIFS(tblDaily[Admissions],tblDaily[EntryDate],DATE(2026,9,12),tblDaily[WardCode],"BF")),"")</f>
        <v/>
      </c>
      <c r="C330" s="29" t="str">
        <f>IFERROR(IF(SUMIFS(tblDaily[Discharges],tblDaily[EntryDate],DATE(2026,9,12),tblDaily[WardCode],"BF")=0,"",SUMIFS(tblDaily[Discharges],tblDaily[EntryDate],DATE(2026,9,12),tblDaily[WardCode],"BF")),"")</f>
        <v/>
      </c>
      <c r="D330" s="29" t="str">
        <f>IFERROR(IF(SUMIFS(tblDaily[Deaths],tblDaily[EntryDate],DATE(2026,9,12),tblDaily[WardCode],"BF")=0,"",SUMIFS(tblDaily[Deaths],tblDaily[EntryDate],DATE(2026,9,12),tblDaily[WardCode],"BF")),"")</f>
        <v/>
      </c>
      <c r="E330" s="29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29" t="str">
        <f>IFERROR(IF(SUMIFS(tblDaily[TransfersIn],tblDaily[EntryDate],DATE(2026,9,12),tblDaily[WardCode],"BF")=0,"",SUMIFS(tblDaily[TransfersIn],tblDaily[EntryDate],DATE(2026,9,12),tblDaily[WardCode],"BF")),"")</f>
        <v/>
      </c>
      <c r="G330" s="29" t="str">
        <f>IFERROR(IF(SUMIFS(tblDaily[TransfersOut],tblDaily[EntryDate],DATE(2026,9,12),tblDaily[WardCode],"BF")=0,"",SUMIFS(tblDaily[TransfersOut],tblDaily[EntryDate],DATE(2026,9,12),tblDaily[WardCode],"BF")),"")</f>
        <v/>
      </c>
      <c r="H330" s="29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IFERROR(IF(SUMIFS(tblDaily[Admissions],tblDaily[EntryDate],DATE(2026,9,13),tblDaily[WardCode],"BF")=0,"",SUMIFS(tblDaily[Admissions],tblDaily[EntryDate],DATE(2026,9,13),tblDaily[WardCode],"BF")),"")</f>
        <v/>
      </c>
      <c r="C331" s="29" t="str">
        <f>IFERROR(IF(SUMIFS(tblDaily[Discharges],tblDaily[EntryDate],DATE(2026,9,13),tblDaily[WardCode],"BF")=0,"",SUMIFS(tblDaily[Discharges],tblDaily[EntryDate],DATE(2026,9,13),tblDaily[WardCode],"BF")),"")</f>
        <v/>
      </c>
      <c r="D331" s="29" t="str">
        <f>IFERROR(IF(SUMIFS(tblDaily[Deaths],tblDaily[EntryDate],DATE(2026,9,13),tblDaily[WardCode],"BF")=0,"",SUMIFS(tblDaily[Deaths],tblDaily[EntryDate],DATE(2026,9,13),tblDaily[WardCode],"BF")),"")</f>
        <v/>
      </c>
      <c r="E331" s="29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29" t="str">
        <f>IFERROR(IF(SUMIFS(tblDaily[TransfersIn],tblDaily[EntryDate],DATE(2026,9,13),tblDaily[WardCode],"BF")=0,"",SUMIFS(tblDaily[TransfersIn],tblDaily[EntryDate],DATE(2026,9,13),tblDaily[WardCode],"BF")),"")</f>
        <v/>
      </c>
      <c r="G331" s="29" t="str">
        <f>IFERROR(IF(SUMIFS(tblDaily[TransfersOut],tblDaily[EntryDate],DATE(2026,9,13),tblDaily[WardCode],"BF")=0,"",SUMIFS(tblDaily[TransfersOut],tblDaily[EntryDate],DATE(2026,9,13),tblDaily[WardCode],"BF")),"")</f>
        <v/>
      </c>
      <c r="H331" s="29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IFERROR(IF(SUMIFS(tblDaily[Admissions],tblDaily[EntryDate],DATE(2026,9,14),tblDaily[WardCode],"BF")=0,"",SUMIFS(tblDaily[Admissions],tblDaily[EntryDate],DATE(2026,9,14),tblDaily[WardCode],"BF")),"")</f>
        <v/>
      </c>
      <c r="C332" s="29" t="str">
        <f>IFERROR(IF(SUMIFS(tblDaily[Discharges],tblDaily[EntryDate],DATE(2026,9,14),tblDaily[WardCode],"BF")=0,"",SUMIFS(tblDaily[Discharges],tblDaily[EntryDate],DATE(2026,9,14),tblDaily[WardCode],"BF")),"")</f>
        <v/>
      </c>
      <c r="D332" s="29" t="str">
        <f>IFERROR(IF(SUMIFS(tblDaily[Deaths],tblDaily[EntryDate],DATE(2026,9,14),tblDaily[WardCode],"BF")=0,"",SUMIFS(tblDaily[Deaths],tblDaily[EntryDate],DATE(2026,9,14),tblDaily[WardCode],"BF")),"")</f>
        <v/>
      </c>
      <c r="E332" s="29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29" t="str">
        <f>IFERROR(IF(SUMIFS(tblDaily[TransfersIn],tblDaily[EntryDate],DATE(2026,9,14),tblDaily[WardCode],"BF")=0,"",SUMIFS(tblDaily[TransfersIn],tblDaily[EntryDate],DATE(2026,9,14),tblDaily[WardCode],"BF")),"")</f>
        <v/>
      </c>
      <c r="G332" s="29" t="str">
        <f>IFERROR(IF(SUMIFS(tblDaily[TransfersOut],tblDaily[EntryDate],DATE(2026,9,14),tblDaily[WardCode],"BF")=0,"",SUMIFS(tblDaily[TransfersOut],tblDaily[EntryDate],DATE(2026,9,14),tblDaily[WardCode],"BF")),"")</f>
        <v/>
      </c>
      <c r="H332" s="29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IFERROR(IF(SUMIFS(tblDaily[Admissions],tblDaily[EntryDate],DATE(2026,9,15),tblDaily[WardCode],"BF")=0,"",SUMIFS(tblDaily[Admissions],tblDaily[EntryDate],DATE(2026,9,15),tblDaily[WardCode],"BF")),"")</f>
        <v/>
      </c>
      <c r="C333" s="29" t="str">
        <f>IFERROR(IF(SUMIFS(tblDaily[Discharges],tblDaily[EntryDate],DATE(2026,9,15),tblDaily[WardCode],"BF")=0,"",SUMIFS(tblDaily[Discharges],tblDaily[EntryDate],DATE(2026,9,15),tblDaily[WardCode],"BF")),"")</f>
        <v/>
      </c>
      <c r="D333" s="29" t="str">
        <f>IFERROR(IF(SUMIFS(tblDaily[Deaths],tblDaily[EntryDate],DATE(2026,9,15),tblDaily[WardCode],"BF")=0,"",SUMIFS(tblDaily[Deaths],tblDaily[EntryDate],DATE(2026,9,15),tblDaily[WardCode],"BF")),"")</f>
        <v/>
      </c>
      <c r="E333" s="29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29" t="str">
        <f>IFERROR(IF(SUMIFS(tblDaily[TransfersIn],tblDaily[EntryDate],DATE(2026,9,15),tblDaily[WardCode],"BF")=0,"",SUMIFS(tblDaily[TransfersIn],tblDaily[EntryDate],DATE(2026,9,15),tblDaily[WardCode],"BF")),"")</f>
        <v/>
      </c>
      <c r="G333" s="29" t="str">
        <f>IFERROR(IF(SUMIFS(tblDaily[TransfersOut],tblDaily[EntryDate],DATE(2026,9,15),tblDaily[WardCode],"BF")=0,"",SUMIFS(tblDaily[TransfersOut],tblDaily[EntryDate],DATE(2026,9,15),tblDaily[WardCode],"BF")),"")</f>
        <v/>
      </c>
      <c r="H333" s="29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IFERROR(IF(SUMIFS(tblDaily[Admissions],tblDaily[EntryDate],DATE(2026,9,16),tblDaily[WardCode],"BF")=0,"",SUMIFS(tblDaily[Admissions],tblDaily[EntryDate],DATE(2026,9,16),tblDaily[WardCode],"BF")),"")</f>
        <v/>
      </c>
      <c r="C334" s="29" t="str">
        <f>IFERROR(IF(SUMIFS(tblDaily[Discharges],tblDaily[EntryDate],DATE(2026,9,16),tblDaily[WardCode],"BF")=0,"",SUMIFS(tblDaily[Discharges],tblDaily[EntryDate],DATE(2026,9,16),tblDaily[WardCode],"BF")),"")</f>
        <v/>
      </c>
      <c r="D334" s="29" t="str">
        <f>IFERROR(IF(SUMIFS(tblDaily[Deaths],tblDaily[EntryDate],DATE(2026,9,16),tblDaily[WardCode],"BF")=0,"",SUMIFS(tblDaily[Deaths],tblDaily[EntryDate],DATE(2026,9,16),tblDaily[WardCode],"BF")),"")</f>
        <v/>
      </c>
      <c r="E334" s="29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29" t="str">
        <f>IFERROR(IF(SUMIFS(tblDaily[TransfersIn],tblDaily[EntryDate],DATE(2026,9,16),tblDaily[WardCode],"BF")=0,"",SUMIFS(tblDaily[TransfersIn],tblDaily[EntryDate],DATE(2026,9,16),tblDaily[WardCode],"BF")),"")</f>
        <v/>
      </c>
      <c r="G334" s="29" t="str">
        <f>IFERROR(IF(SUMIFS(tblDaily[TransfersOut],tblDaily[EntryDate],DATE(2026,9,16),tblDaily[WardCode],"BF")=0,"",SUMIFS(tblDaily[TransfersOut],tblDaily[EntryDate],DATE(2026,9,16),tblDaily[WardCode],"BF")),"")</f>
        <v/>
      </c>
      <c r="H334" s="29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IFERROR(IF(SUMIFS(tblDaily[Admissions],tblDaily[EntryDate],DATE(2026,9,17),tblDaily[WardCode],"BF")=0,"",SUMIFS(tblDaily[Admissions],tblDaily[EntryDate],DATE(2026,9,17),tblDaily[WardCode],"BF")),"")</f>
        <v/>
      </c>
      <c r="C335" s="29" t="str">
        <f>IFERROR(IF(SUMIFS(tblDaily[Discharges],tblDaily[EntryDate],DATE(2026,9,17),tblDaily[WardCode],"BF")=0,"",SUMIFS(tblDaily[Discharges],tblDaily[EntryDate],DATE(2026,9,17),tblDaily[WardCode],"BF")),"")</f>
        <v/>
      </c>
      <c r="D335" s="29" t="str">
        <f>IFERROR(IF(SUMIFS(tblDaily[Deaths],tblDaily[EntryDate],DATE(2026,9,17),tblDaily[WardCode],"BF")=0,"",SUMIFS(tblDaily[Deaths],tblDaily[EntryDate],DATE(2026,9,17),tblDaily[WardCode],"BF")),"")</f>
        <v/>
      </c>
      <c r="E335" s="29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29" t="str">
        <f>IFERROR(IF(SUMIFS(tblDaily[TransfersIn],tblDaily[EntryDate],DATE(2026,9,17),tblDaily[WardCode],"BF")=0,"",SUMIFS(tblDaily[TransfersIn],tblDaily[EntryDate],DATE(2026,9,17),tblDaily[WardCode],"BF")),"")</f>
        <v/>
      </c>
      <c r="G335" s="29" t="str">
        <f>IFERROR(IF(SUMIFS(tblDaily[TransfersOut],tblDaily[EntryDate],DATE(2026,9,17),tblDaily[WardCode],"BF")=0,"",SUMIFS(tblDaily[TransfersOut],tblDaily[EntryDate],DATE(2026,9,17),tblDaily[WardCode],"BF")),"")</f>
        <v/>
      </c>
      <c r="H335" s="29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IFERROR(IF(SUMIFS(tblDaily[Admissions],tblDaily[EntryDate],DATE(2026,9,18),tblDaily[WardCode],"BF")=0,"",SUMIFS(tblDaily[Admissions],tblDaily[EntryDate],DATE(2026,9,18),tblDaily[WardCode],"BF")),"")</f>
        <v/>
      </c>
      <c r="C336" s="29" t="str">
        <f>IFERROR(IF(SUMIFS(tblDaily[Discharges],tblDaily[EntryDate],DATE(2026,9,18),tblDaily[WardCode],"BF")=0,"",SUMIFS(tblDaily[Discharges],tblDaily[EntryDate],DATE(2026,9,18),tblDaily[WardCode],"BF")),"")</f>
        <v/>
      </c>
      <c r="D336" s="29" t="str">
        <f>IFERROR(IF(SUMIFS(tblDaily[Deaths],tblDaily[EntryDate],DATE(2026,9,18),tblDaily[WardCode],"BF")=0,"",SUMIFS(tblDaily[Deaths],tblDaily[EntryDate],DATE(2026,9,18),tblDaily[WardCode],"BF")),"")</f>
        <v/>
      </c>
      <c r="E336" s="29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29" t="str">
        <f>IFERROR(IF(SUMIFS(tblDaily[TransfersIn],tblDaily[EntryDate],DATE(2026,9,18),tblDaily[WardCode],"BF")=0,"",SUMIFS(tblDaily[TransfersIn],tblDaily[EntryDate],DATE(2026,9,18),tblDaily[WardCode],"BF")),"")</f>
        <v/>
      </c>
      <c r="G336" s="29" t="str">
        <f>IFERROR(IF(SUMIFS(tblDaily[TransfersOut],tblDaily[EntryDate],DATE(2026,9,18),tblDaily[WardCode],"BF")=0,"",SUMIFS(tblDaily[TransfersOut],tblDaily[EntryDate],DATE(2026,9,18),tblDaily[WardCode],"BF")),"")</f>
        <v/>
      </c>
      <c r="H336" s="29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IFERROR(IF(SUMIFS(tblDaily[Admissions],tblDaily[EntryDate],DATE(2026,9,19),tblDaily[WardCode],"BF")=0,"",SUMIFS(tblDaily[Admissions],tblDaily[EntryDate],DATE(2026,9,19),tblDaily[WardCode],"BF")),"")</f>
        <v/>
      </c>
      <c r="C337" s="29" t="str">
        <f>IFERROR(IF(SUMIFS(tblDaily[Discharges],tblDaily[EntryDate],DATE(2026,9,19),tblDaily[WardCode],"BF")=0,"",SUMIFS(tblDaily[Discharges],tblDaily[EntryDate],DATE(2026,9,19),tblDaily[WardCode],"BF")),"")</f>
        <v/>
      </c>
      <c r="D337" s="29" t="str">
        <f>IFERROR(IF(SUMIFS(tblDaily[Deaths],tblDaily[EntryDate],DATE(2026,9,19),tblDaily[WardCode],"BF")=0,"",SUMIFS(tblDaily[Deaths],tblDaily[EntryDate],DATE(2026,9,19),tblDaily[WardCode],"BF")),"")</f>
        <v/>
      </c>
      <c r="E337" s="29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29" t="str">
        <f>IFERROR(IF(SUMIFS(tblDaily[TransfersIn],tblDaily[EntryDate],DATE(2026,9,19),tblDaily[WardCode],"BF")=0,"",SUMIFS(tblDaily[TransfersIn],tblDaily[EntryDate],DATE(2026,9,19),tblDaily[WardCode],"BF")),"")</f>
        <v/>
      </c>
      <c r="G337" s="29" t="str">
        <f>IFERROR(IF(SUMIFS(tblDaily[TransfersOut],tblDaily[EntryDate],DATE(2026,9,19),tblDaily[WardCode],"BF")=0,"",SUMIFS(tblDaily[TransfersOut],tblDaily[EntryDate],DATE(2026,9,19),tblDaily[WardCode],"BF")),"")</f>
        <v/>
      </c>
      <c r="H337" s="29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IFERROR(IF(SUMIFS(tblDaily[Admissions],tblDaily[EntryDate],DATE(2026,9,20),tblDaily[WardCode],"BF")=0,"",SUMIFS(tblDaily[Admissions],tblDaily[EntryDate],DATE(2026,9,20),tblDaily[WardCode],"BF")),"")</f>
        <v/>
      </c>
      <c r="C338" s="29" t="str">
        <f>IFERROR(IF(SUMIFS(tblDaily[Discharges],tblDaily[EntryDate],DATE(2026,9,20),tblDaily[WardCode],"BF")=0,"",SUMIFS(tblDaily[Discharges],tblDaily[EntryDate],DATE(2026,9,20),tblDaily[WardCode],"BF")),"")</f>
        <v/>
      </c>
      <c r="D338" s="29" t="str">
        <f>IFERROR(IF(SUMIFS(tblDaily[Deaths],tblDaily[EntryDate],DATE(2026,9,20),tblDaily[WardCode],"BF")=0,"",SUMIFS(tblDaily[Deaths],tblDaily[EntryDate],DATE(2026,9,20),tblDaily[WardCode],"BF")),"")</f>
        <v/>
      </c>
      <c r="E338" s="29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29" t="str">
        <f>IFERROR(IF(SUMIFS(tblDaily[TransfersIn],tblDaily[EntryDate],DATE(2026,9,20),tblDaily[WardCode],"BF")=0,"",SUMIFS(tblDaily[TransfersIn],tblDaily[EntryDate],DATE(2026,9,20),tblDaily[WardCode],"BF")),"")</f>
        <v/>
      </c>
      <c r="G338" s="29" t="str">
        <f>IFERROR(IF(SUMIFS(tblDaily[TransfersOut],tblDaily[EntryDate],DATE(2026,9,20),tblDaily[WardCode],"BF")=0,"",SUMIFS(tblDaily[TransfersOut],tblDaily[EntryDate],DATE(2026,9,20),tblDaily[WardCode],"BF")),"")</f>
        <v/>
      </c>
      <c r="H338" s="29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IFERROR(IF(SUMIFS(tblDaily[Admissions],tblDaily[EntryDate],DATE(2026,9,21),tblDaily[WardCode],"BF")=0,"",SUMIFS(tblDaily[Admissions],tblDaily[EntryDate],DATE(2026,9,21),tblDaily[WardCode],"BF")),"")</f>
        <v/>
      </c>
      <c r="C339" s="29" t="str">
        <f>IFERROR(IF(SUMIFS(tblDaily[Discharges],tblDaily[EntryDate],DATE(2026,9,21),tblDaily[WardCode],"BF")=0,"",SUMIFS(tblDaily[Discharges],tblDaily[EntryDate],DATE(2026,9,21),tblDaily[WardCode],"BF")),"")</f>
        <v/>
      </c>
      <c r="D339" s="29" t="str">
        <f>IFERROR(IF(SUMIFS(tblDaily[Deaths],tblDaily[EntryDate],DATE(2026,9,21),tblDaily[WardCode],"BF")=0,"",SUMIFS(tblDaily[Deaths],tblDaily[EntryDate],DATE(2026,9,21),tblDaily[WardCode],"BF")),"")</f>
        <v/>
      </c>
      <c r="E339" s="29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29" t="str">
        <f>IFERROR(IF(SUMIFS(tblDaily[TransfersIn],tblDaily[EntryDate],DATE(2026,9,21),tblDaily[WardCode],"BF")=0,"",SUMIFS(tblDaily[TransfersIn],tblDaily[EntryDate],DATE(2026,9,21),tblDaily[WardCode],"BF")),"")</f>
        <v/>
      </c>
      <c r="G339" s="29" t="str">
        <f>IFERROR(IF(SUMIFS(tblDaily[TransfersOut],tblDaily[EntryDate],DATE(2026,9,21),tblDaily[WardCode],"BF")=0,"",SUMIFS(tblDaily[TransfersOut],tblDaily[EntryDate],DATE(2026,9,21),tblDaily[WardCode],"BF")),"")</f>
        <v/>
      </c>
      <c r="H339" s="29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IFERROR(IF(SUMIFS(tblDaily[Admissions],tblDaily[EntryDate],DATE(2026,9,22),tblDaily[WardCode],"BF")=0,"",SUMIFS(tblDaily[Admissions],tblDaily[EntryDate],DATE(2026,9,22),tblDaily[WardCode],"BF")),"")</f>
        <v/>
      </c>
      <c r="C340" s="29" t="str">
        <f>IFERROR(IF(SUMIFS(tblDaily[Discharges],tblDaily[EntryDate],DATE(2026,9,22),tblDaily[WardCode],"BF")=0,"",SUMIFS(tblDaily[Discharges],tblDaily[EntryDate],DATE(2026,9,22),tblDaily[WardCode],"BF")),"")</f>
        <v/>
      </c>
      <c r="D340" s="29" t="str">
        <f>IFERROR(IF(SUMIFS(tblDaily[Deaths],tblDaily[EntryDate],DATE(2026,9,22),tblDaily[WardCode],"BF")=0,"",SUMIFS(tblDaily[Deaths],tblDaily[EntryDate],DATE(2026,9,22),tblDaily[WardCode],"BF")),"")</f>
        <v/>
      </c>
      <c r="E340" s="29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29" t="str">
        <f>IFERROR(IF(SUMIFS(tblDaily[TransfersIn],tblDaily[EntryDate],DATE(2026,9,22),tblDaily[WardCode],"BF")=0,"",SUMIFS(tblDaily[TransfersIn],tblDaily[EntryDate],DATE(2026,9,22),tblDaily[WardCode],"BF")),"")</f>
        <v/>
      </c>
      <c r="G340" s="29" t="str">
        <f>IFERROR(IF(SUMIFS(tblDaily[TransfersOut],tblDaily[EntryDate],DATE(2026,9,22),tblDaily[WardCode],"BF")=0,"",SUMIFS(tblDaily[TransfersOut],tblDaily[EntryDate],DATE(2026,9,22),tblDaily[WardCode],"BF")),"")</f>
        <v/>
      </c>
      <c r="H340" s="29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IFERROR(IF(SUMIFS(tblDaily[Admissions],tblDaily[EntryDate],DATE(2026,9,23),tblDaily[WardCode],"BF")=0,"",SUMIFS(tblDaily[Admissions],tblDaily[EntryDate],DATE(2026,9,23),tblDaily[WardCode],"BF")),"")</f>
        <v/>
      </c>
      <c r="C341" s="29" t="str">
        <f>IFERROR(IF(SUMIFS(tblDaily[Discharges],tblDaily[EntryDate],DATE(2026,9,23),tblDaily[WardCode],"BF")=0,"",SUMIFS(tblDaily[Discharges],tblDaily[EntryDate],DATE(2026,9,23),tblDaily[WardCode],"BF")),"")</f>
        <v/>
      </c>
      <c r="D341" s="29" t="str">
        <f>IFERROR(IF(SUMIFS(tblDaily[Deaths],tblDaily[EntryDate],DATE(2026,9,23),tblDaily[WardCode],"BF")=0,"",SUMIFS(tblDaily[Deaths],tblDaily[EntryDate],DATE(2026,9,23),tblDaily[WardCode],"BF")),"")</f>
        <v/>
      </c>
      <c r="E341" s="29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29" t="str">
        <f>IFERROR(IF(SUMIFS(tblDaily[TransfersIn],tblDaily[EntryDate],DATE(2026,9,23),tblDaily[WardCode],"BF")=0,"",SUMIFS(tblDaily[TransfersIn],tblDaily[EntryDate],DATE(2026,9,23),tblDaily[WardCode],"BF")),"")</f>
        <v/>
      </c>
      <c r="G341" s="29" t="str">
        <f>IFERROR(IF(SUMIFS(tblDaily[TransfersOut],tblDaily[EntryDate],DATE(2026,9,23),tblDaily[WardCode],"BF")=0,"",SUMIFS(tblDaily[TransfersOut],tblDaily[EntryDate],DATE(2026,9,23),tblDaily[WardCode],"BF")),"")</f>
        <v/>
      </c>
      <c r="H341" s="29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IFERROR(IF(SUMIFS(tblDaily[Admissions],tblDaily[EntryDate],DATE(2026,9,24),tblDaily[WardCode],"BF")=0,"",SUMIFS(tblDaily[Admissions],tblDaily[EntryDate],DATE(2026,9,24),tblDaily[WardCode],"BF")),"")</f>
        <v/>
      </c>
      <c r="C342" s="29" t="str">
        <f>IFERROR(IF(SUMIFS(tblDaily[Discharges],tblDaily[EntryDate],DATE(2026,9,24),tblDaily[WardCode],"BF")=0,"",SUMIFS(tblDaily[Discharges],tblDaily[EntryDate],DATE(2026,9,24),tblDaily[WardCode],"BF")),"")</f>
        <v/>
      </c>
      <c r="D342" s="29" t="str">
        <f>IFERROR(IF(SUMIFS(tblDaily[Deaths],tblDaily[EntryDate],DATE(2026,9,24),tblDaily[WardCode],"BF")=0,"",SUMIFS(tblDaily[Deaths],tblDaily[EntryDate],DATE(2026,9,24),tblDaily[WardCode],"BF")),"")</f>
        <v/>
      </c>
      <c r="E342" s="29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29" t="str">
        <f>IFERROR(IF(SUMIFS(tblDaily[TransfersIn],tblDaily[EntryDate],DATE(2026,9,24),tblDaily[WardCode],"BF")=0,"",SUMIFS(tblDaily[TransfersIn],tblDaily[EntryDate],DATE(2026,9,24),tblDaily[WardCode],"BF")),"")</f>
        <v/>
      </c>
      <c r="G342" s="29" t="str">
        <f>IFERROR(IF(SUMIFS(tblDaily[TransfersOut],tblDaily[EntryDate],DATE(2026,9,24),tblDaily[WardCode],"BF")=0,"",SUMIFS(tblDaily[TransfersOut],tblDaily[EntryDate],DATE(2026,9,24),tblDaily[WardCode],"BF")),"")</f>
        <v/>
      </c>
      <c r="H342" s="29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IFERROR(IF(SUMIFS(tblDaily[Admissions],tblDaily[EntryDate],DATE(2026,9,25),tblDaily[WardCode],"BF")=0,"",SUMIFS(tblDaily[Admissions],tblDaily[EntryDate],DATE(2026,9,25),tblDaily[WardCode],"BF")),"")</f>
        <v/>
      </c>
      <c r="C343" s="29" t="str">
        <f>IFERROR(IF(SUMIFS(tblDaily[Discharges],tblDaily[EntryDate],DATE(2026,9,25),tblDaily[WardCode],"BF")=0,"",SUMIFS(tblDaily[Discharges],tblDaily[EntryDate],DATE(2026,9,25),tblDaily[WardCode],"BF")),"")</f>
        <v/>
      </c>
      <c r="D343" s="29" t="str">
        <f>IFERROR(IF(SUMIFS(tblDaily[Deaths],tblDaily[EntryDate],DATE(2026,9,25),tblDaily[WardCode],"BF")=0,"",SUMIFS(tblDaily[Deaths],tblDaily[EntryDate],DATE(2026,9,25),tblDaily[WardCode],"BF")),"")</f>
        <v/>
      </c>
      <c r="E343" s="29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29" t="str">
        <f>IFERROR(IF(SUMIFS(tblDaily[TransfersIn],tblDaily[EntryDate],DATE(2026,9,25),tblDaily[WardCode],"BF")=0,"",SUMIFS(tblDaily[TransfersIn],tblDaily[EntryDate],DATE(2026,9,25),tblDaily[WardCode],"BF")),"")</f>
        <v/>
      </c>
      <c r="G343" s="29" t="str">
        <f>IFERROR(IF(SUMIFS(tblDaily[TransfersOut],tblDaily[EntryDate],DATE(2026,9,25),tblDaily[WardCode],"BF")=0,"",SUMIFS(tblDaily[TransfersOut],tblDaily[EntryDate],DATE(2026,9,25),tblDaily[WardCode],"BF")),"")</f>
        <v/>
      </c>
      <c r="H343" s="29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IFERROR(IF(SUMIFS(tblDaily[Admissions],tblDaily[EntryDate],DATE(2026,9,26),tblDaily[WardCode],"BF")=0,"",SUMIFS(tblDaily[Admissions],tblDaily[EntryDate],DATE(2026,9,26),tblDaily[WardCode],"BF")),"")</f>
        <v/>
      </c>
      <c r="C344" s="29" t="str">
        <f>IFERROR(IF(SUMIFS(tblDaily[Discharges],tblDaily[EntryDate],DATE(2026,9,26),tblDaily[WardCode],"BF")=0,"",SUMIFS(tblDaily[Discharges],tblDaily[EntryDate],DATE(2026,9,26),tblDaily[WardCode],"BF")),"")</f>
        <v/>
      </c>
      <c r="D344" s="29" t="str">
        <f>IFERROR(IF(SUMIFS(tblDaily[Deaths],tblDaily[EntryDate],DATE(2026,9,26),tblDaily[WardCode],"BF")=0,"",SUMIFS(tblDaily[Deaths],tblDaily[EntryDate],DATE(2026,9,26),tblDaily[WardCode],"BF")),"")</f>
        <v/>
      </c>
      <c r="E344" s="29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29" t="str">
        <f>IFERROR(IF(SUMIFS(tblDaily[TransfersIn],tblDaily[EntryDate],DATE(2026,9,26),tblDaily[WardCode],"BF")=0,"",SUMIFS(tblDaily[TransfersIn],tblDaily[EntryDate],DATE(2026,9,26),tblDaily[WardCode],"BF")),"")</f>
        <v/>
      </c>
      <c r="G344" s="29" t="str">
        <f>IFERROR(IF(SUMIFS(tblDaily[TransfersOut],tblDaily[EntryDate],DATE(2026,9,26),tblDaily[WardCode],"BF")=0,"",SUMIFS(tblDaily[TransfersOut],tblDaily[EntryDate],DATE(2026,9,26),tblDaily[WardCode],"BF")),"")</f>
        <v/>
      </c>
      <c r="H344" s="29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IFERROR(IF(SUMIFS(tblDaily[Admissions],tblDaily[EntryDate],DATE(2026,9,27),tblDaily[WardCode],"BF")=0,"",SUMIFS(tblDaily[Admissions],tblDaily[EntryDate],DATE(2026,9,27),tblDaily[WardCode],"BF")),"")</f>
        <v/>
      </c>
      <c r="C345" s="29" t="str">
        <f>IFERROR(IF(SUMIFS(tblDaily[Discharges],tblDaily[EntryDate],DATE(2026,9,27),tblDaily[WardCode],"BF")=0,"",SUMIFS(tblDaily[Discharges],tblDaily[EntryDate],DATE(2026,9,27),tblDaily[WardCode],"BF")),"")</f>
        <v/>
      </c>
      <c r="D345" s="29" t="str">
        <f>IFERROR(IF(SUMIFS(tblDaily[Deaths],tblDaily[EntryDate],DATE(2026,9,27),tblDaily[WardCode],"BF")=0,"",SUMIFS(tblDaily[Deaths],tblDaily[EntryDate],DATE(2026,9,27),tblDaily[WardCode],"BF")),"")</f>
        <v/>
      </c>
      <c r="E345" s="29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29" t="str">
        <f>IFERROR(IF(SUMIFS(tblDaily[TransfersIn],tblDaily[EntryDate],DATE(2026,9,27),tblDaily[WardCode],"BF")=0,"",SUMIFS(tblDaily[TransfersIn],tblDaily[EntryDate],DATE(2026,9,27),tblDaily[WardCode],"BF")),"")</f>
        <v/>
      </c>
      <c r="G345" s="29" t="str">
        <f>IFERROR(IF(SUMIFS(tblDaily[TransfersOut],tblDaily[EntryDate],DATE(2026,9,27),tblDaily[WardCode],"BF")=0,"",SUMIFS(tblDaily[TransfersOut],tblDaily[EntryDate],DATE(2026,9,27),tblDaily[WardCode],"BF")),"")</f>
        <v/>
      </c>
      <c r="H345" s="29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IFERROR(IF(SUMIFS(tblDaily[Admissions],tblDaily[EntryDate],DATE(2026,9,28),tblDaily[WardCode],"BF")=0,"",SUMIFS(tblDaily[Admissions],tblDaily[EntryDate],DATE(2026,9,28),tblDaily[WardCode],"BF")),"")</f>
        <v/>
      </c>
      <c r="C346" s="29" t="str">
        <f>IFERROR(IF(SUMIFS(tblDaily[Discharges],tblDaily[EntryDate],DATE(2026,9,28),tblDaily[WardCode],"BF")=0,"",SUMIFS(tblDaily[Discharges],tblDaily[EntryDate],DATE(2026,9,28),tblDaily[WardCode],"BF")),"")</f>
        <v/>
      </c>
      <c r="D346" s="29" t="str">
        <f>IFERROR(IF(SUMIFS(tblDaily[Deaths],tblDaily[EntryDate],DATE(2026,9,28),tblDaily[WardCode],"BF")=0,"",SUMIFS(tblDaily[Deaths],tblDaily[EntryDate],DATE(2026,9,28),tblDaily[WardCode],"BF")),"")</f>
        <v/>
      </c>
      <c r="E346" s="29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29" t="str">
        <f>IFERROR(IF(SUMIFS(tblDaily[TransfersIn],tblDaily[EntryDate],DATE(2026,9,28),tblDaily[WardCode],"BF")=0,"",SUMIFS(tblDaily[TransfersIn],tblDaily[EntryDate],DATE(2026,9,28),tblDaily[WardCode],"BF")),"")</f>
        <v/>
      </c>
      <c r="G346" s="29" t="str">
        <f>IFERROR(IF(SUMIFS(tblDaily[TransfersOut],tblDaily[EntryDate],DATE(2026,9,28),tblDaily[WardCode],"BF")=0,"",SUMIFS(tblDaily[TransfersOut],tblDaily[EntryDate],DATE(2026,9,28),tblDaily[WardCode],"BF")),"")</f>
        <v/>
      </c>
      <c r="H346" s="29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IFERROR(IF(SUMIFS(tblDaily[Admissions],tblDaily[EntryDate],DATE(2026,9,29),tblDaily[WardCode],"BF")=0,"",SUMIFS(tblDaily[Admissions],tblDaily[EntryDate],DATE(2026,9,29),tblDaily[WardCode],"BF")),"")</f>
        <v/>
      </c>
      <c r="C347" s="29" t="str">
        <f>IFERROR(IF(SUMIFS(tblDaily[Discharges],tblDaily[EntryDate],DATE(2026,9,29),tblDaily[WardCode],"BF")=0,"",SUMIFS(tblDaily[Discharges],tblDaily[EntryDate],DATE(2026,9,29),tblDaily[WardCode],"BF")),"")</f>
        <v/>
      </c>
      <c r="D347" s="29" t="str">
        <f>IFERROR(IF(SUMIFS(tblDaily[Deaths],tblDaily[EntryDate],DATE(2026,9,29),tblDaily[WardCode],"BF")=0,"",SUMIFS(tblDaily[Deaths],tblDaily[EntryDate],DATE(2026,9,29),tblDaily[WardCode],"BF")),"")</f>
        <v/>
      </c>
      <c r="E347" s="29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29" t="str">
        <f>IFERROR(IF(SUMIFS(tblDaily[TransfersIn],tblDaily[EntryDate],DATE(2026,9,29),tblDaily[WardCode],"BF")=0,"",SUMIFS(tblDaily[TransfersIn],tblDaily[EntryDate],DATE(2026,9,29),tblDaily[WardCode],"BF")),"")</f>
        <v/>
      </c>
      <c r="G347" s="29" t="str">
        <f>IFERROR(IF(SUMIFS(tblDaily[TransfersOut],tblDaily[EntryDate],DATE(2026,9,29),tblDaily[WardCode],"BF")=0,"",SUMIFS(tblDaily[TransfersOut],tblDaily[EntryDate],DATE(2026,9,29),tblDaily[WardCode],"BF")),"")</f>
        <v/>
      </c>
      <c r="H347" s="29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IFERROR(IF(SUMIFS(tblDaily[Admissions],tblDaily[EntryDate],DATE(2026,9,30),tblDaily[WardCode],"BF")=0,"",SUMIFS(tblDaily[Admissions],tblDaily[EntryDate],DATE(2026,9,30),tblDaily[WardCode],"BF")),"")</f>
        <v/>
      </c>
      <c r="C348" s="29" t="str">
        <f>IFERROR(IF(SUMIFS(tblDaily[Discharges],tblDaily[EntryDate],DATE(2026,9,30),tblDaily[WardCode],"BF")=0,"",SUMIFS(tblDaily[Discharges],tblDaily[EntryDate],DATE(2026,9,30),tblDaily[WardCode],"BF")),"")</f>
        <v/>
      </c>
      <c r="D348" s="29" t="str">
        <f>IFERROR(IF(SUMIFS(tblDaily[Deaths],tblDaily[EntryDate],DATE(2026,9,30),tblDaily[WardCode],"BF")=0,"",SUMIFS(tblDaily[Deaths],tblDaily[EntryDate],DATE(2026,9,30),tblDaily[WardCode],"BF")),"")</f>
        <v/>
      </c>
      <c r="E348" s="29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29" t="str">
        <f>IFERROR(IF(SUMIFS(tblDaily[TransfersIn],tblDaily[EntryDate],DATE(2026,9,30),tblDaily[WardCode],"BF")=0,"",SUMIFS(tblDaily[TransfersIn],tblDaily[EntryDate],DATE(2026,9,30),tblDaily[WardCode],"BF")),"")</f>
        <v/>
      </c>
      <c r="G348" s="29" t="str">
        <f>IFERROR(IF(SUMIFS(tblDaily[TransfersOut],tblDaily[EntryDate],DATE(2026,9,30),tblDaily[WardCode],"BF")=0,"",SUMIFS(tblDaily[TransfersOut],tblDaily[EntryDate],DATE(2026,9,30),tblDaily[WardCode],"BF")),"")</f>
        <v/>
      </c>
      <c r="H348" s="29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SUMIFS(tblDaily[Admissions],tblDaily[Month],9,tblDaily[WardCode],"BF") - SUMIFS(tblDaily[DeathsUnder24Hrs],tblDaily[Month],9,tblDaily[WardCode],"BF")</f>
        <v>0</v>
      </c>
      <c r="C350" s="30">
        <f>SUMIFS(tblDaily[Discharges],tblDaily[Month],9,tblDaily[WardCode],"BF")</f>
        <v>0</v>
      </c>
      <c r="D350" s="30">
        <f>SUMIFS(tblDaily[Deaths],tblDaily[Month],9,tblDaily[WardCode],"BF")</f>
        <v>0</v>
      </c>
      <c r="E350" s="30">
        <f>SUMIFS(tblDaily[DeathsUnder24Hrs],tblDaily[Month],9,tblDaily[WardCode],"BF")</f>
        <v>0</v>
      </c>
      <c r="F350" s="30">
        <f>SUMIFS(tblDaily[TransfersIn],tblDaily[Month],9,tblDaily[WardCode],"BF")</f>
        <v>0</v>
      </c>
      <c r="G350" s="30">
        <f>SUMIFS(tblDaily[TransfersOut],tblDaily[Month],9,tblDaily[WardCode],"BF")</f>
        <v>0</v>
      </c>
      <c r="H350" s="30">
        <f>SUMIFS(tblDaily[Remaining],tblDaily[Month],9,tblDaily[WardCode],"BF")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118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IFERROR(SUMIFS(tblDaily[Remaining],tblDaily[EntryDate],DATE(2026,9,30),tblDaily[WardCode],"BF"),0)</f>
        <v>0</v>
      </c>
    </row>
    <row r="356" spans="1:8" x14ac:dyDescent="0.25">
      <c r="A356" s="24" t="s">
        <v>109</v>
      </c>
      <c r="H356" s="27">
        <f>IFERROR(INDEX(tblWardConfig[BedComplement],MATCH("BF",tblWardConfig[WardCode],0)),0)</f>
        <v>20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IFERROR(IF(SUMIFS(tblDaily[Admissions],tblDaily[EntryDate],DATE(2026,10,1),tblDaily[WardCode],"BF")=0,"",SUMIFS(tblDaily[Admissions],tblDaily[EntryDate],DATE(2026,10,1),tblDaily[WardCode],"BF")),"")</f>
        <v/>
      </c>
      <c r="C358" s="29" t="str">
        <f>IFERROR(IF(SUMIFS(tblDaily[Discharges],tblDaily[EntryDate],DATE(2026,10,1),tblDaily[WardCode],"BF")=0,"",SUMIFS(tblDaily[Discharges],tblDaily[EntryDate],DATE(2026,10,1),tblDaily[WardCode],"BF")),"")</f>
        <v/>
      </c>
      <c r="D358" s="29" t="str">
        <f>IFERROR(IF(SUMIFS(tblDaily[Deaths],tblDaily[EntryDate],DATE(2026,10,1),tblDaily[WardCode],"BF")=0,"",SUMIFS(tblDaily[Deaths],tblDaily[EntryDate],DATE(2026,10,1),tblDaily[WardCode],"BF")),"")</f>
        <v/>
      </c>
      <c r="E358" s="29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29" t="str">
        <f>IFERROR(IF(SUMIFS(tblDaily[TransfersIn],tblDaily[EntryDate],DATE(2026,10,1),tblDaily[WardCode],"BF")=0,"",SUMIFS(tblDaily[TransfersIn],tblDaily[EntryDate],DATE(2026,10,1),tblDaily[WardCode],"BF")),"")</f>
        <v/>
      </c>
      <c r="G358" s="29" t="str">
        <f>IFERROR(IF(SUMIFS(tblDaily[TransfersOut],tblDaily[EntryDate],DATE(2026,10,1),tblDaily[WardCode],"BF")=0,"",SUMIFS(tblDaily[TransfersOut],tblDaily[EntryDate],DATE(2026,10,1),tblDaily[WardCode],"BF")),"")</f>
        <v/>
      </c>
      <c r="H358" s="29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IFERROR(IF(SUMIFS(tblDaily[Admissions],tblDaily[EntryDate],DATE(2026,10,2),tblDaily[WardCode],"BF")=0,"",SUMIFS(tblDaily[Admissions],tblDaily[EntryDate],DATE(2026,10,2),tblDaily[WardCode],"BF")),"")</f>
        <v/>
      </c>
      <c r="C359" s="29" t="str">
        <f>IFERROR(IF(SUMIFS(tblDaily[Discharges],tblDaily[EntryDate],DATE(2026,10,2),tblDaily[WardCode],"BF")=0,"",SUMIFS(tblDaily[Discharges],tblDaily[EntryDate],DATE(2026,10,2),tblDaily[WardCode],"BF")),"")</f>
        <v/>
      </c>
      <c r="D359" s="29" t="str">
        <f>IFERROR(IF(SUMIFS(tblDaily[Deaths],tblDaily[EntryDate],DATE(2026,10,2),tblDaily[WardCode],"BF")=0,"",SUMIFS(tblDaily[Deaths],tblDaily[EntryDate],DATE(2026,10,2),tblDaily[WardCode],"BF")),"")</f>
        <v/>
      </c>
      <c r="E359" s="29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29" t="str">
        <f>IFERROR(IF(SUMIFS(tblDaily[TransfersIn],tblDaily[EntryDate],DATE(2026,10,2),tblDaily[WardCode],"BF")=0,"",SUMIFS(tblDaily[TransfersIn],tblDaily[EntryDate],DATE(2026,10,2),tblDaily[WardCode],"BF")),"")</f>
        <v/>
      </c>
      <c r="G359" s="29" t="str">
        <f>IFERROR(IF(SUMIFS(tblDaily[TransfersOut],tblDaily[EntryDate],DATE(2026,10,2),tblDaily[WardCode],"BF")=0,"",SUMIFS(tblDaily[TransfersOut],tblDaily[EntryDate],DATE(2026,10,2),tblDaily[WardCode],"BF")),"")</f>
        <v/>
      </c>
      <c r="H359" s="29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IFERROR(IF(SUMIFS(tblDaily[Admissions],tblDaily[EntryDate],DATE(2026,10,3),tblDaily[WardCode],"BF")=0,"",SUMIFS(tblDaily[Admissions],tblDaily[EntryDate],DATE(2026,10,3),tblDaily[WardCode],"BF")),"")</f>
        <v/>
      </c>
      <c r="C360" s="29" t="str">
        <f>IFERROR(IF(SUMIFS(tblDaily[Discharges],tblDaily[EntryDate],DATE(2026,10,3),tblDaily[WardCode],"BF")=0,"",SUMIFS(tblDaily[Discharges],tblDaily[EntryDate],DATE(2026,10,3),tblDaily[WardCode],"BF")),"")</f>
        <v/>
      </c>
      <c r="D360" s="29" t="str">
        <f>IFERROR(IF(SUMIFS(tblDaily[Deaths],tblDaily[EntryDate],DATE(2026,10,3),tblDaily[WardCode],"BF")=0,"",SUMIFS(tblDaily[Deaths],tblDaily[EntryDate],DATE(2026,10,3),tblDaily[WardCode],"BF")),"")</f>
        <v/>
      </c>
      <c r="E360" s="29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29" t="str">
        <f>IFERROR(IF(SUMIFS(tblDaily[TransfersIn],tblDaily[EntryDate],DATE(2026,10,3),tblDaily[WardCode],"BF")=0,"",SUMIFS(tblDaily[TransfersIn],tblDaily[EntryDate],DATE(2026,10,3),tblDaily[WardCode],"BF")),"")</f>
        <v/>
      </c>
      <c r="G360" s="29" t="str">
        <f>IFERROR(IF(SUMIFS(tblDaily[TransfersOut],tblDaily[EntryDate],DATE(2026,10,3),tblDaily[WardCode],"BF")=0,"",SUMIFS(tblDaily[TransfersOut],tblDaily[EntryDate],DATE(2026,10,3),tblDaily[WardCode],"BF")),"")</f>
        <v/>
      </c>
      <c r="H360" s="29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IFERROR(IF(SUMIFS(tblDaily[Admissions],tblDaily[EntryDate],DATE(2026,10,4),tblDaily[WardCode],"BF")=0,"",SUMIFS(tblDaily[Admissions],tblDaily[EntryDate],DATE(2026,10,4),tblDaily[WardCode],"BF")),"")</f>
        <v/>
      </c>
      <c r="C361" s="29" t="str">
        <f>IFERROR(IF(SUMIFS(tblDaily[Discharges],tblDaily[EntryDate],DATE(2026,10,4),tblDaily[WardCode],"BF")=0,"",SUMIFS(tblDaily[Discharges],tblDaily[EntryDate],DATE(2026,10,4),tblDaily[WardCode],"BF")),"")</f>
        <v/>
      </c>
      <c r="D361" s="29" t="str">
        <f>IFERROR(IF(SUMIFS(tblDaily[Deaths],tblDaily[EntryDate],DATE(2026,10,4),tblDaily[WardCode],"BF")=0,"",SUMIFS(tblDaily[Deaths],tblDaily[EntryDate],DATE(2026,10,4),tblDaily[WardCode],"BF")),"")</f>
        <v/>
      </c>
      <c r="E361" s="29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29" t="str">
        <f>IFERROR(IF(SUMIFS(tblDaily[TransfersIn],tblDaily[EntryDate],DATE(2026,10,4),tblDaily[WardCode],"BF")=0,"",SUMIFS(tblDaily[TransfersIn],tblDaily[EntryDate],DATE(2026,10,4),tblDaily[WardCode],"BF")),"")</f>
        <v/>
      </c>
      <c r="G361" s="29" t="str">
        <f>IFERROR(IF(SUMIFS(tblDaily[TransfersOut],tblDaily[EntryDate],DATE(2026,10,4),tblDaily[WardCode],"BF")=0,"",SUMIFS(tblDaily[TransfersOut],tblDaily[EntryDate],DATE(2026,10,4),tblDaily[WardCode],"BF")),"")</f>
        <v/>
      </c>
      <c r="H361" s="29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IFERROR(IF(SUMIFS(tblDaily[Admissions],tblDaily[EntryDate],DATE(2026,10,5),tblDaily[WardCode],"BF")=0,"",SUMIFS(tblDaily[Admissions],tblDaily[EntryDate],DATE(2026,10,5),tblDaily[WardCode],"BF")),"")</f>
        <v/>
      </c>
      <c r="C362" s="29" t="str">
        <f>IFERROR(IF(SUMIFS(tblDaily[Discharges],tblDaily[EntryDate],DATE(2026,10,5),tblDaily[WardCode],"BF")=0,"",SUMIFS(tblDaily[Discharges],tblDaily[EntryDate],DATE(2026,10,5),tblDaily[WardCode],"BF")),"")</f>
        <v/>
      </c>
      <c r="D362" s="29" t="str">
        <f>IFERROR(IF(SUMIFS(tblDaily[Deaths],tblDaily[EntryDate],DATE(2026,10,5),tblDaily[WardCode],"BF")=0,"",SUMIFS(tblDaily[Deaths],tblDaily[EntryDate],DATE(2026,10,5),tblDaily[WardCode],"BF")),"")</f>
        <v/>
      </c>
      <c r="E362" s="29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29" t="str">
        <f>IFERROR(IF(SUMIFS(tblDaily[TransfersIn],tblDaily[EntryDate],DATE(2026,10,5),tblDaily[WardCode],"BF")=0,"",SUMIFS(tblDaily[TransfersIn],tblDaily[EntryDate],DATE(2026,10,5),tblDaily[WardCode],"BF")),"")</f>
        <v/>
      </c>
      <c r="G362" s="29" t="str">
        <f>IFERROR(IF(SUMIFS(tblDaily[TransfersOut],tblDaily[EntryDate],DATE(2026,10,5),tblDaily[WardCode],"BF")=0,"",SUMIFS(tblDaily[TransfersOut],tblDaily[EntryDate],DATE(2026,10,5),tblDaily[WardCode],"BF")),"")</f>
        <v/>
      </c>
      <c r="H362" s="29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IFERROR(IF(SUMIFS(tblDaily[Admissions],tblDaily[EntryDate],DATE(2026,10,6),tblDaily[WardCode],"BF")=0,"",SUMIFS(tblDaily[Admissions],tblDaily[EntryDate],DATE(2026,10,6),tblDaily[WardCode],"BF")),"")</f>
        <v/>
      </c>
      <c r="C363" s="29" t="str">
        <f>IFERROR(IF(SUMIFS(tblDaily[Discharges],tblDaily[EntryDate],DATE(2026,10,6),tblDaily[WardCode],"BF")=0,"",SUMIFS(tblDaily[Discharges],tblDaily[EntryDate],DATE(2026,10,6),tblDaily[WardCode],"BF")),"")</f>
        <v/>
      </c>
      <c r="D363" s="29" t="str">
        <f>IFERROR(IF(SUMIFS(tblDaily[Deaths],tblDaily[EntryDate],DATE(2026,10,6),tblDaily[WardCode],"BF")=0,"",SUMIFS(tblDaily[Deaths],tblDaily[EntryDate],DATE(2026,10,6),tblDaily[WardCode],"BF")),"")</f>
        <v/>
      </c>
      <c r="E363" s="29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29" t="str">
        <f>IFERROR(IF(SUMIFS(tblDaily[TransfersIn],tblDaily[EntryDate],DATE(2026,10,6),tblDaily[WardCode],"BF")=0,"",SUMIFS(tblDaily[TransfersIn],tblDaily[EntryDate],DATE(2026,10,6),tblDaily[WardCode],"BF")),"")</f>
        <v/>
      </c>
      <c r="G363" s="29" t="str">
        <f>IFERROR(IF(SUMIFS(tblDaily[TransfersOut],tblDaily[EntryDate],DATE(2026,10,6),tblDaily[WardCode],"BF")=0,"",SUMIFS(tblDaily[TransfersOut],tblDaily[EntryDate],DATE(2026,10,6),tblDaily[WardCode],"BF")),"")</f>
        <v/>
      </c>
      <c r="H363" s="29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IFERROR(IF(SUMIFS(tblDaily[Admissions],tblDaily[EntryDate],DATE(2026,10,7),tblDaily[WardCode],"BF")=0,"",SUMIFS(tblDaily[Admissions],tblDaily[EntryDate],DATE(2026,10,7),tblDaily[WardCode],"BF")),"")</f>
        <v/>
      </c>
      <c r="C364" s="29" t="str">
        <f>IFERROR(IF(SUMIFS(tblDaily[Discharges],tblDaily[EntryDate],DATE(2026,10,7),tblDaily[WardCode],"BF")=0,"",SUMIFS(tblDaily[Discharges],tblDaily[EntryDate],DATE(2026,10,7),tblDaily[WardCode],"BF")),"")</f>
        <v/>
      </c>
      <c r="D364" s="29" t="str">
        <f>IFERROR(IF(SUMIFS(tblDaily[Deaths],tblDaily[EntryDate],DATE(2026,10,7),tblDaily[WardCode],"BF")=0,"",SUMIFS(tblDaily[Deaths],tblDaily[EntryDate],DATE(2026,10,7),tblDaily[WardCode],"BF")),"")</f>
        <v/>
      </c>
      <c r="E364" s="29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29" t="str">
        <f>IFERROR(IF(SUMIFS(tblDaily[TransfersIn],tblDaily[EntryDate],DATE(2026,10,7),tblDaily[WardCode],"BF")=0,"",SUMIFS(tblDaily[TransfersIn],tblDaily[EntryDate],DATE(2026,10,7),tblDaily[WardCode],"BF")),"")</f>
        <v/>
      </c>
      <c r="G364" s="29" t="str">
        <f>IFERROR(IF(SUMIFS(tblDaily[TransfersOut],tblDaily[EntryDate],DATE(2026,10,7),tblDaily[WardCode],"BF")=0,"",SUMIFS(tblDaily[TransfersOut],tblDaily[EntryDate],DATE(2026,10,7),tblDaily[WardCode],"BF")),"")</f>
        <v/>
      </c>
      <c r="H364" s="29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IFERROR(IF(SUMIFS(tblDaily[Admissions],tblDaily[EntryDate],DATE(2026,10,8),tblDaily[WardCode],"BF")=0,"",SUMIFS(tblDaily[Admissions],tblDaily[EntryDate],DATE(2026,10,8),tblDaily[WardCode],"BF")),"")</f>
        <v/>
      </c>
      <c r="C365" s="29" t="str">
        <f>IFERROR(IF(SUMIFS(tblDaily[Discharges],tblDaily[EntryDate],DATE(2026,10,8),tblDaily[WardCode],"BF")=0,"",SUMIFS(tblDaily[Discharges],tblDaily[EntryDate],DATE(2026,10,8),tblDaily[WardCode],"BF")),"")</f>
        <v/>
      </c>
      <c r="D365" s="29" t="str">
        <f>IFERROR(IF(SUMIFS(tblDaily[Deaths],tblDaily[EntryDate],DATE(2026,10,8),tblDaily[WardCode],"BF")=0,"",SUMIFS(tblDaily[Deaths],tblDaily[EntryDate],DATE(2026,10,8),tblDaily[WardCode],"BF")),"")</f>
        <v/>
      </c>
      <c r="E365" s="29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29" t="str">
        <f>IFERROR(IF(SUMIFS(tblDaily[TransfersIn],tblDaily[EntryDate],DATE(2026,10,8),tblDaily[WardCode],"BF")=0,"",SUMIFS(tblDaily[TransfersIn],tblDaily[EntryDate],DATE(2026,10,8),tblDaily[WardCode],"BF")),"")</f>
        <v/>
      </c>
      <c r="G365" s="29" t="str">
        <f>IFERROR(IF(SUMIFS(tblDaily[TransfersOut],tblDaily[EntryDate],DATE(2026,10,8),tblDaily[WardCode],"BF")=0,"",SUMIFS(tblDaily[TransfersOut],tblDaily[EntryDate],DATE(2026,10,8),tblDaily[WardCode],"BF")),"")</f>
        <v/>
      </c>
      <c r="H365" s="29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IFERROR(IF(SUMIFS(tblDaily[Admissions],tblDaily[EntryDate],DATE(2026,10,9),tblDaily[WardCode],"BF")=0,"",SUMIFS(tblDaily[Admissions],tblDaily[EntryDate],DATE(2026,10,9),tblDaily[WardCode],"BF")),"")</f>
        <v/>
      </c>
      <c r="C366" s="29" t="str">
        <f>IFERROR(IF(SUMIFS(tblDaily[Discharges],tblDaily[EntryDate],DATE(2026,10,9),tblDaily[WardCode],"BF")=0,"",SUMIFS(tblDaily[Discharges],tblDaily[EntryDate],DATE(2026,10,9),tblDaily[WardCode],"BF")),"")</f>
        <v/>
      </c>
      <c r="D366" s="29" t="str">
        <f>IFERROR(IF(SUMIFS(tblDaily[Deaths],tblDaily[EntryDate],DATE(2026,10,9),tblDaily[WardCode],"BF")=0,"",SUMIFS(tblDaily[Deaths],tblDaily[EntryDate],DATE(2026,10,9),tblDaily[WardCode],"BF")),"")</f>
        <v/>
      </c>
      <c r="E366" s="29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29" t="str">
        <f>IFERROR(IF(SUMIFS(tblDaily[TransfersIn],tblDaily[EntryDate],DATE(2026,10,9),tblDaily[WardCode],"BF")=0,"",SUMIFS(tblDaily[TransfersIn],tblDaily[EntryDate],DATE(2026,10,9),tblDaily[WardCode],"BF")),"")</f>
        <v/>
      </c>
      <c r="G366" s="29" t="str">
        <f>IFERROR(IF(SUMIFS(tblDaily[TransfersOut],tblDaily[EntryDate],DATE(2026,10,9),tblDaily[WardCode],"BF")=0,"",SUMIFS(tblDaily[TransfersOut],tblDaily[EntryDate],DATE(2026,10,9),tblDaily[WardCode],"BF")),"")</f>
        <v/>
      </c>
      <c r="H366" s="29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IFERROR(IF(SUMIFS(tblDaily[Admissions],tblDaily[EntryDate],DATE(2026,10,10),tblDaily[WardCode],"BF")=0,"",SUMIFS(tblDaily[Admissions],tblDaily[EntryDate],DATE(2026,10,10),tblDaily[WardCode],"BF")),"")</f>
        <v/>
      </c>
      <c r="C367" s="29" t="str">
        <f>IFERROR(IF(SUMIFS(tblDaily[Discharges],tblDaily[EntryDate],DATE(2026,10,10),tblDaily[WardCode],"BF")=0,"",SUMIFS(tblDaily[Discharges],tblDaily[EntryDate],DATE(2026,10,10),tblDaily[WardCode],"BF")),"")</f>
        <v/>
      </c>
      <c r="D367" s="29" t="str">
        <f>IFERROR(IF(SUMIFS(tblDaily[Deaths],tblDaily[EntryDate],DATE(2026,10,10),tblDaily[WardCode],"BF")=0,"",SUMIFS(tblDaily[Deaths],tblDaily[EntryDate],DATE(2026,10,10),tblDaily[WardCode],"BF")),"")</f>
        <v/>
      </c>
      <c r="E367" s="29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29" t="str">
        <f>IFERROR(IF(SUMIFS(tblDaily[TransfersIn],tblDaily[EntryDate],DATE(2026,10,10),tblDaily[WardCode],"BF")=0,"",SUMIFS(tblDaily[TransfersIn],tblDaily[EntryDate],DATE(2026,10,10),tblDaily[WardCode],"BF")),"")</f>
        <v/>
      </c>
      <c r="G367" s="29" t="str">
        <f>IFERROR(IF(SUMIFS(tblDaily[TransfersOut],tblDaily[EntryDate],DATE(2026,10,10),tblDaily[WardCode],"BF")=0,"",SUMIFS(tblDaily[TransfersOut],tblDaily[EntryDate],DATE(2026,10,10),tblDaily[WardCode],"BF")),"")</f>
        <v/>
      </c>
      <c r="H367" s="29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IFERROR(IF(SUMIFS(tblDaily[Admissions],tblDaily[EntryDate],DATE(2026,10,11),tblDaily[WardCode],"BF")=0,"",SUMIFS(tblDaily[Admissions],tblDaily[EntryDate],DATE(2026,10,11),tblDaily[WardCode],"BF")),"")</f>
        <v/>
      </c>
      <c r="C368" s="29" t="str">
        <f>IFERROR(IF(SUMIFS(tblDaily[Discharges],tblDaily[EntryDate],DATE(2026,10,11),tblDaily[WardCode],"BF")=0,"",SUMIFS(tblDaily[Discharges],tblDaily[EntryDate],DATE(2026,10,11),tblDaily[WardCode],"BF")),"")</f>
        <v/>
      </c>
      <c r="D368" s="29" t="str">
        <f>IFERROR(IF(SUMIFS(tblDaily[Deaths],tblDaily[EntryDate],DATE(2026,10,11),tblDaily[WardCode],"BF")=0,"",SUMIFS(tblDaily[Deaths],tblDaily[EntryDate],DATE(2026,10,11),tblDaily[WardCode],"BF")),"")</f>
        <v/>
      </c>
      <c r="E368" s="29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29" t="str">
        <f>IFERROR(IF(SUMIFS(tblDaily[TransfersIn],tblDaily[EntryDate],DATE(2026,10,11),tblDaily[WardCode],"BF")=0,"",SUMIFS(tblDaily[TransfersIn],tblDaily[EntryDate],DATE(2026,10,11),tblDaily[WardCode],"BF")),"")</f>
        <v/>
      </c>
      <c r="G368" s="29" t="str">
        <f>IFERROR(IF(SUMIFS(tblDaily[TransfersOut],tblDaily[EntryDate],DATE(2026,10,11),tblDaily[WardCode],"BF")=0,"",SUMIFS(tblDaily[TransfersOut],tblDaily[EntryDate],DATE(2026,10,11),tblDaily[WardCode],"BF")),"")</f>
        <v/>
      </c>
      <c r="H368" s="29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IFERROR(IF(SUMIFS(tblDaily[Admissions],tblDaily[EntryDate],DATE(2026,10,12),tblDaily[WardCode],"BF")=0,"",SUMIFS(tblDaily[Admissions],tblDaily[EntryDate],DATE(2026,10,12),tblDaily[WardCode],"BF")),"")</f>
        <v/>
      </c>
      <c r="C369" s="29" t="str">
        <f>IFERROR(IF(SUMIFS(tblDaily[Discharges],tblDaily[EntryDate],DATE(2026,10,12),tblDaily[WardCode],"BF")=0,"",SUMIFS(tblDaily[Discharges],tblDaily[EntryDate],DATE(2026,10,12),tblDaily[WardCode],"BF")),"")</f>
        <v/>
      </c>
      <c r="D369" s="29" t="str">
        <f>IFERROR(IF(SUMIFS(tblDaily[Deaths],tblDaily[EntryDate],DATE(2026,10,12),tblDaily[WardCode],"BF")=0,"",SUMIFS(tblDaily[Deaths],tblDaily[EntryDate],DATE(2026,10,12),tblDaily[WardCode],"BF")),"")</f>
        <v/>
      </c>
      <c r="E369" s="29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29" t="str">
        <f>IFERROR(IF(SUMIFS(tblDaily[TransfersIn],tblDaily[EntryDate],DATE(2026,10,12),tblDaily[WardCode],"BF")=0,"",SUMIFS(tblDaily[TransfersIn],tblDaily[EntryDate],DATE(2026,10,12),tblDaily[WardCode],"BF")),"")</f>
        <v/>
      </c>
      <c r="G369" s="29" t="str">
        <f>IFERROR(IF(SUMIFS(tblDaily[TransfersOut],tblDaily[EntryDate],DATE(2026,10,12),tblDaily[WardCode],"BF")=0,"",SUMIFS(tblDaily[TransfersOut],tblDaily[EntryDate],DATE(2026,10,12),tblDaily[WardCode],"BF")),"")</f>
        <v/>
      </c>
      <c r="H369" s="29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IFERROR(IF(SUMIFS(tblDaily[Admissions],tblDaily[EntryDate],DATE(2026,10,13),tblDaily[WardCode],"BF")=0,"",SUMIFS(tblDaily[Admissions],tblDaily[EntryDate],DATE(2026,10,13),tblDaily[WardCode],"BF")),"")</f>
        <v/>
      </c>
      <c r="C370" s="29" t="str">
        <f>IFERROR(IF(SUMIFS(tblDaily[Discharges],tblDaily[EntryDate],DATE(2026,10,13),tblDaily[WardCode],"BF")=0,"",SUMIFS(tblDaily[Discharges],tblDaily[EntryDate],DATE(2026,10,13),tblDaily[WardCode],"BF")),"")</f>
        <v/>
      </c>
      <c r="D370" s="29" t="str">
        <f>IFERROR(IF(SUMIFS(tblDaily[Deaths],tblDaily[EntryDate],DATE(2026,10,13),tblDaily[WardCode],"BF")=0,"",SUMIFS(tblDaily[Deaths],tblDaily[EntryDate],DATE(2026,10,13),tblDaily[WardCode],"BF")),"")</f>
        <v/>
      </c>
      <c r="E370" s="29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29" t="str">
        <f>IFERROR(IF(SUMIFS(tblDaily[TransfersIn],tblDaily[EntryDate],DATE(2026,10,13),tblDaily[WardCode],"BF")=0,"",SUMIFS(tblDaily[TransfersIn],tblDaily[EntryDate],DATE(2026,10,13),tblDaily[WardCode],"BF")),"")</f>
        <v/>
      </c>
      <c r="G370" s="29" t="str">
        <f>IFERROR(IF(SUMIFS(tblDaily[TransfersOut],tblDaily[EntryDate],DATE(2026,10,13),tblDaily[WardCode],"BF")=0,"",SUMIFS(tblDaily[TransfersOut],tblDaily[EntryDate],DATE(2026,10,13),tblDaily[WardCode],"BF")),"")</f>
        <v/>
      </c>
      <c r="H370" s="29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IFERROR(IF(SUMIFS(tblDaily[Admissions],tblDaily[EntryDate],DATE(2026,10,14),tblDaily[WardCode],"BF")=0,"",SUMIFS(tblDaily[Admissions],tblDaily[EntryDate],DATE(2026,10,14),tblDaily[WardCode],"BF")),"")</f>
        <v/>
      </c>
      <c r="C371" s="29" t="str">
        <f>IFERROR(IF(SUMIFS(tblDaily[Discharges],tblDaily[EntryDate],DATE(2026,10,14),tblDaily[WardCode],"BF")=0,"",SUMIFS(tblDaily[Discharges],tblDaily[EntryDate],DATE(2026,10,14),tblDaily[WardCode],"BF")),"")</f>
        <v/>
      </c>
      <c r="D371" s="29" t="str">
        <f>IFERROR(IF(SUMIFS(tblDaily[Deaths],tblDaily[EntryDate],DATE(2026,10,14),tblDaily[WardCode],"BF")=0,"",SUMIFS(tblDaily[Deaths],tblDaily[EntryDate],DATE(2026,10,14),tblDaily[WardCode],"BF")),"")</f>
        <v/>
      </c>
      <c r="E371" s="29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29" t="str">
        <f>IFERROR(IF(SUMIFS(tblDaily[TransfersIn],tblDaily[EntryDate],DATE(2026,10,14),tblDaily[WardCode],"BF")=0,"",SUMIFS(tblDaily[TransfersIn],tblDaily[EntryDate],DATE(2026,10,14),tblDaily[WardCode],"BF")),"")</f>
        <v/>
      </c>
      <c r="G371" s="29" t="str">
        <f>IFERROR(IF(SUMIFS(tblDaily[TransfersOut],tblDaily[EntryDate],DATE(2026,10,14),tblDaily[WardCode],"BF")=0,"",SUMIFS(tblDaily[TransfersOut],tblDaily[EntryDate],DATE(2026,10,14),tblDaily[WardCode],"BF")),"")</f>
        <v/>
      </c>
      <c r="H371" s="29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IFERROR(IF(SUMIFS(tblDaily[Admissions],tblDaily[EntryDate],DATE(2026,10,15),tblDaily[WardCode],"BF")=0,"",SUMIFS(tblDaily[Admissions],tblDaily[EntryDate],DATE(2026,10,15),tblDaily[WardCode],"BF")),"")</f>
        <v/>
      </c>
      <c r="C372" s="29" t="str">
        <f>IFERROR(IF(SUMIFS(tblDaily[Discharges],tblDaily[EntryDate],DATE(2026,10,15),tblDaily[WardCode],"BF")=0,"",SUMIFS(tblDaily[Discharges],tblDaily[EntryDate],DATE(2026,10,15),tblDaily[WardCode],"BF")),"")</f>
        <v/>
      </c>
      <c r="D372" s="29" t="str">
        <f>IFERROR(IF(SUMIFS(tblDaily[Deaths],tblDaily[EntryDate],DATE(2026,10,15),tblDaily[WardCode],"BF")=0,"",SUMIFS(tblDaily[Deaths],tblDaily[EntryDate],DATE(2026,10,15),tblDaily[WardCode],"BF")),"")</f>
        <v/>
      </c>
      <c r="E372" s="29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29" t="str">
        <f>IFERROR(IF(SUMIFS(tblDaily[TransfersIn],tblDaily[EntryDate],DATE(2026,10,15),tblDaily[WardCode],"BF")=0,"",SUMIFS(tblDaily[TransfersIn],tblDaily[EntryDate],DATE(2026,10,15),tblDaily[WardCode],"BF")),"")</f>
        <v/>
      </c>
      <c r="G372" s="29" t="str">
        <f>IFERROR(IF(SUMIFS(tblDaily[TransfersOut],tblDaily[EntryDate],DATE(2026,10,15),tblDaily[WardCode],"BF")=0,"",SUMIFS(tblDaily[TransfersOut],tblDaily[EntryDate],DATE(2026,10,15),tblDaily[WardCode],"BF")),"")</f>
        <v/>
      </c>
      <c r="H372" s="29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IFERROR(IF(SUMIFS(tblDaily[Admissions],tblDaily[EntryDate],DATE(2026,10,16),tblDaily[WardCode],"BF")=0,"",SUMIFS(tblDaily[Admissions],tblDaily[EntryDate],DATE(2026,10,16),tblDaily[WardCode],"BF")),"")</f>
        <v/>
      </c>
      <c r="C373" s="29" t="str">
        <f>IFERROR(IF(SUMIFS(tblDaily[Discharges],tblDaily[EntryDate],DATE(2026,10,16),tblDaily[WardCode],"BF")=0,"",SUMIFS(tblDaily[Discharges],tblDaily[EntryDate],DATE(2026,10,16),tblDaily[WardCode],"BF")),"")</f>
        <v/>
      </c>
      <c r="D373" s="29" t="str">
        <f>IFERROR(IF(SUMIFS(tblDaily[Deaths],tblDaily[EntryDate],DATE(2026,10,16),tblDaily[WardCode],"BF")=0,"",SUMIFS(tblDaily[Deaths],tblDaily[EntryDate],DATE(2026,10,16),tblDaily[WardCode],"BF")),"")</f>
        <v/>
      </c>
      <c r="E373" s="29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29" t="str">
        <f>IFERROR(IF(SUMIFS(tblDaily[TransfersIn],tblDaily[EntryDate],DATE(2026,10,16),tblDaily[WardCode],"BF")=0,"",SUMIFS(tblDaily[TransfersIn],tblDaily[EntryDate],DATE(2026,10,16),tblDaily[WardCode],"BF")),"")</f>
        <v/>
      </c>
      <c r="G373" s="29" t="str">
        <f>IFERROR(IF(SUMIFS(tblDaily[TransfersOut],tblDaily[EntryDate],DATE(2026,10,16),tblDaily[WardCode],"BF")=0,"",SUMIFS(tblDaily[TransfersOut],tblDaily[EntryDate],DATE(2026,10,16),tblDaily[WardCode],"BF")),"")</f>
        <v/>
      </c>
      <c r="H373" s="29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IFERROR(IF(SUMIFS(tblDaily[Admissions],tblDaily[EntryDate],DATE(2026,10,17),tblDaily[WardCode],"BF")=0,"",SUMIFS(tblDaily[Admissions],tblDaily[EntryDate],DATE(2026,10,17),tblDaily[WardCode],"BF")),"")</f>
        <v/>
      </c>
      <c r="C374" s="29" t="str">
        <f>IFERROR(IF(SUMIFS(tblDaily[Discharges],tblDaily[EntryDate],DATE(2026,10,17),tblDaily[WardCode],"BF")=0,"",SUMIFS(tblDaily[Discharges],tblDaily[EntryDate],DATE(2026,10,17),tblDaily[WardCode],"BF")),"")</f>
        <v/>
      </c>
      <c r="D374" s="29" t="str">
        <f>IFERROR(IF(SUMIFS(tblDaily[Deaths],tblDaily[EntryDate],DATE(2026,10,17),tblDaily[WardCode],"BF")=0,"",SUMIFS(tblDaily[Deaths],tblDaily[EntryDate],DATE(2026,10,17),tblDaily[WardCode],"BF")),"")</f>
        <v/>
      </c>
      <c r="E374" s="29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29" t="str">
        <f>IFERROR(IF(SUMIFS(tblDaily[TransfersIn],tblDaily[EntryDate],DATE(2026,10,17),tblDaily[WardCode],"BF")=0,"",SUMIFS(tblDaily[TransfersIn],tblDaily[EntryDate],DATE(2026,10,17),tblDaily[WardCode],"BF")),"")</f>
        <v/>
      </c>
      <c r="G374" s="29" t="str">
        <f>IFERROR(IF(SUMIFS(tblDaily[TransfersOut],tblDaily[EntryDate],DATE(2026,10,17),tblDaily[WardCode],"BF")=0,"",SUMIFS(tblDaily[TransfersOut],tblDaily[EntryDate],DATE(2026,10,17),tblDaily[WardCode],"BF")),"")</f>
        <v/>
      </c>
      <c r="H374" s="29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IFERROR(IF(SUMIFS(tblDaily[Admissions],tblDaily[EntryDate],DATE(2026,10,18),tblDaily[WardCode],"BF")=0,"",SUMIFS(tblDaily[Admissions],tblDaily[EntryDate],DATE(2026,10,18),tblDaily[WardCode],"BF")),"")</f>
        <v/>
      </c>
      <c r="C375" s="29" t="str">
        <f>IFERROR(IF(SUMIFS(tblDaily[Discharges],tblDaily[EntryDate],DATE(2026,10,18),tblDaily[WardCode],"BF")=0,"",SUMIFS(tblDaily[Discharges],tblDaily[EntryDate],DATE(2026,10,18),tblDaily[WardCode],"BF")),"")</f>
        <v/>
      </c>
      <c r="D375" s="29" t="str">
        <f>IFERROR(IF(SUMIFS(tblDaily[Deaths],tblDaily[EntryDate],DATE(2026,10,18),tblDaily[WardCode],"BF")=0,"",SUMIFS(tblDaily[Deaths],tblDaily[EntryDate],DATE(2026,10,18),tblDaily[WardCode],"BF")),"")</f>
        <v/>
      </c>
      <c r="E375" s="29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29" t="str">
        <f>IFERROR(IF(SUMIFS(tblDaily[TransfersIn],tblDaily[EntryDate],DATE(2026,10,18),tblDaily[WardCode],"BF")=0,"",SUMIFS(tblDaily[TransfersIn],tblDaily[EntryDate],DATE(2026,10,18),tblDaily[WardCode],"BF")),"")</f>
        <v/>
      </c>
      <c r="G375" s="29" t="str">
        <f>IFERROR(IF(SUMIFS(tblDaily[TransfersOut],tblDaily[EntryDate],DATE(2026,10,18),tblDaily[WardCode],"BF")=0,"",SUMIFS(tblDaily[TransfersOut],tblDaily[EntryDate],DATE(2026,10,18),tblDaily[WardCode],"BF")),"")</f>
        <v/>
      </c>
      <c r="H375" s="29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IFERROR(IF(SUMIFS(tblDaily[Admissions],tblDaily[EntryDate],DATE(2026,10,19),tblDaily[WardCode],"BF")=0,"",SUMIFS(tblDaily[Admissions],tblDaily[EntryDate],DATE(2026,10,19),tblDaily[WardCode],"BF")),"")</f>
        <v/>
      </c>
      <c r="C376" s="29" t="str">
        <f>IFERROR(IF(SUMIFS(tblDaily[Discharges],tblDaily[EntryDate],DATE(2026,10,19),tblDaily[WardCode],"BF")=0,"",SUMIFS(tblDaily[Discharges],tblDaily[EntryDate],DATE(2026,10,19),tblDaily[WardCode],"BF")),"")</f>
        <v/>
      </c>
      <c r="D376" s="29" t="str">
        <f>IFERROR(IF(SUMIFS(tblDaily[Deaths],tblDaily[EntryDate],DATE(2026,10,19),tblDaily[WardCode],"BF")=0,"",SUMIFS(tblDaily[Deaths],tblDaily[EntryDate],DATE(2026,10,19),tblDaily[WardCode],"BF")),"")</f>
        <v/>
      </c>
      <c r="E376" s="29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29" t="str">
        <f>IFERROR(IF(SUMIFS(tblDaily[TransfersIn],tblDaily[EntryDate],DATE(2026,10,19),tblDaily[WardCode],"BF")=0,"",SUMIFS(tblDaily[TransfersIn],tblDaily[EntryDate],DATE(2026,10,19),tblDaily[WardCode],"BF")),"")</f>
        <v/>
      </c>
      <c r="G376" s="29" t="str">
        <f>IFERROR(IF(SUMIFS(tblDaily[TransfersOut],tblDaily[EntryDate],DATE(2026,10,19),tblDaily[WardCode],"BF")=0,"",SUMIFS(tblDaily[TransfersOut],tblDaily[EntryDate],DATE(2026,10,19),tblDaily[WardCode],"BF")),"")</f>
        <v/>
      </c>
      <c r="H376" s="29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IFERROR(IF(SUMIFS(tblDaily[Admissions],tblDaily[EntryDate],DATE(2026,10,20),tblDaily[WardCode],"BF")=0,"",SUMIFS(tblDaily[Admissions],tblDaily[EntryDate],DATE(2026,10,20),tblDaily[WardCode],"BF")),"")</f>
        <v/>
      </c>
      <c r="C377" s="29" t="str">
        <f>IFERROR(IF(SUMIFS(tblDaily[Discharges],tblDaily[EntryDate],DATE(2026,10,20),tblDaily[WardCode],"BF")=0,"",SUMIFS(tblDaily[Discharges],tblDaily[EntryDate],DATE(2026,10,20),tblDaily[WardCode],"BF")),"")</f>
        <v/>
      </c>
      <c r="D377" s="29" t="str">
        <f>IFERROR(IF(SUMIFS(tblDaily[Deaths],tblDaily[EntryDate],DATE(2026,10,20),tblDaily[WardCode],"BF")=0,"",SUMIFS(tblDaily[Deaths],tblDaily[EntryDate],DATE(2026,10,20),tblDaily[WardCode],"BF")),"")</f>
        <v/>
      </c>
      <c r="E377" s="29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29" t="str">
        <f>IFERROR(IF(SUMIFS(tblDaily[TransfersIn],tblDaily[EntryDate],DATE(2026,10,20),tblDaily[WardCode],"BF")=0,"",SUMIFS(tblDaily[TransfersIn],tblDaily[EntryDate],DATE(2026,10,20),tblDaily[WardCode],"BF")),"")</f>
        <v/>
      </c>
      <c r="G377" s="29" t="str">
        <f>IFERROR(IF(SUMIFS(tblDaily[TransfersOut],tblDaily[EntryDate],DATE(2026,10,20),tblDaily[WardCode],"BF")=0,"",SUMIFS(tblDaily[TransfersOut],tblDaily[EntryDate],DATE(2026,10,20),tblDaily[WardCode],"BF")),"")</f>
        <v/>
      </c>
      <c r="H377" s="29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IFERROR(IF(SUMIFS(tblDaily[Admissions],tblDaily[EntryDate],DATE(2026,10,21),tblDaily[WardCode],"BF")=0,"",SUMIFS(tblDaily[Admissions],tblDaily[EntryDate],DATE(2026,10,21),tblDaily[WardCode],"BF")),"")</f>
        <v/>
      </c>
      <c r="C378" s="29" t="str">
        <f>IFERROR(IF(SUMIFS(tblDaily[Discharges],tblDaily[EntryDate],DATE(2026,10,21),tblDaily[WardCode],"BF")=0,"",SUMIFS(tblDaily[Discharges],tblDaily[EntryDate],DATE(2026,10,21),tblDaily[WardCode],"BF")),"")</f>
        <v/>
      </c>
      <c r="D378" s="29" t="str">
        <f>IFERROR(IF(SUMIFS(tblDaily[Deaths],tblDaily[EntryDate],DATE(2026,10,21),tblDaily[WardCode],"BF")=0,"",SUMIFS(tblDaily[Deaths],tblDaily[EntryDate],DATE(2026,10,21),tblDaily[WardCode],"BF")),"")</f>
        <v/>
      </c>
      <c r="E378" s="29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29" t="str">
        <f>IFERROR(IF(SUMIFS(tblDaily[TransfersIn],tblDaily[EntryDate],DATE(2026,10,21),tblDaily[WardCode],"BF")=0,"",SUMIFS(tblDaily[TransfersIn],tblDaily[EntryDate],DATE(2026,10,21),tblDaily[WardCode],"BF")),"")</f>
        <v/>
      </c>
      <c r="G378" s="29" t="str">
        <f>IFERROR(IF(SUMIFS(tblDaily[TransfersOut],tblDaily[EntryDate],DATE(2026,10,21),tblDaily[WardCode],"BF")=0,"",SUMIFS(tblDaily[TransfersOut],tblDaily[EntryDate],DATE(2026,10,21),tblDaily[WardCode],"BF")),"")</f>
        <v/>
      </c>
      <c r="H378" s="29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IFERROR(IF(SUMIFS(tblDaily[Admissions],tblDaily[EntryDate],DATE(2026,10,22),tblDaily[WardCode],"BF")=0,"",SUMIFS(tblDaily[Admissions],tblDaily[EntryDate],DATE(2026,10,22),tblDaily[WardCode],"BF")),"")</f>
        <v/>
      </c>
      <c r="C379" s="29" t="str">
        <f>IFERROR(IF(SUMIFS(tblDaily[Discharges],tblDaily[EntryDate],DATE(2026,10,22),tblDaily[WardCode],"BF")=0,"",SUMIFS(tblDaily[Discharges],tblDaily[EntryDate],DATE(2026,10,22),tblDaily[WardCode],"BF")),"")</f>
        <v/>
      </c>
      <c r="D379" s="29" t="str">
        <f>IFERROR(IF(SUMIFS(tblDaily[Deaths],tblDaily[EntryDate],DATE(2026,10,22),tblDaily[WardCode],"BF")=0,"",SUMIFS(tblDaily[Deaths],tblDaily[EntryDate],DATE(2026,10,22),tblDaily[WardCode],"BF")),"")</f>
        <v/>
      </c>
      <c r="E379" s="29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29" t="str">
        <f>IFERROR(IF(SUMIFS(tblDaily[TransfersIn],tblDaily[EntryDate],DATE(2026,10,22),tblDaily[WardCode],"BF")=0,"",SUMIFS(tblDaily[TransfersIn],tblDaily[EntryDate],DATE(2026,10,22),tblDaily[WardCode],"BF")),"")</f>
        <v/>
      </c>
      <c r="G379" s="29" t="str">
        <f>IFERROR(IF(SUMIFS(tblDaily[TransfersOut],tblDaily[EntryDate],DATE(2026,10,22),tblDaily[WardCode],"BF")=0,"",SUMIFS(tblDaily[TransfersOut],tblDaily[EntryDate],DATE(2026,10,22),tblDaily[WardCode],"BF")),"")</f>
        <v/>
      </c>
      <c r="H379" s="29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IFERROR(IF(SUMIFS(tblDaily[Admissions],tblDaily[EntryDate],DATE(2026,10,23),tblDaily[WardCode],"BF")=0,"",SUMIFS(tblDaily[Admissions],tblDaily[EntryDate],DATE(2026,10,23),tblDaily[WardCode],"BF")),"")</f>
        <v/>
      </c>
      <c r="C380" s="29" t="str">
        <f>IFERROR(IF(SUMIFS(tblDaily[Discharges],tblDaily[EntryDate],DATE(2026,10,23),tblDaily[WardCode],"BF")=0,"",SUMIFS(tblDaily[Discharges],tblDaily[EntryDate],DATE(2026,10,23),tblDaily[WardCode],"BF")),"")</f>
        <v/>
      </c>
      <c r="D380" s="29" t="str">
        <f>IFERROR(IF(SUMIFS(tblDaily[Deaths],tblDaily[EntryDate],DATE(2026,10,23),tblDaily[WardCode],"BF")=0,"",SUMIFS(tblDaily[Deaths],tblDaily[EntryDate],DATE(2026,10,23),tblDaily[WardCode],"BF")),"")</f>
        <v/>
      </c>
      <c r="E380" s="29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29" t="str">
        <f>IFERROR(IF(SUMIFS(tblDaily[TransfersIn],tblDaily[EntryDate],DATE(2026,10,23),tblDaily[WardCode],"BF")=0,"",SUMIFS(tblDaily[TransfersIn],tblDaily[EntryDate],DATE(2026,10,23),tblDaily[WardCode],"BF")),"")</f>
        <v/>
      </c>
      <c r="G380" s="29" t="str">
        <f>IFERROR(IF(SUMIFS(tblDaily[TransfersOut],tblDaily[EntryDate],DATE(2026,10,23),tblDaily[WardCode],"BF")=0,"",SUMIFS(tblDaily[TransfersOut],tblDaily[EntryDate],DATE(2026,10,23),tblDaily[WardCode],"BF")),"")</f>
        <v/>
      </c>
      <c r="H380" s="29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IFERROR(IF(SUMIFS(tblDaily[Admissions],tblDaily[EntryDate],DATE(2026,10,24),tblDaily[WardCode],"BF")=0,"",SUMIFS(tblDaily[Admissions],tblDaily[EntryDate],DATE(2026,10,24),tblDaily[WardCode],"BF")),"")</f>
        <v/>
      </c>
      <c r="C381" s="29" t="str">
        <f>IFERROR(IF(SUMIFS(tblDaily[Discharges],tblDaily[EntryDate],DATE(2026,10,24),tblDaily[WardCode],"BF")=0,"",SUMIFS(tblDaily[Discharges],tblDaily[EntryDate],DATE(2026,10,24),tblDaily[WardCode],"BF")),"")</f>
        <v/>
      </c>
      <c r="D381" s="29" t="str">
        <f>IFERROR(IF(SUMIFS(tblDaily[Deaths],tblDaily[EntryDate],DATE(2026,10,24),tblDaily[WardCode],"BF")=0,"",SUMIFS(tblDaily[Deaths],tblDaily[EntryDate],DATE(2026,10,24),tblDaily[WardCode],"BF")),"")</f>
        <v/>
      </c>
      <c r="E381" s="29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29" t="str">
        <f>IFERROR(IF(SUMIFS(tblDaily[TransfersIn],tblDaily[EntryDate],DATE(2026,10,24),tblDaily[WardCode],"BF")=0,"",SUMIFS(tblDaily[TransfersIn],tblDaily[EntryDate],DATE(2026,10,24),tblDaily[WardCode],"BF")),"")</f>
        <v/>
      </c>
      <c r="G381" s="29" t="str">
        <f>IFERROR(IF(SUMIFS(tblDaily[TransfersOut],tblDaily[EntryDate],DATE(2026,10,24),tblDaily[WardCode],"BF")=0,"",SUMIFS(tblDaily[TransfersOut],tblDaily[EntryDate],DATE(2026,10,24),tblDaily[WardCode],"BF")),"")</f>
        <v/>
      </c>
      <c r="H381" s="29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IFERROR(IF(SUMIFS(tblDaily[Admissions],tblDaily[EntryDate],DATE(2026,10,25),tblDaily[WardCode],"BF")=0,"",SUMIFS(tblDaily[Admissions],tblDaily[EntryDate],DATE(2026,10,25),tblDaily[WardCode],"BF")),"")</f>
        <v/>
      </c>
      <c r="C382" s="29" t="str">
        <f>IFERROR(IF(SUMIFS(tblDaily[Discharges],tblDaily[EntryDate],DATE(2026,10,25),tblDaily[WardCode],"BF")=0,"",SUMIFS(tblDaily[Discharges],tblDaily[EntryDate],DATE(2026,10,25),tblDaily[WardCode],"BF")),"")</f>
        <v/>
      </c>
      <c r="D382" s="29" t="str">
        <f>IFERROR(IF(SUMIFS(tblDaily[Deaths],tblDaily[EntryDate],DATE(2026,10,25),tblDaily[WardCode],"BF")=0,"",SUMIFS(tblDaily[Deaths],tblDaily[EntryDate],DATE(2026,10,25),tblDaily[WardCode],"BF")),"")</f>
        <v/>
      </c>
      <c r="E382" s="29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29" t="str">
        <f>IFERROR(IF(SUMIFS(tblDaily[TransfersIn],tblDaily[EntryDate],DATE(2026,10,25),tblDaily[WardCode],"BF")=0,"",SUMIFS(tblDaily[TransfersIn],tblDaily[EntryDate],DATE(2026,10,25),tblDaily[WardCode],"BF")),"")</f>
        <v/>
      </c>
      <c r="G382" s="29" t="str">
        <f>IFERROR(IF(SUMIFS(tblDaily[TransfersOut],tblDaily[EntryDate],DATE(2026,10,25),tblDaily[WardCode],"BF")=0,"",SUMIFS(tblDaily[TransfersOut],tblDaily[EntryDate],DATE(2026,10,25),tblDaily[WardCode],"BF")),"")</f>
        <v/>
      </c>
      <c r="H382" s="29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IFERROR(IF(SUMIFS(tblDaily[Admissions],tblDaily[EntryDate],DATE(2026,10,26),tblDaily[WardCode],"BF")=0,"",SUMIFS(tblDaily[Admissions],tblDaily[EntryDate],DATE(2026,10,26),tblDaily[WardCode],"BF")),"")</f>
        <v/>
      </c>
      <c r="C383" s="29" t="str">
        <f>IFERROR(IF(SUMIFS(tblDaily[Discharges],tblDaily[EntryDate],DATE(2026,10,26),tblDaily[WardCode],"BF")=0,"",SUMIFS(tblDaily[Discharges],tblDaily[EntryDate],DATE(2026,10,26),tblDaily[WardCode],"BF")),"")</f>
        <v/>
      </c>
      <c r="D383" s="29" t="str">
        <f>IFERROR(IF(SUMIFS(tblDaily[Deaths],tblDaily[EntryDate],DATE(2026,10,26),tblDaily[WardCode],"BF")=0,"",SUMIFS(tblDaily[Deaths],tblDaily[EntryDate],DATE(2026,10,26),tblDaily[WardCode],"BF")),"")</f>
        <v/>
      </c>
      <c r="E383" s="29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29" t="str">
        <f>IFERROR(IF(SUMIFS(tblDaily[TransfersIn],tblDaily[EntryDate],DATE(2026,10,26),tblDaily[WardCode],"BF")=0,"",SUMIFS(tblDaily[TransfersIn],tblDaily[EntryDate],DATE(2026,10,26),tblDaily[WardCode],"BF")),"")</f>
        <v/>
      </c>
      <c r="G383" s="29" t="str">
        <f>IFERROR(IF(SUMIFS(tblDaily[TransfersOut],tblDaily[EntryDate],DATE(2026,10,26),tblDaily[WardCode],"BF")=0,"",SUMIFS(tblDaily[TransfersOut],tblDaily[EntryDate],DATE(2026,10,26),tblDaily[WardCode],"BF")),"")</f>
        <v/>
      </c>
      <c r="H383" s="29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IFERROR(IF(SUMIFS(tblDaily[Admissions],tblDaily[EntryDate],DATE(2026,10,27),tblDaily[WardCode],"BF")=0,"",SUMIFS(tblDaily[Admissions],tblDaily[EntryDate],DATE(2026,10,27),tblDaily[WardCode],"BF")),"")</f>
        <v/>
      </c>
      <c r="C384" s="29" t="str">
        <f>IFERROR(IF(SUMIFS(tblDaily[Discharges],tblDaily[EntryDate],DATE(2026,10,27),tblDaily[WardCode],"BF")=0,"",SUMIFS(tblDaily[Discharges],tblDaily[EntryDate],DATE(2026,10,27),tblDaily[WardCode],"BF")),"")</f>
        <v/>
      </c>
      <c r="D384" s="29" t="str">
        <f>IFERROR(IF(SUMIFS(tblDaily[Deaths],tblDaily[EntryDate],DATE(2026,10,27),tblDaily[WardCode],"BF")=0,"",SUMIFS(tblDaily[Deaths],tblDaily[EntryDate],DATE(2026,10,27),tblDaily[WardCode],"BF")),"")</f>
        <v/>
      </c>
      <c r="E384" s="29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29" t="str">
        <f>IFERROR(IF(SUMIFS(tblDaily[TransfersIn],tblDaily[EntryDate],DATE(2026,10,27),tblDaily[WardCode],"BF")=0,"",SUMIFS(tblDaily[TransfersIn],tblDaily[EntryDate],DATE(2026,10,27),tblDaily[WardCode],"BF")),"")</f>
        <v/>
      </c>
      <c r="G384" s="29" t="str">
        <f>IFERROR(IF(SUMIFS(tblDaily[TransfersOut],tblDaily[EntryDate],DATE(2026,10,27),tblDaily[WardCode],"BF")=0,"",SUMIFS(tblDaily[TransfersOut],tblDaily[EntryDate],DATE(2026,10,27),tblDaily[WardCode],"BF")),"")</f>
        <v/>
      </c>
      <c r="H384" s="29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IFERROR(IF(SUMIFS(tblDaily[Admissions],tblDaily[EntryDate],DATE(2026,10,28),tblDaily[WardCode],"BF")=0,"",SUMIFS(tblDaily[Admissions],tblDaily[EntryDate],DATE(2026,10,28),tblDaily[WardCode],"BF")),"")</f>
        <v/>
      </c>
      <c r="C385" s="29" t="str">
        <f>IFERROR(IF(SUMIFS(tblDaily[Discharges],tblDaily[EntryDate],DATE(2026,10,28),tblDaily[WardCode],"BF")=0,"",SUMIFS(tblDaily[Discharges],tblDaily[EntryDate],DATE(2026,10,28),tblDaily[WardCode],"BF")),"")</f>
        <v/>
      </c>
      <c r="D385" s="29" t="str">
        <f>IFERROR(IF(SUMIFS(tblDaily[Deaths],tblDaily[EntryDate],DATE(2026,10,28),tblDaily[WardCode],"BF")=0,"",SUMIFS(tblDaily[Deaths],tblDaily[EntryDate],DATE(2026,10,28),tblDaily[WardCode],"BF")),"")</f>
        <v/>
      </c>
      <c r="E385" s="29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29" t="str">
        <f>IFERROR(IF(SUMIFS(tblDaily[TransfersIn],tblDaily[EntryDate],DATE(2026,10,28),tblDaily[WardCode],"BF")=0,"",SUMIFS(tblDaily[TransfersIn],tblDaily[EntryDate],DATE(2026,10,28),tblDaily[WardCode],"BF")),"")</f>
        <v/>
      </c>
      <c r="G385" s="29" t="str">
        <f>IFERROR(IF(SUMIFS(tblDaily[TransfersOut],tblDaily[EntryDate],DATE(2026,10,28),tblDaily[WardCode],"BF")=0,"",SUMIFS(tblDaily[TransfersOut],tblDaily[EntryDate],DATE(2026,10,28),tblDaily[WardCode],"BF")),"")</f>
        <v/>
      </c>
      <c r="H385" s="29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IFERROR(IF(SUMIFS(tblDaily[Admissions],tblDaily[EntryDate],DATE(2026,10,29),tblDaily[WardCode],"BF")=0,"",SUMIFS(tblDaily[Admissions],tblDaily[EntryDate],DATE(2026,10,29),tblDaily[WardCode],"BF")),"")</f>
        <v/>
      </c>
      <c r="C386" s="29" t="str">
        <f>IFERROR(IF(SUMIFS(tblDaily[Discharges],tblDaily[EntryDate],DATE(2026,10,29),tblDaily[WardCode],"BF")=0,"",SUMIFS(tblDaily[Discharges],tblDaily[EntryDate],DATE(2026,10,29),tblDaily[WardCode],"BF")),"")</f>
        <v/>
      </c>
      <c r="D386" s="29" t="str">
        <f>IFERROR(IF(SUMIFS(tblDaily[Deaths],tblDaily[EntryDate],DATE(2026,10,29),tblDaily[WardCode],"BF")=0,"",SUMIFS(tblDaily[Deaths],tblDaily[EntryDate],DATE(2026,10,29),tblDaily[WardCode],"BF")),"")</f>
        <v/>
      </c>
      <c r="E386" s="29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29" t="str">
        <f>IFERROR(IF(SUMIFS(tblDaily[TransfersIn],tblDaily[EntryDate],DATE(2026,10,29),tblDaily[WardCode],"BF")=0,"",SUMIFS(tblDaily[TransfersIn],tblDaily[EntryDate],DATE(2026,10,29),tblDaily[WardCode],"BF")),"")</f>
        <v/>
      </c>
      <c r="G386" s="29" t="str">
        <f>IFERROR(IF(SUMIFS(tblDaily[TransfersOut],tblDaily[EntryDate],DATE(2026,10,29),tblDaily[WardCode],"BF")=0,"",SUMIFS(tblDaily[TransfersOut],tblDaily[EntryDate],DATE(2026,10,29),tblDaily[WardCode],"BF")),"")</f>
        <v/>
      </c>
      <c r="H386" s="29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IFERROR(IF(SUMIFS(tblDaily[Admissions],tblDaily[EntryDate],DATE(2026,10,30),tblDaily[WardCode],"BF")=0,"",SUMIFS(tblDaily[Admissions],tblDaily[EntryDate],DATE(2026,10,30),tblDaily[WardCode],"BF")),"")</f>
        <v/>
      </c>
      <c r="C387" s="29" t="str">
        <f>IFERROR(IF(SUMIFS(tblDaily[Discharges],tblDaily[EntryDate],DATE(2026,10,30),tblDaily[WardCode],"BF")=0,"",SUMIFS(tblDaily[Discharges],tblDaily[EntryDate],DATE(2026,10,30),tblDaily[WardCode],"BF")),"")</f>
        <v/>
      </c>
      <c r="D387" s="29" t="str">
        <f>IFERROR(IF(SUMIFS(tblDaily[Deaths],tblDaily[EntryDate],DATE(2026,10,30),tblDaily[WardCode],"BF")=0,"",SUMIFS(tblDaily[Deaths],tblDaily[EntryDate],DATE(2026,10,30),tblDaily[WardCode],"BF")),"")</f>
        <v/>
      </c>
      <c r="E387" s="29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29" t="str">
        <f>IFERROR(IF(SUMIFS(tblDaily[TransfersIn],tblDaily[EntryDate],DATE(2026,10,30),tblDaily[WardCode],"BF")=0,"",SUMIFS(tblDaily[TransfersIn],tblDaily[EntryDate],DATE(2026,10,30),tblDaily[WardCode],"BF")),"")</f>
        <v/>
      </c>
      <c r="G387" s="29" t="str">
        <f>IFERROR(IF(SUMIFS(tblDaily[TransfersOut],tblDaily[EntryDate],DATE(2026,10,30),tblDaily[WardCode],"BF")=0,"",SUMIFS(tblDaily[TransfersOut],tblDaily[EntryDate],DATE(2026,10,30),tblDaily[WardCode],"BF")),"")</f>
        <v/>
      </c>
      <c r="H387" s="29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IFERROR(IF(SUMIFS(tblDaily[Admissions],tblDaily[EntryDate],DATE(2026,10,31),tblDaily[WardCode],"BF")=0,"",SUMIFS(tblDaily[Admissions],tblDaily[EntryDate],DATE(2026,10,31),tblDaily[WardCode],"BF")),"")</f>
        <v/>
      </c>
      <c r="C388" s="29" t="str">
        <f>IFERROR(IF(SUMIFS(tblDaily[Discharges],tblDaily[EntryDate],DATE(2026,10,31),tblDaily[WardCode],"BF")=0,"",SUMIFS(tblDaily[Discharges],tblDaily[EntryDate],DATE(2026,10,31),tblDaily[WardCode],"BF")),"")</f>
        <v/>
      </c>
      <c r="D388" s="29" t="str">
        <f>IFERROR(IF(SUMIFS(tblDaily[Deaths],tblDaily[EntryDate],DATE(2026,10,31),tblDaily[WardCode],"BF")=0,"",SUMIFS(tblDaily[Deaths],tblDaily[EntryDate],DATE(2026,10,31),tblDaily[WardCode],"BF")),"")</f>
        <v/>
      </c>
      <c r="E388" s="29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29" t="str">
        <f>IFERROR(IF(SUMIFS(tblDaily[TransfersIn],tblDaily[EntryDate],DATE(2026,10,31),tblDaily[WardCode],"BF")=0,"",SUMIFS(tblDaily[TransfersIn],tblDaily[EntryDate],DATE(2026,10,31),tblDaily[WardCode],"BF")),"")</f>
        <v/>
      </c>
      <c r="G388" s="29" t="str">
        <f>IFERROR(IF(SUMIFS(tblDaily[TransfersOut],tblDaily[EntryDate],DATE(2026,10,31),tblDaily[WardCode],"BF")=0,"",SUMIFS(tblDaily[TransfersOut],tblDaily[EntryDate],DATE(2026,10,31),tblDaily[WardCode],"BF")),"")</f>
        <v/>
      </c>
      <c r="H388" s="29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30" t="s">
        <v>115</v>
      </c>
      <c r="B389" s="30">
        <f>SUMIFS(tblDaily[Admissions],tblDaily[Month],10,tblDaily[WardCode],"BF") - SUMIFS(tblDaily[DeathsUnder24Hrs],tblDaily[Month],10,tblDaily[WardCode],"BF")</f>
        <v>0</v>
      </c>
      <c r="C389" s="30">
        <f>SUMIFS(tblDaily[Discharges],tblDaily[Month],10,tblDaily[WardCode],"BF")</f>
        <v>0</v>
      </c>
      <c r="D389" s="30">
        <f>SUMIFS(tblDaily[Deaths],tblDaily[Month],10,tblDaily[WardCode],"BF")</f>
        <v>0</v>
      </c>
      <c r="E389" s="30">
        <f>SUMIFS(tblDaily[DeathsUnder24Hrs],tblDaily[Month],10,tblDaily[WardCode],"BF")</f>
        <v>0</v>
      </c>
      <c r="F389" s="30">
        <f>SUMIFS(tblDaily[TransfersIn],tblDaily[Month],10,tblDaily[WardCode],"BF")</f>
        <v>0</v>
      </c>
      <c r="G389" s="30">
        <f>SUMIFS(tblDaily[TransfersOut],tblDaily[Month],10,tblDaily[WardCode],"BF")</f>
        <v>0</v>
      </c>
      <c r="H389" s="30">
        <f>SUMIFS(tblDaily[Remaining],tblDaily[Month],10,tblDaily[WardCode],"BF")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118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IFERROR(SUMIFS(tblDaily[Remaining],tblDaily[EntryDate],DATE(2026,10,31),tblDaily[WardCode],"BF"),0)</f>
        <v>0</v>
      </c>
    </row>
    <row r="395" spans="1:8" x14ac:dyDescent="0.25">
      <c r="A395" s="24" t="s">
        <v>109</v>
      </c>
      <c r="H395" s="27">
        <f>IFERROR(INDEX(tblWardConfig[BedComplement],MATCH("BF",tblWardConfig[WardCode],0)),0)</f>
        <v>20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IFERROR(IF(SUMIFS(tblDaily[Admissions],tblDaily[EntryDate],DATE(2026,11,1),tblDaily[WardCode],"BF")=0,"",SUMIFS(tblDaily[Admissions],tblDaily[EntryDate],DATE(2026,11,1),tblDaily[WardCode],"BF")),"")</f>
        <v/>
      </c>
      <c r="C397" s="29" t="str">
        <f>IFERROR(IF(SUMIFS(tblDaily[Discharges],tblDaily[EntryDate],DATE(2026,11,1),tblDaily[WardCode],"BF")=0,"",SUMIFS(tblDaily[Discharges],tblDaily[EntryDate],DATE(2026,11,1),tblDaily[WardCode],"BF")),"")</f>
        <v/>
      </c>
      <c r="D397" s="29" t="str">
        <f>IFERROR(IF(SUMIFS(tblDaily[Deaths],tblDaily[EntryDate],DATE(2026,11,1),tblDaily[WardCode],"BF")=0,"",SUMIFS(tblDaily[Deaths],tblDaily[EntryDate],DATE(2026,11,1),tblDaily[WardCode],"BF")),"")</f>
        <v/>
      </c>
      <c r="E397" s="29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29" t="str">
        <f>IFERROR(IF(SUMIFS(tblDaily[TransfersIn],tblDaily[EntryDate],DATE(2026,11,1),tblDaily[WardCode],"BF")=0,"",SUMIFS(tblDaily[TransfersIn],tblDaily[EntryDate],DATE(2026,11,1),tblDaily[WardCode],"BF")),"")</f>
        <v/>
      </c>
      <c r="G397" s="29" t="str">
        <f>IFERROR(IF(SUMIFS(tblDaily[TransfersOut],tblDaily[EntryDate],DATE(2026,11,1),tblDaily[WardCode],"BF")=0,"",SUMIFS(tblDaily[TransfersOut],tblDaily[EntryDate],DATE(2026,11,1),tblDaily[WardCode],"BF")),"")</f>
        <v/>
      </c>
      <c r="H397" s="29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IFERROR(IF(SUMIFS(tblDaily[Admissions],tblDaily[EntryDate],DATE(2026,11,2),tblDaily[WardCode],"BF")=0,"",SUMIFS(tblDaily[Admissions],tblDaily[EntryDate],DATE(2026,11,2),tblDaily[WardCode],"BF")),"")</f>
        <v/>
      </c>
      <c r="C398" s="29" t="str">
        <f>IFERROR(IF(SUMIFS(tblDaily[Discharges],tblDaily[EntryDate],DATE(2026,11,2),tblDaily[WardCode],"BF")=0,"",SUMIFS(tblDaily[Discharges],tblDaily[EntryDate],DATE(2026,11,2),tblDaily[WardCode],"BF")),"")</f>
        <v/>
      </c>
      <c r="D398" s="29" t="str">
        <f>IFERROR(IF(SUMIFS(tblDaily[Deaths],tblDaily[EntryDate],DATE(2026,11,2),tblDaily[WardCode],"BF")=0,"",SUMIFS(tblDaily[Deaths],tblDaily[EntryDate],DATE(2026,11,2),tblDaily[WardCode],"BF")),"")</f>
        <v/>
      </c>
      <c r="E398" s="29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29" t="str">
        <f>IFERROR(IF(SUMIFS(tblDaily[TransfersIn],tblDaily[EntryDate],DATE(2026,11,2),tblDaily[WardCode],"BF")=0,"",SUMIFS(tblDaily[TransfersIn],tblDaily[EntryDate],DATE(2026,11,2),tblDaily[WardCode],"BF")),"")</f>
        <v/>
      </c>
      <c r="G398" s="29" t="str">
        <f>IFERROR(IF(SUMIFS(tblDaily[TransfersOut],tblDaily[EntryDate],DATE(2026,11,2),tblDaily[WardCode],"BF")=0,"",SUMIFS(tblDaily[TransfersOut],tblDaily[EntryDate],DATE(2026,11,2),tblDaily[WardCode],"BF")),"")</f>
        <v/>
      </c>
      <c r="H398" s="29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IFERROR(IF(SUMIFS(tblDaily[Admissions],tblDaily[EntryDate],DATE(2026,11,3),tblDaily[WardCode],"BF")=0,"",SUMIFS(tblDaily[Admissions],tblDaily[EntryDate],DATE(2026,11,3),tblDaily[WardCode],"BF")),"")</f>
        <v/>
      </c>
      <c r="C399" s="29" t="str">
        <f>IFERROR(IF(SUMIFS(tblDaily[Discharges],tblDaily[EntryDate],DATE(2026,11,3),tblDaily[WardCode],"BF")=0,"",SUMIFS(tblDaily[Discharges],tblDaily[EntryDate],DATE(2026,11,3),tblDaily[WardCode],"BF")),"")</f>
        <v/>
      </c>
      <c r="D399" s="29" t="str">
        <f>IFERROR(IF(SUMIFS(tblDaily[Deaths],tblDaily[EntryDate],DATE(2026,11,3),tblDaily[WardCode],"BF")=0,"",SUMIFS(tblDaily[Deaths],tblDaily[EntryDate],DATE(2026,11,3),tblDaily[WardCode],"BF")),"")</f>
        <v/>
      </c>
      <c r="E399" s="29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29" t="str">
        <f>IFERROR(IF(SUMIFS(tblDaily[TransfersIn],tblDaily[EntryDate],DATE(2026,11,3),tblDaily[WardCode],"BF")=0,"",SUMIFS(tblDaily[TransfersIn],tblDaily[EntryDate],DATE(2026,11,3),tblDaily[WardCode],"BF")),"")</f>
        <v/>
      </c>
      <c r="G399" s="29" t="str">
        <f>IFERROR(IF(SUMIFS(tblDaily[TransfersOut],tblDaily[EntryDate],DATE(2026,11,3),tblDaily[WardCode],"BF")=0,"",SUMIFS(tblDaily[TransfersOut],tblDaily[EntryDate],DATE(2026,11,3),tblDaily[WardCode],"BF")),"")</f>
        <v/>
      </c>
      <c r="H399" s="29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IFERROR(IF(SUMIFS(tblDaily[Admissions],tblDaily[EntryDate],DATE(2026,11,4),tblDaily[WardCode],"BF")=0,"",SUMIFS(tblDaily[Admissions],tblDaily[EntryDate],DATE(2026,11,4),tblDaily[WardCode],"BF")),"")</f>
        <v/>
      </c>
      <c r="C400" s="29" t="str">
        <f>IFERROR(IF(SUMIFS(tblDaily[Discharges],tblDaily[EntryDate],DATE(2026,11,4),tblDaily[WardCode],"BF")=0,"",SUMIFS(tblDaily[Discharges],tblDaily[EntryDate],DATE(2026,11,4),tblDaily[WardCode],"BF")),"")</f>
        <v/>
      </c>
      <c r="D400" s="29" t="str">
        <f>IFERROR(IF(SUMIFS(tblDaily[Deaths],tblDaily[EntryDate],DATE(2026,11,4),tblDaily[WardCode],"BF")=0,"",SUMIFS(tblDaily[Deaths],tblDaily[EntryDate],DATE(2026,11,4),tblDaily[WardCode],"BF")),"")</f>
        <v/>
      </c>
      <c r="E400" s="29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29" t="str">
        <f>IFERROR(IF(SUMIFS(tblDaily[TransfersIn],tblDaily[EntryDate],DATE(2026,11,4),tblDaily[WardCode],"BF")=0,"",SUMIFS(tblDaily[TransfersIn],tblDaily[EntryDate],DATE(2026,11,4),tblDaily[WardCode],"BF")),"")</f>
        <v/>
      </c>
      <c r="G400" s="29" t="str">
        <f>IFERROR(IF(SUMIFS(tblDaily[TransfersOut],tblDaily[EntryDate],DATE(2026,11,4),tblDaily[WardCode],"BF")=0,"",SUMIFS(tblDaily[TransfersOut],tblDaily[EntryDate],DATE(2026,11,4),tblDaily[WardCode],"BF")),"")</f>
        <v/>
      </c>
      <c r="H400" s="29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IFERROR(IF(SUMIFS(tblDaily[Admissions],tblDaily[EntryDate],DATE(2026,11,5),tblDaily[WardCode],"BF")=0,"",SUMIFS(tblDaily[Admissions],tblDaily[EntryDate],DATE(2026,11,5),tblDaily[WardCode],"BF")),"")</f>
        <v/>
      </c>
      <c r="C401" s="29" t="str">
        <f>IFERROR(IF(SUMIFS(tblDaily[Discharges],tblDaily[EntryDate],DATE(2026,11,5),tblDaily[WardCode],"BF")=0,"",SUMIFS(tblDaily[Discharges],tblDaily[EntryDate],DATE(2026,11,5),tblDaily[WardCode],"BF")),"")</f>
        <v/>
      </c>
      <c r="D401" s="29" t="str">
        <f>IFERROR(IF(SUMIFS(tblDaily[Deaths],tblDaily[EntryDate],DATE(2026,11,5),tblDaily[WardCode],"BF")=0,"",SUMIFS(tblDaily[Deaths],tblDaily[EntryDate],DATE(2026,11,5),tblDaily[WardCode],"BF")),"")</f>
        <v/>
      </c>
      <c r="E401" s="29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29" t="str">
        <f>IFERROR(IF(SUMIFS(tblDaily[TransfersIn],tblDaily[EntryDate],DATE(2026,11,5),tblDaily[WardCode],"BF")=0,"",SUMIFS(tblDaily[TransfersIn],tblDaily[EntryDate],DATE(2026,11,5),tblDaily[WardCode],"BF")),"")</f>
        <v/>
      </c>
      <c r="G401" s="29" t="str">
        <f>IFERROR(IF(SUMIFS(tblDaily[TransfersOut],tblDaily[EntryDate],DATE(2026,11,5),tblDaily[WardCode],"BF")=0,"",SUMIFS(tblDaily[TransfersOut],tblDaily[EntryDate],DATE(2026,11,5),tblDaily[WardCode],"BF")),"")</f>
        <v/>
      </c>
      <c r="H401" s="29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IFERROR(IF(SUMIFS(tblDaily[Admissions],tblDaily[EntryDate],DATE(2026,11,6),tblDaily[WardCode],"BF")=0,"",SUMIFS(tblDaily[Admissions],tblDaily[EntryDate],DATE(2026,11,6),tblDaily[WardCode],"BF")),"")</f>
        <v/>
      </c>
      <c r="C402" s="29" t="str">
        <f>IFERROR(IF(SUMIFS(tblDaily[Discharges],tblDaily[EntryDate],DATE(2026,11,6),tblDaily[WardCode],"BF")=0,"",SUMIFS(tblDaily[Discharges],tblDaily[EntryDate],DATE(2026,11,6),tblDaily[WardCode],"BF")),"")</f>
        <v/>
      </c>
      <c r="D402" s="29" t="str">
        <f>IFERROR(IF(SUMIFS(tblDaily[Deaths],tblDaily[EntryDate],DATE(2026,11,6),tblDaily[WardCode],"BF")=0,"",SUMIFS(tblDaily[Deaths],tblDaily[EntryDate],DATE(2026,11,6),tblDaily[WardCode],"BF")),"")</f>
        <v/>
      </c>
      <c r="E402" s="29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29" t="str">
        <f>IFERROR(IF(SUMIFS(tblDaily[TransfersIn],tblDaily[EntryDate],DATE(2026,11,6),tblDaily[WardCode],"BF")=0,"",SUMIFS(tblDaily[TransfersIn],tblDaily[EntryDate],DATE(2026,11,6),tblDaily[WardCode],"BF")),"")</f>
        <v/>
      </c>
      <c r="G402" s="29" t="str">
        <f>IFERROR(IF(SUMIFS(tblDaily[TransfersOut],tblDaily[EntryDate],DATE(2026,11,6),tblDaily[WardCode],"BF")=0,"",SUMIFS(tblDaily[TransfersOut],tblDaily[EntryDate],DATE(2026,11,6),tblDaily[WardCode],"BF")),"")</f>
        <v/>
      </c>
      <c r="H402" s="29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IFERROR(IF(SUMIFS(tblDaily[Admissions],tblDaily[EntryDate],DATE(2026,11,7),tblDaily[WardCode],"BF")=0,"",SUMIFS(tblDaily[Admissions],tblDaily[EntryDate],DATE(2026,11,7),tblDaily[WardCode],"BF")),"")</f>
        <v/>
      </c>
      <c r="C403" s="29" t="str">
        <f>IFERROR(IF(SUMIFS(tblDaily[Discharges],tblDaily[EntryDate],DATE(2026,11,7),tblDaily[WardCode],"BF")=0,"",SUMIFS(tblDaily[Discharges],tblDaily[EntryDate],DATE(2026,11,7),tblDaily[WardCode],"BF")),"")</f>
        <v/>
      </c>
      <c r="D403" s="29" t="str">
        <f>IFERROR(IF(SUMIFS(tblDaily[Deaths],tblDaily[EntryDate],DATE(2026,11,7),tblDaily[WardCode],"BF")=0,"",SUMIFS(tblDaily[Deaths],tblDaily[EntryDate],DATE(2026,11,7),tblDaily[WardCode],"BF")),"")</f>
        <v/>
      </c>
      <c r="E403" s="29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29" t="str">
        <f>IFERROR(IF(SUMIFS(tblDaily[TransfersIn],tblDaily[EntryDate],DATE(2026,11,7),tblDaily[WardCode],"BF")=0,"",SUMIFS(tblDaily[TransfersIn],tblDaily[EntryDate],DATE(2026,11,7),tblDaily[WardCode],"BF")),"")</f>
        <v/>
      </c>
      <c r="G403" s="29" t="str">
        <f>IFERROR(IF(SUMIFS(tblDaily[TransfersOut],tblDaily[EntryDate],DATE(2026,11,7),tblDaily[WardCode],"BF")=0,"",SUMIFS(tblDaily[TransfersOut],tblDaily[EntryDate],DATE(2026,11,7),tblDaily[WardCode],"BF")),"")</f>
        <v/>
      </c>
      <c r="H403" s="29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IFERROR(IF(SUMIFS(tblDaily[Admissions],tblDaily[EntryDate],DATE(2026,11,8),tblDaily[WardCode],"BF")=0,"",SUMIFS(tblDaily[Admissions],tblDaily[EntryDate],DATE(2026,11,8),tblDaily[WardCode],"BF")),"")</f>
        <v/>
      </c>
      <c r="C404" s="29" t="str">
        <f>IFERROR(IF(SUMIFS(tblDaily[Discharges],tblDaily[EntryDate],DATE(2026,11,8),tblDaily[WardCode],"BF")=0,"",SUMIFS(tblDaily[Discharges],tblDaily[EntryDate],DATE(2026,11,8),tblDaily[WardCode],"BF")),"")</f>
        <v/>
      </c>
      <c r="D404" s="29" t="str">
        <f>IFERROR(IF(SUMIFS(tblDaily[Deaths],tblDaily[EntryDate],DATE(2026,11,8),tblDaily[WardCode],"BF")=0,"",SUMIFS(tblDaily[Deaths],tblDaily[EntryDate],DATE(2026,11,8),tblDaily[WardCode],"BF")),"")</f>
        <v/>
      </c>
      <c r="E404" s="29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29" t="str">
        <f>IFERROR(IF(SUMIFS(tblDaily[TransfersIn],tblDaily[EntryDate],DATE(2026,11,8),tblDaily[WardCode],"BF")=0,"",SUMIFS(tblDaily[TransfersIn],tblDaily[EntryDate],DATE(2026,11,8),tblDaily[WardCode],"BF")),"")</f>
        <v/>
      </c>
      <c r="G404" s="29" t="str">
        <f>IFERROR(IF(SUMIFS(tblDaily[TransfersOut],tblDaily[EntryDate],DATE(2026,11,8),tblDaily[WardCode],"BF")=0,"",SUMIFS(tblDaily[TransfersOut],tblDaily[EntryDate],DATE(2026,11,8),tblDaily[WardCode],"BF")),"")</f>
        <v/>
      </c>
      <c r="H404" s="29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IFERROR(IF(SUMIFS(tblDaily[Admissions],tblDaily[EntryDate],DATE(2026,11,9),tblDaily[WardCode],"BF")=0,"",SUMIFS(tblDaily[Admissions],tblDaily[EntryDate],DATE(2026,11,9),tblDaily[WardCode],"BF")),"")</f>
        <v/>
      </c>
      <c r="C405" s="29" t="str">
        <f>IFERROR(IF(SUMIFS(tblDaily[Discharges],tblDaily[EntryDate],DATE(2026,11,9),tblDaily[WardCode],"BF")=0,"",SUMIFS(tblDaily[Discharges],tblDaily[EntryDate],DATE(2026,11,9),tblDaily[WardCode],"BF")),"")</f>
        <v/>
      </c>
      <c r="D405" s="29" t="str">
        <f>IFERROR(IF(SUMIFS(tblDaily[Deaths],tblDaily[EntryDate],DATE(2026,11,9),tblDaily[WardCode],"BF")=0,"",SUMIFS(tblDaily[Deaths],tblDaily[EntryDate],DATE(2026,11,9),tblDaily[WardCode],"BF")),"")</f>
        <v/>
      </c>
      <c r="E405" s="29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29" t="str">
        <f>IFERROR(IF(SUMIFS(tblDaily[TransfersIn],tblDaily[EntryDate],DATE(2026,11,9),tblDaily[WardCode],"BF")=0,"",SUMIFS(tblDaily[TransfersIn],tblDaily[EntryDate],DATE(2026,11,9),tblDaily[WardCode],"BF")),"")</f>
        <v/>
      </c>
      <c r="G405" s="29" t="str">
        <f>IFERROR(IF(SUMIFS(tblDaily[TransfersOut],tblDaily[EntryDate],DATE(2026,11,9),tblDaily[WardCode],"BF")=0,"",SUMIFS(tblDaily[TransfersOut],tblDaily[EntryDate],DATE(2026,11,9),tblDaily[WardCode],"BF")),"")</f>
        <v/>
      </c>
      <c r="H405" s="29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IFERROR(IF(SUMIFS(tblDaily[Admissions],tblDaily[EntryDate],DATE(2026,11,10),tblDaily[WardCode],"BF")=0,"",SUMIFS(tblDaily[Admissions],tblDaily[EntryDate],DATE(2026,11,10),tblDaily[WardCode],"BF")),"")</f>
        <v/>
      </c>
      <c r="C406" s="29" t="str">
        <f>IFERROR(IF(SUMIFS(tblDaily[Discharges],tblDaily[EntryDate],DATE(2026,11,10),tblDaily[WardCode],"BF")=0,"",SUMIFS(tblDaily[Discharges],tblDaily[EntryDate],DATE(2026,11,10),tblDaily[WardCode],"BF")),"")</f>
        <v/>
      </c>
      <c r="D406" s="29" t="str">
        <f>IFERROR(IF(SUMIFS(tblDaily[Deaths],tblDaily[EntryDate],DATE(2026,11,10),tblDaily[WardCode],"BF")=0,"",SUMIFS(tblDaily[Deaths],tblDaily[EntryDate],DATE(2026,11,10),tblDaily[WardCode],"BF")),"")</f>
        <v/>
      </c>
      <c r="E406" s="29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29" t="str">
        <f>IFERROR(IF(SUMIFS(tblDaily[TransfersIn],tblDaily[EntryDate],DATE(2026,11,10),tblDaily[WardCode],"BF")=0,"",SUMIFS(tblDaily[TransfersIn],tblDaily[EntryDate],DATE(2026,11,10),tblDaily[WardCode],"BF")),"")</f>
        <v/>
      </c>
      <c r="G406" s="29" t="str">
        <f>IFERROR(IF(SUMIFS(tblDaily[TransfersOut],tblDaily[EntryDate],DATE(2026,11,10),tblDaily[WardCode],"BF")=0,"",SUMIFS(tblDaily[TransfersOut],tblDaily[EntryDate],DATE(2026,11,10),tblDaily[WardCode],"BF")),"")</f>
        <v/>
      </c>
      <c r="H406" s="29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IFERROR(IF(SUMIFS(tblDaily[Admissions],tblDaily[EntryDate],DATE(2026,11,11),tblDaily[WardCode],"BF")=0,"",SUMIFS(tblDaily[Admissions],tblDaily[EntryDate],DATE(2026,11,11),tblDaily[WardCode],"BF")),"")</f>
        <v/>
      </c>
      <c r="C407" s="29" t="str">
        <f>IFERROR(IF(SUMIFS(tblDaily[Discharges],tblDaily[EntryDate],DATE(2026,11,11),tblDaily[WardCode],"BF")=0,"",SUMIFS(tblDaily[Discharges],tblDaily[EntryDate],DATE(2026,11,11),tblDaily[WardCode],"BF")),"")</f>
        <v/>
      </c>
      <c r="D407" s="29" t="str">
        <f>IFERROR(IF(SUMIFS(tblDaily[Deaths],tblDaily[EntryDate],DATE(2026,11,11),tblDaily[WardCode],"BF")=0,"",SUMIFS(tblDaily[Deaths],tblDaily[EntryDate],DATE(2026,11,11),tblDaily[WardCode],"BF")),"")</f>
        <v/>
      </c>
      <c r="E407" s="29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29" t="str">
        <f>IFERROR(IF(SUMIFS(tblDaily[TransfersIn],tblDaily[EntryDate],DATE(2026,11,11),tblDaily[WardCode],"BF")=0,"",SUMIFS(tblDaily[TransfersIn],tblDaily[EntryDate],DATE(2026,11,11),tblDaily[WardCode],"BF")),"")</f>
        <v/>
      </c>
      <c r="G407" s="29" t="str">
        <f>IFERROR(IF(SUMIFS(tblDaily[TransfersOut],tblDaily[EntryDate],DATE(2026,11,11),tblDaily[WardCode],"BF")=0,"",SUMIFS(tblDaily[TransfersOut],tblDaily[EntryDate],DATE(2026,11,11),tblDaily[WardCode],"BF")),"")</f>
        <v/>
      </c>
      <c r="H407" s="29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IFERROR(IF(SUMIFS(tblDaily[Admissions],tblDaily[EntryDate],DATE(2026,11,12),tblDaily[WardCode],"BF")=0,"",SUMIFS(tblDaily[Admissions],tblDaily[EntryDate],DATE(2026,11,12),tblDaily[WardCode],"BF")),"")</f>
        <v/>
      </c>
      <c r="C408" s="29" t="str">
        <f>IFERROR(IF(SUMIFS(tblDaily[Discharges],tblDaily[EntryDate],DATE(2026,11,12),tblDaily[WardCode],"BF")=0,"",SUMIFS(tblDaily[Discharges],tblDaily[EntryDate],DATE(2026,11,12),tblDaily[WardCode],"BF")),"")</f>
        <v/>
      </c>
      <c r="D408" s="29" t="str">
        <f>IFERROR(IF(SUMIFS(tblDaily[Deaths],tblDaily[EntryDate],DATE(2026,11,12),tblDaily[WardCode],"BF")=0,"",SUMIFS(tblDaily[Deaths],tblDaily[EntryDate],DATE(2026,11,12),tblDaily[WardCode],"BF")),"")</f>
        <v/>
      </c>
      <c r="E408" s="29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29" t="str">
        <f>IFERROR(IF(SUMIFS(tblDaily[TransfersIn],tblDaily[EntryDate],DATE(2026,11,12),tblDaily[WardCode],"BF")=0,"",SUMIFS(tblDaily[TransfersIn],tblDaily[EntryDate],DATE(2026,11,12),tblDaily[WardCode],"BF")),"")</f>
        <v/>
      </c>
      <c r="G408" s="29" t="str">
        <f>IFERROR(IF(SUMIFS(tblDaily[TransfersOut],tblDaily[EntryDate],DATE(2026,11,12),tblDaily[WardCode],"BF")=0,"",SUMIFS(tblDaily[TransfersOut],tblDaily[EntryDate],DATE(2026,11,12),tblDaily[WardCode],"BF")),"")</f>
        <v/>
      </c>
      <c r="H408" s="29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IFERROR(IF(SUMIFS(tblDaily[Admissions],tblDaily[EntryDate],DATE(2026,11,13),tblDaily[WardCode],"BF")=0,"",SUMIFS(tblDaily[Admissions],tblDaily[EntryDate],DATE(2026,11,13),tblDaily[WardCode],"BF")),"")</f>
        <v/>
      </c>
      <c r="C409" s="29" t="str">
        <f>IFERROR(IF(SUMIFS(tblDaily[Discharges],tblDaily[EntryDate],DATE(2026,11,13),tblDaily[WardCode],"BF")=0,"",SUMIFS(tblDaily[Discharges],tblDaily[EntryDate],DATE(2026,11,13),tblDaily[WardCode],"BF")),"")</f>
        <v/>
      </c>
      <c r="D409" s="29" t="str">
        <f>IFERROR(IF(SUMIFS(tblDaily[Deaths],tblDaily[EntryDate],DATE(2026,11,13),tblDaily[WardCode],"BF")=0,"",SUMIFS(tblDaily[Deaths],tblDaily[EntryDate],DATE(2026,11,13),tblDaily[WardCode],"BF")),"")</f>
        <v/>
      </c>
      <c r="E409" s="29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29" t="str">
        <f>IFERROR(IF(SUMIFS(tblDaily[TransfersIn],tblDaily[EntryDate],DATE(2026,11,13),tblDaily[WardCode],"BF")=0,"",SUMIFS(tblDaily[TransfersIn],tblDaily[EntryDate],DATE(2026,11,13),tblDaily[WardCode],"BF")),"")</f>
        <v/>
      </c>
      <c r="G409" s="29" t="str">
        <f>IFERROR(IF(SUMIFS(tblDaily[TransfersOut],tblDaily[EntryDate],DATE(2026,11,13),tblDaily[WardCode],"BF")=0,"",SUMIFS(tblDaily[TransfersOut],tblDaily[EntryDate],DATE(2026,11,13),tblDaily[WardCode],"BF")),"")</f>
        <v/>
      </c>
      <c r="H409" s="29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IFERROR(IF(SUMIFS(tblDaily[Admissions],tblDaily[EntryDate],DATE(2026,11,14),tblDaily[WardCode],"BF")=0,"",SUMIFS(tblDaily[Admissions],tblDaily[EntryDate],DATE(2026,11,14),tblDaily[WardCode],"BF")),"")</f>
        <v/>
      </c>
      <c r="C410" s="29" t="str">
        <f>IFERROR(IF(SUMIFS(tblDaily[Discharges],tblDaily[EntryDate],DATE(2026,11,14),tblDaily[WardCode],"BF")=0,"",SUMIFS(tblDaily[Discharges],tblDaily[EntryDate],DATE(2026,11,14),tblDaily[WardCode],"BF")),"")</f>
        <v/>
      </c>
      <c r="D410" s="29" t="str">
        <f>IFERROR(IF(SUMIFS(tblDaily[Deaths],tblDaily[EntryDate],DATE(2026,11,14),tblDaily[WardCode],"BF")=0,"",SUMIFS(tblDaily[Deaths],tblDaily[EntryDate],DATE(2026,11,14),tblDaily[WardCode],"BF")),"")</f>
        <v/>
      </c>
      <c r="E410" s="29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29" t="str">
        <f>IFERROR(IF(SUMIFS(tblDaily[TransfersIn],tblDaily[EntryDate],DATE(2026,11,14),tblDaily[WardCode],"BF")=0,"",SUMIFS(tblDaily[TransfersIn],tblDaily[EntryDate],DATE(2026,11,14),tblDaily[WardCode],"BF")),"")</f>
        <v/>
      </c>
      <c r="G410" s="29" t="str">
        <f>IFERROR(IF(SUMIFS(tblDaily[TransfersOut],tblDaily[EntryDate],DATE(2026,11,14),tblDaily[WardCode],"BF")=0,"",SUMIFS(tblDaily[TransfersOut],tblDaily[EntryDate],DATE(2026,11,14),tblDaily[WardCode],"BF")),"")</f>
        <v/>
      </c>
      <c r="H410" s="29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IFERROR(IF(SUMIFS(tblDaily[Admissions],tblDaily[EntryDate],DATE(2026,11,15),tblDaily[WardCode],"BF")=0,"",SUMIFS(tblDaily[Admissions],tblDaily[EntryDate],DATE(2026,11,15),tblDaily[WardCode],"BF")),"")</f>
        <v/>
      </c>
      <c r="C411" s="29" t="str">
        <f>IFERROR(IF(SUMIFS(tblDaily[Discharges],tblDaily[EntryDate],DATE(2026,11,15),tblDaily[WardCode],"BF")=0,"",SUMIFS(tblDaily[Discharges],tblDaily[EntryDate],DATE(2026,11,15),tblDaily[WardCode],"BF")),"")</f>
        <v/>
      </c>
      <c r="D411" s="29" t="str">
        <f>IFERROR(IF(SUMIFS(tblDaily[Deaths],tblDaily[EntryDate],DATE(2026,11,15),tblDaily[WardCode],"BF")=0,"",SUMIFS(tblDaily[Deaths],tblDaily[EntryDate],DATE(2026,11,15),tblDaily[WardCode],"BF")),"")</f>
        <v/>
      </c>
      <c r="E411" s="29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29" t="str">
        <f>IFERROR(IF(SUMIFS(tblDaily[TransfersIn],tblDaily[EntryDate],DATE(2026,11,15),tblDaily[WardCode],"BF")=0,"",SUMIFS(tblDaily[TransfersIn],tblDaily[EntryDate],DATE(2026,11,15),tblDaily[WardCode],"BF")),"")</f>
        <v/>
      </c>
      <c r="G411" s="29" t="str">
        <f>IFERROR(IF(SUMIFS(tblDaily[TransfersOut],tblDaily[EntryDate],DATE(2026,11,15),tblDaily[WardCode],"BF")=0,"",SUMIFS(tblDaily[TransfersOut],tblDaily[EntryDate],DATE(2026,11,15),tblDaily[WardCode],"BF")),"")</f>
        <v/>
      </c>
      <c r="H411" s="29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IFERROR(IF(SUMIFS(tblDaily[Admissions],tblDaily[EntryDate],DATE(2026,11,16),tblDaily[WardCode],"BF")=0,"",SUMIFS(tblDaily[Admissions],tblDaily[EntryDate],DATE(2026,11,16),tblDaily[WardCode],"BF")),"")</f>
        <v/>
      </c>
      <c r="C412" s="29" t="str">
        <f>IFERROR(IF(SUMIFS(tblDaily[Discharges],tblDaily[EntryDate],DATE(2026,11,16),tblDaily[WardCode],"BF")=0,"",SUMIFS(tblDaily[Discharges],tblDaily[EntryDate],DATE(2026,11,16),tblDaily[WardCode],"BF")),"")</f>
        <v/>
      </c>
      <c r="D412" s="29" t="str">
        <f>IFERROR(IF(SUMIFS(tblDaily[Deaths],tblDaily[EntryDate],DATE(2026,11,16),tblDaily[WardCode],"BF")=0,"",SUMIFS(tblDaily[Deaths],tblDaily[EntryDate],DATE(2026,11,16),tblDaily[WardCode],"BF")),"")</f>
        <v/>
      </c>
      <c r="E412" s="29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29" t="str">
        <f>IFERROR(IF(SUMIFS(tblDaily[TransfersIn],tblDaily[EntryDate],DATE(2026,11,16),tblDaily[WardCode],"BF")=0,"",SUMIFS(tblDaily[TransfersIn],tblDaily[EntryDate],DATE(2026,11,16),tblDaily[WardCode],"BF")),"")</f>
        <v/>
      </c>
      <c r="G412" s="29" t="str">
        <f>IFERROR(IF(SUMIFS(tblDaily[TransfersOut],tblDaily[EntryDate],DATE(2026,11,16),tblDaily[WardCode],"BF")=0,"",SUMIFS(tblDaily[TransfersOut],tblDaily[EntryDate],DATE(2026,11,16),tblDaily[WardCode],"BF")),"")</f>
        <v/>
      </c>
      <c r="H412" s="29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IFERROR(IF(SUMIFS(tblDaily[Admissions],tblDaily[EntryDate],DATE(2026,11,17),tblDaily[WardCode],"BF")=0,"",SUMIFS(tblDaily[Admissions],tblDaily[EntryDate],DATE(2026,11,17),tblDaily[WardCode],"BF")),"")</f>
        <v/>
      </c>
      <c r="C413" s="29" t="str">
        <f>IFERROR(IF(SUMIFS(tblDaily[Discharges],tblDaily[EntryDate],DATE(2026,11,17),tblDaily[WardCode],"BF")=0,"",SUMIFS(tblDaily[Discharges],tblDaily[EntryDate],DATE(2026,11,17),tblDaily[WardCode],"BF")),"")</f>
        <v/>
      </c>
      <c r="D413" s="29" t="str">
        <f>IFERROR(IF(SUMIFS(tblDaily[Deaths],tblDaily[EntryDate],DATE(2026,11,17),tblDaily[WardCode],"BF")=0,"",SUMIFS(tblDaily[Deaths],tblDaily[EntryDate],DATE(2026,11,17),tblDaily[WardCode],"BF")),"")</f>
        <v/>
      </c>
      <c r="E413" s="29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29" t="str">
        <f>IFERROR(IF(SUMIFS(tblDaily[TransfersIn],tblDaily[EntryDate],DATE(2026,11,17),tblDaily[WardCode],"BF")=0,"",SUMIFS(tblDaily[TransfersIn],tblDaily[EntryDate],DATE(2026,11,17),tblDaily[WardCode],"BF")),"")</f>
        <v/>
      </c>
      <c r="G413" s="29" t="str">
        <f>IFERROR(IF(SUMIFS(tblDaily[TransfersOut],tblDaily[EntryDate],DATE(2026,11,17),tblDaily[WardCode],"BF")=0,"",SUMIFS(tblDaily[TransfersOut],tblDaily[EntryDate],DATE(2026,11,17),tblDaily[WardCode],"BF")),"")</f>
        <v/>
      </c>
      <c r="H413" s="29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IFERROR(IF(SUMIFS(tblDaily[Admissions],tblDaily[EntryDate],DATE(2026,11,18),tblDaily[WardCode],"BF")=0,"",SUMIFS(tblDaily[Admissions],tblDaily[EntryDate],DATE(2026,11,18),tblDaily[WardCode],"BF")),"")</f>
        <v/>
      </c>
      <c r="C414" s="29" t="str">
        <f>IFERROR(IF(SUMIFS(tblDaily[Discharges],tblDaily[EntryDate],DATE(2026,11,18),tblDaily[WardCode],"BF")=0,"",SUMIFS(tblDaily[Discharges],tblDaily[EntryDate],DATE(2026,11,18),tblDaily[WardCode],"BF")),"")</f>
        <v/>
      </c>
      <c r="D414" s="29" t="str">
        <f>IFERROR(IF(SUMIFS(tblDaily[Deaths],tblDaily[EntryDate],DATE(2026,11,18),tblDaily[WardCode],"BF")=0,"",SUMIFS(tblDaily[Deaths],tblDaily[EntryDate],DATE(2026,11,18),tblDaily[WardCode],"BF")),"")</f>
        <v/>
      </c>
      <c r="E414" s="29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29" t="str">
        <f>IFERROR(IF(SUMIFS(tblDaily[TransfersIn],tblDaily[EntryDate],DATE(2026,11,18),tblDaily[WardCode],"BF")=0,"",SUMIFS(tblDaily[TransfersIn],tblDaily[EntryDate],DATE(2026,11,18),tblDaily[WardCode],"BF")),"")</f>
        <v/>
      </c>
      <c r="G414" s="29" t="str">
        <f>IFERROR(IF(SUMIFS(tblDaily[TransfersOut],tblDaily[EntryDate],DATE(2026,11,18),tblDaily[WardCode],"BF")=0,"",SUMIFS(tblDaily[TransfersOut],tblDaily[EntryDate],DATE(2026,11,18),tblDaily[WardCode],"BF")),"")</f>
        <v/>
      </c>
      <c r="H414" s="29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IFERROR(IF(SUMIFS(tblDaily[Admissions],tblDaily[EntryDate],DATE(2026,11,19),tblDaily[WardCode],"BF")=0,"",SUMIFS(tblDaily[Admissions],tblDaily[EntryDate],DATE(2026,11,19),tblDaily[WardCode],"BF")),"")</f>
        <v/>
      </c>
      <c r="C415" s="29" t="str">
        <f>IFERROR(IF(SUMIFS(tblDaily[Discharges],tblDaily[EntryDate],DATE(2026,11,19),tblDaily[WardCode],"BF")=0,"",SUMIFS(tblDaily[Discharges],tblDaily[EntryDate],DATE(2026,11,19),tblDaily[WardCode],"BF")),"")</f>
        <v/>
      </c>
      <c r="D415" s="29" t="str">
        <f>IFERROR(IF(SUMIFS(tblDaily[Deaths],tblDaily[EntryDate],DATE(2026,11,19),tblDaily[WardCode],"BF")=0,"",SUMIFS(tblDaily[Deaths],tblDaily[EntryDate],DATE(2026,11,19),tblDaily[WardCode],"BF")),"")</f>
        <v/>
      </c>
      <c r="E415" s="29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29" t="str">
        <f>IFERROR(IF(SUMIFS(tblDaily[TransfersIn],tblDaily[EntryDate],DATE(2026,11,19),tblDaily[WardCode],"BF")=0,"",SUMIFS(tblDaily[TransfersIn],tblDaily[EntryDate],DATE(2026,11,19),tblDaily[WardCode],"BF")),"")</f>
        <v/>
      </c>
      <c r="G415" s="29" t="str">
        <f>IFERROR(IF(SUMIFS(tblDaily[TransfersOut],tblDaily[EntryDate],DATE(2026,11,19),tblDaily[WardCode],"BF")=0,"",SUMIFS(tblDaily[TransfersOut],tblDaily[EntryDate],DATE(2026,11,19),tblDaily[WardCode],"BF")),"")</f>
        <v/>
      </c>
      <c r="H415" s="29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IFERROR(IF(SUMIFS(tblDaily[Admissions],tblDaily[EntryDate],DATE(2026,11,20),tblDaily[WardCode],"BF")=0,"",SUMIFS(tblDaily[Admissions],tblDaily[EntryDate],DATE(2026,11,20),tblDaily[WardCode],"BF")),"")</f>
        <v/>
      </c>
      <c r="C416" s="29" t="str">
        <f>IFERROR(IF(SUMIFS(tblDaily[Discharges],tblDaily[EntryDate],DATE(2026,11,20),tblDaily[WardCode],"BF")=0,"",SUMIFS(tblDaily[Discharges],tblDaily[EntryDate],DATE(2026,11,20),tblDaily[WardCode],"BF")),"")</f>
        <v/>
      </c>
      <c r="D416" s="29" t="str">
        <f>IFERROR(IF(SUMIFS(tblDaily[Deaths],tblDaily[EntryDate],DATE(2026,11,20),tblDaily[WardCode],"BF")=0,"",SUMIFS(tblDaily[Deaths],tblDaily[EntryDate],DATE(2026,11,20),tblDaily[WardCode],"BF")),"")</f>
        <v/>
      </c>
      <c r="E416" s="29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29" t="str">
        <f>IFERROR(IF(SUMIFS(tblDaily[TransfersIn],tblDaily[EntryDate],DATE(2026,11,20),tblDaily[WardCode],"BF")=0,"",SUMIFS(tblDaily[TransfersIn],tblDaily[EntryDate],DATE(2026,11,20),tblDaily[WardCode],"BF")),"")</f>
        <v/>
      </c>
      <c r="G416" s="29" t="str">
        <f>IFERROR(IF(SUMIFS(tblDaily[TransfersOut],tblDaily[EntryDate],DATE(2026,11,20),tblDaily[WardCode],"BF")=0,"",SUMIFS(tblDaily[TransfersOut],tblDaily[EntryDate],DATE(2026,11,20),tblDaily[WardCode],"BF")),"")</f>
        <v/>
      </c>
      <c r="H416" s="29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IFERROR(IF(SUMIFS(tblDaily[Admissions],tblDaily[EntryDate],DATE(2026,11,21),tblDaily[WardCode],"BF")=0,"",SUMIFS(tblDaily[Admissions],tblDaily[EntryDate],DATE(2026,11,21),tblDaily[WardCode],"BF")),"")</f>
        <v/>
      </c>
      <c r="C417" s="29" t="str">
        <f>IFERROR(IF(SUMIFS(tblDaily[Discharges],tblDaily[EntryDate],DATE(2026,11,21),tblDaily[WardCode],"BF")=0,"",SUMIFS(tblDaily[Discharges],tblDaily[EntryDate],DATE(2026,11,21),tblDaily[WardCode],"BF")),"")</f>
        <v/>
      </c>
      <c r="D417" s="29" t="str">
        <f>IFERROR(IF(SUMIFS(tblDaily[Deaths],tblDaily[EntryDate],DATE(2026,11,21),tblDaily[WardCode],"BF")=0,"",SUMIFS(tblDaily[Deaths],tblDaily[EntryDate],DATE(2026,11,21),tblDaily[WardCode],"BF")),"")</f>
        <v/>
      </c>
      <c r="E417" s="29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29" t="str">
        <f>IFERROR(IF(SUMIFS(tblDaily[TransfersIn],tblDaily[EntryDate],DATE(2026,11,21),tblDaily[WardCode],"BF")=0,"",SUMIFS(tblDaily[TransfersIn],tblDaily[EntryDate],DATE(2026,11,21),tblDaily[WardCode],"BF")),"")</f>
        <v/>
      </c>
      <c r="G417" s="29" t="str">
        <f>IFERROR(IF(SUMIFS(tblDaily[TransfersOut],tblDaily[EntryDate],DATE(2026,11,21),tblDaily[WardCode],"BF")=0,"",SUMIFS(tblDaily[TransfersOut],tblDaily[EntryDate],DATE(2026,11,21),tblDaily[WardCode],"BF")),"")</f>
        <v/>
      </c>
      <c r="H417" s="29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IFERROR(IF(SUMIFS(tblDaily[Admissions],tblDaily[EntryDate],DATE(2026,11,22),tblDaily[WardCode],"BF")=0,"",SUMIFS(tblDaily[Admissions],tblDaily[EntryDate],DATE(2026,11,22),tblDaily[WardCode],"BF")),"")</f>
        <v/>
      </c>
      <c r="C418" s="29" t="str">
        <f>IFERROR(IF(SUMIFS(tblDaily[Discharges],tblDaily[EntryDate],DATE(2026,11,22),tblDaily[WardCode],"BF")=0,"",SUMIFS(tblDaily[Discharges],tblDaily[EntryDate],DATE(2026,11,22),tblDaily[WardCode],"BF")),"")</f>
        <v/>
      </c>
      <c r="D418" s="29" t="str">
        <f>IFERROR(IF(SUMIFS(tblDaily[Deaths],tblDaily[EntryDate],DATE(2026,11,22),tblDaily[WardCode],"BF")=0,"",SUMIFS(tblDaily[Deaths],tblDaily[EntryDate],DATE(2026,11,22),tblDaily[WardCode],"BF")),"")</f>
        <v/>
      </c>
      <c r="E418" s="29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29" t="str">
        <f>IFERROR(IF(SUMIFS(tblDaily[TransfersIn],tblDaily[EntryDate],DATE(2026,11,22),tblDaily[WardCode],"BF")=0,"",SUMIFS(tblDaily[TransfersIn],tblDaily[EntryDate],DATE(2026,11,22),tblDaily[WardCode],"BF")),"")</f>
        <v/>
      </c>
      <c r="G418" s="29" t="str">
        <f>IFERROR(IF(SUMIFS(tblDaily[TransfersOut],tblDaily[EntryDate],DATE(2026,11,22),tblDaily[WardCode],"BF")=0,"",SUMIFS(tblDaily[TransfersOut],tblDaily[EntryDate],DATE(2026,11,22),tblDaily[WardCode],"BF")),"")</f>
        <v/>
      </c>
      <c r="H418" s="29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IFERROR(IF(SUMIFS(tblDaily[Admissions],tblDaily[EntryDate],DATE(2026,11,23),tblDaily[WardCode],"BF")=0,"",SUMIFS(tblDaily[Admissions],tblDaily[EntryDate],DATE(2026,11,23),tblDaily[WardCode],"BF")),"")</f>
        <v/>
      </c>
      <c r="C419" s="29" t="str">
        <f>IFERROR(IF(SUMIFS(tblDaily[Discharges],tblDaily[EntryDate],DATE(2026,11,23),tblDaily[WardCode],"BF")=0,"",SUMIFS(tblDaily[Discharges],tblDaily[EntryDate],DATE(2026,11,23),tblDaily[WardCode],"BF")),"")</f>
        <v/>
      </c>
      <c r="D419" s="29" t="str">
        <f>IFERROR(IF(SUMIFS(tblDaily[Deaths],tblDaily[EntryDate],DATE(2026,11,23),tblDaily[WardCode],"BF")=0,"",SUMIFS(tblDaily[Deaths],tblDaily[EntryDate],DATE(2026,11,23),tblDaily[WardCode],"BF")),"")</f>
        <v/>
      </c>
      <c r="E419" s="29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29" t="str">
        <f>IFERROR(IF(SUMIFS(tblDaily[TransfersIn],tblDaily[EntryDate],DATE(2026,11,23),tblDaily[WardCode],"BF")=0,"",SUMIFS(tblDaily[TransfersIn],tblDaily[EntryDate],DATE(2026,11,23),tblDaily[WardCode],"BF")),"")</f>
        <v/>
      </c>
      <c r="G419" s="29" t="str">
        <f>IFERROR(IF(SUMIFS(tblDaily[TransfersOut],tblDaily[EntryDate],DATE(2026,11,23),tblDaily[WardCode],"BF")=0,"",SUMIFS(tblDaily[TransfersOut],tblDaily[EntryDate],DATE(2026,11,23),tblDaily[WardCode],"BF")),"")</f>
        <v/>
      </c>
      <c r="H419" s="29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IFERROR(IF(SUMIFS(tblDaily[Admissions],tblDaily[EntryDate],DATE(2026,11,24),tblDaily[WardCode],"BF")=0,"",SUMIFS(tblDaily[Admissions],tblDaily[EntryDate],DATE(2026,11,24),tblDaily[WardCode],"BF")),"")</f>
        <v/>
      </c>
      <c r="C420" s="29" t="str">
        <f>IFERROR(IF(SUMIFS(tblDaily[Discharges],tblDaily[EntryDate],DATE(2026,11,24),tblDaily[WardCode],"BF")=0,"",SUMIFS(tblDaily[Discharges],tblDaily[EntryDate],DATE(2026,11,24),tblDaily[WardCode],"BF")),"")</f>
        <v/>
      </c>
      <c r="D420" s="29" t="str">
        <f>IFERROR(IF(SUMIFS(tblDaily[Deaths],tblDaily[EntryDate],DATE(2026,11,24),tblDaily[WardCode],"BF")=0,"",SUMIFS(tblDaily[Deaths],tblDaily[EntryDate],DATE(2026,11,24),tblDaily[WardCode],"BF")),"")</f>
        <v/>
      </c>
      <c r="E420" s="29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29" t="str">
        <f>IFERROR(IF(SUMIFS(tblDaily[TransfersIn],tblDaily[EntryDate],DATE(2026,11,24),tblDaily[WardCode],"BF")=0,"",SUMIFS(tblDaily[TransfersIn],tblDaily[EntryDate],DATE(2026,11,24),tblDaily[WardCode],"BF")),"")</f>
        <v/>
      </c>
      <c r="G420" s="29" t="str">
        <f>IFERROR(IF(SUMIFS(tblDaily[TransfersOut],tblDaily[EntryDate],DATE(2026,11,24),tblDaily[WardCode],"BF")=0,"",SUMIFS(tblDaily[TransfersOut],tblDaily[EntryDate],DATE(2026,11,24),tblDaily[WardCode],"BF")),"")</f>
        <v/>
      </c>
      <c r="H420" s="29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IFERROR(IF(SUMIFS(tblDaily[Admissions],tblDaily[EntryDate],DATE(2026,11,25),tblDaily[WardCode],"BF")=0,"",SUMIFS(tblDaily[Admissions],tblDaily[EntryDate],DATE(2026,11,25),tblDaily[WardCode],"BF")),"")</f>
        <v/>
      </c>
      <c r="C421" s="29" t="str">
        <f>IFERROR(IF(SUMIFS(tblDaily[Discharges],tblDaily[EntryDate],DATE(2026,11,25),tblDaily[WardCode],"BF")=0,"",SUMIFS(tblDaily[Discharges],tblDaily[EntryDate],DATE(2026,11,25),tblDaily[WardCode],"BF")),"")</f>
        <v/>
      </c>
      <c r="D421" s="29" t="str">
        <f>IFERROR(IF(SUMIFS(tblDaily[Deaths],tblDaily[EntryDate],DATE(2026,11,25),tblDaily[WardCode],"BF")=0,"",SUMIFS(tblDaily[Deaths],tblDaily[EntryDate],DATE(2026,11,25),tblDaily[WardCode],"BF")),"")</f>
        <v/>
      </c>
      <c r="E421" s="29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29" t="str">
        <f>IFERROR(IF(SUMIFS(tblDaily[TransfersIn],tblDaily[EntryDate],DATE(2026,11,25),tblDaily[WardCode],"BF")=0,"",SUMIFS(tblDaily[TransfersIn],tblDaily[EntryDate],DATE(2026,11,25),tblDaily[WardCode],"BF")),"")</f>
        <v/>
      </c>
      <c r="G421" s="29" t="str">
        <f>IFERROR(IF(SUMIFS(tblDaily[TransfersOut],tblDaily[EntryDate],DATE(2026,11,25),tblDaily[WardCode],"BF")=0,"",SUMIFS(tblDaily[TransfersOut],tblDaily[EntryDate],DATE(2026,11,25),tblDaily[WardCode],"BF")),"")</f>
        <v/>
      </c>
      <c r="H421" s="29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IFERROR(IF(SUMIFS(tblDaily[Admissions],tblDaily[EntryDate],DATE(2026,11,26),tblDaily[WardCode],"BF")=0,"",SUMIFS(tblDaily[Admissions],tblDaily[EntryDate],DATE(2026,11,26),tblDaily[WardCode],"BF")),"")</f>
        <v/>
      </c>
      <c r="C422" s="29" t="str">
        <f>IFERROR(IF(SUMIFS(tblDaily[Discharges],tblDaily[EntryDate],DATE(2026,11,26),tblDaily[WardCode],"BF")=0,"",SUMIFS(tblDaily[Discharges],tblDaily[EntryDate],DATE(2026,11,26),tblDaily[WardCode],"BF")),"")</f>
        <v/>
      </c>
      <c r="D422" s="29" t="str">
        <f>IFERROR(IF(SUMIFS(tblDaily[Deaths],tblDaily[EntryDate],DATE(2026,11,26),tblDaily[WardCode],"BF")=0,"",SUMIFS(tblDaily[Deaths],tblDaily[EntryDate],DATE(2026,11,26),tblDaily[WardCode],"BF")),"")</f>
        <v/>
      </c>
      <c r="E422" s="29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29" t="str">
        <f>IFERROR(IF(SUMIFS(tblDaily[TransfersIn],tblDaily[EntryDate],DATE(2026,11,26),tblDaily[WardCode],"BF")=0,"",SUMIFS(tblDaily[TransfersIn],tblDaily[EntryDate],DATE(2026,11,26),tblDaily[WardCode],"BF")),"")</f>
        <v/>
      </c>
      <c r="G422" s="29" t="str">
        <f>IFERROR(IF(SUMIFS(tblDaily[TransfersOut],tblDaily[EntryDate],DATE(2026,11,26),tblDaily[WardCode],"BF")=0,"",SUMIFS(tblDaily[TransfersOut],tblDaily[EntryDate],DATE(2026,11,26),tblDaily[WardCode],"BF")),"")</f>
        <v/>
      </c>
      <c r="H422" s="29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IFERROR(IF(SUMIFS(tblDaily[Admissions],tblDaily[EntryDate],DATE(2026,11,27),tblDaily[WardCode],"BF")=0,"",SUMIFS(tblDaily[Admissions],tblDaily[EntryDate],DATE(2026,11,27),tblDaily[WardCode],"BF")),"")</f>
        <v/>
      </c>
      <c r="C423" s="29" t="str">
        <f>IFERROR(IF(SUMIFS(tblDaily[Discharges],tblDaily[EntryDate],DATE(2026,11,27),tblDaily[WardCode],"BF")=0,"",SUMIFS(tblDaily[Discharges],tblDaily[EntryDate],DATE(2026,11,27),tblDaily[WardCode],"BF")),"")</f>
        <v/>
      </c>
      <c r="D423" s="29" t="str">
        <f>IFERROR(IF(SUMIFS(tblDaily[Deaths],tblDaily[EntryDate],DATE(2026,11,27),tblDaily[WardCode],"BF")=0,"",SUMIFS(tblDaily[Deaths],tblDaily[EntryDate],DATE(2026,11,27),tblDaily[WardCode],"BF")),"")</f>
        <v/>
      </c>
      <c r="E423" s="29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29" t="str">
        <f>IFERROR(IF(SUMIFS(tblDaily[TransfersIn],tblDaily[EntryDate],DATE(2026,11,27),tblDaily[WardCode],"BF")=0,"",SUMIFS(tblDaily[TransfersIn],tblDaily[EntryDate],DATE(2026,11,27),tblDaily[WardCode],"BF")),"")</f>
        <v/>
      </c>
      <c r="G423" s="29" t="str">
        <f>IFERROR(IF(SUMIFS(tblDaily[TransfersOut],tblDaily[EntryDate],DATE(2026,11,27),tblDaily[WardCode],"BF")=0,"",SUMIFS(tblDaily[TransfersOut],tblDaily[EntryDate],DATE(2026,11,27),tblDaily[WardCode],"BF")),"")</f>
        <v/>
      </c>
      <c r="H423" s="29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IFERROR(IF(SUMIFS(tblDaily[Admissions],tblDaily[EntryDate],DATE(2026,11,28),tblDaily[WardCode],"BF")=0,"",SUMIFS(tblDaily[Admissions],tblDaily[EntryDate],DATE(2026,11,28),tblDaily[WardCode],"BF")),"")</f>
        <v/>
      </c>
      <c r="C424" s="29" t="str">
        <f>IFERROR(IF(SUMIFS(tblDaily[Discharges],tblDaily[EntryDate],DATE(2026,11,28),tblDaily[WardCode],"BF")=0,"",SUMIFS(tblDaily[Discharges],tblDaily[EntryDate],DATE(2026,11,28),tblDaily[WardCode],"BF")),"")</f>
        <v/>
      </c>
      <c r="D424" s="29" t="str">
        <f>IFERROR(IF(SUMIFS(tblDaily[Deaths],tblDaily[EntryDate],DATE(2026,11,28),tblDaily[WardCode],"BF")=0,"",SUMIFS(tblDaily[Deaths],tblDaily[EntryDate],DATE(2026,11,28),tblDaily[WardCode],"BF")),"")</f>
        <v/>
      </c>
      <c r="E424" s="29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29" t="str">
        <f>IFERROR(IF(SUMIFS(tblDaily[TransfersIn],tblDaily[EntryDate],DATE(2026,11,28),tblDaily[WardCode],"BF")=0,"",SUMIFS(tblDaily[TransfersIn],tblDaily[EntryDate],DATE(2026,11,28),tblDaily[WardCode],"BF")),"")</f>
        <v/>
      </c>
      <c r="G424" s="29" t="str">
        <f>IFERROR(IF(SUMIFS(tblDaily[TransfersOut],tblDaily[EntryDate],DATE(2026,11,28),tblDaily[WardCode],"BF")=0,"",SUMIFS(tblDaily[TransfersOut],tblDaily[EntryDate],DATE(2026,11,28),tblDaily[WardCode],"BF")),"")</f>
        <v/>
      </c>
      <c r="H424" s="29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IFERROR(IF(SUMIFS(tblDaily[Admissions],tblDaily[EntryDate],DATE(2026,11,29),tblDaily[WardCode],"BF")=0,"",SUMIFS(tblDaily[Admissions],tblDaily[EntryDate],DATE(2026,11,29),tblDaily[WardCode],"BF")),"")</f>
        <v/>
      </c>
      <c r="C425" s="29" t="str">
        <f>IFERROR(IF(SUMIFS(tblDaily[Discharges],tblDaily[EntryDate],DATE(2026,11,29),tblDaily[WardCode],"BF")=0,"",SUMIFS(tblDaily[Discharges],tblDaily[EntryDate],DATE(2026,11,29),tblDaily[WardCode],"BF")),"")</f>
        <v/>
      </c>
      <c r="D425" s="29" t="str">
        <f>IFERROR(IF(SUMIFS(tblDaily[Deaths],tblDaily[EntryDate],DATE(2026,11,29),tblDaily[WardCode],"BF")=0,"",SUMIFS(tblDaily[Deaths],tblDaily[EntryDate],DATE(2026,11,29),tblDaily[WardCode],"BF")),"")</f>
        <v/>
      </c>
      <c r="E425" s="29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29" t="str">
        <f>IFERROR(IF(SUMIFS(tblDaily[TransfersIn],tblDaily[EntryDate],DATE(2026,11,29),tblDaily[WardCode],"BF")=0,"",SUMIFS(tblDaily[TransfersIn],tblDaily[EntryDate],DATE(2026,11,29),tblDaily[WardCode],"BF")),"")</f>
        <v/>
      </c>
      <c r="G425" s="29" t="str">
        <f>IFERROR(IF(SUMIFS(tblDaily[TransfersOut],tblDaily[EntryDate],DATE(2026,11,29),tblDaily[WardCode],"BF")=0,"",SUMIFS(tblDaily[TransfersOut],tblDaily[EntryDate],DATE(2026,11,29),tblDaily[WardCode],"BF")),"")</f>
        <v/>
      </c>
      <c r="H425" s="29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IFERROR(IF(SUMIFS(tblDaily[Admissions],tblDaily[EntryDate],DATE(2026,11,30),tblDaily[WardCode],"BF")=0,"",SUMIFS(tblDaily[Admissions],tblDaily[EntryDate],DATE(2026,11,30),tblDaily[WardCode],"BF")),"")</f>
        <v/>
      </c>
      <c r="C426" s="29" t="str">
        <f>IFERROR(IF(SUMIFS(tblDaily[Discharges],tblDaily[EntryDate],DATE(2026,11,30),tblDaily[WardCode],"BF")=0,"",SUMIFS(tblDaily[Discharges],tblDaily[EntryDate],DATE(2026,11,30),tblDaily[WardCode],"BF")),"")</f>
        <v/>
      </c>
      <c r="D426" s="29" t="str">
        <f>IFERROR(IF(SUMIFS(tblDaily[Deaths],tblDaily[EntryDate],DATE(2026,11,30),tblDaily[WardCode],"BF")=0,"",SUMIFS(tblDaily[Deaths],tblDaily[EntryDate],DATE(2026,11,30),tblDaily[WardCode],"BF")),"")</f>
        <v/>
      </c>
      <c r="E426" s="29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29" t="str">
        <f>IFERROR(IF(SUMIFS(tblDaily[TransfersIn],tblDaily[EntryDate],DATE(2026,11,30),tblDaily[WardCode],"BF")=0,"",SUMIFS(tblDaily[TransfersIn],tblDaily[EntryDate],DATE(2026,11,30),tblDaily[WardCode],"BF")),"")</f>
        <v/>
      </c>
      <c r="G426" s="29" t="str">
        <f>IFERROR(IF(SUMIFS(tblDaily[TransfersOut],tblDaily[EntryDate],DATE(2026,11,30),tblDaily[WardCode],"BF")=0,"",SUMIFS(tblDaily[TransfersOut],tblDaily[EntryDate],DATE(2026,11,30),tblDaily[WardCode],"BF")),"")</f>
        <v/>
      </c>
      <c r="H426" s="29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SUMIFS(tblDaily[Admissions],tblDaily[Month],11,tblDaily[WardCode],"BF") - SUMIFS(tblDaily[DeathsUnder24Hrs],tblDaily[Month],11,tblDaily[WardCode],"BF")</f>
        <v>0</v>
      </c>
      <c r="C428" s="30">
        <f>SUMIFS(tblDaily[Discharges],tblDaily[Month],11,tblDaily[WardCode],"BF")</f>
        <v>0</v>
      </c>
      <c r="D428" s="30">
        <f>SUMIFS(tblDaily[Deaths],tblDaily[Month],11,tblDaily[WardCode],"BF")</f>
        <v>0</v>
      </c>
      <c r="E428" s="30">
        <f>SUMIFS(tblDaily[DeathsUnder24Hrs],tblDaily[Month],11,tblDaily[WardCode],"BF")</f>
        <v>0</v>
      </c>
      <c r="F428" s="30">
        <f>SUMIFS(tblDaily[TransfersIn],tblDaily[Month],11,tblDaily[WardCode],"BF")</f>
        <v>0</v>
      </c>
      <c r="G428" s="30">
        <f>SUMIFS(tblDaily[TransfersOut],tblDaily[Month],11,tblDaily[WardCode],"BF")</f>
        <v>0</v>
      </c>
      <c r="H428" s="30">
        <f>SUMIFS(tblDaily[Remaining],tblDaily[Month],11,tblDaily[WardCode],"BF")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118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IFERROR(SUMIFS(tblDaily[Remaining],tblDaily[EntryDate],DATE(2026,11,30),tblDaily[WardCode],"BF"),0)</f>
        <v>0</v>
      </c>
    </row>
    <row r="434" spans="1:8" x14ac:dyDescent="0.25">
      <c r="A434" s="24" t="s">
        <v>109</v>
      </c>
      <c r="H434" s="27">
        <f>IFERROR(INDEX(tblWardConfig[BedComplement],MATCH("BF",tblWardConfig[WardCode],0)),0)</f>
        <v>20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IFERROR(IF(SUMIFS(tblDaily[Admissions],tblDaily[EntryDate],DATE(2026,12,1),tblDaily[WardCode],"BF")=0,"",SUMIFS(tblDaily[Admissions],tblDaily[EntryDate],DATE(2026,12,1),tblDaily[WardCode],"BF")),"")</f>
        <v/>
      </c>
      <c r="C436" s="29" t="str">
        <f>IFERROR(IF(SUMIFS(tblDaily[Discharges],tblDaily[EntryDate],DATE(2026,12,1),tblDaily[WardCode],"BF")=0,"",SUMIFS(tblDaily[Discharges],tblDaily[EntryDate],DATE(2026,12,1),tblDaily[WardCode],"BF")),"")</f>
        <v/>
      </c>
      <c r="D436" s="29" t="str">
        <f>IFERROR(IF(SUMIFS(tblDaily[Deaths],tblDaily[EntryDate],DATE(2026,12,1),tblDaily[WardCode],"BF")=0,"",SUMIFS(tblDaily[Deaths],tblDaily[EntryDate],DATE(2026,12,1),tblDaily[WardCode],"BF")),"")</f>
        <v/>
      </c>
      <c r="E436" s="29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29" t="str">
        <f>IFERROR(IF(SUMIFS(tblDaily[TransfersIn],tblDaily[EntryDate],DATE(2026,12,1),tblDaily[WardCode],"BF")=0,"",SUMIFS(tblDaily[TransfersIn],tblDaily[EntryDate],DATE(2026,12,1),tblDaily[WardCode],"BF")),"")</f>
        <v/>
      </c>
      <c r="G436" s="29" t="str">
        <f>IFERROR(IF(SUMIFS(tblDaily[TransfersOut],tblDaily[EntryDate],DATE(2026,12,1),tblDaily[WardCode],"BF")=0,"",SUMIFS(tblDaily[TransfersOut],tblDaily[EntryDate],DATE(2026,12,1),tblDaily[WardCode],"BF")),"")</f>
        <v/>
      </c>
      <c r="H436" s="29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IFERROR(IF(SUMIFS(tblDaily[Admissions],tblDaily[EntryDate],DATE(2026,12,2),tblDaily[WardCode],"BF")=0,"",SUMIFS(tblDaily[Admissions],tblDaily[EntryDate],DATE(2026,12,2),tblDaily[WardCode],"BF")),"")</f>
        <v/>
      </c>
      <c r="C437" s="29" t="str">
        <f>IFERROR(IF(SUMIFS(tblDaily[Discharges],tblDaily[EntryDate],DATE(2026,12,2),tblDaily[WardCode],"BF")=0,"",SUMIFS(tblDaily[Discharges],tblDaily[EntryDate],DATE(2026,12,2),tblDaily[WardCode],"BF")),"")</f>
        <v/>
      </c>
      <c r="D437" s="29" t="str">
        <f>IFERROR(IF(SUMIFS(tblDaily[Deaths],tblDaily[EntryDate],DATE(2026,12,2),tblDaily[WardCode],"BF")=0,"",SUMIFS(tblDaily[Deaths],tblDaily[EntryDate],DATE(2026,12,2),tblDaily[WardCode],"BF")),"")</f>
        <v/>
      </c>
      <c r="E437" s="29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29" t="str">
        <f>IFERROR(IF(SUMIFS(tblDaily[TransfersIn],tblDaily[EntryDate],DATE(2026,12,2),tblDaily[WardCode],"BF")=0,"",SUMIFS(tblDaily[TransfersIn],tblDaily[EntryDate],DATE(2026,12,2),tblDaily[WardCode],"BF")),"")</f>
        <v/>
      </c>
      <c r="G437" s="29" t="str">
        <f>IFERROR(IF(SUMIFS(tblDaily[TransfersOut],tblDaily[EntryDate],DATE(2026,12,2),tblDaily[WardCode],"BF")=0,"",SUMIFS(tblDaily[TransfersOut],tblDaily[EntryDate],DATE(2026,12,2),tblDaily[WardCode],"BF")),"")</f>
        <v/>
      </c>
      <c r="H437" s="29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IFERROR(IF(SUMIFS(tblDaily[Admissions],tblDaily[EntryDate],DATE(2026,12,3),tblDaily[WardCode],"BF")=0,"",SUMIFS(tblDaily[Admissions],tblDaily[EntryDate],DATE(2026,12,3),tblDaily[WardCode],"BF")),"")</f>
        <v/>
      </c>
      <c r="C438" s="29" t="str">
        <f>IFERROR(IF(SUMIFS(tblDaily[Discharges],tblDaily[EntryDate],DATE(2026,12,3),tblDaily[WardCode],"BF")=0,"",SUMIFS(tblDaily[Discharges],tblDaily[EntryDate],DATE(2026,12,3),tblDaily[WardCode],"BF")),"")</f>
        <v/>
      </c>
      <c r="D438" s="29" t="str">
        <f>IFERROR(IF(SUMIFS(tblDaily[Deaths],tblDaily[EntryDate],DATE(2026,12,3),tblDaily[WardCode],"BF")=0,"",SUMIFS(tblDaily[Deaths],tblDaily[EntryDate],DATE(2026,12,3),tblDaily[WardCode],"BF")),"")</f>
        <v/>
      </c>
      <c r="E438" s="29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29" t="str">
        <f>IFERROR(IF(SUMIFS(tblDaily[TransfersIn],tblDaily[EntryDate],DATE(2026,12,3),tblDaily[WardCode],"BF")=0,"",SUMIFS(tblDaily[TransfersIn],tblDaily[EntryDate],DATE(2026,12,3),tblDaily[WardCode],"BF")),"")</f>
        <v/>
      </c>
      <c r="G438" s="29" t="str">
        <f>IFERROR(IF(SUMIFS(tblDaily[TransfersOut],tblDaily[EntryDate],DATE(2026,12,3),tblDaily[WardCode],"BF")=0,"",SUMIFS(tblDaily[TransfersOut],tblDaily[EntryDate],DATE(2026,12,3),tblDaily[WardCode],"BF")),"")</f>
        <v/>
      </c>
      <c r="H438" s="29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IFERROR(IF(SUMIFS(tblDaily[Admissions],tblDaily[EntryDate],DATE(2026,12,4),tblDaily[WardCode],"BF")=0,"",SUMIFS(tblDaily[Admissions],tblDaily[EntryDate],DATE(2026,12,4),tblDaily[WardCode],"BF")),"")</f>
        <v/>
      </c>
      <c r="C439" s="29" t="str">
        <f>IFERROR(IF(SUMIFS(tblDaily[Discharges],tblDaily[EntryDate],DATE(2026,12,4),tblDaily[WardCode],"BF")=0,"",SUMIFS(tblDaily[Discharges],tblDaily[EntryDate],DATE(2026,12,4),tblDaily[WardCode],"BF")),"")</f>
        <v/>
      </c>
      <c r="D439" s="29" t="str">
        <f>IFERROR(IF(SUMIFS(tblDaily[Deaths],tblDaily[EntryDate],DATE(2026,12,4),tblDaily[WardCode],"BF")=0,"",SUMIFS(tblDaily[Deaths],tblDaily[EntryDate],DATE(2026,12,4),tblDaily[WardCode],"BF")),"")</f>
        <v/>
      </c>
      <c r="E439" s="29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29" t="str">
        <f>IFERROR(IF(SUMIFS(tblDaily[TransfersIn],tblDaily[EntryDate],DATE(2026,12,4),tblDaily[WardCode],"BF")=0,"",SUMIFS(tblDaily[TransfersIn],tblDaily[EntryDate],DATE(2026,12,4),tblDaily[WardCode],"BF")),"")</f>
        <v/>
      </c>
      <c r="G439" s="29" t="str">
        <f>IFERROR(IF(SUMIFS(tblDaily[TransfersOut],tblDaily[EntryDate],DATE(2026,12,4),tblDaily[WardCode],"BF")=0,"",SUMIFS(tblDaily[TransfersOut],tblDaily[EntryDate],DATE(2026,12,4),tblDaily[WardCode],"BF")),"")</f>
        <v/>
      </c>
      <c r="H439" s="29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IFERROR(IF(SUMIFS(tblDaily[Admissions],tblDaily[EntryDate],DATE(2026,12,5),tblDaily[WardCode],"BF")=0,"",SUMIFS(tblDaily[Admissions],tblDaily[EntryDate],DATE(2026,12,5),tblDaily[WardCode],"BF")),"")</f>
        <v/>
      </c>
      <c r="C440" s="29" t="str">
        <f>IFERROR(IF(SUMIFS(tblDaily[Discharges],tblDaily[EntryDate],DATE(2026,12,5),tblDaily[WardCode],"BF")=0,"",SUMIFS(tblDaily[Discharges],tblDaily[EntryDate],DATE(2026,12,5),tblDaily[WardCode],"BF")),"")</f>
        <v/>
      </c>
      <c r="D440" s="29" t="str">
        <f>IFERROR(IF(SUMIFS(tblDaily[Deaths],tblDaily[EntryDate],DATE(2026,12,5),tblDaily[WardCode],"BF")=0,"",SUMIFS(tblDaily[Deaths],tblDaily[EntryDate],DATE(2026,12,5),tblDaily[WardCode],"BF")),"")</f>
        <v/>
      </c>
      <c r="E440" s="29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29" t="str">
        <f>IFERROR(IF(SUMIFS(tblDaily[TransfersIn],tblDaily[EntryDate],DATE(2026,12,5),tblDaily[WardCode],"BF")=0,"",SUMIFS(tblDaily[TransfersIn],tblDaily[EntryDate],DATE(2026,12,5),tblDaily[WardCode],"BF")),"")</f>
        <v/>
      </c>
      <c r="G440" s="29" t="str">
        <f>IFERROR(IF(SUMIFS(tblDaily[TransfersOut],tblDaily[EntryDate],DATE(2026,12,5),tblDaily[WardCode],"BF")=0,"",SUMIFS(tblDaily[TransfersOut],tblDaily[EntryDate],DATE(2026,12,5),tblDaily[WardCode],"BF")),"")</f>
        <v/>
      </c>
      <c r="H440" s="29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IFERROR(IF(SUMIFS(tblDaily[Admissions],tblDaily[EntryDate],DATE(2026,12,6),tblDaily[WardCode],"BF")=0,"",SUMIFS(tblDaily[Admissions],tblDaily[EntryDate],DATE(2026,12,6),tblDaily[WardCode],"BF")),"")</f>
        <v/>
      </c>
      <c r="C441" s="29" t="str">
        <f>IFERROR(IF(SUMIFS(tblDaily[Discharges],tblDaily[EntryDate],DATE(2026,12,6),tblDaily[WardCode],"BF")=0,"",SUMIFS(tblDaily[Discharges],tblDaily[EntryDate],DATE(2026,12,6),tblDaily[WardCode],"BF")),"")</f>
        <v/>
      </c>
      <c r="D441" s="29" t="str">
        <f>IFERROR(IF(SUMIFS(tblDaily[Deaths],tblDaily[EntryDate],DATE(2026,12,6),tblDaily[WardCode],"BF")=0,"",SUMIFS(tblDaily[Deaths],tblDaily[EntryDate],DATE(2026,12,6),tblDaily[WardCode],"BF")),"")</f>
        <v/>
      </c>
      <c r="E441" s="29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29" t="str">
        <f>IFERROR(IF(SUMIFS(tblDaily[TransfersIn],tblDaily[EntryDate],DATE(2026,12,6),tblDaily[WardCode],"BF")=0,"",SUMIFS(tblDaily[TransfersIn],tblDaily[EntryDate],DATE(2026,12,6),tblDaily[WardCode],"BF")),"")</f>
        <v/>
      </c>
      <c r="G441" s="29" t="str">
        <f>IFERROR(IF(SUMIFS(tblDaily[TransfersOut],tblDaily[EntryDate],DATE(2026,12,6),tblDaily[WardCode],"BF")=0,"",SUMIFS(tblDaily[TransfersOut],tblDaily[EntryDate],DATE(2026,12,6),tblDaily[WardCode],"BF")),"")</f>
        <v/>
      </c>
      <c r="H441" s="29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IFERROR(IF(SUMIFS(tblDaily[Admissions],tblDaily[EntryDate],DATE(2026,12,7),tblDaily[WardCode],"BF")=0,"",SUMIFS(tblDaily[Admissions],tblDaily[EntryDate],DATE(2026,12,7),tblDaily[WardCode],"BF")),"")</f>
        <v/>
      </c>
      <c r="C442" s="29" t="str">
        <f>IFERROR(IF(SUMIFS(tblDaily[Discharges],tblDaily[EntryDate],DATE(2026,12,7),tblDaily[WardCode],"BF")=0,"",SUMIFS(tblDaily[Discharges],tblDaily[EntryDate],DATE(2026,12,7),tblDaily[WardCode],"BF")),"")</f>
        <v/>
      </c>
      <c r="D442" s="29" t="str">
        <f>IFERROR(IF(SUMIFS(tblDaily[Deaths],tblDaily[EntryDate],DATE(2026,12,7),tblDaily[WardCode],"BF")=0,"",SUMIFS(tblDaily[Deaths],tblDaily[EntryDate],DATE(2026,12,7),tblDaily[WardCode],"BF")),"")</f>
        <v/>
      </c>
      <c r="E442" s="29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29" t="str">
        <f>IFERROR(IF(SUMIFS(tblDaily[TransfersIn],tblDaily[EntryDate],DATE(2026,12,7),tblDaily[WardCode],"BF")=0,"",SUMIFS(tblDaily[TransfersIn],tblDaily[EntryDate],DATE(2026,12,7),tblDaily[WardCode],"BF")),"")</f>
        <v/>
      </c>
      <c r="G442" s="29" t="str">
        <f>IFERROR(IF(SUMIFS(tblDaily[TransfersOut],tblDaily[EntryDate],DATE(2026,12,7),tblDaily[WardCode],"BF")=0,"",SUMIFS(tblDaily[TransfersOut],tblDaily[EntryDate],DATE(2026,12,7),tblDaily[WardCode],"BF")),"")</f>
        <v/>
      </c>
      <c r="H442" s="29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IFERROR(IF(SUMIFS(tblDaily[Admissions],tblDaily[EntryDate],DATE(2026,12,8),tblDaily[WardCode],"BF")=0,"",SUMIFS(tblDaily[Admissions],tblDaily[EntryDate],DATE(2026,12,8),tblDaily[WardCode],"BF")),"")</f>
        <v/>
      </c>
      <c r="C443" s="29" t="str">
        <f>IFERROR(IF(SUMIFS(tblDaily[Discharges],tblDaily[EntryDate],DATE(2026,12,8),tblDaily[WardCode],"BF")=0,"",SUMIFS(tblDaily[Discharges],tblDaily[EntryDate],DATE(2026,12,8),tblDaily[WardCode],"BF")),"")</f>
        <v/>
      </c>
      <c r="D443" s="29" t="str">
        <f>IFERROR(IF(SUMIFS(tblDaily[Deaths],tblDaily[EntryDate],DATE(2026,12,8),tblDaily[WardCode],"BF")=0,"",SUMIFS(tblDaily[Deaths],tblDaily[EntryDate],DATE(2026,12,8),tblDaily[WardCode],"BF")),"")</f>
        <v/>
      </c>
      <c r="E443" s="29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29" t="str">
        <f>IFERROR(IF(SUMIFS(tblDaily[TransfersIn],tblDaily[EntryDate],DATE(2026,12,8),tblDaily[WardCode],"BF")=0,"",SUMIFS(tblDaily[TransfersIn],tblDaily[EntryDate],DATE(2026,12,8),tblDaily[WardCode],"BF")),"")</f>
        <v/>
      </c>
      <c r="G443" s="29" t="str">
        <f>IFERROR(IF(SUMIFS(tblDaily[TransfersOut],tblDaily[EntryDate],DATE(2026,12,8),tblDaily[WardCode],"BF")=0,"",SUMIFS(tblDaily[TransfersOut],tblDaily[EntryDate],DATE(2026,12,8),tblDaily[WardCode],"BF")),"")</f>
        <v/>
      </c>
      <c r="H443" s="29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IFERROR(IF(SUMIFS(tblDaily[Admissions],tblDaily[EntryDate],DATE(2026,12,9),tblDaily[WardCode],"BF")=0,"",SUMIFS(tblDaily[Admissions],tblDaily[EntryDate],DATE(2026,12,9),tblDaily[WardCode],"BF")),"")</f>
        <v/>
      </c>
      <c r="C444" s="29" t="str">
        <f>IFERROR(IF(SUMIFS(tblDaily[Discharges],tblDaily[EntryDate],DATE(2026,12,9),tblDaily[WardCode],"BF")=0,"",SUMIFS(tblDaily[Discharges],tblDaily[EntryDate],DATE(2026,12,9),tblDaily[WardCode],"BF")),"")</f>
        <v/>
      </c>
      <c r="D444" s="29" t="str">
        <f>IFERROR(IF(SUMIFS(tblDaily[Deaths],tblDaily[EntryDate],DATE(2026,12,9),tblDaily[WardCode],"BF")=0,"",SUMIFS(tblDaily[Deaths],tblDaily[EntryDate],DATE(2026,12,9),tblDaily[WardCode],"BF")),"")</f>
        <v/>
      </c>
      <c r="E444" s="29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29" t="str">
        <f>IFERROR(IF(SUMIFS(tblDaily[TransfersIn],tblDaily[EntryDate],DATE(2026,12,9),tblDaily[WardCode],"BF")=0,"",SUMIFS(tblDaily[TransfersIn],tblDaily[EntryDate],DATE(2026,12,9),tblDaily[WardCode],"BF")),"")</f>
        <v/>
      </c>
      <c r="G444" s="29" t="str">
        <f>IFERROR(IF(SUMIFS(tblDaily[TransfersOut],tblDaily[EntryDate],DATE(2026,12,9),tblDaily[WardCode],"BF")=0,"",SUMIFS(tblDaily[TransfersOut],tblDaily[EntryDate],DATE(2026,12,9),tblDaily[WardCode],"BF")),"")</f>
        <v/>
      </c>
      <c r="H444" s="29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IFERROR(IF(SUMIFS(tblDaily[Admissions],tblDaily[EntryDate],DATE(2026,12,10),tblDaily[WardCode],"BF")=0,"",SUMIFS(tblDaily[Admissions],tblDaily[EntryDate],DATE(2026,12,10),tblDaily[WardCode],"BF")),"")</f>
        <v/>
      </c>
      <c r="C445" s="29" t="str">
        <f>IFERROR(IF(SUMIFS(tblDaily[Discharges],tblDaily[EntryDate],DATE(2026,12,10),tblDaily[WardCode],"BF")=0,"",SUMIFS(tblDaily[Discharges],tblDaily[EntryDate],DATE(2026,12,10),tblDaily[WardCode],"BF")),"")</f>
        <v/>
      </c>
      <c r="D445" s="29" t="str">
        <f>IFERROR(IF(SUMIFS(tblDaily[Deaths],tblDaily[EntryDate],DATE(2026,12,10),tblDaily[WardCode],"BF")=0,"",SUMIFS(tblDaily[Deaths],tblDaily[EntryDate],DATE(2026,12,10),tblDaily[WardCode],"BF")),"")</f>
        <v/>
      </c>
      <c r="E445" s="29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29" t="str">
        <f>IFERROR(IF(SUMIFS(tblDaily[TransfersIn],tblDaily[EntryDate],DATE(2026,12,10),tblDaily[WardCode],"BF")=0,"",SUMIFS(tblDaily[TransfersIn],tblDaily[EntryDate],DATE(2026,12,10),tblDaily[WardCode],"BF")),"")</f>
        <v/>
      </c>
      <c r="G445" s="29" t="str">
        <f>IFERROR(IF(SUMIFS(tblDaily[TransfersOut],tblDaily[EntryDate],DATE(2026,12,10),tblDaily[WardCode],"BF")=0,"",SUMIFS(tblDaily[TransfersOut],tblDaily[EntryDate],DATE(2026,12,10),tblDaily[WardCode],"BF")),"")</f>
        <v/>
      </c>
      <c r="H445" s="29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IFERROR(IF(SUMIFS(tblDaily[Admissions],tblDaily[EntryDate],DATE(2026,12,11),tblDaily[WardCode],"BF")=0,"",SUMIFS(tblDaily[Admissions],tblDaily[EntryDate],DATE(2026,12,11),tblDaily[WardCode],"BF")),"")</f>
        <v/>
      </c>
      <c r="C446" s="29" t="str">
        <f>IFERROR(IF(SUMIFS(tblDaily[Discharges],tblDaily[EntryDate],DATE(2026,12,11),tblDaily[WardCode],"BF")=0,"",SUMIFS(tblDaily[Discharges],tblDaily[EntryDate],DATE(2026,12,11),tblDaily[WardCode],"BF")),"")</f>
        <v/>
      </c>
      <c r="D446" s="29" t="str">
        <f>IFERROR(IF(SUMIFS(tblDaily[Deaths],tblDaily[EntryDate],DATE(2026,12,11),tblDaily[WardCode],"BF")=0,"",SUMIFS(tblDaily[Deaths],tblDaily[EntryDate],DATE(2026,12,11),tblDaily[WardCode],"BF")),"")</f>
        <v/>
      </c>
      <c r="E446" s="29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29" t="str">
        <f>IFERROR(IF(SUMIFS(tblDaily[TransfersIn],tblDaily[EntryDate],DATE(2026,12,11),tblDaily[WardCode],"BF")=0,"",SUMIFS(tblDaily[TransfersIn],tblDaily[EntryDate],DATE(2026,12,11),tblDaily[WardCode],"BF")),"")</f>
        <v/>
      </c>
      <c r="G446" s="29" t="str">
        <f>IFERROR(IF(SUMIFS(tblDaily[TransfersOut],tblDaily[EntryDate],DATE(2026,12,11),tblDaily[WardCode],"BF")=0,"",SUMIFS(tblDaily[TransfersOut],tblDaily[EntryDate],DATE(2026,12,11),tblDaily[WardCode],"BF")),"")</f>
        <v/>
      </c>
      <c r="H446" s="29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IFERROR(IF(SUMIFS(tblDaily[Admissions],tblDaily[EntryDate],DATE(2026,12,12),tblDaily[WardCode],"BF")=0,"",SUMIFS(tblDaily[Admissions],tblDaily[EntryDate],DATE(2026,12,12),tblDaily[WardCode],"BF")),"")</f>
        <v/>
      </c>
      <c r="C447" s="29" t="str">
        <f>IFERROR(IF(SUMIFS(tblDaily[Discharges],tblDaily[EntryDate],DATE(2026,12,12),tblDaily[WardCode],"BF")=0,"",SUMIFS(tblDaily[Discharges],tblDaily[EntryDate],DATE(2026,12,12),tblDaily[WardCode],"BF")),"")</f>
        <v/>
      </c>
      <c r="D447" s="29" t="str">
        <f>IFERROR(IF(SUMIFS(tblDaily[Deaths],tblDaily[EntryDate],DATE(2026,12,12),tblDaily[WardCode],"BF")=0,"",SUMIFS(tblDaily[Deaths],tblDaily[EntryDate],DATE(2026,12,12),tblDaily[WardCode],"BF")),"")</f>
        <v/>
      </c>
      <c r="E447" s="29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29" t="str">
        <f>IFERROR(IF(SUMIFS(tblDaily[TransfersIn],tblDaily[EntryDate],DATE(2026,12,12),tblDaily[WardCode],"BF")=0,"",SUMIFS(tblDaily[TransfersIn],tblDaily[EntryDate],DATE(2026,12,12),tblDaily[WardCode],"BF")),"")</f>
        <v/>
      </c>
      <c r="G447" s="29" t="str">
        <f>IFERROR(IF(SUMIFS(tblDaily[TransfersOut],tblDaily[EntryDate],DATE(2026,12,12),tblDaily[WardCode],"BF")=0,"",SUMIFS(tblDaily[TransfersOut],tblDaily[EntryDate],DATE(2026,12,12),tblDaily[WardCode],"BF")),"")</f>
        <v/>
      </c>
      <c r="H447" s="29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IFERROR(IF(SUMIFS(tblDaily[Admissions],tblDaily[EntryDate],DATE(2026,12,13),tblDaily[WardCode],"BF")=0,"",SUMIFS(tblDaily[Admissions],tblDaily[EntryDate],DATE(2026,12,13),tblDaily[WardCode],"BF")),"")</f>
        <v/>
      </c>
      <c r="C448" s="29" t="str">
        <f>IFERROR(IF(SUMIFS(tblDaily[Discharges],tblDaily[EntryDate],DATE(2026,12,13),tblDaily[WardCode],"BF")=0,"",SUMIFS(tblDaily[Discharges],tblDaily[EntryDate],DATE(2026,12,13),tblDaily[WardCode],"BF")),"")</f>
        <v/>
      </c>
      <c r="D448" s="29" t="str">
        <f>IFERROR(IF(SUMIFS(tblDaily[Deaths],tblDaily[EntryDate],DATE(2026,12,13),tblDaily[WardCode],"BF")=0,"",SUMIFS(tblDaily[Deaths],tblDaily[EntryDate],DATE(2026,12,13),tblDaily[WardCode],"BF")),"")</f>
        <v/>
      </c>
      <c r="E448" s="29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29" t="str">
        <f>IFERROR(IF(SUMIFS(tblDaily[TransfersIn],tblDaily[EntryDate],DATE(2026,12,13),tblDaily[WardCode],"BF")=0,"",SUMIFS(tblDaily[TransfersIn],tblDaily[EntryDate],DATE(2026,12,13),tblDaily[WardCode],"BF")),"")</f>
        <v/>
      </c>
      <c r="G448" s="29" t="str">
        <f>IFERROR(IF(SUMIFS(tblDaily[TransfersOut],tblDaily[EntryDate],DATE(2026,12,13),tblDaily[WardCode],"BF")=0,"",SUMIFS(tblDaily[TransfersOut],tblDaily[EntryDate],DATE(2026,12,13),tblDaily[WardCode],"BF")),"")</f>
        <v/>
      </c>
      <c r="H448" s="29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IFERROR(IF(SUMIFS(tblDaily[Admissions],tblDaily[EntryDate],DATE(2026,12,14),tblDaily[WardCode],"BF")=0,"",SUMIFS(tblDaily[Admissions],tblDaily[EntryDate],DATE(2026,12,14),tblDaily[WardCode],"BF")),"")</f>
        <v/>
      </c>
      <c r="C449" s="29" t="str">
        <f>IFERROR(IF(SUMIFS(tblDaily[Discharges],tblDaily[EntryDate],DATE(2026,12,14),tblDaily[WardCode],"BF")=0,"",SUMIFS(tblDaily[Discharges],tblDaily[EntryDate],DATE(2026,12,14),tblDaily[WardCode],"BF")),"")</f>
        <v/>
      </c>
      <c r="D449" s="29" t="str">
        <f>IFERROR(IF(SUMIFS(tblDaily[Deaths],tblDaily[EntryDate],DATE(2026,12,14),tblDaily[WardCode],"BF")=0,"",SUMIFS(tblDaily[Deaths],tblDaily[EntryDate],DATE(2026,12,14),tblDaily[WardCode],"BF")),"")</f>
        <v/>
      </c>
      <c r="E449" s="29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29" t="str">
        <f>IFERROR(IF(SUMIFS(tblDaily[TransfersIn],tblDaily[EntryDate],DATE(2026,12,14),tblDaily[WardCode],"BF")=0,"",SUMIFS(tblDaily[TransfersIn],tblDaily[EntryDate],DATE(2026,12,14),tblDaily[WardCode],"BF")),"")</f>
        <v/>
      </c>
      <c r="G449" s="29" t="str">
        <f>IFERROR(IF(SUMIFS(tblDaily[TransfersOut],tblDaily[EntryDate],DATE(2026,12,14),tblDaily[WardCode],"BF")=0,"",SUMIFS(tblDaily[TransfersOut],tblDaily[EntryDate],DATE(2026,12,14),tblDaily[WardCode],"BF")),"")</f>
        <v/>
      </c>
      <c r="H449" s="29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IFERROR(IF(SUMIFS(tblDaily[Admissions],tblDaily[EntryDate],DATE(2026,12,15),tblDaily[WardCode],"BF")=0,"",SUMIFS(tblDaily[Admissions],tblDaily[EntryDate],DATE(2026,12,15),tblDaily[WardCode],"BF")),"")</f>
        <v/>
      </c>
      <c r="C450" s="29" t="str">
        <f>IFERROR(IF(SUMIFS(tblDaily[Discharges],tblDaily[EntryDate],DATE(2026,12,15),tblDaily[WardCode],"BF")=0,"",SUMIFS(tblDaily[Discharges],tblDaily[EntryDate],DATE(2026,12,15),tblDaily[WardCode],"BF")),"")</f>
        <v/>
      </c>
      <c r="D450" s="29" t="str">
        <f>IFERROR(IF(SUMIFS(tblDaily[Deaths],tblDaily[EntryDate],DATE(2026,12,15),tblDaily[WardCode],"BF")=0,"",SUMIFS(tblDaily[Deaths],tblDaily[EntryDate],DATE(2026,12,15),tblDaily[WardCode],"BF")),"")</f>
        <v/>
      </c>
      <c r="E450" s="29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29" t="str">
        <f>IFERROR(IF(SUMIFS(tblDaily[TransfersIn],tblDaily[EntryDate],DATE(2026,12,15),tblDaily[WardCode],"BF")=0,"",SUMIFS(tblDaily[TransfersIn],tblDaily[EntryDate],DATE(2026,12,15),tblDaily[WardCode],"BF")),"")</f>
        <v/>
      </c>
      <c r="G450" s="29" t="str">
        <f>IFERROR(IF(SUMIFS(tblDaily[TransfersOut],tblDaily[EntryDate],DATE(2026,12,15),tblDaily[WardCode],"BF")=0,"",SUMIFS(tblDaily[TransfersOut],tblDaily[EntryDate],DATE(2026,12,15),tblDaily[WardCode],"BF")),"")</f>
        <v/>
      </c>
      <c r="H450" s="29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IFERROR(IF(SUMIFS(tblDaily[Admissions],tblDaily[EntryDate],DATE(2026,12,16),tblDaily[WardCode],"BF")=0,"",SUMIFS(tblDaily[Admissions],tblDaily[EntryDate],DATE(2026,12,16),tblDaily[WardCode],"BF")),"")</f>
        <v/>
      </c>
      <c r="C451" s="29" t="str">
        <f>IFERROR(IF(SUMIFS(tblDaily[Discharges],tblDaily[EntryDate],DATE(2026,12,16),tblDaily[WardCode],"BF")=0,"",SUMIFS(tblDaily[Discharges],tblDaily[EntryDate],DATE(2026,12,16),tblDaily[WardCode],"BF")),"")</f>
        <v/>
      </c>
      <c r="D451" s="29" t="str">
        <f>IFERROR(IF(SUMIFS(tblDaily[Deaths],tblDaily[EntryDate],DATE(2026,12,16),tblDaily[WardCode],"BF")=0,"",SUMIFS(tblDaily[Deaths],tblDaily[EntryDate],DATE(2026,12,16),tblDaily[WardCode],"BF")),"")</f>
        <v/>
      </c>
      <c r="E451" s="29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29" t="str">
        <f>IFERROR(IF(SUMIFS(tblDaily[TransfersIn],tblDaily[EntryDate],DATE(2026,12,16),tblDaily[WardCode],"BF")=0,"",SUMIFS(tblDaily[TransfersIn],tblDaily[EntryDate],DATE(2026,12,16),tblDaily[WardCode],"BF")),"")</f>
        <v/>
      </c>
      <c r="G451" s="29" t="str">
        <f>IFERROR(IF(SUMIFS(tblDaily[TransfersOut],tblDaily[EntryDate],DATE(2026,12,16),tblDaily[WardCode],"BF")=0,"",SUMIFS(tblDaily[TransfersOut],tblDaily[EntryDate],DATE(2026,12,16),tblDaily[WardCode],"BF")),"")</f>
        <v/>
      </c>
      <c r="H451" s="29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IFERROR(IF(SUMIFS(tblDaily[Admissions],tblDaily[EntryDate],DATE(2026,12,17),tblDaily[WardCode],"BF")=0,"",SUMIFS(tblDaily[Admissions],tblDaily[EntryDate],DATE(2026,12,17),tblDaily[WardCode],"BF")),"")</f>
        <v/>
      </c>
      <c r="C452" s="29" t="str">
        <f>IFERROR(IF(SUMIFS(tblDaily[Discharges],tblDaily[EntryDate],DATE(2026,12,17),tblDaily[WardCode],"BF")=0,"",SUMIFS(tblDaily[Discharges],tblDaily[EntryDate],DATE(2026,12,17),tblDaily[WardCode],"BF")),"")</f>
        <v/>
      </c>
      <c r="D452" s="29" t="str">
        <f>IFERROR(IF(SUMIFS(tblDaily[Deaths],tblDaily[EntryDate],DATE(2026,12,17),tblDaily[WardCode],"BF")=0,"",SUMIFS(tblDaily[Deaths],tblDaily[EntryDate],DATE(2026,12,17),tblDaily[WardCode],"BF")),"")</f>
        <v/>
      </c>
      <c r="E452" s="29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29" t="str">
        <f>IFERROR(IF(SUMIFS(tblDaily[TransfersIn],tblDaily[EntryDate],DATE(2026,12,17),tblDaily[WardCode],"BF")=0,"",SUMIFS(tblDaily[TransfersIn],tblDaily[EntryDate],DATE(2026,12,17),tblDaily[WardCode],"BF")),"")</f>
        <v/>
      </c>
      <c r="G452" s="29" t="str">
        <f>IFERROR(IF(SUMIFS(tblDaily[TransfersOut],tblDaily[EntryDate],DATE(2026,12,17),tblDaily[WardCode],"BF")=0,"",SUMIFS(tblDaily[TransfersOut],tblDaily[EntryDate],DATE(2026,12,17),tblDaily[WardCode],"BF")),"")</f>
        <v/>
      </c>
      <c r="H452" s="29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IFERROR(IF(SUMIFS(tblDaily[Admissions],tblDaily[EntryDate],DATE(2026,12,18),tblDaily[WardCode],"BF")=0,"",SUMIFS(tblDaily[Admissions],tblDaily[EntryDate],DATE(2026,12,18),tblDaily[WardCode],"BF")),"")</f>
        <v/>
      </c>
      <c r="C453" s="29" t="str">
        <f>IFERROR(IF(SUMIFS(tblDaily[Discharges],tblDaily[EntryDate],DATE(2026,12,18),tblDaily[WardCode],"BF")=0,"",SUMIFS(tblDaily[Discharges],tblDaily[EntryDate],DATE(2026,12,18),tblDaily[WardCode],"BF")),"")</f>
        <v/>
      </c>
      <c r="D453" s="29" t="str">
        <f>IFERROR(IF(SUMIFS(tblDaily[Deaths],tblDaily[EntryDate],DATE(2026,12,18),tblDaily[WardCode],"BF")=0,"",SUMIFS(tblDaily[Deaths],tblDaily[EntryDate],DATE(2026,12,18),tblDaily[WardCode],"BF")),"")</f>
        <v/>
      </c>
      <c r="E453" s="29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29" t="str">
        <f>IFERROR(IF(SUMIFS(tblDaily[TransfersIn],tblDaily[EntryDate],DATE(2026,12,18),tblDaily[WardCode],"BF")=0,"",SUMIFS(tblDaily[TransfersIn],tblDaily[EntryDate],DATE(2026,12,18),tblDaily[WardCode],"BF")),"")</f>
        <v/>
      </c>
      <c r="G453" s="29" t="str">
        <f>IFERROR(IF(SUMIFS(tblDaily[TransfersOut],tblDaily[EntryDate],DATE(2026,12,18),tblDaily[WardCode],"BF")=0,"",SUMIFS(tblDaily[TransfersOut],tblDaily[EntryDate],DATE(2026,12,18),tblDaily[WardCode],"BF")),"")</f>
        <v/>
      </c>
      <c r="H453" s="29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IFERROR(IF(SUMIFS(tblDaily[Admissions],tblDaily[EntryDate],DATE(2026,12,19),tblDaily[WardCode],"BF")=0,"",SUMIFS(tblDaily[Admissions],tblDaily[EntryDate],DATE(2026,12,19),tblDaily[WardCode],"BF")),"")</f>
        <v/>
      </c>
      <c r="C454" s="29" t="str">
        <f>IFERROR(IF(SUMIFS(tblDaily[Discharges],tblDaily[EntryDate],DATE(2026,12,19),tblDaily[WardCode],"BF")=0,"",SUMIFS(tblDaily[Discharges],tblDaily[EntryDate],DATE(2026,12,19),tblDaily[WardCode],"BF")),"")</f>
        <v/>
      </c>
      <c r="D454" s="29" t="str">
        <f>IFERROR(IF(SUMIFS(tblDaily[Deaths],tblDaily[EntryDate],DATE(2026,12,19),tblDaily[WardCode],"BF")=0,"",SUMIFS(tblDaily[Deaths],tblDaily[EntryDate],DATE(2026,12,19),tblDaily[WardCode],"BF")),"")</f>
        <v/>
      </c>
      <c r="E454" s="29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29" t="str">
        <f>IFERROR(IF(SUMIFS(tblDaily[TransfersIn],tblDaily[EntryDate],DATE(2026,12,19),tblDaily[WardCode],"BF")=0,"",SUMIFS(tblDaily[TransfersIn],tblDaily[EntryDate],DATE(2026,12,19),tblDaily[WardCode],"BF")),"")</f>
        <v/>
      </c>
      <c r="G454" s="29" t="str">
        <f>IFERROR(IF(SUMIFS(tblDaily[TransfersOut],tblDaily[EntryDate],DATE(2026,12,19),tblDaily[WardCode],"BF")=0,"",SUMIFS(tblDaily[TransfersOut],tblDaily[EntryDate],DATE(2026,12,19),tblDaily[WardCode],"BF")),"")</f>
        <v/>
      </c>
      <c r="H454" s="29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IFERROR(IF(SUMIFS(tblDaily[Admissions],tblDaily[EntryDate],DATE(2026,12,20),tblDaily[WardCode],"BF")=0,"",SUMIFS(tblDaily[Admissions],tblDaily[EntryDate],DATE(2026,12,20),tblDaily[WardCode],"BF")),"")</f>
        <v/>
      </c>
      <c r="C455" s="29" t="str">
        <f>IFERROR(IF(SUMIFS(tblDaily[Discharges],tblDaily[EntryDate],DATE(2026,12,20),tblDaily[WardCode],"BF")=0,"",SUMIFS(tblDaily[Discharges],tblDaily[EntryDate],DATE(2026,12,20),tblDaily[WardCode],"BF")),"")</f>
        <v/>
      </c>
      <c r="D455" s="29" t="str">
        <f>IFERROR(IF(SUMIFS(tblDaily[Deaths],tblDaily[EntryDate],DATE(2026,12,20),tblDaily[WardCode],"BF")=0,"",SUMIFS(tblDaily[Deaths],tblDaily[EntryDate],DATE(2026,12,20),tblDaily[WardCode],"BF")),"")</f>
        <v/>
      </c>
      <c r="E455" s="29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29" t="str">
        <f>IFERROR(IF(SUMIFS(tblDaily[TransfersIn],tblDaily[EntryDate],DATE(2026,12,20),tblDaily[WardCode],"BF")=0,"",SUMIFS(tblDaily[TransfersIn],tblDaily[EntryDate],DATE(2026,12,20),tblDaily[WardCode],"BF")),"")</f>
        <v/>
      </c>
      <c r="G455" s="29" t="str">
        <f>IFERROR(IF(SUMIFS(tblDaily[TransfersOut],tblDaily[EntryDate],DATE(2026,12,20),tblDaily[WardCode],"BF")=0,"",SUMIFS(tblDaily[TransfersOut],tblDaily[EntryDate],DATE(2026,12,20),tblDaily[WardCode],"BF")),"")</f>
        <v/>
      </c>
      <c r="H455" s="29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IFERROR(IF(SUMIFS(tblDaily[Admissions],tblDaily[EntryDate],DATE(2026,12,21),tblDaily[WardCode],"BF")=0,"",SUMIFS(tblDaily[Admissions],tblDaily[EntryDate],DATE(2026,12,21),tblDaily[WardCode],"BF")),"")</f>
        <v/>
      </c>
      <c r="C456" s="29" t="str">
        <f>IFERROR(IF(SUMIFS(tblDaily[Discharges],tblDaily[EntryDate],DATE(2026,12,21),tblDaily[WardCode],"BF")=0,"",SUMIFS(tblDaily[Discharges],tblDaily[EntryDate],DATE(2026,12,21),tblDaily[WardCode],"BF")),"")</f>
        <v/>
      </c>
      <c r="D456" s="29" t="str">
        <f>IFERROR(IF(SUMIFS(tblDaily[Deaths],tblDaily[EntryDate],DATE(2026,12,21),tblDaily[WardCode],"BF")=0,"",SUMIFS(tblDaily[Deaths],tblDaily[EntryDate],DATE(2026,12,21),tblDaily[WardCode],"BF")),"")</f>
        <v/>
      </c>
      <c r="E456" s="29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29" t="str">
        <f>IFERROR(IF(SUMIFS(tblDaily[TransfersIn],tblDaily[EntryDate],DATE(2026,12,21),tblDaily[WardCode],"BF")=0,"",SUMIFS(tblDaily[TransfersIn],tblDaily[EntryDate],DATE(2026,12,21),tblDaily[WardCode],"BF")),"")</f>
        <v/>
      </c>
      <c r="G456" s="29" t="str">
        <f>IFERROR(IF(SUMIFS(tblDaily[TransfersOut],tblDaily[EntryDate],DATE(2026,12,21),tblDaily[WardCode],"BF")=0,"",SUMIFS(tblDaily[TransfersOut],tblDaily[EntryDate],DATE(2026,12,21),tblDaily[WardCode],"BF")),"")</f>
        <v/>
      </c>
      <c r="H456" s="29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IFERROR(IF(SUMIFS(tblDaily[Admissions],tblDaily[EntryDate],DATE(2026,12,22),tblDaily[WardCode],"BF")=0,"",SUMIFS(tblDaily[Admissions],tblDaily[EntryDate],DATE(2026,12,22),tblDaily[WardCode],"BF")),"")</f>
        <v/>
      </c>
      <c r="C457" s="29" t="str">
        <f>IFERROR(IF(SUMIFS(tblDaily[Discharges],tblDaily[EntryDate],DATE(2026,12,22),tblDaily[WardCode],"BF")=0,"",SUMIFS(tblDaily[Discharges],tblDaily[EntryDate],DATE(2026,12,22),tblDaily[WardCode],"BF")),"")</f>
        <v/>
      </c>
      <c r="D457" s="29" t="str">
        <f>IFERROR(IF(SUMIFS(tblDaily[Deaths],tblDaily[EntryDate],DATE(2026,12,22),tblDaily[WardCode],"BF")=0,"",SUMIFS(tblDaily[Deaths],tblDaily[EntryDate],DATE(2026,12,22),tblDaily[WardCode],"BF")),"")</f>
        <v/>
      </c>
      <c r="E457" s="29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29" t="str">
        <f>IFERROR(IF(SUMIFS(tblDaily[TransfersIn],tblDaily[EntryDate],DATE(2026,12,22),tblDaily[WardCode],"BF")=0,"",SUMIFS(tblDaily[TransfersIn],tblDaily[EntryDate],DATE(2026,12,22),tblDaily[WardCode],"BF")),"")</f>
        <v/>
      </c>
      <c r="G457" s="29" t="str">
        <f>IFERROR(IF(SUMIFS(tblDaily[TransfersOut],tblDaily[EntryDate],DATE(2026,12,22),tblDaily[WardCode],"BF")=0,"",SUMIFS(tblDaily[TransfersOut],tblDaily[EntryDate],DATE(2026,12,22),tblDaily[WardCode],"BF")),"")</f>
        <v/>
      </c>
      <c r="H457" s="29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IFERROR(IF(SUMIFS(tblDaily[Admissions],tblDaily[EntryDate],DATE(2026,12,23),tblDaily[WardCode],"BF")=0,"",SUMIFS(tblDaily[Admissions],tblDaily[EntryDate],DATE(2026,12,23),tblDaily[WardCode],"BF")),"")</f>
        <v/>
      </c>
      <c r="C458" s="29" t="str">
        <f>IFERROR(IF(SUMIFS(tblDaily[Discharges],tblDaily[EntryDate],DATE(2026,12,23),tblDaily[WardCode],"BF")=0,"",SUMIFS(tblDaily[Discharges],tblDaily[EntryDate],DATE(2026,12,23),tblDaily[WardCode],"BF")),"")</f>
        <v/>
      </c>
      <c r="D458" s="29" t="str">
        <f>IFERROR(IF(SUMIFS(tblDaily[Deaths],tblDaily[EntryDate],DATE(2026,12,23),tblDaily[WardCode],"BF")=0,"",SUMIFS(tblDaily[Deaths],tblDaily[EntryDate],DATE(2026,12,23),tblDaily[WardCode],"BF")),"")</f>
        <v/>
      </c>
      <c r="E458" s="29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29" t="str">
        <f>IFERROR(IF(SUMIFS(tblDaily[TransfersIn],tblDaily[EntryDate],DATE(2026,12,23),tblDaily[WardCode],"BF")=0,"",SUMIFS(tblDaily[TransfersIn],tblDaily[EntryDate],DATE(2026,12,23),tblDaily[WardCode],"BF")),"")</f>
        <v/>
      </c>
      <c r="G458" s="29" t="str">
        <f>IFERROR(IF(SUMIFS(tblDaily[TransfersOut],tblDaily[EntryDate],DATE(2026,12,23),tblDaily[WardCode],"BF")=0,"",SUMIFS(tblDaily[TransfersOut],tblDaily[EntryDate],DATE(2026,12,23),tblDaily[WardCode],"BF")),"")</f>
        <v/>
      </c>
      <c r="H458" s="29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IFERROR(IF(SUMIFS(tblDaily[Admissions],tblDaily[EntryDate],DATE(2026,12,24),tblDaily[WardCode],"BF")=0,"",SUMIFS(tblDaily[Admissions],tblDaily[EntryDate],DATE(2026,12,24),tblDaily[WardCode],"BF")),"")</f>
        <v/>
      </c>
      <c r="C459" s="29" t="str">
        <f>IFERROR(IF(SUMIFS(tblDaily[Discharges],tblDaily[EntryDate],DATE(2026,12,24),tblDaily[WardCode],"BF")=0,"",SUMIFS(tblDaily[Discharges],tblDaily[EntryDate],DATE(2026,12,24),tblDaily[WardCode],"BF")),"")</f>
        <v/>
      </c>
      <c r="D459" s="29" t="str">
        <f>IFERROR(IF(SUMIFS(tblDaily[Deaths],tblDaily[EntryDate],DATE(2026,12,24),tblDaily[WardCode],"BF")=0,"",SUMIFS(tblDaily[Deaths],tblDaily[EntryDate],DATE(2026,12,24),tblDaily[WardCode],"BF")),"")</f>
        <v/>
      </c>
      <c r="E459" s="29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29" t="str">
        <f>IFERROR(IF(SUMIFS(tblDaily[TransfersIn],tblDaily[EntryDate],DATE(2026,12,24),tblDaily[WardCode],"BF")=0,"",SUMIFS(tblDaily[TransfersIn],tblDaily[EntryDate],DATE(2026,12,24),tblDaily[WardCode],"BF")),"")</f>
        <v/>
      </c>
      <c r="G459" s="29" t="str">
        <f>IFERROR(IF(SUMIFS(tblDaily[TransfersOut],tblDaily[EntryDate],DATE(2026,12,24),tblDaily[WardCode],"BF")=0,"",SUMIFS(tblDaily[TransfersOut],tblDaily[EntryDate],DATE(2026,12,24),tblDaily[WardCode],"BF")),"")</f>
        <v/>
      </c>
      <c r="H459" s="29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IFERROR(IF(SUMIFS(tblDaily[Admissions],tblDaily[EntryDate],DATE(2026,12,25),tblDaily[WardCode],"BF")=0,"",SUMIFS(tblDaily[Admissions],tblDaily[EntryDate],DATE(2026,12,25),tblDaily[WardCode],"BF")),"")</f>
        <v/>
      </c>
      <c r="C460" s="29" t="str">
        <f>IFERROR(IF(SUMIFS(tblDaily[Discharges],tblDaily[EntryDate],DATE(2026,12,25),tblDaily[WardCode],"BF")=0,"",SUMIFS(tblDaily[Discharges],tblDaily[EntryDate],DATE(2026,12,25),tblDaily[WardCode],"BF")),"")</f>
        <v/>
      </c>
      <c r="D460" s="29" t="str">
        <f>IFERROR(IF(SUMIFS(tblDaily[Deaths],tblDaily[EntryDate],DATE(2026,12,25),tblDaily[WardCode],"BF")=0,"",SUMIFS(tblDaily[Deaths],tblDaily[EntryDate],DATE(2026,12,25),tblDaily[WardCode],"BF")),"")</f>
        <v/>
      </c>
      <c r="E460" s="29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29" t="str">
        <f>IFERROR(IF(SUMIFS(tblDaily[TransfersIn],tblDaily[EntryDate],DATE(2026,12,25),tblDaily[WardCode],"BF")=0,"",SUMIFS(tblDaily[TransfersIn],tblDaily[EntryDate],DATE(2026,12,25),tblDaily[WardCode],"BF")),"")</f>
        <v/>
      </c>
      <c r="G460" s="29" t="str">
        <f>IFERROR(IF(SUMIFS(tblDaily[TransfersOut],tblDaily[EntryDate],DATE(2026,12,25),tblDaily[WardCode],"BF")=0,"",SUMIFS(tblDaily[TransfersOut],tblDaily[EntryDate],DATE(2026,12,25),tblDaily[WardCode],"BF")),"")</f>
        <v/>
      </c>
      <c r="H460" s="29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IFERROR(IF(SUMIFS(tblDaily[Admissions],tblDaily[EntryDate],DATE(2026,12,26),tblDaily[WardCode],"BF")=0,"",SUMIFS(tblDaily[Admissions],tblDaily[EntryDate],DATE(2026,12,26),tblDaily[WardCode],"BF")),"")</f>
        <v/>
      </c>
      <c r="C461" s="29" t="str">
        <f>IFERROR(IF(SUMIFS(tblDaily[Discharges],tblDaily[EntryDate],DATE(2026,12,26),tblDaily[WardCode],"BF")=0,"",SUMIFS(tblDaily[Discharges],tblDaily[EntryDate],DATE(2026,12,26),tblDaily[WardCode],"BF")),"")</f>
        <v/>
      </c>
      <c r="D461" s="29" t="str">
        <f>IFERROR(IF(SUMIFS(tblDaily[Deaths],tblDaily[EntryDate],DATE(2026,12,26),tblDaily[WardCode],"BF")=0,"",SUMIFS(tblDaily[Deaths],tblDaily[EntryDate],DATE(2026,12,26),tblDaily[WardCode],"BF")),"")</f>
        <v/>
      </c>
      <c r="E461" s="29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29" t="str">
        <f>IFERROR(IF(SUMIFS(tblDaily[TransfersIn],tblDaily[EntryDate],DATE(2026,12,26),tblDaily[WardCode],"BF")=0,"",SUMIFS(tblDaily[TransfersIn],tblDaily[EntryDate],DATE(2026,12,26),tblDaily[WardCode],"BF")),"")</f>
        <v/>
      </c>
      <c r="G461" s="29" t="str">
        <f>IFERROR(IF(SUMIFS(tblDaily[TransfersOut],tblDaily[EntryDate],DATE(2026,12,26),tblDaily[WardCode],"BF")=0,"",SUMIFS(tblDaily[TransfersOut],tblDaily[EntryDate],DATE(2026,12,26),tblDaily[WardCode],"BF")),"")</f>
        <v/>
      </c>
      <c r="H461" s="29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IFERROR(IF(SUMIFS(tblDaily[Admissions],tblDaily[EntryDate],DATE(2026,12,27),tblDaily[WardCode],"BF")=0,"",SUMIFS(tblDaily[Admissions],tblDaily[EntryDate],DATE(2026,12,27),tblDaily[WardCode],"BF")),"")</f>
        <v/>
      </c>
      <c r="C462" s="29" t="str">
        <f>IFERROR(IF(SUMIFS(tblDaily[Discharges],tblDaily[EntryDate],DATE(2026,12,27),tblDaily[WardCode],"BF")=0,"",SUMIFS(tblDaily[Discharges],tblDaily[EntryDate],DATE(2026,12,27),tblDaily[WardCode],"BF")),"")</f>
        <v/>
      </c>
      <c r="D462" s="29" t="str">
        <f>IFERROR(IF(SUMIFS(tblDaily[Deaths],tblDaily[EntryDate],DATE(2026,12,27),tblDaily[WardCode],"BF")=0,"",SUMIFS(tblDaily[Deaths],tblDaily[EntryDate],DATE(2026,12,27),tblDaily[WardCode],"BF")),"")</f>
        <v/>
      </c>
      <c r="E462" s="29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29" t="str">
        <f>IFERROR(IF(SUMIFS(tblDaily[TransfersIn],tblDaily[EntryDate],DATE(2026,12,27),tblDaily[WardCode],"BF")=0,"",SUMIFS(tblDaily[TransfersIn],tblDaily[EntryDate],DATE(2026,12,27),tblDaily[WardCode],"BF")),"")</f>
        <v/>
      </c>
      <c r="G462" s="29" t="str">
        <f>IFERROR(IF(SUMIFS(tblDaily[TransfersOut],tblDaily[EntryDate],DATE(2026,12,27),tblDaily[WardCode],"BF")=0,"",SUMIFS(tblDaily[TransfersOut],tblDaily[EntryDate],DATE(2026,12,27),tblDaily[WardCode],"BF")),"")</f>
        <v/>
      </c>
      <c r="H462" s="29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IFERROR(IF(SUMIFS(tblDaily[Admissions],tblDaily[EntryDate],DATE(2026,12,28),tblDaily[WardCode],"BF")=0,"",SUMIFS(tblDaily[Admissions],tblDaily[EntryDate],DATE(2026,12,28),tblDaily[WardCode],"BF")),"")</f>
        <v/>
      </c>
      <c r="C463" s="29" t="str">
        <f>IFERROR(IF(SUMIFS(tblDaily[Discharges],tblDaily[EntryDate],DATE(2026,12,28),tblDaily[WardCode],"BF")=0,"",SUMIFS(tblDaily[Discharges],tblDaily[EntryDate],DATE(2026,12,28),tblDaily[WardCode],"BF")),"")</f>
        <v/>
      </c>
      <c r="D463" s="29" t="str">
        <f>IFERROR(IF(SUMIFS(tblDaily[Deaths],tblDaily[EntryDate],DATE(2026,12,28),tblDaily[WardCode],"BF")=0,"",SUMIFS(tblDaily[Deaths],tblDaily[EntryDate],DATE(2026,12,28),tblDaily[WardCode],"BF")),"")</f>
        <v/>
      </c>
      <c r="E463" s="29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29" t="str">
        <f>IFERROR(IF(SUMIFS(tblDaily[TransfersIn],tblDaily[EntryDate],DATE(2026,12,28),tblDaily[WardCode],"BF")=0,"",SUMIFS(tblDaily[TransfersIn],tblDaily[EntryDate],DATE(2026,12,28),tblDaily[WardCode],"BF")),"")</f>
        <v/>
      </c>
      <c r="G463" s="29" t="str">
        <f>IFERROR(IF(SUMIFS(tblDaily[TransfersOut],tblDaily[EntryDate],DATE(2026,12,28),tblDaily[WardCode],"BF")=0,"",SUMIFS(tblDaily[TransfersOut],tblDaily[EntryDate],DATE(2026,12,28),tblDaily[WardCode],"BF")),"")</f>
        <v/>
      </c>
      <c r="H463" s="29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IFERROR(IF(SUMIFS(tblDaily[Admissions],tblDaily[EntryDate],DATE(2026,12,29),tblDaily[WardCode],"BF")=0,"",SUMIFS(tblDaily[Admissions],tblDaily[EntryDate],DATE(2026,12,29),tblDaily[WardCode],"BF")),"")</f>
        <v/>
      </c>
      <c r="C464" s="29" t="str">
        <f>IFERROR(IF(SUMIFS(tblDaily[Discharges],tblDaily[EntryDate],DATE(2026,12,29),tblDaily[WardCode],"BF")=0,"",SUMIFS(tblDaily[Discharges],tblDaily[EntryDate],DATE(2026,12,29),tblDaily[WardCode],"BF")),"")</f>
        <v/>
      </c>
      <c r="D464" s="29" t="str">
        <f>IFERROR(IF(SUMIFS(tblDaily[Deaths],tblDaily[EntryDate],DATE(2026,12,29),tblDaily[WardCode],"BF")=0,"",SUMIFS(tblDaily[Deaths],tblDaily[EntryDate],DATE(2026,12,29),tblDaily[WardCode],"BF")),"")</f>
        <v/>
      </c>
      <c r="E464" s="29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29" t="str">
        <f>IFERROR(IF(SUMIFS(tblDaily[TransfersIn],tblDaily[EntryDate],DATE(2026,12,29),tblDaily[WardCode],"BF")=0,"",SUMIFS(tblDaily[TransfersIn],tblDaily[EntryDate],DATE(2026,12,29),tblDaily[WardCode],"BF")),"")</f>
        <v/>
      </c>
      <c r="G464" s="29" t="str">
        <f>IFERROR(IF(SUMIFS(tblDaily[TransfersOut],tblDaily[EntryDate],DATE(2026,12,29),tblDaily[WardCode],"BF")=0,"",SUMIFS(tblDaily[TransfersOut],tblDaily[EntryDate],DATE(2026,12,29),tblDaily[WardCode],"BF")),"")</f>
        <v/>
      </c>
      <c r="H464" s="29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IFERROR(IF(SUMIFS(tblDaily[Admissions],tblDaily[EntryDate],DATE(2026,12,30),tblDaily[WardCode],"BF")=0,"",SUMIFS(tblDaily[Admissions],tblDaily[EntryDate],DATE(2026,12,30),tblDaily[WardCode],"BF")),"")</f>
        <v/>
      </c>
      <c r="C465" s="29" t="str">
        <f>IFERROR(IF(SUMIFS(tblDaily[Discharges],tblDaily[EntryDate],DATE(2026,12,30),tblDaily[WardCode],"BF")=0,"",SUMIFS(tblDaily[Discharges],tblDaily[EntryDate],DATE(2026,12,30),tblDaily[WardCode],"BF")),"")</f>
        <v/>
      </c>
      <c r="D465" s="29" t="str">
        <f>IFERROR(IF(SUMIFS(tblDaily[Deaths],tblDaily[EntryDate],DATE(2026,12,30),tblDaily[WardCode],"BF")=0,"",SUMIFS(tblDaily[Deaths],tblDaily[EntryDate],DATE(2026,12,30),tblDaily[WardCode],"BF")),"")</f>
        <v/>
      </c>
      <c r="E465" s="29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29" t="str">
        <f>IFERROR(IF(SUMIFS(tblDaily[TransfersIn],tblDaily[EntryDate],DATE(2026,12,30),tblDaily[WardCode],"BF")=0,"",SUMIFS(tblDaily[TransfersIn],tblDaily[EntryDate],DATE(2026,12,30),tblDaily[WardCode],"BF")),"")</f>
        <v/>
      </c>
      <c r="G465" s="29" t="str">
        <f>IFERROR(IF(SUMIFS(tblDaily[TransfersOut],tblDaily[EntryDate],DATE(2026,12,30),tblDaily[WardCode],"BF")=0,"",SUMIFS(tblDaily[TransfersOut],tblDaily[EntryDate],DATE(2026,12,30),tblDaily[WardCode],"BF")),"")</f>
        <v/>
      </c>
      <c r="H465" s="29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IFERROR(IF(SUMIFS(tblDaily[Admissions],tblDaily[EntryDate],DATE(2026,12,31),tblDaily[WardCode],"BF")=0,"",SUMIFS(tblDaily[Admissions],tblDaily[EntryDate],DATE(2026,12,31),tblDaily[WardCode],"BF")),"")</f>
        <v/>
      </c>
      <c r="C466" s="29" t="str">
        <f>IFERROR(IF(SUMIFS(tblDaily[Discharges],tblDaily[EntryDate],DATE(2026,12,31),tblDaily[WardCode],"BF")=0,"",SUMIFS(tblDaily[Discharges],tblDaily[EntryDate],DATE(2026,12,31),tblDaily[WardCode],"BF")),"")</f>
        <v/>
      </c>
      <c r="D466" s="29" t="str">
        <f>IFERROR(IF(SUMIFS(tblDaily[Deaths],tblDaily[EntryDate],DATE(2026,12,31),tblDaily[WardCode],"BF")=0,"",SUMIFS(tblDaily[Deaths],tblDaily[EntryDate],DATE(2026,12,31),tblDaily[WardCode],"BF")),"")</f>
        <v/>
      </c>
      <c r="E466" s="29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29" t="str">
        <f>IFERROR(IF(SUMIFS(tblDaily[TransfersIn],tblDaily[EntryDate],DATE(2026,12,31),tblDaily[WardCode],"BF")=0,"",SUMIFS(tblDaily[TransfersIn],tblDaily[EntryDate],DATE(2026,12,31),tblDaily[WardCode],"BF")),"")</f>
        <v/>
      </c>
      <c r="G466" s="29" t="str">
        <f>IFERROR(IF(SUMIFS(tblDaily[TransfersOut],tblDaily[EntryDate],DATE(2026,12,31),tblDaily[WardCode],"BF")=0,"",SUMIFS(tblDaily[TransfersOut],tblDaily[EntryDate],DATE(2026,12,31),tblDaily[WardCode],"BF")),"")</f>
        <v/>
      </c>
      <c r="H466" s="29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30" t="s">
        <v>115</v>
      </c>
      <c r="B467" s="30">
        <f>SUMIFS(tblDaily[Admissions],tblDaily[Month],12,tblDaily[WardCode],"BF") - SUMIFS(tblDaily[DeathsUnder24Hrs],tblDaily[Month],12,tblDaily[WardCode],"BF")</f>
        <v>0</v>
      </c>
      <c r="C467" s="30">
        <f>SUMIFS(tblDaily[Discharges],tblDaily[Month],12,tblDaily[WardCode],"BF")</f>
        <v>0</v>
      </c>
      <c r="D467" s="30">
        <f>SUMIFS(tblDaily[Deaths],tblDaily[Month],12,tblDaily[WardCode],"BF")</f>
        <v>0</v>
      </c>
      <c r="E467" s="30">
        <f>SUMIFS(tblDaily[DeathsUnder24Hrs],tblDaily[Month],12,tblDaily[WardCode],"BF")</f>
        <v>0</v>
      </c>
      <c r="F467" s="30">
        <f>SUMIFS(tblDaily[TransfersIn],tblDaily[Month],12,tblDaily[WardCode],"BF")</f>
        <v>0</v>
      </c>
      <c r="G467" s="30">
        <f>SUMIFS(tblDaily[TransfersOut],tblDaily[Month],12,tblDaily[WardCode],"BF")</f>
        <v>0</v>
      </c>
      <c r="H467" s="30">
        <f>SUMIFS(tblDaily[Remaining],tblDaily[Month],12,tblDaily[WardCode],"BF")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119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IFERROR(INDEX(tblWardConfig[PrevYearRemaining],MATCH("BG",tblWardConfig[WardCode],0)),0)</f>
        <v>9</v>
      </c>
    </row>
    <row r="5" spans="1:8" x14ac:dyDescent="0.25">
      <c r="A5" s="24" t="s">
        <v>109</v>
      </c>
      <c r="H5" s="27">
        <f>IFERROR(INDEX(tblWardConfig[BedComplement],MATCH("BG",tblWardConfig[WardCode],0)),0)</f>
        <v>14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>
        <f>IFERROR(IF(SUMIFS(tblDaily[Admissions],tblDaily[EntryDate],DATE(2026,1,1),tblDaily[WardCode],"BG")=0,"",SUMIFS(tblDaily[Admissions],tblDaily[EntryDate],DATE(2026,1,1),tblDaily[WardCode],"BG")),"")</f>
        <v>4</v>
      </c>
      <c r="C7" s="29">
        <f>IFERROR(IF(SUMIFS(tblDaily[Discharges],tblDaily[EntryDate],DATE(2026,1,1),tblDaily[WardCode],"BG")=0,"",SUMIFS(tblDaily[Discharges],tblDaily[EntryDate],DATE(2026,1,1),tblDaily[WardCode],"BG")),"")</f>
        <v>6</v>
      </c>
      <c r="D7" s="29" t="str">
        <f>IFERROR(IF(SUMIFS(tblDaily[Deaths],tblDaily[EntryDate],DATE(2026,1,1),tblDaily[WardCode],"BG")=0,"",SUMIFS(tblDaily[Deaths],tblDaily[EntryDate],DATE(2026,1,1),tblDaily[WardCode],"BG")),"")</f>
        <v/>
      </c>
      <c r="E7" s="29" t="str">
        <f>IFERROR(IF(SUMIFS(tblDaily[DeathsUnder24Hrs],tblDaily[EntryDate],DATE(2026,1,1),tblDaily[WardCode],"BG")=0,"",SUMIFS(tblDaily[DeathsUnder24Hrs],tblDaily[EntryDate],DATE(2026,1,1),tblDaily[WardCode],"BG")),"")</f>
        <v/>
      </c>
      <c r="F7" s="29" t="str">
        <f>IFERROR(IF(SUMIFS(tblDaily[TransfersIn],tblDaily[EntryDate],DATE(2026,1,1),tblDaily[WardCode],"BG")=0,"",SUMIFS(tblDaily[TransfersIn],tblDaily[EntryDate],DATE(2026,1,1),tblDaily[WardCode],"BG")),"")</f>
        <v/>
      </c>
      <c r="G7" s="29">
        <f>IFERROR(IF(SUMIFS(tblDaily[TransfersOut],tblDaily[EntryDate],DATE(2026,1,1),tblDaily[WardCode],"BG")=0,"",SUMIFS(tblDaily[TransfersOut],tblDaily[EntryDate],DATE(2026,1,1),tblDaily[WardCode],"BG")),"")</f>
        <v>1</v>
      </c>
      <c r="H7" s="29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29">
        <v>2</v>
      </c>
      <c r="B8" s="29">
        <f>IFERROR(IF(SUMIFS(tblDaily[Admissions],tblDaily[EntryDate],DATE(2026,1,2),tblDaily[WardCode],"BG")=0,"",SUMIFS(tblDaily[Admissions],tblDaily[EntryDate],DATE(2026,1,2),tblDaily[WardCode],"BG")),"")</f>
        <v>4</v>
      </c>
      <c r="C8" s="29">
        <f>IFERROR(IF(SUMIFS(tblDaily[Discharges],tblDaily[EntryDate],DATE(2026,1,2),tblDaily[WardCode],"BG")=0,"",SUMIFS(tblDaily[Discharges],tblDaily[EntryDate],DATE(2026,1,2),tblDaily[WardCode],"BG")),"")</f>
        <v>3</v>
      </c>
      <c r="D8" s="29" t="str">
        <f>IFERROR(IF(SUMIFS(tblDaily[Deaths],tblDaily[EntryDate],DATE(2026,1,2),tblDaily[WardCode],"BG")=0,"",SUMIFS(tblDaily[Deaths],tblDaily[EntryDate],DATE(2026,1,2),tblDaily[WardCode],"BG")),"")</f>
        <v/>
      </c>
      <c r="E8" s="29" t="str">
        <f>IFERROR(IF(SUMIFS(tblDaily[DeathsUnder24Hrs],tblDaily[EntryDate],DATE(2026,1,2),tblDaily[WardCode],"BG")=0,"",SUMIFS(tblDaily[DeathsUnder24Hrs],tblDaily[EntryDate],DATE(2026,1,2),tblDaily[WardCode],"BG")),"")</f>
        <v/>
      </c>
      <c r="F8" s="29">
        <f>IFERROR(IF(SUMIFS(tblDaily[TransfersIn],tblDaily[EntryDate],DATE(2026,1,2),tblDaily[WardCode],"BG")=0,"",SUMIFS(tblDaily[TransfersIn],tblDaily[EntryDate],DATE(2026,1,2),tblDaily[WardCode],"BG")),"")</f>
        <v>2</v>
      </c>
      <c r="G8" s="29" t="str">
        <f>IFERROR(IF(SUMIFS(tblDaily[TransfersOut],tblDaily[EntryDate],DATE(2026,1,2),tblDaily[WardCode],"BG")=0,"",SUMIFS(tblDaily[TransfersOut],tblDaily[EntryDate],DATE(2026,1,2),tblDaily[WardCode],"BG")),"")</f>
        <v/>
      </c>
      <c r="H8" s="29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29">
        <v>3</v>
      </c>
      <c r="B9" s="29">
        <f>IFERROR(IF(SUMIFS(tblDaily[Admissions],tblDaily[EntryDate],DATE(2026,1,3),tblDaily[WardCode],"BG")=0,"",SUMIFS(tblDaily[Admissions],tblDaily[EntryDate],DATE(2026,1,3),tblDaily[WardCode],"BG")),"")</f>
        <v>3</v>
      </c>
      <c r="C9" s="29">
        <f>IFERROR(IF(SUMIFS(tblDaily[Discharges],tblDaily[EntryDate],DATE(2026,1,3),tblDaily[WardCode],"BG")=0,"",SUMIFS(tblDaily[Discharges],tblDaily[EntryDate],DATE(2026,1,3),tblDaily[WardCode],"BG")),"")</f>
        <v>4</v>
      </c>
      <c r="D9" s="29" t="str">
        <f>IFERROR(IF(SUMIFS(tblDaily[Deaths],tblDaily[EntryDate],DATE(2026,1,3),tblDaily[WardCode],"BG")=0,"",SUMIFS(tblDaily[Deaths],tblDaily[EntryDate],DATE(2026,1,3),tblDaily[WardCode],"BG")),"")</f>
        <v/>
      </c>
      <c r="E9" s="29" t="str">
        <f>IFERROR(IF(SUMIFS(tblDaily[DeathsUnder24Hrs],tblDaily[EntryDate],DATE(2026,1,3),tblDaily[WardCode],"BG")=0,"",SUMIFS(tblDaily[DeathsUnder24Hrs],tblDaily[EntryDate],DATE(2026,1,3),tblDaily[WardCode],"BG")),"")</f>
        <v/>
      </c>
      <c r="F9" s="29">
        <f>IFERROR(IF(SUMIFS(tblDaily[TransfersIn],tblDaily[EntryDate],DATE(2026,1,3),tblDaily[WardCode],"BG")=0,"",SUMIFS(tblDaily[TransfersIn],tblDaily[EntryDate],DATE(2026,1,3),tblDaily[WardCode],"BG")),"")</f>
        <v>2</v>
      </c>
      <c r="G9" s="29">
        <f>IFERROR(IF(SUMIFS(tblDaily[TransfersOut],tblDaily[EntryDate],DATE(2026,1,3),tblDaily[WardCode],"BG")=0,"",SUMIFS(tblDaily[TransfersOut],tblDaily[EntryDate],DATE(2026,1,3),tblDaily[WardCode],"BG")),"")</f>
        <v>1</v>
      </c>
      <c r="H9" s="29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29">
        <v>4</v>
      </c>
      <c r="B10" s="29">
        <f>IFERROR(IF(SUMIFS(tblDaily[Admissions],tblDaily[EntryDate],DATE(2026,1,4),tblDaily[WardCode],"BG")=0,"",SUMIFS(tblDaily[Admissions],tblDaily[EntryDate],DATE(2026,1,4),tblDaily[WardCode],"BG")),"")</f>
        <v>7</v>
      </c>
      <c r="C10" s="29">
        <f>IFERROR(IF(SUMIFS(tblDaily[Discharges],tblDaily[EntryDate],DATE(2026,1,4),tblDaily[WardCode],"BG")=0,"",SUMIFS(tblDaily[Discharges],tblDaily[EntryDate],DATE(2026,1,4),tblDaily[WardCode],"BG")),"")</f>
        <v>2</v>
      </c>
      <c r="D10" s="29" t="str">
        <f>IFERROR(IF(SUMIFS(tblDaily[Deaths],tblDaily[EntryDate],DATE(2026,1,4),tblDaily[WardCode],"BG")=0,"",SUMIFS(tblDaily[Deaths],tblDaily[EntryDate],DATE(2026,1,4),tblDaily[WardCode],"BG")),"")</f>
        <v/>
      </c>
      <c r="E10" s="29" t="str">
        <f>IFERROR(IF(SUMIFS(tblDaily[DeathsUnder24Hrs],tblDaily[EntryDate],DATE(2026,1,4),tblDaily[WardCode],"BG")=0,"",SUMIFS(tblDaily[DeathsUnder24Hrs],tblDaily[EntryDate],DATE(2026,1,4),tblDaily[WardCode],"BG")),"")</f>
        <v/>
      </c>
      <c r="F10" s="29">
        <f>IFERROR(IF(SUMIFS(tblDaily[TransfersIn],tblDaily[EntryDate],DATE(2026,1,4),tblDaily[WardCode],"BG")=0,"",SUMIFS(tblDaily[TransfersIn],tblDaily[EntryDate],DATE(2026,1,4),tblDaily[WardCode],"BG")),"")</f>
        <v>1</v>
      </c>
      <c r="G10" s="29" t="str">
        <f>IFERROR(IF(SUMIFS(tblDaily[TransfersOut],tblDaily[EntryDate],DATE(2026,1,4),tblDaily[WardCode],"BG")=0,"",SUMIFS(tblDaily[TransfersOut],tblDaily[EntryDate],DATE(2026,1,4),tblDaily[WardCode],"BG")),"")</f>
        <v/>
      </c>
      <c r="H10" s="29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29">
        <v>5</v>
      </c>
      <c r="B11" s="29">
        <f>IFERROR(IF(SUMIFS(tblDaily[Admissions],tblDaily[EntryDate],DATE(2026,1,5),tblDaily[WardCode],"BG")=0,"",SUMIFS(tblDaily[Admissions],tblDaily[EntryDate],DATE(2026,1,5),tblDaily[WardCode],"BG")),"")</f>
        <v>5</v>
      </c>
      <c r="C11" s="29">
        <f>IFERROR(IF(SUMIFS(tblDaily[Discharges],tblDaily[EntryDate],DATE(2026,1,5),tblDaily[WardCode],"BG")=0,"",SUMIFS(tblDaily[Discharges],tblDaily[EntryDate],DATE(2026,1,5),tblDaily[WardCode],"BG")),"")</f>
        <v>7</v>
      </c>
      <c r="D11" s="29" t="str">
        <f>IFERROR(IF(SUMIFS(tblDaily[Deaths],tblDaily[EntryDate],DATE(2026,1,5),tblDaily[WardCode],"BG")=0,"",SUMIFS(tblDaily[Deaths],tblDaily[EntryDate],DATE(2026,1,5),tblDaily[WardCode],"BG")),"")</f>
        <v/>
      </c>
      <c r="E11" s="29" t="str">
        <f>IFERROR(IF(SUMIFS(tblDaily[DeathsUnder24Hrs],tblDaily[EntryDate],DATE(2026,1,5),tblDaily[WardCode],"BG")=0,"",SUMIFS(tblDaily[DeathsUnder24Hrs],tblDaily[EntryDate],DATE(2026,1,5),tblDaily[WardCode],"BG")),"")</f>
        <v/>
      </c>
      <c r="F11" s="29">
        <f>IFERROR(IF(SUMIFS(tblDaily[TransfersIn],tblDaily[EntryDate],DATE(2026,1,5),tblDaily[WardCode],"BG")=0,"",SUMIFS(tblDaily[TransfersIn],tblDaily[EntryDate],DATE(2026,1,5),tblDaily[WardCode],"BG")),"")</f>
        <v>2</v>
      </c>
      <c r="G11" s="29">
        <f>IFERROR(IF(SUMIFS(tblDaily[TransfersOut],tblDaily[EntryDate],DATE(2026,1,5),tblDaily[WardCode],"BG")=0,"",SUMIFS(tblDaily[TransfersOut],tblDaily[EntryDate],DATE(2026,1,5),tblDaily[WardCode],"BG")),"")</f>
        <v>1</v>
      </c>
      <c r="H11" s="29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29">
        <v>6</v>
      </c>
      <c r="B12" s="29">
        <f>IFERROR(IF(SUMIFS(tblDaily[Admissions],tblDaily[EntryDate],DATE(2026,1,6),tblDaily[WardCode],"BG")=0,"",SUMIFS(tblDaily[Admissions],tblDaily[EntryDate],DATE(2026,1,6),tblDaily[WardCode],"BG")),"")</f>
        <v>6</v>
      </c>
      <c r="C12" s="29">
        <f>IFERROR(IF(SUMIFS(tblDaily[Discharges],tblDaily[EntryDate],DATE(2026,1,6),tblDaily[WardCode],"BG")=0,"",SUMIFS(tblDaily[Discharges],tblDaily[EntryDate],DATE(2026,1,6),tblDaily[WardCode],"BG")),"")</f>
        <v>6</v>
      </c>
      <c r="D12" s="29" t="str">
        <f>IFERROR(IF(SUMIFS(tblDaily[Deaths],tblDaily[EntryDate],DATE(2026,1,6),tblDaily[WardCode],"BG")=0,"",SUMIFS(tblDaily[Deaths],tblDaily[EntryDate],DATE(2026,1,6),tblDaily[WardCode],"BG")),"")</f>
        <v/>
      </c>
      <c r="E12" s="29" t="str">
        <f>IFERROR(IF(SUMIFS(tblDaily[DeathsUnder24Hrs],tblDaily[EntryDate],DATE(2026,1,6),tblDaily[WardCode],"BG")=0,"",SUMIFS(tblDaily[DeathsUnder24Hrs],tblDaily[EntryDate],DATE(2026,1,6),tblDaily[WardCode],"BG")),"")</f>
        <v/>
      </c>
      <c r="F12" s="29" t="str">
        <f>IFERROR(IF(SUMIFS(tblDaily[TransfersIn],tblDaily[EntryDate],DATE(2026,1,6),tblDaily[WardCode],"BG")=0,"",SUMIFS(tblDaily[TransfersIn],tblDaily[EntryDate],DATE(2026,1,6),tblDaily[WardCode],"BG")),"")</f>
        <v/>
      </c>
      <c r="G12" s="29">
        <f>IFERROR(IF(SUMIFS(tblDaily[TransfersOut],tblDaily[EntryDate],DATE(2026,1,6),tblDaily[WardCode],"BG")=0,"",SUMIFS(tblDaily[TransfersOut],tblDaily[EntryDate],DATE(2026,1,6),tblDaily[WardCode],"BG")),"")</f>
        <v>2</v>
      </c>
      <c r="H12" s="29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29">
        <v>7</v>
      </c>
      <c r="B13" s="29">
        <f>IFERROR(IF(SUMIFS(tblDaily[Admissions],tblDaily[EntryDate],DATE(2026,1,7),tblDaily[WardCode],"BG")=0,"",SUMIFS(tblDaily[Admissions],tblDaily[EntryDate],DATE(2026,1,7),tblDaily[WardCode],"BG")),"")</f>
        <v>3</v>
      </c>
      <c r="C13" s="29">
        <f>IFERROR(IF(SUMIFS(tblDaily[Discharges],tblDaily[EntryDate],DATE(2026,1,7),tblDaily[WardCode],"BG")=0,"",SUMIFS(tblDaily[Discharges],tblDaily[EntryDate],DATE(2026,1,7),tblDaily[WardCode],"BG")),"")</f>
        <v>7</v>
      </c>
      <c r="D13" s="29" t="str">
        <f>IFERROR(IF(SUMIFS(tblDaily[Deaths],tblDaily[EntryDate],DATE(2026,1,7),tblDaily[WardCode],"BG")=0,"",SUMIFS(tblDaily[Deaths],tblDaily[EntryDate],DATE(2026,1,7),tblDaily[WardCode],"BG")),"")</f>
        <v/>
      </c>
      <c r="E13" s="29" t="str">
        <f>IFERROR(IF(SUMIFS(tblDaily[DeathsUnder24Hrs],tblDaily[EntryDate],DATE(2026,1,7),tblDaily[WardCode],"BG")=0,"",SUMIFS(tblDaily[DeathsUnder24Hrs],tblDaily[EntryDate],DATE(2026,1,7),tblDaily[WardCode],"BG")),"")</f>
        <v/>
      </c>
      <c r="F13" s="29">
        <f>IFERROR(IF(SUMIFS(tblDaily[TransfersIn],tblDaily[EntryDate],DATE(2026,1,7),tblDaily[WardCode],"BG")=0,"",SUMIFS(tblDaily[TransfersIn],tblDaily[EntryDate],DATE(2026,1,7),tblDaily[WardCode],"BG")),"")</f>
        <v>1</v>
      </c>
      <c r="G13" s="29">
        <f>IFERROR(IF(SUMIFS(tblDaily[TransfersOut],tblDaily[EntryDate],DATE(2026,1,7),tblDaily[WardCode],"BG")=0,"",SUMIFS(tblDaily[TransfersOut],tblDaily[EntryDate],DATE(2026,1,7),tblDaily[WardCode],"BG")),"")</f>
        <v>1</v>
      </c>
      <c r="H13" s="29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29">
        <v>8</v>
      </c>
      <c r="B14" s="29">
        <f>IFERROR(IF(SUMIFS(tblDaily[Admissions],tblDaily[EntryDate],DATE(2026,1,8),tblDaily[WardCode],"BG")=0,"",SUMIFS(tblDaily[Admissions],tblDaily[EntryDate],DATE(2026,1,8),tblDaily[WardCode],"BG")),"")</f>
        <v>7</v>
      </c>
      <c r="C14" s="29">
        <f>IFERROR(IF(SUMIFS(tblDaily[Discharges],tblDaily[EntryDate],DATE(2026,1,8),tblDaily[WardCode],"BG")=0,"",SUMIFS(tblDaily[Discharges],tblDaily[EntryDate],DATE(2026,1,8),tblDaily[WardCode],"BG")),"")</f>
        <v>2</v>
      </c>
      <c r="D14" s="29" t="str">
        <f>IFERROR(IF(SUMIFS(tblDaily[Deaths],tblDaily[EntryDate],DATE(2026,1,8),tblDaily[WardCode],"BG")=0,"",SUMIFS(tblDaily[Deaths],tblDaily[EntryDate],DATE(2026,1,8),tblDaily[WardCode],"BG")),"")</f>
        <v/>
      </c>
      <c r="E14" s="29" t="str">
        <f>IFERROR(IF(SUMIFS(tblDaily[DeathsUnder24Hrs],tblDaily[EntryDate],DATE(2026,1,8),tblDaily[WardCode],"BG")=0,"",SUMIFS(tblDaily[DeathsUnder24Hrs],tblDaily[EntryDate],DATE(2026,1,8),tblDaily[WardCode],"BG")),"")</f>
        <v/>
      </c>
      <c r="F14" s="29" t="str">
        <f>IFERROR(IF(SUMIFS(tblDaily[TransfersIn],tblDaily[EntryDate],DATE(2026,1,8),tblDaily[WardCode],"BG")=0,"",SUMIFS(tblDaily[TransfersIn],tblDaily[EntryDate],DATE(2026,1,8),tblDaily[WardCode],"BG")),"")</f>
        <v/>
      </c>
      <c r="G14" s="29">
        <f>IFERROR(IF(SUMIFS(tblDaily[TransfersOut],tblDaily[EntryDate],DATE(2026,1,8),tblDaily[WardCode],"BG")=0,"",SUMIFS(tblDaily[TransfersOut],tblDaily[EntryDate],DATE(2026,1,8),tblDaily[WardCode],"BG")),"")</f>
        <v>1</v>
      </c>
      <c r="H14" s="29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29">
        <v>9</v>
      </c>
      <c r="B15" s="29">
        <f>IFERROR(IF(SUMIFS(tblDaily[Admissions],tblDaily[EntryDate],DATE(2026,1,9),tblDaily[WardCode],"BG")=0,"",SUMIFS(tblDaily[Admissions],tblDaily[EntryDate],DATE(2026,1,9),tblDaily[WardCode],"BG")),"")</f>
        <v>3</v>
      </c>
      <c r="C15" s="29">
        <f>IFERROR(IF(SUMIFS(tblDaily[Discharges],tblDaily[EntryDate],DATE(2026,1,9),tblDaily[WardCode],"BG")=0,"",SUMIFS(tblDaily[Discharges],tblDaily[EntryDate],DATE(2026,1,9),tblDaily[WardCode],"BG")),"")</f>
        <v>6</v>
      </c>
      <c r="D15" s="29" t="str">
        <f>IFERROR(IF(SUMIFS(tblDaily[Deaths],tblDaily[EntryDate],DATE(2026,1,9),tblDaily[WardCode],"BG")=0,"",SUMIFS(tblDaily[Deaths],tblDaily[EntryDate],DATE(2026,1,9),tblDaily[WardCode],"BG")),"")</f>
        <v/>
      </c>
      <c r="E15" s="29" t="str">
        <f>IFERROR(IF(SUMIFS(tblDaily[DeathsUnder24Hrs],tblDaily[EntryDate],DATE(2026,1,9),tblDaily[WardCode],"BG")=0,"",SUMIFS(tblDaily[DeathsUnder24Hrs],tblDaily[EntryDate],DATE(2026,1,9),tblDaily[WardCode],"BG")),"")</f>
        <v/>
      </c>
      <c r="F15" s="29">
        <f>IFERROR(IF(SUMIFS(tblDaily[TransfersIn],tblDaily[EntryDate],DATE(2026,1,9),tblDaily[WardCode],"BG")=0,"",SUMIFS(tblDaily[TransfersIn],tblDaily[EntryDate],DATE(2026,1,9),tblDaily[WardCode],"BG")),"")</f>
        <v>1</v>
      </c>
      <c r="G15" s="29">
        <f>IFERROR(IF(SUMIFS(tblDaily[TransfersOut],tblDaily[EntryDate],DATE(2026,1,9),tblDaily[WardCode],"BG")=0,"",SUMIFS(tblDaily[TransfersOut],tblDaily[EntryDate],DATE(2026,1,9),tblDaily[WardCode],"BG")),"")</f>
        <v>1</v>
      </c>
      <c r="H15" s="29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29">
        <v>10</v>
      </c>
      <c r="B16" s="29">
        <f>IFERROR(IF(SUMIFS(tblDaily[Admissions],tblDaily[EntryDate],DATE(2026,1,10),tblDaily[WardCode],"BG")=0,"",SUMIFS(tblDaily[Admissions],tblDaily[EntryDate],DATE(2026,1,10),tblDaily[WardCode],"BG")),"")</f>
        <v>4</v>
      </c>
      <c r="C16" s="29">
        <f>IFERROR(IF(SUMIFS(tblDaily[Discharges],tblDaily[EntryDate],DATE(2026,1,10),tblDaily[WardCode],"BG")=0,"",SUMIFS(tblDaily[Discharges],tblDaily[EntryDate],DATE(2026,1,10),tblDaily[WardCode],"BG")),"")</f>
        <v>2</v>
      </c>
      <c r="D16" s="29" t="str">
        <f>IFERROR(IF(SUMIFS(tblDaily[Deaths],tblDaily[EntryDate],DATE(2026,1,10),tblDaily[WardCode],"BG")=0,"",SUMIFS(tblDaily[Deaths],tblDaily[EntryDate],DATE(2026,1,10),tblDaily[WardCode],"BG")),"")</f>
        <v/>
      </c>
      <c r="E16" s="29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29" t="str">
        <f>IFERROR(IF(SUMIFS(tblDaily[TransfersIn],tblDaily[EntryDate],DATE(2026,1,10),tblDaily[WardCode],"BG")=0,"",SUMIFS(tblDaily[TransfersIn],tblDaily[EntryDate],DATE(2026,1,10),tblDaily[WardCode],"BG")),"")</f>
        <v/>
      </c>
      <c r="G16" s="29">
        <f>IFERROR(IF(SUMIFS(tblDaily[TransfersOut],tblDaily[EntryDate],DATE(2026,1,10),tblDaily[WardCode],"BG")=0,"",SUMIFS(tblDaily[TransfersOut],tblDaily[EntryDate],DATE(2026,1,10),tblDaily[WardCode],"BG")),"")</f>
        <v>1</v>
      </c>
      <c r="H16" s="29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29">
        <v>11</v>
      </c>
      <c r="B17" s="29">
        <f>IFERROR(IF(SUMIFS(tblDaily[Admissions],tblDaily[EntryDate],DATE(2026,1,11),tblDaily[WardCode],"BG")=0,"",SUMIFS(tblDaily[Admissions],tblDaily[EntryDate],DATE(2026,1,11),tblDaily[WardCode],"BG")),"")</f>
        <v>6</v>
      </c>
      <c r="C17" s="29">
        <f>IFERROR(IF(SUMIFS(tblDaily[Discharges],tblDaily[EntryDate],DATE(2026,1,11),tblDaily[WardCode],"BG")=0,"",SUMIFS(tblDaily[Discharges],tblDaily[EntryDate],DATE(2026,1,11),tblDaily[WardCode],"BG")),"")</f>
        <v>7</v>
      </c>
      <c r="D17" s="29" t="str">
        <f>IFERROR(IF(SUMIFS(tblDaily[Deaths],tblDaily[EntryDate],DATE(2026,1,11),tblDaily[WardCode],"BG")=0,"",SUMIFS(tblDaily[Deaths],tblDaily[EntryDate],DATE(2026,1,11),tblDaily[WardCode],"BG")),"")</f>
        <v/>
      </c>
      <c r="E17" s="29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29">
        <f>IFERROR(IF(SUMIFS(tblDaily[TransfersIn],tblDaily[EntryDate],DATE(2026,1,11),tblDaily[WardCode],"BG")=0,"",SUMIFS(tblDaily[TransfersIn],tblDaily[EntryDate],DATE(2026,1,11),tblDaily[WardCode],"BG")),"")</f>
        <v>4</v>
      </c>
      <c r="G17" s="29">
        <f>IFERROR(IF(SUMIFS(tblDaily[TransfersOut],tblDaily[EntryDate],DATE(2026,1,11),tblDaily[WardCode],"BG")=0,"",SUMIFS(tblDaily[TransfersOut],tblDaily[EntryDate],DATE(2026,1,11),tblDaily[WardCode],"BG")),"")</f>
        <v>1</v>
      </c>
      <c r="H17" s="29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29">
        <v>12</v>
      </c>
      <c r="B18" s="29">
        <f>IFERROR(IF(SUMIFS(tblDaily[Admissions],tblDaily[EntryDate],DATE(2026,1,12),tblDaily[WardCode],"BG")=0,"",SUMIFS(tblDaily[Admissions],tblDaily[EntryDate],DATE(2026,1,12),tblDaily[WardCode],"BG")),"")</f>
        <v>8</v>
      </c>
      <c r="C18" s="29">
        <f>IFERROR(IF(SUMIFS(tblDaily[Discharges],tblDaily[EntryDate],DATE(2026,1,12),tblDaily[WardCode],"BG")=0,"",SUMIFS(tblDaily[Discharges],tblDaily[EntryDate],DATE(2026,1,12),tblDaily[WardCode],"BG")),"")</f>
        <v>4</v>
      </c>
      <c r="D18" s="29" t="str">
        <f>IFERROR(IF(SUMIFS(tblDaily[Deaths],tblDaily[EntryDate],DATE(2026,1,12),tblDaily[WardCode],"BG")=0,"",SUMIFS(tblDaily[Deaths],tblDaily[EntryDate],DATE(2026,1,12),tblDaily[WardCode],"BG")),"")</f>
        <v/>
      </c>
      <c r="E18" s="29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29">
        <f>IFERROR(IF(SUMIFS(tblDaily[TransfersIn],tblDaily[EntryDate],DATE(2026,1,12),tblDaily[WardCode],"BG")=0,"",SUMIFS(tblDaily[TransfersIn],tblDaily[EntryDate],DATE(2026,1,12),tblDaily[WardCode],"BG")),"")</f>
        <v>2</v>
      </c>
      <c r="G18" s="29">
        <f>IFERROR(IF(SUMIFS(tblDaily[TransfersOut],tblDaily[EntryDate],DATE(2026,1,12),tblDaily[WardCode],"BG")=0,"",SUMIFS(tblDaily[TransfersOut],tblDaily[EntryDate],DATE(2026,1,12),tblDaily[WardCode],"BG")),"")</f>
        <v>3</v>
      </c>
      <c r="H18" s="29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29">
        <v>13</v>
      </c>
      <c r="B19" s="29">
        <f>IFERROR(IF(SUMIFS(tblDaily[Admissions],tblDaily[EntryDate],DATE(2026,1,13),tblDaily[WardCode],"BG")=0,"",SUMIFS(tblDaily[Admissions],tblDaily[EntryDate],DATE(2026,1,13),tblDaily[WardCode],"BG")),"")</f>
        <v>5</v>
      </c>
      <c r="C19" s="29">
        <f>IFERROR(IF(SUMIFS(tblDaily[Discharges],tblDaily[EntryDate],DATE(2026,1,13),tblDaily[WardCode],"BG")=0,"",SUMIFS(tblDaily[Discharges],tblDaily[EntryDate],DATE(2026,1,13),tblDaily[WardCode],"BG")),"")</f>
        <v>6</v>
      </c>
      <c r="D19" s="29" t="str">
        <f>IFERROR(IF(SUMIFS(tblDaily[Deaths],tblDaily[EntryDate],DATE(2026,1,13),tblDaily[WardCode],"BG")=0,"",SUMIFS(tblDaily[Deaths],tblDaily[EntryDate],DATE(2026,1,13),tblDaily[WardCode],"BG")),"")</f>
        <v/>
      </c>
      <c r="E19" s="29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29">
        <f>IFERROR(IF(SUMIFS(tblDaily[TransfersIn],tblDaily[EntryDate],DATE(2026,1,13),tblDaily[WardCode],"BG")=0,"",SUMIFS(tblDaily[TransfersIn],tblDaily[EntryDate],DATE(2026,1,13),tblDaily[WardCode],"BG")),"")</f>
        <v>2</v>
      </c>
      <c r="G19" s="29" t="str">
        <f>IFERROR(IF(SUMIFS(tblDaily[TransfersOut],tblDaily[EntryDate],DATE(2026,1,13),tblDaily[WardCode],"BG")=0,"",SUMIFS(tblDaily[TransfersOut],tblDaily[EntryDate],DATE(2026,1,13),tblDaily[WardCode],"BG")),"")</f>
        <v/>
      </c>
      <c r="H19" s="29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29">
        <v>14</v>
      </c>
      <c r="B20" s="29">
        <f>IFERROR(IF(SUMIFS(tblDaily[Admissions],tblDaily[EntryDate],DATE(2026,1,14),tblDaily[WardCode],"BG")=0,"",SUMIFS(tblDaily[Admissions],tblDaily[EntryDate],DATE(2026,1,14),tblDaily[WardCode],"BG")),"")</f>
        <v>5</v>
      </c>
      <c r="C20" s="29">
        <f>IFERROR(IF(SUMIFS(tblDaily[Discharges],tblDaily[EntryDate],DATE(2026,1,14),tblDaily[WardCode],"BG")=0,"",SUMIFS(tblDaily[Discharges],tblDaily[EntryDate],DATE(2026,1,14),tblDaily[WardCode],"BG")),"")</f>
        <v>3</v>
      </c>
      <c r="D20" s="29" t="str">
        <f>IFERROR(IF(SUMIFS(tblDaily[Deaths],tblDaily[EntryDate],DATE(2026,1,14),tblDaily[WardCode],"BG")=0,"",SUMIFS(tblDaily[Deaths],tblDaily[EntryDate],DATE(2026,1,14),tblDaily[WardCode],"BG")),"")</f>
        <v/>
      </c>
      <c r="E20" s="29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29">
        <f>IFERROR(IF(SUMIFS(tblDaily[TransfersIn],tblDaily[EntryDate],DATE(2026,1,14),tblDaily[WardCode],"BG")=0,"",SUMIFS(tblDaily[TransfersIn],tblDaily[EntryDate],DATE(2026,1,14),tblDaily[WardCode],"BG")),"")</f>
        <v>1</v>
      </c>
      <c r="G20" s="29">
        <f>IFERROR(IF(SUMIFS(tblDaily[TransfersOut],tblDaily[EntryDate],DATE(2026,1,14),tblDaily[WardCode],"BG")=0,"",SUMIFS(tblDaily[TransfersOut],tblDaily[EntryDate],DATE(2026,1,14),tblDaily[WardCode],"BG")),"")</f>
        <v>2</v>
      </c>
      <c r="H20" s="29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29">
        <v>15</v>
      </c>
      <c r="B21" s="29">
        <f>IFERROR(IF(SUMIFS(tblDaily[Admissions],tblDaily[EntryDate],DATE(2026,1,15),tblDaily[WardCode],"BG")=0,"",SUMIFS(tblDaily[Admissions],tblDaily[EntryDate],DATE(2026,1,15),tblDaily[WardCode],"BG")),"")</f>
        <v>4</v>
      </c>
      <c r="C21" s="29">
        <f>IFERROR(IF(SUMIFS(tblDaily[Discharges],tblDaily[EntryDate],DATE(2026,1,15),tblDaily[WardCode],"BG")=0,"",SUMIFS(tblDaily[Discharges],tblDaily[EntryDate],DATE(2026,1,15),tblDaily[WardCode],"BG")),"")</f>
        <v>11</v>
      </c>
      <c r="D21" s="29" t="str">
        <f>IFERROR(IF(SUMIFS(tblDaily[Deaths],tblDaily[EntryDate],DATE(2026,1,15),tblDaily[WardCode],"BG")=0,"",SUMIFS(tblDaily[Deaths],tblDaily[EntryDate],DATE(2026,1,15),tblDaily[WardCode],"BG")),"")</f>
        <v/>
      </c>
      <c r="E21" s="29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29" t="str">
        <f>IFERROR(IF(SUMIFS(tblDaily[TransfersIn],tblDaily[EntryDate],DATE(2026,1,15),tblDaily[WardCode],"BG")=0,"",SUMIFS(tblDaily[TransfersIn],tblDaily[EntryDate],DATE(2026,1,15),tblDaily[WardCode],"BG")),"")</f>
        <v/>
      </c>
      <c r="G21" s="29">
        <f>IFERROR(IF(SUMIFS(tblDaily[TransfersOut],tblDaily[EntryDate],DATE(2026,1,15),tblDaily[WardCode],"BG")=0,"",SUMIFS(tblDaily[TransfersOut],tblDaily[EntryDate],DATE(2026,1,15),tblDaily[WardCode],"BG")),"")</f>
        <v>1</v>
      </c>
      <c r="H21" s="29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29">
        <v>16</v>
      </c>
      <c r="B22" s="29">
        <f>IFERROR(IF(SUMIFS(tblDaily[Admissions],tblDaily[EntryDate],DATE(2026,1,16),tblDaily[WardCode],"BG")=0,"",SUMIFS(tblDaily[Admissions],tblDaily[EntryDate],DATE(2026,1,16),tblDaily[WardCode],"BG")),"")</f>
        <v>2</v>
      </c>
      <c r="C22" s="29">
        <f>IFERROR(IF(SUMIFS(tblDaily[Discharges],tblDaily[EntryDate],DATE(2026,1,16),tblDaily[WardCode],"BG")=0,"",SUMIFS(tblDaily[Discharges],tblDaily[EntryDate],DATE(2026,1,16),tblDaily[WardCode],"BG")),"")</f>
        <v>1</v>
      </c>
      <c r="D22" s="29" t="str">
        <f>IFERROR(IF(SUMIFS(tblDaily[Deaths],tblDaily[EntryDate],DATE(2026,1,16),tblDaily[WardCode],"BG")=0,"",SUMIFS(tblDaily[Deaths],tblDaily[EntryDate],DATE(2026,1,16),tblDaily[WardCode],"BG")),"")</f>
        <v/>
      </c>
      <c r="E22" s="29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29" t="str">
        <f>IFERROR(IF(SUMIFS(tblDaily[TransfersIn],tblDaily[EntryDate],DATE(2026,1,16),tblDaily[WardCode],"BG")=0,"",SUMIFS(tblDaily[TransfersIn],tblDaily[EntryDate],DATE(2026,1,16),tblDaily[WardCode],"BG")),"")</f>
        <v/>
      </c>
      <c r="G22" s="29" t="str">
        <f>IFERROR(IF(SUMIFS(tblDaily[TransfersOut],tblDaily[EntryDate],DATE(2026,1,16),tblDaily[WardCode],"BG")=0,"",SUMIFS(tblDaily[TransfersOut],tblDaily[EntryDate],DATE(2026,1,16),tblDaily[WardCode],"BG")),"")</f>
        <v/>
      </c>
      <c r="H22" s="29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29">
        <v>17</v>
      </c>
      <c r="B23" s="29">
        <f>IFERROR(IF(SUMIFS(tblDaily[Admissions],tblDaily[EntryDate],DATE(2026,1,17),tblDaily[WardCode],"BG")=0,"",SUMIFS(tblDaily[Admissions],tblDaily[EntryDate],DATE(2026,1,17),tblDaily[WardCode],"BG")),"")</f>
        <v>4</v>
      </c>
      <c r="C23" s="29">
        <f>IFERROR(IF(SUMIFS(tblDaily[Discharges],tblDaily[EntryDate],DATE(2026,1,17),tblDaily[WardCode],"BG")=0,"",SUMIFS(tblDaily[Discharges],tblDaily[EntryDate],DATE(2026,1,17),tblDaily[WardCode],"BG")),"")</f>
        <v>2</v>
      </c>
      <c r="D23" s="29" t="str">
        <f>IFERROR(IF(SUMIFS(tblDaily[Deaths],tblDaily[EntryDate],DATE(2026,1,17),tblDaily[WardCode],"BG")=0,"",SUMIFS(tblDaily[Deaths],tblDaily[EntryDate],DATE(2026,1,17),tblDaily[WardCode],"BG")),"")</f>
        <v/>
      </c>
      <c r="E23" s="29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29" t="str">
        <f>IFERROR(IF(SUMIFS(tblDaily[TransfersIn],tblDaily[EntryDate],DATE(2026,1,17),tblDaily[WardCode],"BG")=0,"",SUMIFS(tblDaily[TransfersIn],tblDaily[EntryDate],DATE(2026,1,17),tblDaily[WardCode],"BG")),"")</f>
        <v/>
      </c>
      <c r="G23" s="29">
        <f>IFERROR(IF(SUMIFS(tblDaily[TransfersOut],tblDaily[EntryDate],DATE(2026,1,17),tblDaily[WardCode],"BG")=0,"",SUMIFS(tblDaily[TransfersOut],tblDaily[EntryDate],DATE(2026,1,17),tblDaily[WardCode],"BG")),"")</f>
        <v>1</v>
      </c>
      <c r="H23" s="29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29">
        <v>18</v>
      </c>
      <c r="B24" s="29">
        <f>IFERROR(IF(SUMIFS(tblDaily[Admissions],tblDaily[EntryDate],DATE(2026,1,18),tblDaily[WardCode],"BG")=0,"",SUMIFS(tblDaily[Admissions],tblDaily[EntryDate],DATE(2026,1,18),tblDaily[WardCode],"BG")),"")</f>
        <v>1</v>
      </c>
      <c r="C24" s="29">
        <f>IFERROR(IF(SUMIFS(tblDaily[Discharges],tblDaily[EntryDate],DATE(2026,1,18),tblDaily[WardCode],"BG")=0,"",SUMIFS(tblDaily[Discharges],tblDaily[EntryDate],DATE(2026,1,18),tblDaily[WardCode],"BG")),"")</f>
        <v>3</v>
      </c>
      <c r="D24" s="29" t="str">
        <f>IFERROR(IF(SUMIFS(tblDaily[Deaths],tblDaily[EntryDate],DATE(2026,1,18),tblDaily[WardCode],"BG")=0,"",SUMIFS(tblDaily[Deaths],tblDaily[EntryDate],DATE(2026,1,18),tblDaily[WardCode],"BG")),"")</f>
        <v/>
      </c>
      <c r="E24" s="29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29">
        <f>IFERROR(IF(SUMIFS(tblDaily[TransfersIn],tblDaily[EntryDate],DATE(2026,1,18),tblDaily[WardCode],"BG")=0,"",SUMIFS(tblDaily[TransfersIn],tblDaily[EntryDate],DATE(2026,1,18),tblDaily[WardCode],"BG")),"")</f>
        <v>1</v>
      </c>
      <c r="G24" s="29" t="str">
        <f>IFERROR(IF(SUMIFS(tblDaily[TransfersOut],tblDaily[EntryDate],DATE(2026,1,18),tblDaily[WardCode],"BG")=0,"",SUMIFS(tblDaily[TransfersOut],tblDaily[EntryDate],DATE(2026,1,18),tblDaily[WardCode],"BG")),"")</f>
        <v/>
      </c>
      <c r="H24" s="29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29">
        <v>19</v>
      </c>
      <c r="B25" s="29">
        <f>IFERROR(IF(SUMIFS(tblDaily[Admissions],tblDaily[EntryDate],DATE(2026,1,19),tblDaily[WardCode],"BG")=0,"",SUMIFS(tblDaily[Admissions],tblDaily[EntryDate],DATE(2026,1,19),tblDaily[WardCode],"BG")),"")</f>
        <v>4</v>
      </c>
      <c r="C25" s="29">
        <f>IFERROR(IF(SUMIFS(tblDaily[Discharges],tblDaily[EntryDate],DATE(2026,1,19),tblDaily[WardCode],"BG")=0,"",SUMIFS(tblDaily[Discharges],tblDaily[EntryDate],DATE(2026,1,19),tblDaily[WardCode],"BG")),"")</f>
        <v>1</v>
      </c>
      <c r="D25" s="29" t="str">
        <f>IFERROR(IF(SUMIFS(tblDaily[Deaths],tblDaily[EntryDate],DATE(2026,1,19),tblDaily[WardCode],"BG")=0,"",SUMIFS(tblDaily[Deaths],tblDaily[EntryDate],DATE(2026,1,19),tblDaily[WardCode],"BG")),"")</f>
        <v/>
      </c>
      <c r="E25" s="29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29" t="str">
        <f>IFERROR(IF(SUMIFS(tblDaily[TransfersIn],tblDaily[EntryDate],DATE(2026,1,19),tblDaily[WardCode],"BG")=0,"",SUMIFS(tblDaily[TransfersIn],tblDaily[EntryDate],DATE(2026,1,19),tblDaily[WardCode],"BG")),"")</f>
        <v/>
      </c>
      <c r="G25" s="29" t="str">
        <f>IFERROR(IF(SUMIFS(tblDaily[TransfersOut],tblDaily[EntryDate],DATE(2026,1,19),tblDaily[WardCode],"BG")=0,"",SUMIFS(tblDaily[TransfersOut],tblDaily[EntryDate],DATE(2026,1,19),tblDaily[WardCode],"BG")),"")</f>
        <v/>
      </c>
      <c r="H25" s="29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29">
        <v>20</v>
      </c>
      <c r="B26" s="29">
        <f>IFERROR(IF(SUMIFS(tblDaily[Admissions],tblDaily[EntryDate],DATE(2026,1,20),tblDaily[WardCode],"BG")=0,"",SUMIFS(tblDaily[Admissions],tblDaily[EntryDate],DATE(2026,1,20),tblDaily[WardCode],"BG")),"")</f>
        <v>4</v>
      </c>
      <c r="C26" s="29">
        <f>IFERROR(IF(SUMIFS(tblDaily[Discharges],tblDaily[EntryDate],DATE(2026,1,20),tblDaily[WardCode],"BG")=0,"",SUMIFS(tblDaily[Discharges],tblDaily[EntryDate],DATE(2026,1,20),tblDaily[WardCode],"BG")),"")</f>
        <v>2</v>
      </c>
      <c r="D26" s="29" t="str">
        <f>IFERROR(IF(SUMIFS(tblDaily[Deaths],tblDaily[EntryDate],DATE(2026,1,20),tblDaily[WardCode],"BG")=0,"",SUMIFS(tblDaily[Deaths],tblDaily[EntryDate],DATE(2026,1,20),tblDaily[WardCode],"BG")),"")</f>
        <v/>
      </c>
      <c r="E26" s="29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29">
        <f>IFERROR(IF(SUMIFS(tblDaily[TransfersIn],tblDaily[EntryDate],DATE(2026,1,20),tblDaily[WardCode],"BG")=0,"",SUMIFS(tblDaily[TransfersIn],tblDaily[EntryDate],DATE(2026,1,20),tblDaily[WardCode],"BG")),"")</f>
        <v>1</v>
      </c>
      <c r="G26" s="29" t="str">
        <f>IFERROR(IF(SUMIFS(tblDaily[TransfersOut],tblDaily[EntryDate],DATE(2026,1,20),tblDaily[WardCode],"BG")=0,"",SUMIFS(tblDaily[TransfersOut],tblDaily[EntryDate],DATE(2026,1,20),tblDaily[WardCode],"BG")),"")</f>
        <v/>
      </c>
      <c r="H26" s="29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29">
        <v>21</v>
      </c>
      <c r="B27" s="29">
        <f>IFERROR(IF(SUMIFS(tblDaily[Admissions],tblDaily[EntryDate],DATE(2026,1,21),tblDaily[WardCode],"BG")=0,"",SUMIFS(tblDaily[Admissions],tblDaily[EntryDate],DATE(2026,1,21),tblDaily[WardCode],"BG")),"")</f>
        <v>2</v>
      </c>
      <c r="C27" s="29">
        <f>IFERROR(IF(SUMIFS(tblDaily[Discharges],tblDaily[EntryDate],DATE(2026,1,21),tblDaily[WardCode],"BG")=0,"",SUMIFS(tblDaily[Discharges],tblDaily[EntryDate],DATE(2026,1,21),tblDaily[WardCode],"BG")),"")</f>
        <v>6</v>
      </c>
      <c r="D27" s="29" t="str">
        <f>IFERROR(IF(SUMIFS(tblDaily[Deaths],tblDaily[EntryDate],DATE(2026,1,21),tblDaily[WardCode],"BG")=0,"",SUMIFS(tblDaily[Deaths],tblDaily[EntryDate],DATE(2026,1,21),tblDaily[WardCode],"BG")),"")</f>
        <v/>
      </c>
      <c r="E27" s="29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29">
        <f>IFERROR(IF(SUMIFS(tblDaily[TransfersIn],tblDaily[EntryDate],DATE(2026,1,21),tblDaily[WardCode],"BG")=0,"",SUMIFS(tblDaily[TransfersIn],tblDaily[EntryDate],DATE(2026,1,21),tblDaily[WardCode],"BG")),"")</f>
        <v>1</v>
      </c>
      <c r="G27" s="29" t="str">
        <f>IFERROR(IF(SUMIFS(tblDaily[TransfersOut],tblDaily[EntryDate],DATE(2026,1,21),tblDaily[WardCode],"BG")=0,"",SUMIFS(tblDaily[TransfersOut],tblDaily[EntryDate],DATE(2026,1,21),tblDaily[WardCode],"BG")),"")</f>
        <v/>
      </c>
      <c r="H27" s="29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29">
        <v>22</v>
      </c>
      <c r="B28" s="29">
        <f>IFERROR(IF(SUMIFS(tblDaily[Admissions],tblDaily[EntryDate],DATE(2026,1,22),tblDaily[WardCode],"BG")=0,"",SUMIFS(tblDaily[Admissions],tblDaily[EntryDate],DATE(2026,1,22),tblDaily[WardCode],"BG")),"")</f>
        <v>6</v>
      </c>
      <c r="C28" s="29">
        <f>IFERROR(IF(SUMIFS(tblDaily[Discharges],tblDaily[EntryDate],DATE(2026,1,22),tblDaily[WardCode],"BG")=0,"",SUMIFS(tblDaily[Discharges],tblDaily[EntryDate],DATE(2026,1,22),tblDaily[WardCode],"BG")),"")</f>
        <v>3</v>
      </c>
      <c r="D28" s="29" t="str">
        <f>IFERROR(IF(SUMIFS(tblDaily[Deaths],tblDaily[EntryDate],DATE(2026,1,22),tblDaily[WardCode],"BG")=0,"",SUMIFS(tblDaily[Deaths],tblDaily[EntryDate],DATE(2026,1,22),tblDaily[WardCode],"BG")),"")</f>
        <v/>
      </c>
      <c r="E28" s="29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29" t="str">
        <f>IFERROR(IF(SUMIFS(tblDaily[TransfersIn],tblDaily[EntryDate],DATE(2026,1,22),tblDaily[WardCode],"BG")=0,"",SUMIFS(tblDaily[TransfersIn],tblDaily[EntryDate],DATE(2026,1,22),tblDaily[WardCode],"BG")),"")</f>
        <v/>
      </c>
      <c r="G28" s="29">
        <f>IFERROR(IF(SUMIFS(tblDaily[TransfersOut],tblDaily[EntryDate],DATE(2026,1,22),tblDaily[WardCode],"BG")=0,"",SUMIFS(tblDaily[TransfersOut],tblDaily[EntryDate],DATE(2026,1,22),tblDaily[WardCode],"BG")),"")</f>
        <v>3</v>
      </c>
      <c r="H28" s="29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29">
        <v>23</v>
      </c>
      <c r="B29" s="29">
        <f>IFERROR(IF(SUMIFS(tblDaily[Admissions],tblDaily[EntryDate],DATE(2026,1,23),tblDaily[WardCode],"BG")=0,"",SUMIFS(tblDaily[Admissions],tblDaily[EntryDate],DATE(2026,1,23),tblDaily[WardCode],"BG")),"")</f>
        <v>4</v>
      </c>
      <c r="C29" s="29">
        <f>IFERROR(IF(SUMIFS(tblDaily[Discharges],tblDaily[EntryDate],DATE(2026,1,23),tblDaily[WardCode],"BG")=0,"",SUMIFS(tblDaily[Discharges],tblDaily[EntryDate],DATE(2026,1,23),tblDaily[WardCode],"BG")),"")</f>
        <v>7</v>
      </c>
      <c r="D29" s="29" t="str">
        <f>IFERROR(IF(SUMIFS(tblDaily[Deaths],tblDaily[EntryDate],DATE(2026,1,23),tblDaily[WardCode],"BG")=0,"",SUMIFS(tblDaily[Deaths],tblDaily[EntryDate],DATE(2026,1,23),tblDaily[WardCode],"BG")),"")</f>
        <v/>
      </c>
      <c r="E29" s="29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29" t="str">
        <f>IFERROR(IF(SUMIFS(tblDaily[TransfersIn],tblDaily[EntryDate],DATE(2026,1,23),tblDaily[WardCode],"BG")=0,"",SUMIFS(tblDaily[TransfersIn],tblDaily[EntryDate],DATE(2026,1,23),tblDaily[WardCode],"BG")),"")</f>
        <v/>
      </c>
      <c r="G29" s="29">
        <f>IFERROR(IF(SUMIFS(tblDaily[TransfersOut],tblDaily[EntryDate],DATE(2026,1,23),tblDaily[WardCode],"BG")=0,"",SUMIFS(tblDaily[TransfersOut],tblDaily[EntryDate],DATE(2026,1,23),tblDaily[WardCode],"BG")),"")</f>
        <v>1</v>
      </c>
      <c r="H29" s="29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29">
        <v>24</v>
      </c>
      <c r="B30" s="29" t="str">
        <f>IFERROR(IF(SUMIFS(tblDaily[Admissions],tblDaily[EntryDate],DATE(2026,1,24),tblDaily[WardCode],"BG")=0,"",SUMIFS(tblDaily[Admissions],tblDaily[EntryDate],DATE(2026,1,24),tblDaily[WardCode],"BG")),"")</f>
        <v/>
      </c>
      <c r="C30" s="29">
        <f>IFERROR(IF(SUMIFS(tblDaily[Discharges],tblDaily[EntryDate],DATE(2026,1,24),tblDaily[WardCode],"BG")=0,"",SUMIFS(tblDaily[Discharges],tblDaily[EntryDate],DATE(2026,1,24),tblDaily[WardCode],"BG")),"")</f>
        <v>1</v>
      </c>
      <c r="D30" s="29" t="str">
        <f>IFERROR(IF(SUMIFS(tblDaily[Deaths],tblDaily[EntryDate],DATE(2026,1,24),tblDaily[WardCode],"BG")=0,"",SUMIFS(tblDaily[Deaths],tblDaily[EntryDate],DATE(2026,1,24),tblDaily[WardCode],"BG")),"")</f>
        <v/>
      </c>
      <c r="E30" s="29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29" t="str">
        <f>IFERROR(IF(SUMIFS(tblDaily[TransfersIn],tblDaily[EntryDate],DATE(2026,1,24),tblDaily[WardCode],"BG")=0,"",SUMIFS(tblDaily[TransfersIn],tblDaily[EntryDate],DATE(2026,1,24),tblDaily[WardCode],"BG")),"")</f>
        <v/>
      </c>
      <c r="G30" s="29">
        <f>IFERROR(IF(SUMIFS(tblDaily[TransfersOut],tblDaily[EntryDate],DATE(2026,1,24),tblDaily[WardCode],"BG")=0,"",SUMIFS(tblDaily[TransfersOut],tblDaily[EntryDate],DATE(2026,1,24),tblDaily[WardCode],"BG")),"")</f>
        <v>1</v>
      </c>
      <c r="H30" s="29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29">
        <v>25</v>
      </c>
      <c r="B31" s="29">
        <f>IFERROR(IF(SUMIFS(tblDaily[Admissions],tblDaily[EntryDate],DATE(2026,1,25),tblDaily[WardCode],"BG")=0,"",SUMIFS(tblDaily[Admissions],tblDaily[EntryDate],DATE(2026,1,25),tblDaily[WardCode],"BG")),"")</f>
        <v>2</v>
      </c>
      <c r="C31" s="29">
        <f>IFERROR(IF(SUMIFS(tblDaily[Discharges],tblDaily[EntryDate],DATE(2026,1,25),tblDaily[WardCode],"BG")=0,"",SUMIFS(tblDaily[Discharges],tblDaily[EntryDate],DATE(2026,1,25),tblDaily[WardCode],"BG")),"")</f>
        <v>1</v>
      </c>
      <c r="D31" s="29" t="str">
        <f>IFERROR(IF(SUMIFS(tblDaily[Deaths],tblDaily[EntryDate],DATE(2026,1,25),tblDaily[WardCode],"BG")=0,"",SUMIFS(tblDaily[Deaths],tblDaily[EntryDate],DATE(2026,1,25),tblDaily[WardCode],"BG")),"")</f>
        <v/>
      </c>
      <c r="E31" s="29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29">
        <f>IFERROR(IF(SUMIFS(tblDaily[TransfersIn],tblDaily[EntryDate],DATE(2026,1,25),tblDaily[WardCode],"BG")=0,"",SUMIFS(tblDaily[TransfersIn],tblDaily[EntryDate],DATE(2026,1,25),tblDaily[WardCode],"BG")),"")</f>
        <v>2</v>
      </c>
      <c r="G31" s="29" t="str">
        <f>IFERROR(IF(SUMIFS(tblDaily[TransfersOut],tblDaily[EntryDate],DATE(2026,1,25),tblDaily[WardCode],"BG")=0,"",SUMIFS(tblDaily[TransfersOut],tblDaily[EntryDate],DATE(2026,1,25),tblDaily[WardCode],"BG")),"")</f>
        <v/>
      </c>
      <c r="H31" s="29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29">
        <v>26</v>
      </c>
      <c r="B32" s="29">
        <f>IFERROR(IF(SUMIFS(tblDaily[Admissions],tblDaily[EntryDate],DATE(2026,1,26),tblDaily[WardCode],"BG")=0,"",SUMIFS(tblDaily[Admissions],tblDaily[EntryDate],DATE(2026,1,26),tblDaily[WardCode],"BG")),"")</f>
        <v>1</v>
      </c>
      <c r="C32" s="29">
        <f>IFERROR(IF(SUMIFS(tblDaily[Discharges],tblDaily[EntryDate],DATE(2026,1,26),tblDaily[WardCode],"BG")=0,"",SUMIFS(tblDaily[Discharges],tblDaily[EntryDate],DATE(2026,1,26),tblDaily[WardCode],"BG")),"")</f>
        <v>3</v>
      </c>
      <c r="D32" s="29" t="str">
        <f>IFERROR(IF(SUMIFS(tblDaily[Deaths],tblDaily[EntryDate],DATE(2026,1,26),tblDaily[WardCode],"BG")=0,"",SUMIFS(tblDaily[Deaths],tblDaily[EntryDate],DATE(2026,1,26),tblDaily[WardCode],"BG")),"")</f>
        <v/>
      </c>
      <c r="E32" s="29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29" t="str">
        <f>IFERROR(IF(SUMIFS(tblDaily[TransfersIn],tblDaily[EntryDate],DATE(2026,1,26),tblDaily[WardCode],"BG")=0,"",SUMIFS(tblDaily[TransfersIn],tblDaily[EntryDate],DATE(2026,1,26),tblDaily[WardCode],"BG")),"")</f>
        <v/>
      </c>
      <c r="G32" s="29" t="str">
        <f>IFERROR(IF(SUMIFS(tblDaily[TransfersOut],tblDaily[EntryDate],DATE(2026,1,26),tblDaily[WardCode],"BG")=0,"",SUMIFS(tblDaily[TransfersOut],tblDaily[EntryDate],DATE(2026,1,26),tblDaily[WardCode],"BG")),"")</f>
        <v/>
      </c>
      <c r="H32" s="29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29">
        <v>27</v>
      </c>
      <c r="B33" s="29">
        <f>IFERROR(IF(SUMIFS(tblDaily[Admissions],tblDaily[EntryDate],DATE(2026,1,27),tblDaily[WardCode],"BG")=0,"",SUMIFS(tblDaily[Admissions],tblDaily[EntryDate],DATE(2026,1,27),tblDaily[WardCode],"BG")),"")</f>
        <v>5</v>
      </c>
      <c r="C33" s="29">
        <f>IFERROR(IF(SUMIFS(tblDaily[Discharges],tblDaily[EntryDate],DATE(2026,1,27),tblDaily[WardCode],"BG")=0,"",SUMIFS(tblDaily[Discharges],tblDaily[EntryDate],DATE(2026,1,27),tblDaily[WardCode],"BG")),"")</f>
        <v>5</v>
      </c>
      <c r="D33" s="29" t="str">
        <f>IFERROR(IF(SUMIFS(tblDaily[Deaths],tblDaily[EntryDate],DATE(2026,1,27),tblDaily[WardCode],"BG")=0,"",SUMIFS(tblDaily[Deaths],tblDaily[EntryDate],DATE(2026,1,27),tblDaily[WardCode],"BG")),"")</f>
        <v/>
      </c>
      <c r="E33" s="29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29">
        <f>IFERROR(IF(SUMIFS(tblDaily[TransfersIn],tblDaily[EntryDate],DATE(2026,1,27),tblDaily[WardCode],"BG")=0,"",SUMIFS(tblDaily[TransfersIn],tblDaily[EntryDate],DATE(2026,1,27),tblDaily[WardCode],"BG")),"")</f>
        <v>1</v>
      </c>
      <c r="G33" s="29">
        <f>IFERROR(IF(SUMIFS(tblDaily[TransfersOut],tblDaily[EntryDate],DATE(2026,1,27),tblDaily[WardCode],"BG")=0,"",SUMIFS(tblDaily[TransfersOut],tblDaily[EntryDate],DATE(2026,1,27),tblDaily[WardCode],"BG")),"")</f>
        <v>1</v>
      </c>
      <c r="H33" s="29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29">
        <v>28</v>
      </c>
      <c r="B34" s="29">
        <f>IFERROR(IF(SUMIFS(tblDaily[Admissions],tblDaily[EntryDate],DATE(2026,1,28),tblDaily[WardCode],"BG")=0,"",SUMIFS(tblDaily[Admissions],tblDaily[EntryDate],DATE(2026,1,28),tblDaily[WardCode],"BG")),"")</f>
        <v>5</v>
      </c>
      <c r="C34" s="29">
        <f>IFERROR(IF(SUMIFS(tblDaily[Discharges],tblDaily[EntryDate],DATE(2026,1,28),tblDaily[WardCode],"BG")=0,"",SUMIFS(tblDaily[Discharges],tblDaily[EntryDate],DATE(2026,1,28),tblDaily[WardCode],"BG")),"")</f>
        <v>2</v>
      </c>
      <c r="D34" s="29" t="str">
        <f>IFERROR(IF(SUMIFS(tblDaily[Deaths],tblDaily[EntryDate],DATE(2026,1,28),tblDaily[WardCode],"BG")=0,"",SUMIFS(tblDaily[Deaths],tblDaily[EntryDate],DATE(2026,1,28),tblDaily[WardCode],"BG")),"")</f>
        <v/>
      </c>
      <c r="E34" s="29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29" t="str">
        <f>IFERROR(IF(SUMIFS(tblDaily[TransfersIn],tblDaily[EntryDate],DATE(2026,1,28),tblDaily[WardCode],"BG")=0,"",SUMIFS(tblDaily[TransfersIn],tblDaily[EntryDate],DATE(2026,1,28),tblDaily[WardCode],"BG")),"")</f>
        <v/>
      </c>
      <c r="G34" s="29">
        <f>IFERROR(IF(SUMIFS(tblDaily[TransfersOut],tblDaily[EntryDate],DATE(2026,1,28),tblDaily[WardCode],"BG")=0,"",SUMIFS(tblDaily[TransfersOut],tblDaily[EntryDate],DATE(2026,1,28),tblDaily[WardCode],"BG")),"")</f>
        <v>2</v>
      </c>
      <c r="H34" s="29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29">
        <v>29</v>
      </c>
      <c r="B35" s="29">
        <f>IFERROR(IF(SUMIFS(tblDaily[Admissions],tblDaily[EntryDate],DATE(2026,1,29),tblDaily[WardCode],"BG")=0,"",SUMIFS(tblDaily[Admissions],tblDaily[EntryDate],DATE(2026,1,29),tblDaily[WardCode],"BG")),"")</f>
        <v>4</v>
      </c>
      <c r="C35" s="29">
        <f>IFERROR(IF(SUMIFS(tblDaily[Discharges],tblDaily[EntryDate],DATE(2026,1,29),tblDaily[WardCode],"BG")=0,"",SUMIFS(tblDaily[Discharges],tblDaily[EntryDate],DATE(2026,1,29),tblDaily[WardCode],"BG")),"")</f>
        <v>1</v>
      </c>
      <c r="D35" s="29" t="str">
        <f>IFERROR(IF(SUMIFS(tblDaily[Deaths],tblDaily[EntryDate],DATE(2026,1,29),tblDaily[WardCode],"BG")=0,"",SUMIFS(tblDaily[Deaths],tblDaily[EntryDate],DATE(2026,1,29),tblDaily[WardCode],"BG")),"")</f>
        <v/>
      </c>
      <c r="E35" s="29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29">
        <f>IFERROR(IF(SUMIFS(tblDaily[TransfersIn],tblDaily[EntryDate],DATE(2026,1,29),tblDaily[WardCode],"BG")=0,"",SUMIFS(tblDaily[TransfersIn],tblDaily[EntryDate],DATE(2026,1,29),tblDaily[WardCode],"BG")),"")</f>
        <v>1</v>
      </c>
      <c r="G35" s="29">
        <f>IFERROR(IF(SUMIFS(tblDaily[TransfersOut],tblDaily[EntryDate],DATE(2026,1,29),tblDaily[WardCode],"BG")=0,"",SUMIFS(tblDaily[TransfersOut],tblDaily[EntryDate],DATE(2026,1,29),tblDaily[WardCode],"BG")),"")</f>
        <v>2</v>
      </c>
      <c r="H35" s="29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29">
        <v>30</v>
      </c>
      <c r="B36" s="29">
        <f>IFERROR(IF(SUMIFS(tblDaily[Admissions],tblDaily[EntryDate],DATE(2026,1,30),tblDaily[WardCode],"BG")=0,"",SUMIFS(tblDaily[Admissions],tblDaily[EntryDate],DATE(2026,1,30),tblDaily[WardCode],"BG")),"")</f>
        <v>2</v>
      </c>
      <c r="C36" s="29">
        <f>IFERROR(IF(SUMIFS(tblDaily[Discharges],tblDaily[EntryDate],DATE(2026,1,30),tblDaily[WardCode],"BG")=0,"",SUMIFS(tblDaily[Discharges],tblDaily[EntryDate],DATE(2026,1,30),tblDaily[WardCode],"BG")),"")</f>
        <v>5</v>
      </c>
      <c r="D36" s="29" t="str">
        <f>IFERROR(IF(SUMIFS(tblDaily[Deaths],tblDaily[EntryDate],DATE(2026,1,30),tblDaily[WardCode],"BG")=0,"",SUMIFS(tblDaily[Deaths],tblDaily[EntryDate],DATE(2026,1,30),tblDaily[WardCode],"BG")),"")</f>
        <v/>
      </c>
      <c r="E36" s="29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29">
        <f>IFERROR(IF(SUMIFS(tblDaily[TransfersIn],tblDaily[EntryDate],DATE(2026,1,30),tblDaily[WardCode],"BG")=0,"",SUMIFS(tblDaily[TransfersIn],tblDaily[EntryDate],DATE(2026,1,30),tblDaily[WardCode],"BG")),"")</f>
        <v>1</v>
      </c>
      <c r="G36" s="29" t="str">
        <f>IFERROR(IF(SUMIFS(tblDaily[TransfersOut],tblDaily[EntryDate],DATE(2026,1,30),tblDaily[WardCode],"BG")=0,"",SUMIFS(tblDaily[TransfersOut],tblDaily[EntryDate],DATE(2026,1,30),tblDaily[WardCode],"BG")),"")</f>
        <v/>
      </c>
      <c r="H36" s="29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29">
        <v>31</v>
      </c>
      <c r="B37" s="29">
        <f>IFERROR(IF(SUMIFS(tblDaily[Admissions],tblDaily[EntryDate],DATE(2026,1,31),tblDaily[WardCode],"BG")=0,"",SUMIFS(tblDaily[Admissions],tblDaily[EntryDate],DATE(2026,1,31),tblDaily[WardCode],"BG")),"")</f>
        <v>5</v>
      </c>
      <c r="C37" s="29">
        <f>IFERROR(IF(SUMIFS(tblDaily[Discharges],tblDaily[EntryDate],DATE(2026,1,31),tblDaily[WardCode],"BG")=0,"",SUMIFS(tblDaily[Discharges],tblDaily[EntryDate],DATE(2026,1,31),tblDaily[WardCode],"BG")),"")</f>
        <v>3</v>
      </c>
      <c r="D37" s="29" t="str">
        <f>IFERROR(IF(SUMIFS(tblDaily[Deaths],tblDaily[EntryDate],DATE(2026,1,31),tblDaily[WardCode],"BG")=0,"",SUMIFS(tblDaily[Deaths],tblDaily[EntryDate],DATE(2026,1,31),tblDaily[WardCode],"BG")),"")</f>
        <v/>
      </c>
      <c r="E37" s="29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29">
        <f>IFERROR(IF(SUMIFS(tblDaily[TransfersIn],tblDaily[EntryDate],DATE(2026,1,31),tblDaily[WardCode],"BG")=0,"",SUMIFS(tblDaily[TransfersIn],tblDaily[EntryDate],DATE(2026,1,31),tblDaily[WardCode],"BG")),"")</f>
        <v>1</v>
      </c>
      <c r="G37" s="29" t="str">
        <f>IFERROR(IF(SUMIFS(tblDaily[TransfersOut],tblDaily[EntryDate],DATE(2026,1,31),tblDaily[WardCode],"BG")=0,"",SUMIFS(tblDaily[TransfersOut],tblDaily[EntryDate],DATE(2026,1,31),tblDaily[WardCode],"BG")),"")</f>
        <v/>
      </c>
      <c r="H37" s="29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30" t="s">
        <v>115</v>
      </c>
      <c r="B38" s="30">
        <f>SUMIFS(tblDaily[Admissions],tblDaily[Month],1,tblDaily[WardCode],"BG") - SUMIFS(tblDaily[DeathsUnder24Hrs],tblDaily[Month],1,tblDaily[WardCode],"BG")</f>
        <v>125</v>
      </c>
      <c r="C38" s="30">
        <f>SUMIFS(tblDaily[Discharges],tblDaily[Month],1,tblDaily[WardCode],"BG")</f>
        <v>122</v>
      </c>
      <c r="D38" s="30">
        <f>SUMIFS(tblDaily[Deaths],tblDaily[Month],1,tblDaily[WardCode],"BG")</f>
        <v>0</v>
      </c>
      <c r="E38" s="30">
        <f>SUMIFS(tblDaily[DeathsUnder24Hrs],tblDaily[Month],1,tblDaily[WardCode],"BG")</f>
        <v>0</v>
      </c>
      <c r="F38" s="30">
        <f>SUMIFS(tblDaily[TransfersIn],tblDaily[Month],1,tblDaily[WardCode],"BG")</f>
        <v>27</v>
      </c>
      <c r="G38" s="30">
        <f>SUMIFS(tblDaily[TransfersOut],tblDaily[Month],1,tblDaily[WardCode],"BG")</f>
        <v>27</v>
      </c>
      <c r="H38" s="30">
        <f>SUMIFS(tblDaily[Remaining],tblDaily[Month],1,tblDaily[WardCode],"BG")</f>
        <v>342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119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IFERROR(SUMIFS(tblDaily[Remaining],tblDaily[EntryDate],DATE(2026,1,31),tblDaily[WardCode],"BG"),0)</f>
        <v>12</v>
      </c>
    </row>
    <row r="44" spans="1:8" x14ac:dyDescent="0.25">
      <c r="A44" s="24" t="s">
        <v>109</v>
      </c>
      <c r="H44" s="27">
        <f>IFERROR(INDEX(tblWardConfig[BedComplement],MATCH("BG",tblWardConfig[WardCode],0)),0)</f>
        <v>14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>
        <f>IFERROR(IF(SUMIFS(tblDaily[Admissions],tblDaily[EntryDate],DATE(2026,2,1),tblDaily[WardCode],"BG")=0,"",SUMIFS(tblDaily[Admissions],tblDaily[EntryDate],DATE(2026,2,1),tblDaily[WardCode],"BG")),"")</f>
        <v>5</v>
      </c>
      <c r="C46" s="29">
        <f>IFERROR(IF(SUMIFS(tblDaily[Discharges],tblDaily[EntryDate],DATE(2026,2,1),tblDaily[WardCode],"BG")=0,"",SUMIFS(tblDaily[Discharges],tblDaily[EntryDate],DATE(2026,2,1),tblDaily[WardCode],"BG")),"")</f>
        <v>4</v>
      </c>
      <c r="D46" s="29" t="str">
        <f>IFERROR(IF(SUMIFS(tblDaily[Deaths],tblDaily[EntryDate],DATE(2026,2,1),tblDaily[WardCode],"BG")=0,"",SUMIFS(tblDaily[Deaths],tblDaily[EntryDate],DATE(2026,2,1),tblDaily[WardCode],"BG")),"")</f>
        <v/>
      </c>
      <c r="E46" s="29" t="str">
        <f>IFERROR(IF(SUMIFS(tblDaily[DeathsUnder24Hrs],tblDaily[EntryDate],DATE(2026,2,1),tblDaily[WardCode],"BG")=0,"",SUMIFS(tblDaily[DeathsUnder24Hrs],tblDaily[EntryDate],DATE(2026,2,1),tblDaily[WardCode],"BG")),"")</f>
        <v/>
      </c>
      <c r="F46" s="29" t="str">
        <f>IFERROR(IF(SUMIFS(tblDaily[TransfersIn],tblDaily[EntryDate],DATE(2026,2,1),tblDaily[WardCode],"BG")=0,"",SUMIFS(tblDaily[TransfersIn],tblDaily[EntryDate],DATE(2026,2,1),tblDaily[WardCode],"BG")),"")</f>
        <v/>
      </c>
      <c r="G46" s="29">
        <f>IFERROR(IF(SUMIFS(tblDaily[TransfersOut],tblDaily[EntryDate],DATE(2026,2,1),tblDaily[WardCode],"BG")=0,"",SUMIFS(tblDaily[TransfersOut],tblDaily[EntryDate],DATE(2026,2,1),tblDaily[WardCode],"BG")),"")</f>
        <v>1</v>
      </c>
      <c r="H46" s="29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29">
        <v>2</v>
      </c>
      <c r="B47" s="29">
        <f>IFERROR(IF(SUMIFS(tblDaily[Admissions],tblDaily[EntryDate],DATE(2026,2,2),tblDaily[WardCode],"BG")=0,"",SUMIFS(tblDaily[Admissions],tblDaily[EntryDate],DATE(2026,2,2),tblDaily[WardCode],"BG")),"")</f>
        <v>5</v>
      </c>
      <c r="C47" s="29">
        <f>IFERROR(IF(SUMIFS(tblDaily[Discharges],tblDaily[EntryDate],DATE(2026,2,2),tblDaily[WardCode],"BG")=0,"",SUMIFS(tblDaily[Discharges],tblDaily[EntryDate],DATE(2026,2,2),tblDaily[WardCode],"BG")),"")</f>
        <v>5</v>
      </c>
      <c r="D47" s="29" t="str">
        <f>IFERROR(IF(SUMIFS(tblDaily[Deaths],tblDaily[EntryDate],DATE(2026,2,2),tblDaily[WardCode],"BG")=0,"",SUMIFS(tblDaily[Deaths],tblDaily[EntryDate],DATE(2026,2,2),tblDaily[WardCode],"BG")),"")</f>
        <v/>
      </c>
      <c r="E47" s="29" t="str">
        <f>IFERROR(IF(SUMIFS(tblDaily[DeathsUnder24Hrs],tblDaily[EntryDate],DATE(2026,2,2),tblDaily[WardCode],"BG")=0,"",SUMIFS(tblDaily[DeathsUnder24Hrs],tblDaily[EntryDate],DATE(2026,2,2),tblDaily[WardCode],"BG")),"")</f>
        <v/>
      </c>
      <c r="F47" s="29" t="str">
        <f>IFERROR(IF(SUMIFS(tblDaily[TransfersIn],tblDaily[EntryDate],DATE(2026,2,2),tblDaily[WardCode],"BG")=0,"",SUMIFS(tblDaily[TransfersIn],tblDaily[EntryDate],DATE(2026,2,2),tblDaily[WardCode],"BG")),"")</f>
        <v/>
      </c>
      <c r="G47" s="29">
        <f>IFERROR(IF(SUMIFS(tblDaily[TransfersOut],tblDaily[EntryDate],DATE(2026,2,2),tblDaily[WardCode],"BG")=0,"",SUMIFS(tblDaily[TransfersOut],tblDaily[EntryDate],DATE(2026,2,2),tblDaily[WardCode],"BG")),"")</f>
        <v>1</v>
      </c>
      <c r="H47" s="29">
        <f>IFERROR(IF(SUMIFS(tblDaily[Remaining],tblDaily[EntryDate],DATE(2026,2,2),tblDaily[WardCode],"BG")=0,"",SUMIFS(tblDaily[Remaining],tblDaily[EntryDate],DATE(2026,2,2),tblDaily[WardCode],"BG")),"")</f>
        <v>11</v>
      </c>
    </row>
    <row r="48" spans="1:8" x14ac:dyDescent="0.25">
      <c r="A48" s="29">
        <v>3</v>
      </c>
      <c r="B48" s="29">
        <f>IFERROR(IF(SUMIFS(tblDaily[Admissions],tblDaily[EntryDate],DATE(2026,2,3),tblDaily[WardCode],"BG")=0,"",SUMIFS(tblDaily[Admissions],tblDaily[EntryDate],DATE(2026,2,3),tblDaily[WardCode],"BG")),"")</f>
        <v>8</v>
      </c>
      <c r="C48" s="29">
        <f>IFERROR(IF(SUMIFS(tblDaily[Discharges],tblDaily[EntryDate],DATE(2026,2,3),tblDaily[WardCode],"BG")=0,"",SUMIFS(tblDaily[Discharges],tblDaily[EntryDate],DATE(2026,2,3),tblDaily[WardCode],"BG")),"")</f>
        <v>3</v>
      </c>
      <c r="D48" s="29" t="str">
        <f>IFERROR(IF(SUMIFS(tblDaily[Deaths],tblDaily[EntryDate],DATE(2026,2,3),tblDaily[WardCode],"BG")=0,"",SUMIFS(tblDaily[Deaths],tblDaily[EntryDate],DATE(2026,2,3),tblDaily[WardCode],"BG")),"")</f>
        <v/>
      </c>
      <c r="E48" s="29" t="str">
        <f>IFERROR(IF(SUMIFS(tblDaily[DeathsUnder24Hrs],tblDaily[EntryDate],DATE(2026,2,3),tblDaily[WardCode],"BG")=0,"",SUMIFS(tblDaily[DeathsUnder24Hrs],tblDaily[EntryDate],DATE(2026,2,3),tblDaily[WardCode],"BG")),"")</f>
        <v/>
      </c>
      <c r="F48" s="29">
        <f>IFERROR(IF(SUMIFS(tblDaily[TransfersIn],tblDaily[EntryDate],DATE(2026,2,3),tblDaily[WardCode],"BG")=0,"",SUMIFS(tblDaily[TransfersIn],tblDaily[EntryDate],DATE(2026,2,3),tblDaily[WardCode],"BG")),"")</f>
        <v>2</v>
      </c>
      <c r="G48" s="29" t="str">
        <f>IFERROR(IF(SUMIFS(tblDaily[TransfersOut],tblDaily[EntryDate],DATE(2026,2,3),tblDaily[WardCode],"BG")=0,"",SUMIFS(tblDaily[TransfersOut],tblDaily[EntryDate],DATE(2026,2,3),tblDaily[WardCode],"BG")),"")</f>
        <v/>
      </c>
      <c r="H48" s="29">
        <f>IFERROR(IF(SUMIFS(tblDaily[Remaining],tblDaily[EntryDate],DATE(2026,2,3),tblDaily[WardCode],"BG")=0,"",SUMIFS(tblDaily[Remaining],tblDaily[EntryDate],DATE(2026,2,3),tblDaily[WardCode],"BG")),"")</f>
        <v>18</v>
      </c>
    </row>
    <row r="49" spans="1:8" x14ac:dyDescent="0.25">
      <c r="A49" s="29">
        <v>4</v>
      </c>
      <c r="B49" s="29">
        <f>IFERROR(IF(SUMIFS(tblDaily[Admissions],tblDaily[EntryDate],DATE(2026,2,4),tblDaily[WardCode],"BG")=0,"",SUMIFS(tblDaily[Admissions],tblDaily[EntryDate],DATE(2026,2,4),tblDaily[WardCode],"BG")),"")</f>
        <v>4</v>
      </c>
      <c r="C49" s="29">
        <f>IFERROR(IF(SUMIFS(tblDaily[Discharges],tblDaily[EntryDate],DATE(2026,2,4),tblDaily[WardCode],"BG")=0,"",SUMIFS(tblDaily[Discharges],tblDaily[EntryDate],DATE(2026,2,4),tblDaily[WardCode],"BG")),"")</f>
        <v>2</v>
      </c>
      <c r="D49" s="29" t="str">
        <f>IFERROR(IF(SUMIFS(tblDaily[Deaths],tblDaily[EntryDate],DATE(2026,2,4),tblDaily[WardCode],"BG")=0,"",SUMIFS(tblDaily[Deaths],tblDaily[EntryDate],DATE(2026,2,4),tblDaily[WardCode],"BG")),"")</f>
        <v/>
      </c>
      <c r="E49" s="29" t="str">
        <f>IFERROR(IF(SUMIFS(tblDaily[DeathsUnder24Hrs],tblDaily[EntryDate],DATE(2026,2,4),tblDaily[WardCode],"BG")=0,"",SUMIFS(tblDaily[DeathsUnder24Hrs],tblDaily[EntryDate],DATE(2026,2,4),tblDaily[WardCode],"BG")),"")</f>
        <v/>
      </c>
      <c r="F49" s="29">
        <f>IFERROR(IF(SUMIFS(tblDaily[TransfersIn],tblDaily[EntryDate],DATE(2026,2,4),tblDaily[WardCode],"BG")=0,"",SUMIFS(tblDaily[TransfersIn],tblDaily[EntryDate],DATE(2026,2,4),tblDaily[WardCode],"BG")),"")</f>
        <v>2</v>
      </c>
      <c r="G49" s="29">
        <f>IFERROR(IF(SUMIFS(tblDaily[TransfersOut],tblDaily[EntryDate],DATE(2026,2,4),tblDaily[WardCode],"BG")=0,"",SUMIFS(tblDaily[TransfersOut],tblDaily[EntryDate],DATE(2026,2,4),tblDaily[WardCode],"BG")),"")</f>
        <v>2</v>
      </c>
      <c r="H49" s="29">
        <f>IFERROR(IF(SUMIFS(tblDaily[Remaining],tblDaily[EntryDate],DATE(2026,2,4),tblDaily[WardCode],"BG")=0,"",SUMIFS(tblDaily[Remaining],tblDaily[EntryDate],DATE(2026,2,4),tblDaily[WardCode],"BG")),"")</f>
        <v>20</v>
      </c>
    </row>
    <row r="50" spans="1:8" x14ac:dyDescent="0.25">
      <c r="A50" s="29">
        <v>5</v>
      </c>
      <c r="B50" s="29">
        <f>IFERROR(IF(SUMIFS(tblDaily[Admissions],tblDaily[EntryDate],DATE(2026,2,5),tblDaily[WardCode],"BG")=0,"",SUMIFS(tblDaily[Admissions],tblDaily[EntryDate],DATE(2026,2,5),tblDaily[WardCode],"BG")),"")</f>
        <v>3</v>
      </c>
      <c r="C50" s="29">
        <f>IFERROR(IF(SUMIFS(tblDaily[Discharges],tblDaily[EntryDate],DATE(2026,2,5),tblDaily[WardCode],"BG")=0,"",SUMIFS(tblDaily[Discharges],tblDaily[EntryDate],DATE(2026,2,5),tblDaily[WardCode],"BG")),"")</f>
        <v>6</v>
      </c>
      <c r="D50" s="29" t="str">
        <f>IFERROR(IF(SUMIFS(tblDaily[Deaths],tblDaily[EntryDate],DATE(2026,2,5),tblDaily[WardCode],"BG")=0,"",SUMIFS(tblDaily[Deaths],tblDaily[EntryDate],DATE(2026,2,5),tblDaily[WardCode],"BG")),"")</f>
        <v/>
      </c>
      <c r="E50" s="29" t="str">
        <f>IFERROR(IF(SUMIFS(tblDaily[DeathsUnder24Hrs],tblDaily[EntryDate],DATE(2026,2,5),tblDaily[WardCode],"BG")=0,"",SUMIFS(tblDaily[DeathsUnder24Hrs],tblDaily[EntryDate],DATE(2026,2,5),tblDaily[WardCode],"BG")),"")</f>
        <v/>
      </c>
      <c r="F50" s="29">
        <f>IFERROR(IF(SUMIFS(tblDaily[TransfersIn],tblDaily[EntryDate],DATE(2026,2,5),tblDaily[WardCode],"BG")=0,"",SUMIFS(tblDaily[TransfersIn],tblDaily[EntryDate],DATE(2026,2,5),tblDaily[WardCode],"BG")),"")</f>
        <v>3</v>
      </c>
      <c r="G50" s="29">
        <f>IFERROR(IF(SUMIFS(tblDaily[TransfersOut],tblDaily[EntryDate],DATE(2026,2,5),tblDaily[WardCode],"BG")=0,"",SUMIFS(tblDaily[TransfersOut],tblDaily[EntryDate],DATE(2026,2,5),tblDaily[WardCode],"BG")),"")</f>
        <v>6</v>
      </c>
      <c r="H50" s="29">
        <f>IFERROR(IF(SUMIFS(tblDaily[Remaining],tblDaily[EntryDate],DATE(2026,2,5),tblDaily[WardCode],"BG")=0,"",SUMIFS(tblDaily[Remaining],tblDaily[EntryDate],DATE(2026,2,5),tblDaily[WardCode],"BG")),"")</f>
        <v>14</v>
      </c>
    </row>
    <row r="51" spans="1:8" x14ac:dyDescent="0.25">
      <c r="A51" s="29">
        <v>6</v>
      </c>
      <c r="B51" s="29">
        <f>IFERROR(IF(SUMIFS(tblDaily[Admissions],tblDaily[EntryDate],DATE(2026,2,6),tblDaily[WardCode],"BG")=0,"",SUMIFS(tblDaily[Admissions],tblDaily[EntryDate],DATE(2026,2,6),tblDaily[WardCode],"BG")),"")</f>
        <v>4</v>
      </c>
      <c r="C51" s="29">
        <f>IFERROR(IF(SUMIFS(tblDaily[Discharges],tblDaily[EntryDate],DATE(2026,2,6),tblDaily[WardCode],"BG")=0,"",SUMIFS(tblDaily[Discharges],tblDaily[EntryDate],DATE(2026,2,6),tblDaily[WardCode],"BG")),"")</f>
        <v>7</v>
      </c>
      <c r="D51" s="29" t="str">
        <f>IFERROR(IF(SUMIFS(tblDaily[Deaths],tblDaily[EntryDate],DATE(2026,2,6),tblDaily[WardCode],"BG")=0,"",SUMIFS(tblDaily[Deaths],tblDaily[EntryDate],DATE(2026,2,6),tblDaily[WardCode],"BG")),"")</f>
        <v/>
      </c>
      <c r="E51" s="29" t="str">
        <f>IFERROR(IF(SUMIFS(tblDaily[DeathsUnder24Hrs],tblDaily[EntryDate],DATE(2026,2,6),tblDaily[WardCode],"BG")=0,"",SUMIFS(tblDaily[DeathsUnder24Hrs],tblDaily[EntryDate],DATE(2026,2,6),tblDaily[WardCode],"BG")),"")</f>
        <v/>
      </c>
      <c r="F51" s="29" t="str">
        <f>IFERROR(IF(SUMIFS(tblDaily[TransfersIn],tblDaily[EntryDate],DATE(2026,2,6),tblDaily[WardCode],"BG")=0,"",SUMIFS(tblDaily[TransfersIn],tblDaily[EntryDate],DATE(2026,2,6),tblDaily[WardCode],"BG")),"")</f>
        <v/>
      </c>
      <c r="G51" s="29">
        <f>IFERROR(IF(SUMIFS(tblDaily[TransfersOut],tblDaily[EntryDate],DATE(2026,2,6),tblDaily[WardCode],"BG")=0,"",SUMIFS(tblDaily[TransfersOut],tblDaily[EntryDate],DATE(2026,2,6),tblDaily[WardCode],"BG")),"")</f>
        <v>1</v>
      </c>
      <c r="H51" s="29">
        <f>IFERROR(IF(SUMIFS(tblDaily[Remaining],tblDaily[EntryDate],DATE(2026,2,6),tblDaily[WardCode],"BG")=0,"",SUMIFS(tblDaily[Remaining],tblDaily[EntryDate],DATE(2026,2,6),tblDaily[WardCode],"BG")),"")</f>
        <v>10</v>
      </c>
    </row>
    <row r="52" spans="1:8" x14ac:dyDescent="0.25">
      <c r="A52" s="29">
        <v>7</v>
      </c>
      <c r="B52" s="29">
        <f>IFERROR(IF(SUMIFS(tblDaily[Admissions],tblDaily[EntryDate],DATE(2026,2,7),tblDaily[WardCode],"BG")=0,"",SUMIFS(tblDaily[Admissions],tblDaily[EntryDate],DATE(2026,2,7),tblDaily[WardCode],"BG")),"")</f>
        <v>3</v>
      </c>
      <c r="C52" s="29">
        <f>IFERROR(IF(SUMIFS(tblDaily[Discharges],tblDaily[EntryDate],DATE(2026,2,7),tblDaily[WardCode],"BG")=0,"",SUMIFS(tblDaily[Discharges],tblDaily[EntryDate],DATE(2026,2,7),tblDaily[WardCode],"BG")),"")</f>
        <v>2</v>
      </c>
      <c r="D52" s="29" t="str">
        <f>IFERROR(IF(SUMIFS(tblDaily[Deaths],tblDaily[EntryDate],DATE(2026,2,7),tblDaily[WardCode],"BG")=0,"",SUMIFS(tblDaily[Deaths],tblDaily[EntryDate],DATE(2026,2,7),tblDaily[WardCode],"BG")),"")</f>
        <v/>
      </c>
      <c r="E52" s="29" t="str">
        <f>IFERROR(IF(SUMIFS(tblDaily[DeathsUnder24Hrs],tblDaily[EntryDate],DATE(2026,2,7),tblDaily[WardCode],"BG")=0,"",SUMIFS(tblDaily[DeathsUnder24Hrs],tblDaily[EntryDate],DATE(2026,2,7),tblDaily[WardCode],"BG")),"")</f>
        <v/>
      </c>
      <c r="F52" s="29" t="str">
        <f>IFERROR(IF(SUMIFS(tblDaily[TransfersIn],tblDaily[EntryDate],DATE(2026,2,7),tblDaily[WardCode],"BG")=0,"",SUMIFS(tblDaily[TransfersIn],tblDaily[EntryDate],DATE(2026,2,7),tblDaily[WardCode],"BG")),"")</f>
        <v/>
      </c>
      <c r="G52" s="29">
        <f>IFERROR(IF(SUMIFS(tblDaily[TransfersOut],tblDaily[EntryDate],DATE(2026,2,7),tblDaily[WardCode],"BG")=0,"",SUMIFS(tblDaily[TransfersOut],tblDaily[EntryDate],DATE(2026,2,7),tblDaily[WardCode],"BG")),"")</f>
        <v>4</v>
      </c>
      <c r="H52" s="29">
        <f>IFERROR(IF(SUMIFS(tblDaily[Remaining],tblDaily[EntryDate],DATE(2026,2,7),tblDaily[WardCode],"BG")=0,"",SUMIFS(tblDaily[Remaining],tblDaily[EntryDate],DATE(2026,2,7),tblDaily[WardCode],"BG")),"")</f>
        <v>7</v>
      </c>
    </row>
    <row r="53" spans="1:8" x14ac:dyDescent="0.25">
      <c r="A53" s="29">
        <v>8</v>
      </c>
      <c r="B53" s="29">
        <f>IFERROR(IF(SUMIFS(tblDaily[Admissions],tblDaily[EntryDate],DATE(2026,2,8),tblDaily[WardCode],"BG")=0,"",SUMIFS(tblDaily[Admissions],tblDaily[EntryDate],DATE(2026,2,8),tblDaily[WardCode],"BG")),"")</f>
        <v>3</v>
      </c>
      <c r="C53" s="29">
        <f>IFERROR(IF(SUMIFS(tblDaily[Discharges],tblDaily[EntryDate],DATE(2026,2,8),tblDaily[WardCode],"BG")=0,"",SUMIFS(tblDaily[Discharges],tblDaily[EntryDate],DATE(2026,2,8),tblDaily[WardCode],"BG")),"")</f>
        <v>2</v>
      </c>
      <c r="D53" s="29" t="str">
        <f>IFERROR(IF(SUMIFS(tblDaily[Deaths],tblDaily[EntryDate],DATE(2026,2,8),tblDaily[WardCode],"BG")=0,"",SUMIFS(tblDaily[Deaths],tblDaily[EntryDate],DATE(2026,2,8),tblDaily[WardCode],"BG")),"")</f>
        <v/>
      </c>
      <c r="E53" s="29" t="str">
        <f>IFERROR(IF(SUMIFS(tblDaily[DeathsUnder24Hrs],tblDaily[EntryDate],DATE(2026,2,8),tblDaily[WardCode],"BG")=0,"",SUMIFS(tblDaily[DeathsUnder24Hrs],tblDaily[EntryDate],DATE(2026,2,8),tblDaily[WardCode],"BG")),"")</f>
        <v/>
      </c>
      <c r="F53" s="29">
        <f>IFERROR(IF(SUMIFS(tblDaily[TransfersIn],tblDaily[EntryDate],DATE(2026,2,8),tblDaily[WardCode],"BG")=0,"",SUMIFS(tblDaily[TransfersIn],tblDaily[EntryDate],DATE(2026,2,8),tblDaily[WardCode],"BG")),"")</f>
        <v>3</v>
      </c>
      <c r="G53" s="29">
        <f>IFERROR(IF(SUMIFS(tblDaily[TransfersOut],tblDaily[EntryDate],DATE(2026,2,8),tblDaily[WardCode],"BG")=0,"",SUMIFS(tblDaily[TransfersOut],tblDaily[EntryDate],DATE(2026,2,8),tblDaily[WardCode],"BG")),"")</f>
        <v>2</v>
      </c>
      <c r="H53" s="29">
        <f>IFERROR(IF(SUMIFS(tblDaily[Remaining],tblDaily[EntryDate],DATE(2026,2,8),tblDaily[WardCode],"BG")=0,"",SUMIFS(tblDaily[Remaining],tblDaily[EntryDate],DATE(2026,2,8),tblDaily[WardCode],"BG")),"")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IFERROR(IF(SUMIFS(tblDaily[Admissions],tblDaily[EntryDate],DATE(2026,2,9),tblDaily[WardCode],"BG")=0,"",SUMIFS(tblDaily[Admissions],tblDaily[EntryDate],DATE(2026,2,9),tblDaily[WardCode],"BG")),"")</f>
        <v>7</v>
      </c>
      <c r="C54" s="29">
        <f>IFERROR(IF(SUMIFS(tblDaily[Discharges],tblDaily[EntryDate],DATE(2026,2,9),tblDaily[WardCode],"BG")=0,"",SUMIFS(tblDaily[Discharges],tblDaily[EntryDate],DATE(2026,2,9),tblDaily[WardCode],"BG")),"")</f>
        <v>4</v>
      </c>
      <c r="D54" s="29" t="str">
        <f>IFERROR(IF(SUMIFS(tblDaily[Deaths],tblDaily[EntryDate],DATE(2026,2,9),tblDaily[WardCode],"BG")=0,"",SUMIFS(tblDaily[Deaths],tblDaily[EntryDate],DATE(2026,2,9),tblDaily[WardCode],"BG")),"")</f>
        <v/>
      </c>
      <c r="E54" s="29" t="str">
        <f>IFERROR(IF(SUMIFS(tblDaily[DeathsUnder24Hrs],tblDaily[EntryDate],DATE(2026,2,9),tblDaily[WardCode],"BG")=0,"",SUMIFS(tblDaily[DeathsUnder24Hrs],tblDaily[EntryDate],DATE(2026,2,9),tblDaily[WardCode],"BG")),"")</f>
        <v/>
      </c>
      <c r="F54" s="29">
        <f>IFERROR(IF(SUMIFS(tblDaily[TransfersIn],tblDaily[EntryDate],DATE(2026,2,9),tblDaily[WardCode],"BG")=0,"",SUMIFS(tblDaily[TransfersIn],tblDaily[EntryDate],DATE(2026,2,9),tblDaily[WardCode],"BG")),"")</f>
        <v>3</v>
      </c>
      <c r="G54" s="29" t="str">
        <f>IFERROR(IF(SUMIFS(tblDaily[TransfersOut],tblDaily[EntryDate],DATE(2026,2,9),tblDaily[WardCode],"BG")=0,"",SUMIFS(tblDaily[TransfersOut],tblDaily[EntryDate],DATE(2026,2,9),tblDaily[WardCode],"BG")),"")</f>
        <v/>
      </c>
      <c r="H54" s="29">
        <f>IFERROR(IF(SUMIFS(tblDaily[Remaining],tblDaily[EntryDate],DATE(2026,2,9),tblDaily[WardCode],"BG")=0,"",SUMIFS(tblDaily[Remaining],tblDaily[EntryDate],DATE(2026,2,9),tblDaily[WardCode],"BG")),"")</f>
        <v>15</v>
      </c>
    </row>
    <row r="55" spans="1:8" x14ac:dyDescent="0.25">
      <c r="A55" s="29">
        <v>10</v>
      </c>
      <c r="B55" s="29">
        <f>IFERROR(IF(SUMIFS(tblDaily[Admissions],tblDaily[EntryDate],DATE(2026,2,10),tblDaily[WardCode],"BG")=0,"",SUMIFS(tblDaily[Admissions],tblDaily[EntryDate],DATE(2026,2,10),tblDaily[WardCode],"BG")),"")</f>
        <v>6</v>
      </c>
      <c r="C55" s="29">
        <f>IFERROR(IF(SUMIFS(tblDaily[Discharges],tblDaily[EntryDate],DATE(2026,2,10),tblDaily[WardCode],"BG")=0,"",SUMIFS(tblDaily[Discharges],tblDaily[EntryDate],DATE(2026,2,10),tblDaily[WardCode],"BG")),"")</f>
        <v>6</v>
      </c>
      <c r="D55" s="29" t="str">
        <f>IFERROR(IF(SUMIFS(tblDaily[Deaths],tblDaily[EntryDate],DATE(2026,2,10),tblDaily[WardCode],"BG")=0,"",SUMIFS(tblDaily[Deaths],tblDaily[EntryDate],DATE(2026,2,10),tblDaily[WardCode],"BG")),"")</f>
        <v/>
      </c>
      <c r="E55" s="29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29">
        <f>IFERROR(IF(SUMIFS(tblDaily[TransfersIn],tblDaily[EntryDate],DATE(2026,2,10),tblDaily[WardCode],"BG")=0,"",SUMIFS(tblDaily[TransfersIn],tblDaily[EntryDate],DATE(2026,2,10),tblDaily[WardCode],"BG")),"")</f>
        <v>2</v>
      </c>
      <c r="G55" s="29">
        <f>IFERROR(IF(SUMIFS(tblDaily[TransfersOut],tblDaily[EntryDate],DATE(2026,2,10),tblDaily[WardCode],"BG")=0,"",SUMIFS(tblDaily[TransfersOut],tblDaily[EntryDate],DATE(2026,2,10),tblDaily[WardCode],"BG")),"")</f>
        <v>4</v>
      </c>
      <c r="H55" s="29">
        <f>IFERROR(IF(SUMIFS(tblDaily[Remaining],tblDaily[EntryDate],DATE(2026,2,10),tblDaily[WardCode],"BG")=0,"",SUMIFS(tblDaily[Remaining],tblDaily[EntryDate],DATE(2026,2,10),tblDaily[WardCode],"BG")),"")</f>
        <v>13</v>
      </c>
    </row>
    <row r="56" spans="1:8" x14ac:dyDescent="0.25">
      <c r="A56" s="29">
        <v>11</v>
      </c>
      <c r="B56" s="29">
        <f>IFERROR(IF(SUMIFS(tblDaily[Admissions],tblDaily[EntryDate],DATE(2026,2,11),tblDaily[WardCode],"BG")=0,"",SUMIFS(tblDaily[Admissions],tblDaily[EntryDate],DATE(2026,2,11),tblDaily[WardCode],"BG")),"")</f>
        <v>4</v>
      </c>
      <c r="C56" s="29">
        <f>IFERROR(IF(SUMIFS(tblDaily[Discharges],tblDaily[EntryDate],DATE(2026,2,11),tblDaily[WardCode],"BG")=0,"",SUMIFS(tblDaily[Discharges],tblDaily[EntryDate],DATE(2026,2,11),tblDaily[WardCode],"BG")),"")</f>
        <v>5</v>
      </c>
      <c r="D56" s="29" t="str">
        <f>IFERROR(IF(SUMIFS(tblDaily[Deaths],tblDaily[EntryDate],DATE(2026,2,11),tblDaily[WardCode],"BG")=0,"",SUMIFS(tblDaily[Deaths],tblDaily[EntryDate],DATE(2026,2,11),tblDaily[WardCode],"BG")),"")</f>
        <v/>
      </c>
      <c r="E56" s="29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29">
        <f>IFERROR(IF(SUMIFS(tblDaily[TransfersIn],tblDaily[EntryDate],DATE(2026,2,11),tblDaily[WardCode],"BG")=0,"",SUMIFS(tblDaily[TransfersIn],tblDaily[EntryDate],DATE(2026,2,11),tblDaily[WardCode],"BG")),"")</f>
        <v>1</v>
      </c>
      <c r="G56" s="29">
        <f>IFERROR(IF(SUMIFS(tblDaily[TransfersOut],tblDaily[EntryDate],DATE(2026,2,11),tblDaily[WardCode],"BG")=0,"",SUMIFS(tblDaily[TransfersOut],tblDaily[EntryDate],DATE(2026,2,11),tblDaily[WardCode],"BG")),"")</f>
        <v>1</v>
      </c>
      <c r="H56" s="29">
        <f>IFERROR(IF(SUMIFS(tblDaily[Remaining],tblDaily[EntryDate],DATE(2026,2,11),tblDaily[WardCode],"BG")=0,"",SUMIFS(tblDaily[Remaining],tblDaily[EntryDate],DATE(2026,2,11),tblDaily[WardCode],"BG")),"")</f>
        <v>12</v>
      </c>
    </row>
    <row r="57" spans="1:8" x14ac:dyDescent="0.25">
      <c r="A57" s="29">
        <v>12</v>
      </c>
      <c r="B57" s="29">
        <f>IFERROR(IF(SUMIFS(tblDaily[Admissions],tblDaily[EntryDate],DATE(2026,2,12),tblDaily[WardCode],"BG")=0,"",SUMIFS(tblDaily[Admissions],tblDaily[EntryDate],DATE(2026,2,12),tblDaily[WardCode],"BG")),"")</f>
        <v>6</v>
      </c>
      <c r="C57" s="29">
        <f>IFERROR(IF(SUMIFS(tblDaily[Discharges],tblDaily[EntryDate],DATE(2026,2,12),tblDaily[WardCode],"BG")=0,"",SUMIFS(tblDaily[Discharges],tblDaily[EntryDate],DATE(2026,2,12),tblDaily[WardCode],"BG")),"")</f>
        <v>1</v>
      </c>
      <c r="D57" s="29" t="str">
        <f>IFERROR(IF(SUMIFS(tblDaily[Deaths],tblDaily[EntryDate],DATE(2026,2,12),tblDaily[WardCode],"BG")=0,"",SUMIFS(tblDaily[Deaths],tblDaily[EntryDate],DATE(2026,2,12),tblDaily[WardCode],"BG")),"")</f>
        <v/>
      </c>
      <c r="E57" s="29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29">
        <f>IFERROR(IF(SUMIFS(tblDaily[TransfersIn],tblDaily[EntryDate],DATE(2026,2,12),tblDaily[WardCode],"BG")=0,"",SUMIFS(tblDaily[TransfersIn],tblDaily[EntryDate],DATE(2026,2,12),tblDaily[WardCode],"BG")),"")</f>
        <v>2</v>
      </c>
      <c r="G57" s="29">
        <f>IFERROR(IF(SUMIFS(tblDaily[TransfersOut],tblDaily[EntryDate],DATE(2026,2,12),tblDaily[WardCode],"BG")=0,"",SUMIFS(tblDaily[TransfersOut],tblDaily[EntryDate],DATE(2026,2,12),tblDaily[WardCode],"BG")),"")</f>
        <v>4</v>
      </c>
      <c r="H57" s="29">
        <f>IFERROR(IF(SUMIFS(tblDaily[Remaining],tblDaily[EntryDate],DATE(2026,2,12),tblDaily[WardCode],"BG")=0,"",SUMIFS(tblDaily[Remaining],tblDaily[EntryDate],DATE(2026,2,12),tblDaily[WardCode],"BG")),"")</f>
        <v>15</v>
      </c>
    </row>
    <row r="58" spans="1:8" x14ac:dyDescent="0.25">
      <c r="A58" s="29">
        <v>13</v>
      </c>
      <c r="B58" s="29">
        <f>IFERROR(IF(SUMIFS(tblDaily[Admissions],tblDaily[EntryDate],DATE(2026,2,13),tblDaily[WardCode],"BG")=0,"",SUMIFS(tblDaily[Admissions],tblDaily[EntryDate],DATE(2026,2,13),tblDaily[WardCode],"BG")),"")</f>
        <v>5</v>
      </c>
      <c r="C58" s="29">
        <f>IFERROR(IF(SUMIFS(tblDaily[Discharges],tblDaily[EntryDate],DATE(2026,2,13),tblDaily[WardCode],"BG")=0,"",SUMIFS(tblDaily[Discharges],tblDaily[EntryDate],DATE(2026,2,13),tblDaily[WardCode],"BG")),"")</f>
        <v>4</v>
      </c>
      <c r="D58" s="29" t="str">
        <f>IFERROR(IF(SUMIFS(tblDaily[Deaths],tblDaily[EntryDate],DATE(2026,2,13),tblDaily[WardCode],"BG")=0,"",SUMIFS(tblDaily[Deaths],tblDaily[EntryDate],DATE(2026,2,13),tblDaily[WardCode],"BG")),"")</f>
        <v/>
      </c>
      <c r="E58" s="29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29" t="str">
        <f>IFERROR(IF(SUMIFS(tblDaily[TransfersIn],tblDaily[EntryDate],DATE(2026,2,13),tblDaily[WardCode],"BG")=0,"",SUMIFS(tblDaily[TransfersIn],tblDaily[EntryDate],DATE(2026,2,13),tblDaily[WardCode],"BG")),"")</f>
        <v/>
      </c>
      <c r="G58" s="29" t="str">
        <f>IFERROR(IF(SUMIFS(tblDaily[TransfersOut],tblDaily[EntryDate],DATE(2026,2,13),tblDaily[WardCode],"BG")=0,"",SUMIFS(tblDaily[TransfersOut],tblDaily[EntryDate],DATE(2026,2,13),tblDaily[WardCode],"BG")),"")</f>
        <v/>
      </c>
      <c r="H58" s="29">
        <f>IFERROR(IF(SUMIFS(tblDaily[Remaining],tblDaily[EntryDate],DATE(2026,2,13),tblDaily[WardCode],"BG")=0,"",SUMIFS(tblDaily[Remaining],tblDaily[EntryDate],DATE(2026,2,13),tblDaily[WardCode],"BG")),"")</f>
        <v>16</v>
      </c>
    </row>
    <row r="59" spans="1:8" x14ac:dyDescent="0.25">
      <c r="A59" s="29">
        <v>14</v>
      </c>
      <c r="B59" s="29">
        <f>IFERROR(IF(SUMIFS(tblDaily[Admissions],tblDaily[EntryDate],DATE(2026,2,14),tblDaily[WardCode],"BG")=0,"",SUMIFS(tblDaily[Admissions],tblDaily[EntryDate],DATE(2026,2,14),tblDaily[WardCode],"BG")),"")</f>
        <v>4</v>
      </c>
      <c r="C59" s="29">
        <f>IFERROR(IF(SUMIFS(tblDaily[Discharges],tblDaily[EntryDate],DATE(2026,2,14),tblDaily[WardCode],"BG")=0,"",SUMIFS(tblDaily[Discharges],tblDaily[EntryDate],DATE(2026,2,14),tblDaily[WardCode],"BG")),"")</f>
        <v>1</v>
      </c>
      <c r="D59" s="29" t="str">
        <f>IFERROR(IF(SUMIFS(tblDaily[Deaths],tblDaily[EntryDate],DATE(2026,2,14),tblDaily[WardCode],"BG")=0,"",SUMIFS(tblDaily[Deaths],tblDaily[EntryDate],DATE(2026,2,14),tblDaily[WardCode],"BG")),"")</f>
        <v/>
      </c>
      <c r="E59" s="29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29">
        <f>IFERROR(IF(SUMIFS(tblDaily[TransfersIn],tblDaily[EntryDate],DATE(2026,2,14),tblDaily[WardCode],"BG")=0,"",SUMIFS(tblDaily[TransfersIn],tblDaily[EntryDate],DATE(2026,2,14),tblDaily[WardCode],"BG")),"")</f>
        <v>1</v>
      </c>
      <c r="G59" s="29" t="str">
        <f>IFERROR(IF(SUMIFS(tblDaily[TransfersOut],tblDaily[EntryDate],DATE(2026,2,14),tblDaily[WardCode],"BG")=0,"",SUMIFS(tblDaily[TransfersOut],tblDaily[EntryDate],DATE(2026,2,14),tblDaily[WardCode],"BG")),"")</f>
        <v/>
      </c>
      <c r="H59" s="29">
        <f>IFERROR(IF(SUMIFS(tblDaily[Remaining],tblDaily[EntryDate],DATE(2026,2,14),tblDaily[WardCode],"BG")=0,"",SUMIFS(tblDaily[Remaining],tblDaily[EntryDate],DATE(2026,2,14),tblDaily[WardCode],"BG")),"")</f>
        <v>20</v>
      </c>
    </row>
    <row r="60" spans="1:8" x14ac:dyDescent="0.25">
      <c r="A60" s="29">
        <v>15</v>
      </c>
      <c r="B60" s="29">
        <f>IFERROR(IF(SUMIFS(tblDaily[Admissions],tblDaily[EntryDate],DATE(2026,2,15),tblDaily[WardCode],"BG")=0,"",SUMIFS(tblDaily[Admissions],tblDaily[EntryDate],DATE(2026,2,15),tblDaily[WardCode],"BG")),"")</f>
        <v>6</v>
      </c>
      <c r="C60" s="29">
        <f>IFERROR(IF(SUMIFS(tblDaily[Discharges],tblDaily[EntryDate],DATE(2026,2,15),tblDaily[WardCode],"BG")=0,"",SUMIFS(tblDaily[Discharges],tblDaily[EntryDate],DATE(2026,2,15),tblDaily[WardCode],"BG")),"")</f>
        <v>7</v>
      </c>
      <c r="D60" s="29" t="str">
        <f>IFERROR(IF(SUMIFS(tblDaily[Deaths],tblDaily[EntryDate],DATE(2026,2,15),tblDaily[WardCode],"BG")=0,"",SUMIFS(tblDaily[Deaths],tblDaily[EntryDate],DATE(2026,2,15),tblDaily[WardCode],"BG")),"")</f>
        <v/>
      </c>
      <c r="E60" s="29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29">
        <f>IFERROR(IF(SUMIFS(tblDaily[TransfersIn],tblDaily[EntryDate],DATE(2026,2,15),tblDaily[WardCode],"BG")=0,"",SUMIFS(tblDaily[TransfersIn],tblDaily[EntryDate],DATE(2026,2,15),tblDaily[WardCode],"BG")),"")</f>
        <v>1</v>
      </c>
      <c r="G60" s="29">
        <f>IFERROR(IF(SUMIFS(tblDaily[TransfersOut],tblDaily[EntryDate],DATE(2026,2,15),tblDaily[WardCode],"BG")=0,"",SUMIFS(tblDaily[TransfersOut],tblDaily[EntryDate],DATE(2026,2,15),tblDaily[WardCode],"BG")),"")</f>
        <v>3</v>
      </c>
      <c r="H60" s="29">
        <f>IFERROR(IF(SUMIFS(tblDaily[Remaining],tblDaily[EntryDate],DATE(2026,2,15),tblDaily[WardCode],"BG")=0,"",SUMIFS(tblDaily[Remaining],tblDaily[EntryDate],DATE(2026,2,15),tblDaily[WardCode],"BG")),"")</f>
        <v>17</v>
      </c>
    </row>
    <row r="61" spans="1:8" x14ac:dyDescent="0.25">
      <c r="A61" s="29">
        <v>16</v>
      </c>
      <c r="B61" s="29">
        <f>IFERROR(IF(SUMIFS(tblDaily[Admissions],tblDaily[EntryDate],DATE(2026,2,16),tblDaily[WardCode],"BG")=0,"",SUMIFS(tblDaily[Admissions],tblDaily[EntryDate],DATE(2026,2,16),tblDaily[WardCode],"BG")),"")</f>
        <v>1</v>
      </c>
      <c r="C61" s="29">
        <f>IFERROR(IF(SUMIFS(tblDaily[Discharges],tblDaily[EntryDate],DATE(2026,2,16),tblDaily[WardCode],"BG")=0,"",SUMIFS(tblDaily[Discharges],tblDaily[EntryDate],DATE(2026,2,16),tblDaily[WardCode],"BG")),"")</f>
        <v>5</v>
      </c>
      <c r="D61" s="29" t="str">
        <f>IFERROR(IF(SUMIFS(tblDaily[Deaths],tblDaily[EntryDate],DATE(2026,2,16),tblDaily[WardCode],"BG")=0,"",SUMIFS(tblDaily[Deaths],tblDaily[EntryDate],DATE(2026,2,16),tblDaily[WardCode],"BG")),"")</f>
        <v/>
      </c>
      <c r="E61" s="29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29">
        <f>IFERROR(IF(SUMIFS(tblDaily[TransfersIn],tblDaily[EntryDate],DATE(2026,2,16),tblDaily[WardCode],"BG")=0,"",SUMIFS(tblDaily[TransfersIn],tblDaily[EntryDate],DATE(2026,2,16),tblDaily[WardCode],"BG")),"")</f>
        <v>2</v>
      </c>
      <c r="G61" s="29">
        <f>IFERROR(IF(SUMIFS(tblDaily[TransfersOut],tblDaily[EntryDate],DATE(2026,2,16),tblDaily[WardCode],"BG")=0,"",SUMIFS(tblDaily[TransfersOut],tblDaily[EntryDate],DATE(2026,2,16),tblDaily[WardCode],"BG")),"")</f>
        <v>1</v>
      </c>
      <c r="H61" s="29">
        <f>IFERROR(IF(SUMIFS(tblDaily[Remaining],tblDaily[EntryDate],DATE(2026,2,16),tblDaily[WardCode],"BG")=0,"",SUMIFS(tblDaily[Remaining],tblDaily[EntryDate],DATE(2026,2,16),tblDaily[WardCode],"BG")),"")</f>
        <v>14</v>
      </c>
    </row>
    <row r="62" spans="1:8" x14ac:dyDescent="0.25">
      <c r="A62" s="29">
        <v>17</v>
      </c>
      <c r="B62" s="29">
        <f>IFERROR(IF(SUMIFS(tblDaily[Admissions],tblDaily[EntryDate],DATE(2026,2,17),tblDaily[WardCode],"BG")=0,"",SUMIFS(tblDaily[Admissions],tblDaily[EntryDate],DATE(2026,2,17),tblDaily[WardCode],"BG")),"")</f>
        <v>4</v>
      </c>
      <c r="C62" s="29">
        <f>IFERROR(IF(SUMIFS(tblDaily[Discharges],tblDaily[EntryDate],DATE(2026,2,17),tblDaily[WardCode],"BG")=0,"",SUMIFS(tblDaily[Discharges],tblDaily[EntryDate],DATE(2026,2,17),tblDaily[WardCode],"BG")),"")</f>
        <v>3</v>
      </c>
      <c r="D62" s="29" t="str">
        <f>IFERROR(IF(SUMIFS(tblDaily[Deaths],tblDaily[EntryDate],DATE(2026,2,17),tblDaily[WardCode],"BG")=0,"",SUMIFS(tblDaily[Deaths],tblDaily[EntryDate],DATE(2026,2,17),tblDaily[WardCode],"BG")),"")</f>
        <v/>
      </c>
      <c r="E62" s="29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29" t="str">
        <f>IFERROR(IF(SUMIFS(tblDaily[TransfersIn],tblDaily[EntryDate],DATE(2026,2,17),tblDaily[WardCode],"BG")=0,"",SUMIFS(tblDaily[TransfersIn],tblDaily[EntryDate],DATE(2026,2,17),tblDaily[WardCode],"BG")),"")</f>
        <v/>
      </c>
      <c r="G62" s="29">
        <f>IFERROR(IF(SUMIFS(tblDaily[TransfersOut],tblDaily[EntryDate],DATE(2026,2,17),tblDaily[WardCode],"BG")=0,"",SUMIFS(tblDaily[TransfersOut],tblDaily[EntryDate],DATE(2026,2,17),tblDaily[WardCode],"BG")),"")</f>
        <v>6</v>
      </c>
      <c r="H62" s="29">
        <f>IFERROR(IF(SUMIFS(tblDaily[Remaining],tblDaily[EntryDate],DATE(2026,2,17),tblDaily[WardCode],"BG")=0,"",SUMIFS(tblDaily[Remaining],tblDaily[EntryDate],DATE(2026,2,17),tblDaily[WardCode],"BG")),"")</f>
        <v>9</v>
      </c>
    </row>
    <row r="63" spans="1:8" x14ac:dyDescent="0.25">
      <c r="A63" s="29">
        <v>18</v>
      </c>
      <c r="B63" s="29">
        <f>IFERROR(IF(SUMIFS(tblDaily[Admissions],tblDaily[EntryDate],DATE(2026,2,18),tblDaily[WardCode],"BG")=0,"",SUMIFS(tblDaily[Admissions],tblDaily[EntryDate],DATE(2026,2,18),tblDaily[WardCode],"BG")),"")</f>
        <v>9</v>
      </c>
      <c r="C63" s="29" t="str">
        <f>IFERROR(IF(SUMIFS(tblDaily[Discharges],tblDaily[EntryDate],DATE(2026,2,18),tblDaily[WardCode],"BG")=0,"",SUMIFS(tblDaily[Discharges],tblDaily[EntryDate],DATE(2026,2,18),tblDaily[WardCode],"BG")),"")</f>
        <v/>
      </c>
      <c r="D63" s="29" t="str">
        <f>IFERROR(IF(SUMIFS(tblDaily[Deaths],tblDaily[EntryDate],DATE(2026,2,18),tblDaily[WardCode],"BG")=0,"",SUMIFS(tblDaily[Deaths],tblDaily[EntryDate],DATE(2026,2,18),tblDaily[WardCode],"BG")),"")</f>
        <v/>
      </c>
      <c r="E63" s="29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29" t="str">
        <f>IFERROR(IF(SUMIFS(tblDaily[TransfersIn],tblDaily[EntryDate],DATE(2026,2,18),tblDaily[WardCode],"BG")=0,"",SUMIFS(tblDaily[TransfersIn],tblDaily[EntryDate],DATE(2026,2,18),tblDaily[WardCode],"BG")),"")</f>
        <v/>
      </c>
      <c r="G63" s="29" t="str">
        <f>IFERROR(IF(SUMIFS(tblDaily[TransfersOut],tblDaily[EntryDate],DATE(2026,2,18),tblDaily[WardCode],"BG")=0,"",SUMIFS(tblDaily[TransfersOut],tblDaily[EntryDate],DATE(2026,2,18),tblDaily[WardCode],"BG")),"")</f>
        <v/>
      </c>
      <c r="H63" s="29">
        <f>IFERROR(IF(SUMIFS(tblDaily[Remaining],tblDaily[EntryDate],DATE(2026,2,18),tblDaily[WardCode],"BG")=0,"",SUMIFS(tblDaily[Remaining],tblDaily[EntryDate],DATE(2026,2,18),tblDaily[WardCode],"BG")),"")</f>
        <v>18</v>
      </c>
    </row>
    <row r="64" spans="1:8" x14ac:dyDescent="0.25">
      <c r="A64" s="29">
        <v>19</v>
      </c>
      <c r="B64" s="29">
        <f>IFERROR(IF(SUMIFS(tblDaily[Admissions],tblDaily[EntryDate],DATE(2026,2,19),tblDaily[WardCode],"BG")=0,"",SUMIFS(tblDaily[Admissions],tblDaily[EntryDate],DATE(2026,2,19),tblDaily[WardCode],"BG")),"")</f>
        <v>4</v>
      </c>
      <c r="C64" s="29">
        <f>IFERROR(IF(SUMIFS(tblDaily[Discharges],tblDaily[EntryDate],DATE(2026,2,19),tblDaily[WardCode],"BG")=0,"",SUMIFS(tblDaily[Discharges],tblDaily[EntryDate],DATE(2026,2,19),tblDaily[WardCode],"BG")),"")</f>
        <v>5</v>
      </c>
      <c r="D64" s="29" t="str">
        <f>IFERROR(IF(SUMIFS(tblDaily[Deaths],tblDaily[EntryDate],DATE(2026,2,19),tblDaily[WardCode],"BG")=0,"",SUMIFS(tblDaily[Deaths],tblDaily[EntryDate],DATE(2026,2,19),tblDaily[WardCode],"BG")),"")</f>
        <v/>
      </c>
      <c r="E64" s="29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29" t="str">
        <f>IFERROR(IF(SUMIFS(tblDaily[TransfersIn],tblDaily[EntryDate],DATE(2026,2,19),tblDaily[WardCode],"BG")=0,"",SUMIFS(tblDaily[TransfersIn],tblDaily[EntryDate],DATE(2026,2,19),tblDaily[WardCode],"BG")),"")</f>
        <v/>
      </c>
      <c r="G64" s="29">
        <f>IFERROR(IF(SUMIFS(tblDaily[TransfersOut],tblDaily[EntryDate],DATE(2026,2,19),tblDaily[WardCode],"BG")=0,"",SUMIFS(tblDaily[TransfersOut],tblDaily[EntryDate],DATE(2026,2,19),tblDaily[WardCode],"BG")),"")</f>
        <v>1</v>
      </c>
      <c r="H64" s="29">
        <f>IFERROR(IF(SUMIFS(tblDaily[Remaining],tblDaily[EntryDate],DATE(2026,2,19),tblDaily[WardCode],"BG")=0,"",SUMIFS(tblDaily[Remaining],tblDaily[EntryDate],DATE(2026,2,19),tblDaily[WardCode],"BG")),"")</f>
        <v>16</v>
      </c>
    </row>
    <row r="65" spans="1:8" x14ac:dyDescent="0.25">
      <c r="A65" s="29">
        <v>20</v>
      </c>
      <c r="B65" s="29">
        <f>IFERROR(IF(SUMIFS(tblDaily[Admissions],tblDaily[EntryDate],DATE(2026,2,20),tblDaily[WardCode],"BG")=0,"",SUMIFS(tblDaily[Admissions],tblDaily[EntryDate],DATE(2026,2,20),tblDaily[WardCode],"BG")),"")</f>
        <v>3</v>
      </c>
      <c r="C65" s="29">
        <f>IFERROR(IF(SUMIFS(tblDaily[Discharges],tblDaily[EntryDate],DATE(2026,2,20),tblDaily[WardCode],"BG")=0,"",SUMIFS(tblDaily[Discharges],tblDaily[EntryDate],DATE(2026,2,20),tblDaily[WardCode],"BG")),"")</f>
        <v>8</v>
      </c>
      <c r="D65" s="29" t="str">
        <f>IFERROR(IF(SUMIFS(tblDaily[Deaths],tblDaily[EntryDate],DATE(2026,2,20),tblDaily[WardCode],"BG")=0,"",SUMIFS(tblDaily[Deaths],tblDaily[EntryDate],DATE(2026,2,20),tblDaily[WardCode],"BG")),"")</f>
        <v/>
      </c>
      <c r="E65" s="29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29" t="str">
        <f>IFERROR(IF(SUMIFS(tblDaily[TransfersIn],tblDaily[EntryDate],DATE(2026,2,20),tblDaily[WardCode],"BG")=0,"",SUMIFS(tblDaily[TransfersIn],tblDaily[EntryDate],DATE(2026,2,20),tblDaily[WardCode],"BG")),"")</f>
        <v/>
      </c>
      <c r="G65" s="29">
        <f>IFERROR(IF(SUMIFS(tblDaily[TransfersOut],tblDaily[EntryDate],DATE(2026,2,20),tblDaily[WardCode],"BG")=0,"",SUMIFS(tblDaily[TransfersOut],tblDaily[EntryDate],DATE(2026,2,20),tblDaily[WardCode],"BG")),"")</f>
        <v>2</v>
      </c>
      <c r="H65" s="29">
        <f>IFERROR(IF(SUMIFS(tblDaily[Remaining],tblDaily[EntryDate],DATE(2026,2,20),tblDaily[WardCode],"BG")=0,"",SUMIFS(tblDaily[Remaining],tblDaily[EntryDate],DATE(2026,2,20),tblDaily[WardCode],"BG")),"")</f>
        <v>9</v>
      </c>
    </row>
    <row r="66" spans="1:8" x14ac:dyDescent="0.25">
      <c r="A66" s="29">
        <v>21</v>
      </c>
      <c r="B66" s="29">
        <f>IFERROR(IF(SUMIFS(tblDaily[Admissions],tblDaily[EntryDate],DATE(2026,2,21),tblDaily[WardCode],"BG")=0,"",SUMIFS(tblDaily[Admissions],tblDaily[EntryDate],DATE(2026,2,21),tblDaily[WardCode],"BG")),"")</f>
        <v>3</v>
      </c>
      <c r="C66" s="29">
        <f>IFERROR(IF(SUMIFS(tblDaily[Discharges],tblDaily[EntryDate],DATE(2026,2,21),tblDaily[WardCode],"BG")=0,"",SUMIFS(tblDaily[Discharges],tblDaily[EntryDate],DATE(2026,2,21),tblDaily[WardCode],"BG")),"")</f>
        <v>3</v>
      </c>
      <c r="D66" s="29" t="str">
        <f>IFERROR(IF(SUMIFS(tblDaily[Deaths],tblDaily[EntryDate],DATE(2026,2,21),tblDaily[WardCode],"BG")=0,"",SUMIFS(tblDaily[Deaths],tblDaily[EntryDate],DATE(2026,2,21),tblDaily[WardCode],"BG")),"")</f>
        <v/>
      </c>
      <c r="E66" s="29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29" t="str">
        <f>IFERROR(IF(SUMIFS(tblDaily[TransfersIn],tblDaily[EntryDate],DATE(2026,2,21),tblDaily[WardCode],"BG")=0,"",SUMIFS(tblDaily[TransfersIn],tblDaily[EntryDate],DATE(2026,2,21),tblDaily[WardCode],"BG")),"")</f>
        <v/>
      </c>
      <c r="G66" s="29" t="str">
        <f>IFERROR(IF(SUMIFS(tblDaily[TransfersOut],tblDaily[EntryDate],DATE(2026,2,21),tblDaily[WardCode],"BG")=0,"",SUMIFS(tblDaily[TransfersOut],tblDaily[EntryDate],DATE(2026,2,21),tblDaily[WardCode],"BG")),"")</f>
        <v/>
      </c>
      <c r="H66" s="29">
        <f>IFERROR(IF(SUMIFS(tblDaily[Remaining],tblDaily[EntryDate],DATE(2026,2,21),tblDaily[WardCode],"BG")=0,"",SUMIFS(tblDaily[Remaining],tblDaily[EntryDate],DATE(2026,2,21),tblDaily[WardCode],"BG")),"")</f>
        <v>9</v>
      </c>
    </row>
    <row r="67" spans="1:8" x14ac:dyDescent="0.25">
      <c r="A67" s="29">
        <v>22</v>
      </c>
      <c r="B67" s="29">
        <f>IFERROR(IF(SUMIFS(tblDaily[Admissions],tblDaily[EntryDate],DATE(2026,2,22),tblDaily[WardCode],"BG")=0,"",SUMIFS(tblDaily[Admissions],tblDaily[EntryDate],DATE(2026,2,22),tblDaily[WardCode],"BG")),"")</f>
        <v>1</v>
      </c>
      <c r="C67" s="29">
        <f>IFERROR(IF(SUMIFS(tblDaily[Discharges],tblDaily[EntryDate],DATE(2026,2,22),tblDaily[WardCode],"BG")=0,"",SUMIFS(tblDaily[Discharges],tblDaily[EntryDate],DATE(2026,2,22),tblDaily[WardCode],"BG")),"")</f>
        <v>2</v>
      </c>
      <c r="D67" s="29" t="str">
        <f>IFERROR(IF(SUMIFS(tblDaily[Deaths],tblDaily[EntryDate],DATE(2026,2,22),tblDaily[WardCode],"BG")=0,"",SUMIFS(tblDaily[Deaths],tblDaily[EntryDate],DATE(2026,2,22),tblDaily[WardCode],"BG")),"")</f>
        <v/>
      </c>
      <c r="E67" s="29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29">
        <f>IFERROR(IF(SUMIFS(tblDaily[TransfersIn],tblDaily[EntryDate],DATE(2026,2,22),tblDaily[WardCode],"BG")=0,"",SUMIFS(tblDaily[TransfersIn],tblDaily[EntryDate],DATE(2026,2,22),tblDaily[WardCode],"BG")),"")</f>
        <v>1</v>
      </c>
      <c r="G67" s="29" t="str">
        <f>IFERROR(IF(SUMIFS(tblDaily[TransfersOut],tblDaily[EntryDate],DATE(2026,2,22),tblDaily[WardCode],"BG")=0,"",SUMIFS(tblDaily[TransfersOut],tblDaily[EntryDate],DATE(2026,2,22),tblDaily[WardCode],"BG")),"")</f>
        <v/>
      </c>
      <c r="H67" s="29">
        <f>IFERROR(IF(SUMIFS(tblDaily[Remaining],tblDaily[EntryDate],DATE(2026,2,22),tblDaily[WardCode],"BG")=0,"",SUMIFS(tblDaily[Remaining],tblDaily[EntryDate],DATE(2026,2,22),tblDaily[WardCode],"BG")),"")</f>
        <v>9</v>
      </c>
    </row>
    <row r="68" spans="1:8" x14ac:dyDescent="0.25">
      <c r="A68" s="29">
        <v>23</v>
      </c>
      <c r="B68" s="29">
        <f>IFERROR(IF(SUMIFS(tblDaily[Admissions],tblDaily[EntryDate],DATE(2026,2,23),tblDaily[WardCode],"BG")=0,"",SUMIFS(tblDaily[Admissions],tblDaily[EntryDate],DATE(2026,2,23),tblDaily[WardCode],"BG")),"")</f>
        <v>3</v>
      </c>
      <c r="C68" s="29">
        <f>IFERROR(IF(SUMIFS(tblDaily[Discharges],tblDaily[EntryDate],DATE(2026,2,23),tblDaily[WardCode],"BG")=0,"",SUMIFS(tblDaily[Discharges],tblDaily[EntryDate],DATE(2026,2,23),tblDaily[WardCode],"BG")),"")</f>
        <v>4</v>
      </c>
      <c r="D68" s="29" t="str">
        <f>IFERROR(IF(SUMIFS(tblDaily[Deaths],tblDaily[EntryDate],DATE(2026,2,23),tblDaily[WardCode],"BG")=0,"",SUMIFS(tblDaily[Deaths],tblDaily[EntryDate],DATE(2026,2,23),tblDaily[WardCode],"BG")),"")</f>
        <v/>
      </c>
      <c r="E68" s="29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29">
        <f>IFERROR(IF(SUMIFS(tblDaily[TransfersIn],tblDaily[EntryDate],DATE(2026,2,23),tblDaily[WardCode],"BG")=0,"",SUMIFS(tblDaily[TransfersIn],tblDaily[EntryDate],DATE(2026,2,23),tblDaily[WardCode],"BG")),"")</f>
        <v>2</v>
      </c>
      <c r="G68" s="29">
        <f>IFERROR(IF(SUMIFS(tblDaily[TransfersOut],tblDaily[EntryDate],DATE(2026,2,23),tblDaily[WardCode],"BG")=0,"",SUMIFS(tblDaily[TransfersOut],tblDaily[EntryDate],DATE(2026,2,23),tblDaily[WardCode],"BG")),"")</f>
        <v>1</v>
      </c>
      <c r="H68" s="29">
        <f>IFERROR(IF(SUMIFS(tblDaily[Remaining],tblDaily[EntryDate],DATE(2026,2,23),tblDaily[WardCode],"BG")=0,"",SUMIFS(tblDaily[Remaining],tblDaily[EntryDate],DATE(2026,2,23),tblDaily[WardCode],"BG")),"")</f>
        <v>9</v>
      </c>
    </row>
    <row r="69" spans="1:8" x14ac:dyDescent="0.25">
      <c r="A69" s="29">
        <v>24</v>
      </c>
      <c r="B69" s="29">
        <f>IFERROR(IF(SUMIFS(tblDaily[Admissions],tblDaily[EntryDate],DATE(2026,2,24),tblDaily[WardCode],"BG")=0,"",SUMIFS(tblDaily[Admissions],tblDaily[EntryDate],DATE(2026,2,24),tblDaily[WardCode],"BG")),"")</f>
        <v>4</v>
      </c>
      <c r="C69" s="29">
        <f>IFERROR(IF(SUMIFS(tblDaily[Discharges],tblDaily[EntryDate],DATE(2026,2,24),tblDaily[WardCode],"BG")=0,"",SUMIFS(tblDaily[Discharges],tblDaily[EntryDate],DATE(2026,2,24),tblDaily[WardCode],"BG")),"")</f>
        <v>4</v>
      </c>
      <c r="D69" s="29" t="str">
        <f>IFERROR(IF(SUMIFS(tblDaily[Deaths],tblDaily[EntryDate],DATE(2026,2,24),tblDaily[WardCode],"BG")=0,"",SUMIFS(tblDaily[Deaths],tblDaily[EntryDate],DATE(2026,2,24),tblDaily[WardCode],"BG")),"")</f>
        <v/>
      </c>
      <c r="E69" s="29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29">
        <f>IFERROR(IF(SUMIFS(tblDaily[TransfersIn],tblDaily[EntryDate],DATE(2026,2,24),tblDaily[WardCode],"BG")=0,"",SUMIFS(tblDaily[TransfersIn],tblDaily[EntryDate],DATE(2026,2,24),tblDaily[WardCode],"BG")),"")</f>
        <v>1</v>
      </c>
      <c r="G69" s="29">
        <f>IFERROR(IF(SUMIFS(tblDaily[TransfersOut],tblDaily[EntryDate],DATE(2026,2,24),tblDaily[WardCode],"BG")=0,"",SUMIFS(tblDaily[TransfersOut],tblDaily[EntryDate],DATE(2026,2,24),tblDaily[WardCode],"BG")),"")</f>
        <v>1</v>
      </c>
      <c r="H69" s="29">
        <f>IFERROR(IF(SUMIFS(tblDaily[Remaining],tblDaily[EntryDate],DATE(2026,2,24),tblDaily[WardCode],"BG")=0,"",SUMIFS(tblDaily[Remaining],tblDaily[EntryDate],DATE(2026,2,24),tblDaily[WardCode],"BG")),"")</f>
        <v>9</v>
      </c>
    </row>
    <row r="70" spans="1:8" x14ac:dyDescent="0.25">
      <c r="A70" s="29">
        <v>25</v>
      </c>
      <c r="B70" s="29">
        <f>IFERROR(IF(SUMIFS(tblDaily[Admissions],tblDaily[EntryDate],DATE(2026,2,25),tblDaily[WardCode],"BG")=0,"",SUMIFS(tblDaily[Admissions],tblDaily[EntryDate],DATE(2026,2,25),tblDaily[WardCode],"BG")),"")</f>
        <v>8</v>
      </c>
      <c r="C70" s="29">
        <f>IFERROR(IF(SUMIFS(tblDaily[Discharges],tblDaily[EntryDate],DATE(2026,2,25),tblDaily[WardCode],"BG")=0,"",SUMIFS(tblDaily[Discharges],tblDaily[EntryDate],DATE(2026,2,25),tblDaily[WardCode],"BG")),"")</f>
        <v>1</v>
      </c>
      <c r="D70" s="29" t="str">
        <f>IFERROR(IF(SUMIFS(tblDaily[Deaths],tblDaily[EntryDate],DATE(2026,2,25),tblDaily[WardCode],"BG")=0,"",SUMIFS(tblDaily[Deaths],tblDaily[EntryDate],DATE(2026,2,25),tblDaily[WardCode],"BG")),"")</f>
        <v/>
      </c>
      <c r="E70" s="29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29">
        <f>IFERROR(IF(SUMIFS(tblDaily[TransfersIn],tblDaily[EntryDate],DATE(2026,2,25),tblDaily[WardCode],"BG")=0,"",SUMIFS(tblDaily[TransfersIn],tblDaily[EntryDate],DATE(2026,2,25),tblDaily[WardCode],"BG")),"")</f>
        <v>1</v>
      </c>
      <c r="G70" s="29">
        <f>IFERROR(IF(SUMIFS(tblDaily[TransfersOut],tblDaily[EntryDate],DATE(2026,2,25),tblDaily[WardCode],"BG")=0,"",SUMIFS(tblDaily[TransfersOut],tblDaily[EntryDate],DATE(2026,2,25),tblDaily[WardCode],"BG")),"")</f>
        <v>1</v>
      </c>
      <c r="H70" s="29">
        <f>IFERROR(IF(SUMIFS(tblDaily[Remaining],tblDaily[EntryDate],DATE(2026,2,25),tblDaily[WardCode],"BG")=0,"",SUMIFS(tblDaily[Remaining],tblDaily[EntryDate],DATE(2026,2,25),tblDaily[WardCode],"BG")),"")</f>
        <v>16</v>
      </c>
    </row>
    <row r="71" spans="1:8" x14ac:dyDescent="0.25">
      <c r="A71" s="29">
        <v>26</v>
      </c>
      <c r="B71" s="29">
        <f>IFERROR(IF(SUMIFS(tblDaily[Admissions],tblDaily[EntryDate],DATE(2026,2,26),tblDaily[WardCode],"BG")=0,"",SUMIFS(tblDaily[Admissions],tblDaily[EntryDate],DATE(2026,2,26),tblDaily[WardCode],"BG")),"")</f>
        <v>2</v>
      </c>
      <c r="C71" s="29">
        <f>IFERROR(IF(SUMIFS(tblDaily[Discharges],tblDaily[EntryDate],DATE(2026,2,26),tblDaily[WardCode],"BG")=0,"",SUMIFS(tblDaily[Discharges],tblDaily[EntryDate],DATE(2026,2,26),tblDaily[WardCode],"BG")),"")</f>
        <v>10</v>
      </c>
      <c r="D71" s="29" t="str">
        <f>IFERROR(IF(SUMIFS(tblDaily[Deaths],tblDaily[EntryDate],DATE(2026,2,26),tblDaily[WardCode],"BG")=0,"",SUMIFS(tblDaily[Deaths],tblDaily[EntryDate],DATE(2026,2,26),tblDaily[WardCode],"BG")),"")</f>
        <v/>
      </c>
      <c r="E71" s="29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29">
        <f>IFERROR(IF(SUMIFS(tblDaily[TransfersIn],tblDaily[EntryDate],DATE(2026,2,26),tblDaily[WardCode],"BG")=0,"",SUMIFS(tblDaily[TransfersIn],tblDaily[EntryDate],DATE(2026,2,26),tblDaily[WardCode],"BG")),"")</f>
        <v>3</v>
      </c>
      <c r="G71" s="29" t="str">
        <f>IFERROR(IF(SUMIFS(tblDaily[TransfersOut],tblDaily[EntryDate],DATE(2026,2,26),tblDaily[WardCode],"BG")=0,"",SUMIFS(tblDaily[TransfersOut],tblDaily[EntryDate],DATE(2026,2,26),tblDaily[WardCode],"BG")),"")</f>
        <v/>
      </c>
      <c r="H71" s="29">
        <f>IFERROR(IF(SUMIFS(tblDaily[Remaining],tblDaily[EntryDate],DATE(2026,2,26),tblDaily[WardCode],"BG")=0,"",SUMIFS(tblDaily[Remaining],tblDaily[EntryDate],DATE(2026,2,26),tblDaily[WardCode],"BG")),"")</f>
        <v>11</v>
      </c>
    </row>
    <row r="72" spans="1:8" x14ac:dyDescent="0.25">
      <c r="A72" s="29">
        <v>27</v>
      </c>
      <c r="B72" s="29">
        <f>IFERROR(IF(SUMIFS(tblDaily[Admissions],tblDaily[EntryDate],DATE(2026,2,27),tblDaily[WardCode],"BG")=0,"",SUMIFS(tblDaily[Admissions],tblDaily[EntryDate],DATE(2026,2,27),tblDaily[WardCode],"BG")),"")</f>
        <v>4</v>
      </c>
      <c r="C72" s="29">
        <f>IFERROR(IF(SUMIFS(tblDaily[Discharges],tblDaily[EntryDate],DATE(2026,2,27),tblDaily[WardCode],"BG")=0,"",SUMIFS(tblDaily[Discharges],tblDaily[EntryDate],DATE(2026,2,27),tblDaily[WardCode],"BG")),"")</f>
        <v>3</v>
      </c>
      <c r="D72" s="29" t="str">
        <f>IFERROR(IF(SUMIFS(tblDaily[Deaths],tblDaily[EntryDate],DATE(2026,2,27),tblDaily[WardCode],"BG")=0,"",SUMIFS(tblDaily[Deaths],tblDaily[EntryDate],DATE(2026,2,27),tblDaily[WardCode],"BG")),"")</f>
        <v/>
      </c>
      <c r="E72" s="29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29" t="str">
        <f>IFERROR(IF(SUMIFS(tblDaily[TransfersIn],tblDaily[EntryDate],DATE(2026,2,27),tblDaily[WardCode],"BG")=0,"",SUMIFS(tblDaily[TransfersIn],tblDaily[EntryDate],DATE(2026,2,27),tblDaily[WardCode],"BG")),"")</f>
        <v/>
      </c>
      <c r="G72" s="29" t="str">
        <f>IFERROR(IF(SUMIFS(tblDaily[TransfersOut],tblDaily[EntryDate],DATE(2026,2,27),tblDaily[WardCode],"BG")=0,"",SUMIFS(tblDaily[TransfersOut],tblDaily[EntryDate],DATE(2026,2,27),tblDaily[WardCode],"BG")),"")</f>
        <v/>
      </c>
      <c r="H72" s="29">
        <f>IFERROR(IF(SUMIFS(tblDaily[Remaining],tblDaily[EntryDate],DATE(2026,2,27),tblDaily[WardCode],"BG")=0,"",SUMIFS(tblDaily[Remaining],tblDaily[EntryDate],DATE(2026,2,27),tblDaily[WardCode],"BG")),"")</f>
        <v>12</v>
      </c>
    </row>
    <row r="73" spans="1:8" x14ac:dyDescent="0.25">
      <c r="A73" s="29">
        <v>28</v>
      </c>
      <c r="B73" s="29">
        <f>IFERROR(IF(SUMIFS(tblDaily[Admissions],tblDaily[EntryDate],DATE(2026,2,28),tblDaily[WardCode],"BG")=0,"",SUMIFS(tblDaily[Admissions],tblDaily[EntryDate],DATE(2026,2,28),tblDaily[WardCode],"BG")),"")</f>
        <v>2</v>
      </c>
      <c r="C73" s="29">
        <f>IFERROR(IF(SUMIFS(tblDaily[Discharges],tblDaily[EntryDate],DATE(2026,2,28),tblDaily[WardCode],"BG")=0,"",SUMIFS(tblDaily[Discharges],tblDaily[EntryDate],DATE(2026,2,28),tblDaily[WardCode],"BG")),"")</f>
        <v>6</v>
      </c>
      <c r="D73" s="29" t="str">
        <f>IFERROR(IF(SUMIFS(tblDaily[Deaths],tblDaily[EntryDate],DATE(2026,2,28),tblDaily[WardCode],"BG")=0,"",SUMIFS(tblDaily[Deaths],tblDaily[EntryDate],DATE(2026,2,28),tblDaily[WardCode],"BG")),"")</f>
        <v/>
      </c>
      <c r="E73" s="29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29">
        <f>IFERROR(IF(SUMIFS(tblDaily[TransfersIn],tblDaily[EntryDate],DATE(2026,2,28),tblDaily[WardCode],"BG")=0,"",SUMIFS(tblDaily[TransfersIn],tblDaily[EntryDate],DATE(2026,2,28),tblDaily[WardCode],"BG")),"")</f>
        <v>2</v>
      </c>
      <c r="G73" s="29">
        <f>IFERROR(IF(SUMIFS(tblDaily[TransfersOut],tblDaily[EntryDate],DATE(2026,2,28),tblDaily[WardCode],"BG")=0,"",SUMIFS(tblDaily[TransfersOut],tblDaily[EntryDate],DATE(2026,2,28),tblDaily[WardCode],"BG")),"")</f>
        <v>2</v>
      </c>
      <c r="H73" s="29">
        <f>IFERROR(IF(SUMIFS(tblDaily[Remaining],tblDaily[EntryDate],DATE(2026,2,28),tblDaily[WardCode],"BG")=0,"",SUMIFS(tblDaily[Remaining],tblDaily[EntryDate],DATE(2026,2,28),tblDaily[WardCode],"BG")),"")</f>
        <v>8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SUMIFS(tblDaily[Admissions],tblDaily[Month],2,tblDaily[WardCode],"BG") - SUMIFS(tblDaily[DeathsUnder24Hrs],tblDaily[Month],2,tblDaily[WardCode],"BG")</f>
        <v>121</v>
      </c>
      <c r="C77" s="30">
        <f>SUMIFS(tblDaily[Discharges],tblDaily[Month],2,tblDaily[WardCode],"BG")</f>
        <v>113</v>
      </c>
      <c r="D77" s="30">
        <f>SUMIFS(tblDaily[Deaths],tblDaily[Month],2,tblDaily[WardCode],"BG")</f>
        <v>0</v>
      </c>
      <c r="E77" s="30">
        <f>SUMIFS(tblDaily[DeathsUnder24Hrs],tblDaily[Month],2,tblDaily[WardCode],"BG")</f>
        <v>0</v>
      </c>
      <c r="F77" s="30">
        <f>SUMIFS(tblDaily[TransfersIn],tblDaily[Month],2,tblDaily[WardCode],"BG")</f>
        <v>32</v>
      </c>
      <c r="G77" s="30">
        <f>SUMIFS(tblDaily[TransfersOut],tblDaily[Month],2,tblDaily[WardCode],"BG")</f>
        <v>44</v>
      </c>
      <c r="H77" s="30">
        <f>SUMIFS(tblDaily[Remaining],tblDaily[Month],2,tblDaily[WardCode],"BG")</f>
        <v>358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119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IFERROR(SUMIFS(tblDaily[Remaining],tblDaily[EntryDate],DATE(2026,2,28),tblDaily[WardCode],"BG"),0)</f>
        <v>8</v>
      </c>
    </row>
    <row r="83" spans="1:8" x14ac:dyDescent="0.25">
      <c r="A83" s="24" t="s">
        <v>109</v>
      </c>
      <c r="H83" s="27">
        <f>IFERROR(INDEX(tblWardConfig[BedComplement],MATCH("BG",tblWardConfig[WardCode],0)),0)</f>
        <v>14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>
        <f>IFERROR(IF(SUMIFS(tblDaily[Admissions],tblDaily[EntryDate],DATE(2026,3,1),tblDaily[WardCode],"BG")=0,"",SUMIFS(tblDaily[Admissions],tblDaily[EntryDate],DATE(2026,3,1),tblDaily[WardCode],"BG")),"")</f>
        <v>6</v>
      </c>
      <c r="C85" s="29" t="str">
        <f>IFERROR(IF(SUMIFS(tblDaily[Discharges],tblDaily[EntryDate],DATE(2026,3,1),tblDaily[WardCode],"BG")=0,"",SUMIFS(tblDaily[Discharges],tblDaily[EntryDate],DATE(2026,3,1),tblDaily[WardCode],"BG")),"")</f>
        <v/>
      </c>
      <c r="D85" s="29" t="str">
        <f>IFERROR(IF(SUMIFS(tblDaily[Deaths],tblDaily[EntryDate],DATE(2026,3,1),tblDaily[WardCode],"BG")=0,"",SUMIFS(tblDaily[Deaths],tblDaily[EntryDate],DATE(2026,3,1),tblDaily[WardCode],"BG")),"")</f>
        <v/>
      </c>
      <c r="E85" s="29" t="str">
        <f>IFERROR(IF(SUMIFS(tblDaily[DeathsUnder24Hrs],tblDaily[EntryDate],DATE(2026,3,1),tblDaily[WardCode],"BG")=0,"",SUMIFS(tblDaily[DeathsUnder24Hrs],tblDaily[EntryDate],DATE(2026,3,1),tblDaily[WardCode],"BG")),"")</f>
        <v/>
      </c>
      <c r="F85" s="29" t="str">
        <f>IFERROR(IF(SUMIFS(tblDaily[TransfersIn],tblDaily[EntryDate],DATE(2026,3,1),tblDaily[WardCode],"BG")=0,"",SUMIFS(tblDaily[TransfersIn],tblDaily[EntryDate],DATE(2026,3,1),tblDaily[WardCode],"BG")),"")</f>
        <v/>
      </c>
      <c r="G85" s="29">
        <f>IFERROR(IF(SUMIFS(tblDaily[TransfersOut],tblDaily[EntryDate],DATE(2026,3,1),tblDaily[WardCode],"BG")=0,"",SUMIFS(tblDaily[TransfersOut],tblDaily[EntryDate],DATE(2026,3,1),tblDaily[WardCode],"BG")),"")</f>
        <v>3</v>
      </c>
      <c r="H85" s="29">
        <f>IFERROR(IF(SUMIFS(tblDaily[Remaining],tblDaily[EntryDate],DATE(2026,3,1),tblDaily[WardCode],"BG")=0,"",SUMIFS(tblDaily[Remaining],tblDaily[EntryDate],DATE(2026,3,1),tblDaily[WardCode],"BG")),"")</f>
        <v>11</v>
      </c>
    </row>
    <row r="86" spans="1:8" x14ac:dyDescent="0.25">
      <c r="A86" s="29">
        <v>2</v>
      </c>
      <c r="B86" s="29">
        <f>IFERROR(IF(SUMIFS(tblDaily[Admissions],tblDaily[EntryDate],DATE(2026,3,2),tblDaily[WardCode],"BG")=0,"",SUMIFS(tblDaily[Admissions],tblDaily[EntryDate],DATE(2026,3,2),tblDaily[WardCode],"BG")),"")</f>
        <v>1</v>
      </c>
      <c r="C86" s="29">
        <f>IFERROR(IF(SUMIFS(tblDaily[Discharges],tblDaily[EntryDate],DATE(2026,3,2),tblDaily[WardCode],"BG")=0,"",SUMIFS(tblDaily[Discharges],tblDaily[EntryDate],DATE(2026,3,2),tblDaily[WardCode],"BG")),"")</f>
        <v>6</v>
      </c>
      <c r="D86" s="29" t="str">
        <f>IFERROR(IF(SUMIFS(tblDaily[Deaths],tblDaily[EntryDate],DATE(2026,3,2),tblDaily[WardCode],"BG")=0,"",SUMIFS(tblDaily[Deaths],tblDaily[EntryDate],DATE(2026,3,2),tblDaily[WardCode],"BG")),"")</f>
        <v/>
      </c>
      <c r="E86" s="29" t="str">
        <f>IFERROR(IF(SUMIFS(tblDaily[DeathsUnder24Hrs],tblDaily[EntryDate],DATE(2026,3,2),tblDaily[WardCode],"BG")=0,"",SUMIFS(tblDaily[DeathsUnder24Hrs],tblDaily[EntryDate],DATE(2026,3,2),tblDaily[WardCode],"BG")),"")</f>
        <v/>
      </c>
      <c r="F86" s="29">
        <f>IFERROR(IF(SUMIFS(tblDaily[TransfersIn],tblDaily[EntryDate],DATE(2026,3,2),tblDaily[WardCode],"BG")=0,"",SUMIFS(tblDaily[TransfersIn],tblDaily[EntryDate],DATE(2026,3,2),tblDaily[WardCode],"BG")),"")</f>
        <v>3</v>
      </c>
      <c r="G86" s="29">
        <f>IFERROR(IF(SUMIFS(tblDaily[TransfersOut],tblDaily[EntryDate],DATE(2026,3,2),tblDaily[WardCode],"BG")=0,"",SUMIFS(tblDaily[TransfersOut],tblDaily[EntryDate],DATE(2026,3,2),tblDaily[WardCode],"BG")),"")</f>
        <v>1</v>
      </c>
      <c r="H86" s="29">
        <f>IFERROR(IF(SUMIFS(tblDaily[Remaining],tblDaily[EntryDate],DATE(2026,3,2),tblDaily[WardCode],"BG")=0,"",SUMIFS(tblDaily[Remaining],tblDaily[EntryDate],DATE(2026,3,2),tblDaily[WardCode],"BG")),"")</f>
        <v>8</v>
      </c>
    </row>
    <row r="87" spans="1:8" x14ac:dyDescent="0.25">
      <c r="A87" s="29">
        <v>3</v>
      </c>
      <c r="B87" s="29">
        <f>IFERROR(IF(SUMIFS(tblDaily[Admissions],tblDaily[EntryDate],DATE(2026,3,3),tblDaily[WardCode],"BG")=0,"",SUMIFS(tblDaily[Admissions],tblDaily[EntryDate],DATE(2026,3,3),tblDaily[WardCode],"BG")),"")</f>
        <v>6</v>
      </c>
      <c r="C87" s="29">
        <f>IFERROR(IF(SUMIFS(tblDaily[Discharges],tblDaily[EntryDate],DATE(2026,3,3),tblDaily[WardCode],"BG")=0,"",SUMIFS(tblDaily[Discharges],tblDaily[EntryDate],DATE(2026,3,3),tblDaily[WardCode],"BG")),"")</f>
        <v>1</v>
      </c>
      <c r="D87" s="29" t="str">
        <f>IFERROR(IF(SUMIFS(tblDaily[Deaths],tblDaily[EntryDate],DATE(2026,3,3),tblDaily[WardCode],"BG")=0,"",SUMIFS(tblDaily[Deaths],tblDaily[EntryDate],DATE(2026,3,3),tblDaily[WardCode],"BG")),"")</f>
        <v/>
      </c>
      <c r="E87" s="29" t="str">
        <f>IFERROR(IF(SUMIFS(tblDaily[DeathsUnder24Hrs],tblDaily[EntryDate],DATE(2026,3,3),tblDaily[WardCode],"BG")=0,"",SUMIFS(tblDaily[DeathsUnder24Hrs],tblDaily[EntryDate],DATE(2026,3,3),tblDaily[WardCode],"BG")),"")</f>
        <v/>
      </c>
      <c r="F87" s="29">
        <f>IFERROR(IF(SUMIFS(tblDaily[TransfersIn],tblDaily[EntryDate],DATE(2026,3,3),tblDaily[WardCode],"BG")=0,"",SUMIFS(tblDaily[TransfersIn],tblDaily[EntryDate],DATE(2026,3,3),tblDaily[WardCode],"BG")),"")</f>
        <v>1</v>
      </c>
      <c r="G87" s="29" t="str">
        <f>IFERROR(IF(SUMIFS(tblDaily[TransfersOut],tblDaily[EntryDate],DATE(2026,3,3),tblDaily[WardCode],"BG")=0,"",SUMIFS(tblDaily[TransfersOut],tblDaily[EntryDate],DATE(2026,3,3),tblDaily[WardCode],"BG")),"")</f>
        <v/>
      </c>
      <c r="H87" s="29">
        <f>IFERROR(IF(SUMIFS(tblDaily[Remaining],tblDaily[EntryDate],DATE(2026,3,3),tblDaily[WardCode],"BG")=0,"",SUMIFS(tblDaily[Remaining],tblDaily[EntryDate],DATE(2026,3,3),tblDaily[WardCode],"BG")),"")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IFERROR(IF(SUMIFS(tblDaily[Admissions],tblDaily[EntryDate],DATE(2026,3,4),tblDaily[WardCode],"BG")=0,"",SUMIFS(tblDaily[Admissions],tblDaily[EntryDate],DATE(2026,3,4),tblDaily[WardCode],"BG")),"")</f>
        <v>8</v>
      </c>
      <c r="C88" s="29">
        <f>IFERROR(IF(SUMIFS(tblDaily[Discharges],tblDaily[EntryDate],DATE(2026,3,4),tblDaily[WardCode],"BG")=0,"",SUMIFS(tblDaily[Discharges],tblDaily[EntryDate],DATE(2026,3,4),tblDaily[WardCode],"BG")),"")</f>
        <v>8</v>
      </c>
      <c r="D88" s="29" t="str">
        <f>IFERROR(IF(SUMIFS(tblDaily[Deaths],tblDaily[EntryDate],DATE(2026,3,4),tblDaily[WardCode],"BG")=0,"",SUMIFS(tblDaily[Deaths],tblDaily[EntryDate],DATE(2026,3,4),tblDaily[WardCode],"BG")),"")</f>
        <v/>
      </c>
      <c r="E88" s="29" t="str">
        <f>IFERROR(IF(SUMIFS(tblDaily[DeathsUnder24Hrs],tblDaily[EntryDate],DATE(2026,3,4),tblDaily[WardCode],"BG")=0,"",SUMIFS(tblDaily[DeathsUnder24Hrs],tblDaily[EntryDate],DATE(2026,3,4),tblDaily[WardCode],"BG")),"")</f>
        <v/>
      </c>
      <c r="F88" s="29">
        <f>IFERROR(IF(SUMIFS(tblDaily[TransfersIn],tblDaily[EntryDate],DATE(2026,3,4),tblDaily[WardCode],"BG")=0,"",SUMIFS(tblDaily[TransfersIn],tblDaily[EntryDate],DATE(2026,3,4),tblDaily[WardCode],"BG")),"")</f>
        <v>3</v>
      </c>
      <c r="G88" s="29">
        <f>IFERROR(IF(SUMIFS(tblDaily[TransfersOut],tblDaily[EntryDate],DATE(2026,3,4),tblDaily[WardCode],"BG")=0,"",SUMIFS(tblDaily[TransfersOut],tblDaily[EntryDate],DATE(2026,3,4),tblDaily[WardCode],"BG")),"")</f>
        <v>1</v>
      </c>
      <c r="H88" s="29">
        <f>IFERROR(IF(SUMIFS(tblDaily[Remaining],tblDaily[EntryDate],DATE(2026,3,4),tblDaily[WardCode],"BG")=0,"",SUMIFS(tblDaily[Remaining],tblDaily[EntryDate],DATE(2026,3,4),tblDaily[WardCode],"BG")),"")</f>
        <v>16</v>
      </c>
    </row>
    <row r="89" spans="1:8" x14ac:dyDescent="0.25">
      <c r="A89" s="29">
        <v>5</v>
      </c>
      <c r="B89" s="29">
        <f>IFERROR(IF(SUMIFS(tblDaily[Admissions],tblDaily[EntryDate],DATE(2026,3,5),tblDaily[WardCode],"BG")=0,"",SUMIFS(tblDaily[Admissions],tblDaily[EntryDate],DATE(2026,3,5),tblDaily[WardCode],"BG")),"")</f>
        <v>2</v>
      </c>
      <c r="C89" s="29">
        <f>IFERROR(IF(SUMIFS(tblDaily[Discharges],tblDaily[EntryDate],DATE(2026,3,5),tblDaily[WardCode],"BG")=0,"",SUMIFS(tblDaily[Discharges],tblDaily[EntryDate],DATE(2026,3,5),tblDaily[WardCode],"BG")),"")</f>
        <v>9</v>
      </c>
      <c r="D89" s="29" t="str">
        <f>IFERROR(IF(SUMIFS(tblDaily[Deaths],tblDaily[EntryDate],DATE(2026,3,5),tblDaily[WardCode],"BG")=0,"",SUMIFS(tblDaily[Deaths],tblDaily[EntryDate],DATE(2026,3,5),tblDaily[WardCode],"BG")),"")</f>
        <v/>
      </c>
      <c r="E89" s="29" t="str">
        <f>IFERROR(IF(SUMIFS(tblDaily[DeathsUnder24Hrs],tblDaily[EntryDate],DATE(2026,3,5),tblDaily[WardCode],"BG")=0,"",SUMIFS(tblDaily[DeathsUnder24Hrs],tblDaily[EntryDate],DATE(2026,3,5),tblDaily[WardCode],"BG")),"")</f>
        <v/>
      </c>
      <c r="F89" s="29">
        <f>IFERROR(IF(SUMIFS(tblDaily[TransfersIn],tblDaily[EntryDate],DATE(2026,3,5),tblDaily[WardCode],"BG")=0,"",SUMIFS(tblDaily[TransfersIn],tblDaily[EntryDate],DATE(2026,3,5),tblDaily[WardCode],"BG")),"")</f>
        <v>1</v>
      </c>
      <c r="G89" s="29">
        <f>IFERROR(IF(SUMIFS(tblDaily[TransfersOut],tblDaily[EntryDate],DATE(2026,3,5),tblDaily[WardCode],"BG")=0,"",SUMIFS(tblDaily[TransfersOut],tblDaily[EntryDate],DATE(2026,3,5),tblDaily[WardCode],"BG")),"")</f>
        <v>2</v>
      </c>
      <c r="H89" s="29">
        <f>IFERROR(IF(SUMIFS(tblDaily[Remaining],tblDaily[EntryDate],DATE(2026,3,5),tblDaily[WardCode],"BG")=0,"",SUMIFS(tblDaily[Remaining],tblDaily[EntryDate],DATE(2026,3,5),tblDaily[WardCode],"BG")),"")</f>
        <v>8</v>
      </c>
    </row>
    <row r="90" spans="1:8" x14ac:dyDescent="0.25">
      <c r="A90" s="29">
        <v>6</v>
      </c>
      <c r="B90" s="29">
        <f>IFERROR(IF(SUMIFS(tblDaily[Admissions],tblDaily[EntryDate],DATE(2026,3,6),tblDaily[WardCode],"BG")=0,"",SUMIFS(tblDaily[Admissions],tblDaily[EntryDate],DATE(2026,3,6),tblDaily[WardCode],"BG")),"")</f>
        <v>6</v>
      </c>
      <c r="C90" s="29">
        <f>IFERROR(IF(SUMIFS(tblDaily[Discharges],tblDaily[EntryDate],DATE(2026,3,6),tblDaily[WardCode],"BG")=0,"",SUMIFS(tblDaily[Discharges],tblDaily[EntryDate],DATE(2026,3,6),tblDaily[WardCode],"BG")),"")</f>
        <v>1</v>
      </c>
      <c r="D90" s="29" t="str">
        <f>IFERROR(IF(SUMIFS(tblDaily[Deaths],tblDaily[EntryDate],DATE(2026,3,6),tblDaily[WardCode],"BG")=0,"",SUMIFS(tblDaily[Deaths],tblDaily[EntryDate],DATE(2026,3,6),tblDaily[WardCode],"BG")),"")</f>
        <v/>
      </c>
      <c r="E90" s="29" t="str">
        <f>IFERROR(IF(SUMIFS(tblDaily[DeathsUnder24Hrs],tblDaily[EntryDate],DATE(2026,3,6),tblDaily[WardCode],"BG")=0,"",SUMIFS(tblDaily[DeathsUnder24Hrs],tblDaily[EntryDate],DATE(2026,3,6),tblDaily[WardCode],"BG")),"")</f>
        <v/>
      </c>
      <c r="F90" s="29">
        <f>IFERROR(IF(SUMIFS(tblDaily[TransfersIn],tblDaily[EntryDate],DATE(2026,3,6),tblDaily[WardCode],"BG")=0,"",SUMIFS(tblDaily[TransfersIn],tblDaily[EntryDate],DATE(2026,3,6),tblDaily[WardCode],"BG")),"")</f>
        <v>2</v>
      </c>
      <c r="G90" s="29">
        <f>IFERROR(IF(SUMIFS(tblDaily[TransfersOut],tblDaily[EntryDate],DATE(2026,3,6),tblDaily[WardCode],"BG")=0,"",SUMIFS(tblDaily[TransfersOut],tblDaily[EntryDate],DATE(2026,3,6),tblDaily[WardCode],"BG")),"")</f>
        <v>3</v>
      </c>
      <c r="H90" s="29">
        <f>IFERROR(IF(SUMIFS(tblDaily[Remaining],tblDaily[EntryDate],DATE(2026,3,6),tblDaily[WardCode],"BG")=0,"",SUMIFS(tblDaily[Remaining],tblDaily[EntryDate],DATE(2026,3,6),tblDaily[WardCode],"BG")),"")</f>
        <v>12</v>
      </c>
    </row>
    <row r="91" spans="1:8" x14ac:dyDescent="0.25">
      <c r="A91" s="29">
        <v>7</v>
      </c>
      <c r="B91" s="29">
        <f>IFERROR(IF(SUMIFS(tblDaily[Admissions],tblDaily[EntryDate],DATE(2026,3,7),tblDaily[WardCode],"BG")=0,"",SUMIFS(tblDaily[Admissions],tblDaily[EntryDate],DATE(2026,3,7),tblDaily[WardCode],"BG")),"")</f>
        <v>6</v>
      </c>
      <c r="C91" s="29">
        <f>IFERROR(IF(SUMIFS(tblDaily[Discharges],tblDaily[EntryDate],DATE(2026,3,7),tblDaily[WardCode],"BG")=0,"",SUMIFS(tblDaily[Discharges],tblDaily[EntryDate],DATE(2026,3,7),tblDaily[WardCode],"BG")),"")</f>
        <v>2</v>
      </c>
      <c r="D91" s="29" t="str">
        <f>IFERROR(IF(SUMIFS(tblDaily[Deaths],tblDaily[EntryDate],DATE(2026,3,7),tblDaily[WardCode],"BG")=0,"",SUMIFS(tblDaily[Deaths],tblDaily[EntryDate],DATE(2026,3,7),tblDaily[WardCode],"BG")),"")</f>
        <v/>
      </c>
      <c r="E91" s="29" t="str">
        <f>IFERROR(IF(SUMIFS(tblDaily[DeathsUnder24Hrs],tblDaily[EntryDate],DATE(2026,3,7),tblDaily[WardCode],"BG")=0,"",SUMIFS(tblDaily[DeathsUnder24Hrs],tblDaily[EntryDate],DATE(2026,3,7),tblDaily[WardCode],"BG")),"")</f>
        <v/>
      </c>
      <c r="F91" s="29">
        <f>IFERROR(IF(SUMIFS(tblDaily[TransfersIn],tblDaily[EntryDate],DATE(2026,3,7),tblDaily[WardCode],"BG")=0,"",SUMIFS(tblDaily[TransfersIn],tblDaily[EntryDate],DATE(2026,3,7),tblDaily[WardCode],"BG")),"")</f>
        <v>2</v>
      </c>
      <c r="G91" s="29">
        <f>IFERROR(IF(SUMIFS(tblDaily[TransfersOut],tblDaily[EntryDate],DATE(2026,3,7),tblDaily[WardCode],"BG")=0,"",SUMIFS(tblDaily[TransfersOut],tblDaily[EntryDate],DATE(2026,3,7),tblDaily[WardCode],"BG")),"")</f>
        <v>2</v>
      </c>
      <c r="H91" s="29">
        <f>IFERROR(IF(SUMIFS(tblDaily[Remaining],tblDaily[EntryDate],DATE(2026,3,7),tblDaily[WardCode],"BG")=0,"",SUMIFS(tblDaily[Remaining],tblDaily[EntryDate],DATE(2026,3,7),tblDaily[WardCode],"BG")),"")</f>
        <v>16</v>
      </c>
    </row>
    <row r="92" spans="1:8" x14ac:dyDescent="0.25">
      <c r="A92" s="29">
        <v>8</v>
      </c>
      <c r="B92" s="29">
        <f>IFERROR(IF(SUMIFS(tblDaily[Admissions],tblDaily[EntryDate],DATE(2026,3,8),tblDaily[WardCode],"BG")=0,"",SUMIFS(tblDaily[Admissions],tblDaily[EntryDate],DATE(2026,3,8),tblDaily[WardCode],"BG")),"")</f>
        <v>1</v>
      </c>
      <c r="C92" s="29">
        <f>IFERROR(IF(SUMIFS(tblDaily[Discharges],tblDaily[EntryDate],DATE(2026,3,8),tblDaily[WardCode],"BG")=0,"",SUMIFS(tblDaily[Discharges],tblDaily[EntryDate],DATE(2026,3,8),tblDaily[WardCode],"BG")),"")</f>
        <v>6</v>
      </c>
      <c r="D92" s="29" t="str">
        <f>IFERROR(IF(SUMIFS(tblDaily[Deaths],tblDaily[EntryDate],DATE(2026,3,8),tblDaily[WardCode],"BG")=0,"",SUMIFS(tblDaily[Deaths],tblDaily[EntryDate],DATE(2026,3,8),tblDaily[WardCode],"BG")),"")</f>
        <v/>
      </c>
      <c r="E92" s="29" t="str">
        <f>IFERROR(IF(SUMIFS(tblDaily[DeathsUnder24Hrs],tblDaily[EntryDate],DATE(2026,3,8),tblDaily[WardCode],"BG")=0,"",SUMIFS(tblDaily[DeathsUnder24Hrs],tblDaily[EntryDate],DATE(2026,3,8),tblDaily[WardCode],"BG")),"")</f>
        <v/>
      </c>
      <c r="F92" s="29">
        <f>IFERROR(IF(SUMIFS(tblDaily[TransfersIn],tblDaily[EntryDate],DATE(2026,3,8),tblDaily[WardCode],"BG")=0,"",SUMIFS(tblDaily[TransfersIn],tblDaily[EntryDate],DATE(2026,3,8),tblDaily[WardCode],"BG")),"")</f>
        <v>2</v>
      </c>
      <c r="G92" s="29">
        <f>IFERROR(IF(SUMIFS(tblDaily[TransfersOut],tblDaily[EntryDate],DATE(2026,3,8),tblDaily[WardCode],"BG")=0,"",SUMIFS(tblDaily[TransfersOut],tblDaily[EntryDate],DATE(2026,3,8),tblDaily[WardCode],"BG")),"")</f>
        <v>3</v>
      </c>
      <c r="H92" s="29">
        <f>IFERROR(IF(SUMIFS(tblDaily[Remaining],tblDaily[EntryDate],DATE(2026,3,8),tblDaily[WardCode],"BG")=0,"",SUMIFS(tblDaily[Remaining],tblDaily[EntryDate],DATE(2026,3,8),tblDaily[WardCode],"BG")),"")</f>
        <v>10</v>
      </c>
    </row>
    <row r="93" spans="1:8" x14ac:dyDescent="0.25">
      <c r="A93" s="29">
        <v>9</v>
      </c>
      <c r="B93" s="29">
        <f>IFERROR(IF(SUMIFS(tblDaily[Admissions],tblDaily[EntryDate],DATE(2026,3,9),tblDaily[WardCode],"BG")=0,"",SUMIFS(tblDaily[Admissions],tblDaily[EntryDate],DATE(2026,3,9),tblDaily[WardCode],"BG")),"")</f>
        <v>4</v>
      </c>
      <c r="C93" s="29">
        <f>IFERROR(IF(SUMIFS(tblDaily[Discharges],tblDaily[EntryDate],DATE(2026,3,9),tblDaily[WardCode],"BG")=0,"",SUMIFS(tblDaily[Discharges],tblDaily[EntryDate],DATE(2026,3,9),tblDaily[WardCode],"BG")),"")</f>
        <v>4</v>
      </c>
      <c r="D93" s="29" t="str">
        <f>IFERROR(IF(SUMIFS(tblDaily[Deaths],tblDaily[EntryDate],DATE(2026,3,9),tblDaily[WardCode],"BG")=0,"",SUMIFS(tblDaily[Deaths],tblDaily[EntryDate],DATE(2026,3,9),tblDaily[WardCode],"BG")),"")</f>
        <v/>
      </c>
      <c r="E93" s="29" t="str">
        <f>IFERROR(IF(SUMIFS(tblDaily[DeathsUnder24Hrs],tblDaily[EntryDate],DATE(2026,3,9),tblDaily[WardCode],"BG")=0,"",SUMIFS(tblDaily[DeathsUnder24Hrs],tblDaily[EntryDate],DATE(2026,3,9),tblDaily[WardCode],"BG")),"")</f>
        <v/>
      </c>
      <c r="F93" s="29" t="str">
        <f>IFERROR(IF(SUMIFS(tblDaily[TransfersIn],tblDaily[EntryDate],DATE(2026,3,9),tblDaily[WardCode],"BG")=0,"",SUMIFS(tblDaily[TransfersIn],tblDaily[EntryDate],DATE(2026,3,9),tblDaily[WardCode],"BG")),"")</f>
        <v/>
      </c>
      <c r="G93" s="29" t="str">
        <f>IFERROR(IF(SUMIFS(tblDaily[TransfersOut],tblDaily[EntryDate],DATE(2026,3,9),tblDaily[WardCode],"BG")=0,"",SUMIFS(tblDaily[TransfersOut],tblDaily[EntryDate],DATE(2026,3,9),tblDaily[WardCode],"BG")),"")</f>
        <v/>
      </c>
      <c r="H93" s="29">
        <f>IFERROR(IF(SUMIFS(tblDaily[Remaining],tblDaily[EntryDate],DATE(2026,3,9),tblDaily[WardCode],"BG")=0,"",SUMIFS(tblDaily[Remaining],tblDaily[EntryDate],DATE(2026,3,9),tblDaily[WardCode],"BG")),"")</f>
        <v>10</v>
      </c>
    </row>
    <row r="94" spans="1:8" x14ac:dyDescent="0.25">
      <c r="A94" s="29">
        <v>10</v>
      </c>
      <c r="B94" s="29">
        <f>IFERROR(IF(SUMIFS(tblDaily[Admissions],tblDaily[EntryDate],DATE(2026,3,10),tblDaily[WardCode],"BG")=0,"",SUMIFS(tblDaily[Admissions],tblDaily[EntryDate],DATE(2026,3,10),tblDaily[WardCode],"BG")),"")</f>
        <v>4</v>
      </c>
      <c r="C94" s="29">
        <f>IFERROR(IF(SUMIFS(tblDaily[Discharges],tblDaily[EntryDate],DATE(2026,3,10),tblDaily[WardCode],"BG")=0,"",SUMIFS(tblDaily[Discharges],tblDaily[EntryDate],DATE(2026,3,10),tblDaily[WardCode],"BG")),"")</f>
        <v>3</v>
      </c>
      <c r="D94" s="29" t="str">
        <f>IFERROR(IF(SUMIFS(tblDaily[Deaths],tblDaily[EntryDate],DATE(2026,3,10),tblDaily[WardCode],"BG")=0,"",SUMIFS(tblDaily[Deaths],tblDaily[EntryDate],DATE(2026,3,10),tblDaily[WardCode],"BG")),"")</f>
        <v/>
      </c>
      <c r="E94" s="29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29">
        <f>IFERROR(IF(SUMIFS(tblDaily[TransfersIn],tblDaily[EntryDate],DATE(2026,3,10),tblDaily[WardCode],"BG")=0,"",SUMIFS(tblDaily[TransfersIn],tblDaily[EntryDate],DATE(2026,3,10),tblDaily[WardCode],"BG")),"")</f>
        <v>1</v>
      </c>
      <c r="G94" s="29">
        <f>IFERROR(IF(SUMIFS(tblDaily[TransfersOut],tblDaily[EntryDate],DATE(2026,3,10),tblDaily[WardCode],"BG")=0,"",SUMIFS(tblDaily[TransfersOut],tblDaily[EntryDate],DATE(2026,3,10),tblDaily[WardCode],"BG")),"")</f>
        <v>1</v>
      </c>
      <c r="H94" s="29">
        <f>IFERROR(IF(SUMIFS(tblDaily[Remaining],tblDaily[EntryDate],DATE(2026,3,10),tblDaily[WardCode],"BG")=0,"",SUMIFS(tblDaily[Remaining],tblDaily[EntryDate],DATE(2026,3,10),tblDaily[WardCode],"BG")),"")</f>
        <v>11</v>
      </c>
    </row>
    <row r="95" spans="1:8" x14ac:dyDescent="0.25">
      <c r="A95" s="29">
        <v>11</v>
      </c>
      <c r="B95" s="29">
        <f>IFERROR(IF(SUMIFS(tblDaily[Admissions],tblDaily[EntryDate],DATE(2026,3,11),tblDaily[WardCode],"BG")=0,"",SUMIFS(tblDaily[Admissions],tblDaily[EntryDate],DATE(2026,3,11),tblDaily[WardCode],"BG")),"")</f>
        <v>5</v>
      </c>
      <c r="C95" s="29">
        <f>IFERROR(IF(SUMIFS(tblDaily[Discharges],tblDaily[EntryDate],DATE(2026,3,11),tblDaily[WardCode],"BG")=0,"",SUMIFS(tblDaily[Discharges],tblDaily[EntryDate],DATE(2026,3,11),tblDaily[WardCode],"BG")),"")</f>
        <v>4</v>
      </c>
      <c r="D95" s="29" t="str">
        <f>IFERROR(IF(SUMIFS(tblDaily[Deaths],tblDaily[EntryDate],DATE(2026,3,11),tblDaily[WardCode],"BG")=0,"",SUMIFS(tblDaily[Deaths],tblDaily[EntryDate],DATE(2026,3,11),tblDaily[WardCode],"BG")),"")</f>
        <v/>
      </c>
      <c r="E95" s="29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29">
        <f>IFERROR(IF(SUMIFS(tblDaily[TransfersIn],tblDaily[EntryDate],DATE(2026,3,11),tblDaily[WardCode],"BG")=0,"",SUMIFS(tblDaily[TransfersIn],tblDaily[EntryDate],DATE(2026,3,11),tblDaily[WardCode],"BG")),"")</f>
        <v>2</v>
      </c>
      <c r="G95" s="29">
        <f>IFERROR(IF(SUMIFS(tblDaily[TransfersOut],tblDaily[EntryDate],DATE(2026,3,11),tblDaily[WardCode],"BG")=0,"",SUMIFS(tblDaily[TransfersOut],tblDaily[EntryDate],DATE(2026,3,11),tblDaily[WardCode],"BG")),"")</f>
        <v>1</v>
      </c>
      <c r="H95" s="29">
        <f>IFERROR(IF(SUMIFS(tblDaily[Remaining],tblDaily[EntryDate],DATE(2026,3,11),tblDaily[WardCode],"BG")=0,"",SUMIFS(tblDaily[Remaining],tblDaily[EntryDate],DATE(2026,3,11),tblDaily[WardCode],"BG")),"")</f>
        <v>13</v>
      </c>
    </row>
    <row r="96" spans="1:8" x14ac:dyDescent="0.25">
      <c r="A96" s="29">
        <v>12</v>
      </c>
      <c r="B96" s="29">
        <f>IFERROR(IF(SUMIFS(tblDaily[Admissions],tblDaily[EntryDate],DATE(2026,3,12),tblDaily[WardCode],"BG")=0,"",SUMIFS(tblDaily[Admissions],tblDaily[EntryDate],DATE(2026,3,12),tblDaily[WardCode],"BG")),"")</f>
        <v>4</v>
      </c>
      <c r="C96" s="29">
        <f>IFERROR(IF(SUMIFS(tblDaily[Discharges],tblDaily[EntryDate],DATE(2026,3,12),tblDaily[WardCode],"BG")=0,"",SUMIFS(tblDaily[Discharges],tblDaily[EntryDate],DATE(2026,3,12),tblDaily[WardCode],"BG")),"")</f>
        <v>8</v>
      </c>
      <c r="D96" s="29" t="str">
        <f>IFERROR(IF(SUMIFS(tblDaily[Deaths],tblDaily[EntryDate],DATE(2026,3,12),tblDaily[WardCode],"BG")=0,"",SUMIFS(tblDaily[Deaths],tblDaily[EntryDate],DATE(2026,3,12),tblDaily[WardCode],"BG")),"")</f>
        <v/>
      </c>
      <c r="E96" s="29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29">
        <f>IFERROR(IF(SUMIFS(tblDaily[TransfersIn],tblDaily[EntryDate],DATE(2026,3,12),tblDaily[WardCode],"BG")=0,"",SUMIFS(tblDaily[TransfersIn],tblDaily[EntryDate],DATE(2026,3,12),tblDaily[WardCode],"BG")),"")</f>
        <v>2</v>
      </c>
      <c r="G96" s="29">
        <f>IFERROR(IF(SUMIFS(tblDaily[TransfersOut],tblDaily[EntryDate],DATE(2026,3,12),tblDaily[WardCode],"BG")=0,"",SUMIFS(tblDaily[TransfersOut],tblDaily[EntryDate],DATE(2026,3,12),tblDaily[WardCode],"BG")),"")</f>
        <v>1</v>
      </c>
      <c r="H96" s="29">
        <f>IFERROR(IF(SUMIFS(tblDaily[Remaining],tblDaily[EntryDate],DATE(2026,3,12),tblDaily[WardCode],"BG")=0,"",SUMIFS(tblDaily[Remaining],tblDaily[EntryDate],DATE(2026,3,12),tblDaily[WardCode],"BG")),"")</f>
        <v>10</v>
      </c>
    </row>
    <row r="97" spans="1:8" x14ac:dyDescent="0.25">
      <c r="A97" s="29">
        <v>13</v>
      </c>
      <c r="B97" s="29">
        <f>IFERROR(IF(SUMIFS(tblDaily[Admissions],tblDaily[EntryDate],DATE(2026,3,13),tblDaily[WardCode],"BG")=0,"",SUMIFS(tblDaily[Admissions],tblDaily[EntryDate],DATE(2026,3,13),tblDaily[WardCode],"BG")),"")</f>
        <v>6</v>
      </c>
      <c r="C97" s="29">
        <f>IFERROR(IF(SUMIFS(tblDaily[Discharges],tblDaily[EntryDate],DATE(2026,3,13),tblDaily[WardCode],"BG")=0,"",SUMIFS(tblDaily[Discharges],tblDaily[EntryDate],DATE(2026,3,13),tblDaily[WardCode],"BG")),"")</f>
        <v>4</v>
      </c>
      <c r="D97" s="29" t="str">
        <f>IFERROR(IF(SUMIFS(tblDaily[Deaths],tblDaily[EntryDate],DATE(2026,3,13),tblDaily[WardCode],"BG")=0,"",SUMIFS(tblDaily[Deaths],tblDaily[EntryDate],DATE(2026,3,13),tblDaily[WardCode],"BG")),"")</f>
        <v/>
      </c>
      <c r="E97" s="29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29">
        <f>IFERROR(IF(SUMIFS(tblDaily[TransfersIn],tblDaily[EntryDate],DATE(2026,3,13),tblDaily[WardCode],"BG")=0,"",SUMIFS(tblDaily[TransfersIn],tblDaily[EntryDate],DATE(2026,3,13),tblDaily[WardCode],"BG")),"")</f>
        <v>4</v>
      </c>
      <c r="G97" s="29">
        <f>IFERROR(IF(SUMIFS(tblDaily[TransfersOut],tblDaily[EntryDate],DATE(2026,3,13),tblDaily[WardCode],"BG")=0,"",SUMIFS(tblDaily[TransfersOut],tblDaily[EntryDate],DATE(2026,3,13),tblDaily[WardCode],"BG")),"")</f>
        <v>3</v>
      </c>
      <c r="H97" s="29">
        <f>IFERROR(IF(SUMIFS(tblDaily[Remaining],tblDaily[EntryDate],DATE(2026,3,13),tblDaily[WardCode],"BG")=0,"",SUMIFS(tblDaily[Remaining],tblDaily[EntryDate],DATE(2026,3,13),tblDaily[WardCode],"BG")),"")</f>
        <v>13</v>
      </c>
    </row>
    <row r="98" spans="1:8" x14ac:dyDescent="0.25">
      <c r="A98" s="29">
        <v>14</v>
      </c>
      <c r="B98" s="29">
        <f>IFERROR(IF(SUMIFS(tblDaily[Admissions],tblDaily[EntryDate],DATE(2026,3,14),tblDaily[WardCode],"BG")=0,"",SUMIFS(tblDaily[Admissions],tblDaily[EntryDate],DATE(2026,3,14),tblDaily[WardCode],"BG")),"")</f>
        <v>4</v>
      </c>
      <c r="C98" s="29">
        <f>IFERROR(IF(SUMIFS(tblDaily[Discharges],tblDaily[EntryDate],DATE(2026,3,14),tblDaily[WardCode],"BG")=0,"",SUMIFS(tblDaily[Discharges],tblDaily[EntryDate],DATE(2026,3,14),tblDaily[WardCode],"BG")),"")</f>
        <v>5</v>
      </c>
      <c r="D98" s="29" t="str">
        <f>IFERROR(IF(SUMIFS(tblDaily[Deaths],tblDaily[EntryDate],DATE(2026,3,14),tblDaily[WardCode],"BG")=0,"",SUMIFS(tblDaily[Deaths],tblDaily[EntryDate],DATE(2026,3,14),tblDaily[WardCode],"BG")),"")</f>
        <v/>
      </c>
      <c r="E98" s="29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29">
        <f>IFERROR(IF(SUMIFS(tblDaily[TransfersIn],tblDaily[EntryDate],DATE(2026,3,14),tblDaily[WardCode],"BG")=0,"",SUMIFS(tblDaily[TransfersIn],tblDaily[EntryDate],DATE(2026,3,14),tblDaily[WardCode],"BG")),"")</f>
        <v>2</v>
      </c>
      <c r="G98" s="29">
        <f>IFERROR(IF(SUMIFS(tblDaily[TransfersOut],tblDaily[EntryDate],DATE(2026,3,14),tblDaily[WardCode],"BG")=0,"",SUMIFS(tblDaily[TransfersOut],tblDaily[EntryDate],DATE(2026,3,14),tblDaily[WardCode],"BG")),"")</f>
        <v>1</v>
      </c>
      <c r="H98" s="29">
        <f>IFERROR(IF(SUMIFS(tblDaily[Remaining],tblDaily[EntryDate],DATE(2026,3,14),tblDaily[WardCode],"BG")=0,"",SUMIFS(tblDaily[Remaining],tblDaily[EntryDate],DATE(2026,3,14),tblDaily[WardCode],"BG")),"")</f>
        <v>13</v>
      </c>
    </row>
    <row r="99" spans="1:8" x14ac:dyDescent="0.25">
      <c r="A99" s="29">
        <v>15</v>
      </c>
      <c r="B99" s="29" t="str">
        <f>IFERROR(IF(SUMIFS(tblDaily[Admissions],tblDaily[EntryDate],DATE(2026,3,15),tblDaily[WardCode],"BG")=0,"",SUMIFS(tblDaily[Admissions],tblDaily[EntryDate],DATE(2026,3,15),tblDaily[WardCode],"BG")),"")</f>
        <v/>
      </c>
      <c r="C99" s="29">
        <f>IFERROR(IF(SUMIFS(tblDaily[Discharges],tblDaily[EntryDate],DATE(2026,3,15),tblDaily[WardCode],"BG")=0,"",SUMIFS(tblDaily[Discharges],tblDaily[EntryDate],DATE(2026,3,15),tblDaily[WardCode],"BG")),"")</f>
        <v>1</v>
      </c>
      <c r="D99" s="29" t="str">
        <f>IFERROR(IF(SUMIFS(tblDaily[Deaths],tblDaily[EntryDate],DATE(2026,3,15),tblDaily[WardCode],"BG")=0,"",SUMIFS(tblDaily[Deaths],tblDaily[EntryDate],DATE(2026,3,15),tblDaily[WardCode],"BG")),"")</f>
        <v/>
      </c>
      <c r="E99" s="29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29">
        <f>IFERROR(IF(SUMIFS(tblDaily[TransfersIn],tblDaily[EntryDate],DATE(2026,3,15),tblDaily[WardCode],"BG")=0,"",SUMIFS(tblDaily[TransfersIn],tblDaily[EntryDate],DATE(2026,3,15),tblDaily[WardCode],"BG")),"")</f>
        <v>1</v>
      </c>
      <c r="G99" s="29">
        <f>IFERROR(IF(SUMIFS(tblDaily[TransfersOut],tblDaily[EntryDate],DATE(2026,3,15),tblDaily[WardCode],"BG")=0,"",SUMIFS(tblDaily[TransfersOut],tblDaily[EntryDate],DATE(2026,3,15),tblDaily[WardCode],"BG")),"")</f>
        <v>1</v>
      </c>
      <c r="H99" s="29">
        <f>IFERROR(IF(SUMIFS(tblDaily[Remaining],tblDaily[EntryDate],DATE(2026,3,15),tblDaily[WardCode],"BG")=0,"",SUMIFS(tblDaily[Remaining],tblDaily[EntryDate],DATE(2026,3,15),tblDaily[WardCode],"BG")),"")</f>
        <v>12</v>
      </c>
    </row>
    <row r="100" spans="1:8" x14ac:dyDescent="0.25">
      <c r="A100" s="29">
        <v>16</v>
      </c>
      <c r="B100" s="29">
        <f>IFERROR(IF(SUMIFS(tblDaily[Admissions],tblDaily[EntryDate],DATE(2026,3,16),tblDaily[WardCode],"BG")=0,"",SUMIFS(tblDaily[Admissions],tblDaily[EntryDate],DATE(2026,3,16),tblDaily[WardCode],"BG")),"")</f>
        <v>3</v>
      </c>
      <c r="C100" s="29">
        <f>IFERROR(IF(SUMIFS(tblDaily[Discharges],tblDaily[EntryDate],DATE(2026,3,16),tblDaily[WardCode],"BG")=0,"",SUMIFS(tblDaily[Discharges],tblDaily[EntryDate],DATE(2026,3,16),tblDaily[WardCode],"BG")),"")</f>
        <v>3</v>
      </c>
      <c r="D100" s="29" t="str">
        <f>IFERROR(IF(SUMIFS(tblDaily[Deaths],tblDaily[EntryDate],DATE(2026,3,16),tblDaily[WardCode],"BG")=0,"",SUMIFS(tblDaily[Deaths],tblDaily[EntryDate],DATE(2026,3,16),tblDaily[WardCode],"BG")),"")</f>
        <v/>
      </c>
      <c r="E100" s="29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29">
        <f>IFERROR(IF(SUMIFS(tblDaily[TransfersIn],tblDaily[EntryDate],DATE(2026,3,16),tblDaily[WardCode],"BG")=0,"",SUMIFS(tblDaily[TransfersIn],tblDaily[EntryDate],DATE(2026,3,16),tblDaily[WardCode],"BG")),"")</f>
        <v>1</v>
      </c>
      <c r="G100" s="29">
        <f>IFERROR(IF(SUMIFS(tblDaily[TransfersOut],tblDaily[EntryDate],DATE(2026,3,16),tblDaily[WardCode],"BG")=0,"",SUMIFS(tblDaily[TransfersOut],tblDaily[EntryDate],DATE(2026,3,16),tblDaily[WardCode],"BG")),"")</f>
        <v>1</v>
      </c>
      <c r="H100" s="29">
        <f>IFERROR(IF(SUMIFS(tblDaily[Remaining],tblDaily[EntryDate],DATE(2026,3,16),tblDaily[WardCode],"BG")=0,"",SUMIFS(tblDaily[Remaining],tblDaily[EntryDate],DATE(2026,3,16),tblDaily[WardCode],"BG")),"")</f>
        <v>12</v>
      </c>
    </row>
    <row r="101" spans="1:8" x14ac:dyDescent="0.25">
      <c r="A101" s="29">
        <v>17</v>
      </c>
      <c r="B101" s="29">
        <f>IFERROR(IF(SUMIFS(tblDaily[Admissions],tblDaily[EntryDate],DATE(2026,3,17),tblDaily[WardCode],"BG")=0,"",SUMIFS(tblDaily[Admissions],tblDaily[EntryDate],DATE(2026,3,17),tblDaily[WardCode],"BG")),"")</f>
        <v>2</v>
      </c>
      <c r="C101" s="29">
        <f>IFERROR(IF(SUMIFS(tblDaily[Discharges],tblDaily[EntryDate],DATE(2026,3,17),tblDaily[WardCode],"BG")=0,"",SUMIFS(tblDaily[Discharges],tblDaily[EntryDate],DATE(2026,3,17),tblDaily[WardCode],"BG")),"")</f>
        <v>4</v>
      </c>
      <c r="D101" s="29" t="str">
        <f>IFERROR(IF(SUMIFS(tblDaily[Deaths],tblDaily[EntryDate],DATE(2026,3,17),tblDaily[WardCode],"BG")=0,"",SUMIFS(tblDaily[Deaths],tblDaily[EntryDate],DATE(2026,3,17),tblDaily[WardCode],"BG")),"")</f>
        <v/>
      </c>
      <c r="E101" s="29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29" t="str">
        <f>IFERROR(IF(SUMIFS(tblDaily[TransfersIn],tblDaily[EntryDate],DATE(2026,3,17),tblDaily[WardCode],"BG")=0,"",SUMIFS(tblDaily[TransfersIn],tblDaily[EntryDate],DATE(2026,3,17),tblDaily[WardCode],"BG")),"")</f>
        <v/>
      </c>
      <c r="G101" s="29" t="str">
        <f>IFERROR(IF(SUMIFS(tblDaily[TransfersOut],tblDaily[EntryDate],DATE(2026,3,17),tblDaily[WardCode],"BG")=0,"",SUMIFS(tblDaily[TransfersOut],tblDaily[EntryDate],DATE(2026,3,17),tblDaily[WardCode],"BG")),"")</f>
        <v/>
      </c>
      <c r="H101" s="29">
        <f>IFERROR(IF(SUMIFS(tblDaily[Remaining],tblDaily[EntryDate],DATE(2026,3,17),tblDaily[WardCode],"BG")=0,"",SUMIFS(tblDaily[Remaining],tblDaily[EntryDate],DATE(2026,3,17),tblDaily[WardCode],"BG")),"")</f>
        <v>10</v>
      </c>
    </row>
    <row r="102" spans="1:8" x14ac:dyDescent="0.25">
      <c r="A102" s="29">
        <v>18</v>
      </c>
      <c r="B102" s="29">
        <f>IFERROR(IF(SUMIFS(tblDaily[Admissions],tblDaily[EntryDate],DATE(2026,3,18),tblDaily[WardCode],"BG")=0,"",SUMIFS(tblDaily[Admissions],tblDaily[EntryDate],DATE(2026,3,18),tblDaily[WardCode],"BG")),"")</f>
        <v>9</v>
      </c>
      <c r="C102" s="29">
        <f>IFERROR(IF(SUMIFS(tblDaily[Discharges],tblDaily[EntryDate],DATE(2026,3,18),tblDaily[WardCode],"BG")=0,"",SUMIFS(tblDaily[Discharges],tblDaily[EntryDate],DATE(2026,3,18),tblDaily[WardCode],"BG")),"")</f>
        <v>1</v>
      </c>
      <c r="D102" s="29" t="str">
        <f>IFERROR(IF(SUMIFS(tblDaily[Deaths],tblDaily[EntryDate],DATE(2026,3,18),tblDaily[WardCode],"BG")=0,"",SUMIFS(tblDaily[Deaths],tblDaily[EntryDate],DATE(2026,3,18),tblDaily[WardCode],"BG")),"")</f>
        <v/>
      </c>
      <c r="E102" s="29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29" t="str">
        <f>IFERROR(IF(SUMIFS(tblDaily[TransfersIn],tblDaily[EntryDate],DATE(2026,3,18),tblDaily[WardCode],"BG")=0,"",SUMIFS(tblDaily[TransfersIn],tblDaily[EntryDate],DATE(2026,3,18),tblDaily[WardCode],"BG")),"")</f>
        <v/>
      </c>
      <c r="G102" s="29">
        <f>IFERROR(IF(SUMIFS(tblDaily[TransfersOut],tblDaily[EntryDate],DATE(2026,3,18),tblDaily[WardCode],"BG")=0,"",SUMIFS(tblDaily[TransfersOut],tblDaily[EntryDate],DATE(2026,3,18),tblDaily[WardCode],"BG")),"")</f>
        <v>1</v>
      </c>
      <c r="H102" s="29">
        <f>IFERROR(IF(SUMIFS(tblDaily[Remaining],tblDaily[EntryDate],DATE(2026,3,18),tblDaily[WardCode],"BG")=0,"",SUMIFS(tblDaily[Remaining],tblDaily[EntryDate],DATE(2026,3,18),tblDaily[WardCode],"BG")),"")</f>
        <v>17</v>
      </c>
    </row>
    <row r="103" spans="1:8" x14ac:dyDescent="0.25">
      <c r="A103" s="29">
        <v>19</v>
      </c>
      <c r="B103" s="29">
        <f>IFERROR(IF(SUMIFS(tblDaily[Admissions],tblDaily[EntryDate],DATE(2026,3,19),tblDaily[WardCode],"BG")=0,"",SUMIFS(tblDaily[Admissions],tblDaily[EntryDate],DATE(2026,3,19),tblDaily[WardCode],"BG")),"")</f>
        <v>4</v>
      </c>
      <c r="C103" s="29">
        <f>IFERROR(IF(SUMIFS(tblDaily[Discharges],tblDaily[EntryDate],DATE(2026,3,19),tblDaily[WardCode],"BG")=0,"",SUMIFS(tblDaily[Discharges],tblDaily[EntryDate],DATE(2026,3,19),tblDaily[WardCode],"BG")),"")</f>
        <v>12</v>
      </c>
      <c r="D103" s="29" t="str">
        <f>IFERROR(IF(SUMIFS(tblDaily[Deaths],tblDaily[EntryDate],DATE(2026,3,19),tblDaily[WardCode],"BG")=0,"",SUMIFS(tblDaily[Deaths],tblDaily[EntryDate],DATE(2026,3,19),tblDaily[WardCode],"BG")),"")</f>
        <v/>
      </c>
      <c r="E103" s="29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29">
        <f>IFERROR(IF(SUMIFS(tblDaily[TransfersIn],tblDaily[EntryDate],DATE(2026,3,19),tblDaily[WardCode],"BG")=0,"",SUMIFS(tblDaily[TransfersIn],tblDaily[EntryDate],DATE(2026,3,19),tblDaily[WardCode],"BG")),"")</f>
        <v>2</v>
      </c>
      <c r="G103" s="29" t="str">
        <f>IFERROR(IF(SUMIFS(tblDaily[TransfersOut],tblDaily[EntryDate],DATE(2026,3,19),tblDaily[WardCode],"BG")=0,"",SUMIFS(tblDaily[TransfersOut],tblDaily[EntryDate],DATE(2026,3,19),tblDaily[WardCode],"BG")),"")</f>
        <v/>
      </c>
      <c r="H103" s="29">
        <f>IFERROR(IF(SUMIFS(tblDaily[Remaining],tblDaily[EntryDate],DATE(2026,3,19),tblDaily[WardCode],"BG")=0,"",SUMIFS(tblDaily[Remaining],tblDaily[EntryDate],DATE(2026,3,19),tblDaily[WardCode],"BG")),"")</f>
        <v>11</v>
      </c>
    </row>
    <row r="104" spans="1:8" x14ac:dyDescent="0.25">
      <c r="A104" s="29">
        <v>20</v>
      </c>
      <c r="B104" s="29">
        <f>IFERROR(IF(SUMIFS(tblDaily[Admissions],tblDaily[EntryDate],DATE(2026,3,20),tblDaily[WardCode],"BG")=0,"",SUMIFS(tblDaily[Admissions],tblDaily[EntryDate],DATE(2026,3,20),tblDaily[WardCode],"BG")),"")</f>
        <v>2</v>
      </c>
      <c r="C104" s="29">
        <f>IFERROR(IF(SUMIFS(tblDaily[Discharges],tblDaily[EntryDate],DATE(2026,3,20),tblDaily[WardCode],"BG")=0,"",SUMIFS(tblDaily[Discharges],tblDaily[EntryDate],DATE(2026,3,20),tblDaily[WardCode],"BG")),"")</f>
        <v>4</v>
      </c>
      <c r="D104" s="29" t="str">
        <f>IFERROR(IF(SUMIFS(tblDaily[Deaths],tblDaily[EntryDate],DATE(2026,3,20),tblDaily[WardCode],"BG")=0,"",SUMIFS(tblDaily[Deaths],tblDaily[EntryDate],DATE(2026,3,20),tblDaily[WardCode],"BG")),"")</f>
        <v/>
      </c>
      <c r="E104" s="29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29">
        <f>IFERROR(IF(SUMIFS(tblDaily[TransfersIn],tblDaily[EntryDate],DATE(2026,3,20),tblDaily[WardCode],"BG")=0,"",SUMIFS(tblDaily[TransfersIn],tblDaily[EntryDate],DATE(2026,3,20),tblDaily[WardCode],"BG")),"")</f>
        <v>1</v>
      </c>
      <c r="G104" s="29" t="str">
        <f>IFERROR(IF(SUMIFS(tblDaily[TransfersOut],tblDaily[EntryDate],DATE(2026,3,20),tblDaily[WardCode],"BG")=0,"",SUMIFS(tblDaily[TransfersOut],tblDaily[EntryDate],DATE(2026,3,20),tblDaily[WardCode],"BG")),"")</f>
        <v/>
      </c>
      <c r="H104" s="29">
        <f>IFERROR(IF(SUMIFS(tblDaily[Remaining],tblDaily[EntryDate],DATE(2026,3,20),tblDaily[WardCode],"BG")=0,"",SUMIFS(tblDaily[Remaining],tblDaily[EntryDate],DATE(2026,3,20),tblDaily[WardCode],"BG")),"")</f>
        <v>10</v>
      </c>
    </row>
    <row r="105" spans="1:8" x14ac:dyDescent="0.25">
      <c r="A105" s="29">
        <v>21</v>
      </c>
      <c r="B105" s="29">
        <f>IFERROR(IF(SUMIFS(tblDaily[Admissions],tblDaily[EntryDate],DATE(2026,3,21),tblDaily[WardCode],"BG")=0,"",SUMIFS(tblDaily[Admissions],tblDaily[EntryDate],DATE(2026,3,21),tblDaily[WardCode],"BG")),"")</f>
        <v>6</v>
      </c>
      <c r="C105" s="29">
        <f>IFERROR(IF(SUMIFS(tblDaily[Discharges],tblDaily[EntryDate],DATE(2026,3,21),tblDaily[WardCode],"BG")=0,"",SUMIFS(tblDaily[Discharges],tblDaily[EntryDate],DATE(2026,3,21),tblDaily[WardCode],"BG")),"")</f>
        <v>3</v>
      </c>
      <c r="D105" s="29" t="str">
        <f>IFERROR(IF(SUMIFS(tblDaily[Deaths],tblDaily[EntryDate],DATE(2026,3,21),tblDaily[WardCode],"BG")=0,"",SUMIFS(tblDaily[Deaths],tblDaily[EntryDate],DATE(2026,3,21),tblDaily[WardCode],"BG")),"")</f>
        <v/>
      </c>
      <c r="E105" s="29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29">
        <f>IFERROR(IF(SUMIFS(tblDaily[TransfersIn],tblDaily[EntryDate],DATE(2026,3,21),tblDaily[WardCode],"BG")=0,"",SUMIFS(tblDaily[TransfersIn],tblDaily[EntryDate],DATE(2026,3,21),tblDaily[WardCode],"BG")),"")</f>
        <v>1</v>
      </c>
      <c r="G105" s="29">
        <f>IFERROR(IF(SUMIFS(tblDaily[TransfersOut],tblDaily[EntryDate],DATE(2026,3,21),tblDaily[WardCode],"BG")=0,"",SUMIFS(tblDaily[TransfersOut],tblDaily[EntryDate],DATE(2026,3,21),tblDaily[WardCode],"BG")),"")</f>
        <v>1</v>
      </c>
      <c r="H105" s="29">
        <f>IFERROR(IF(SUMIFS(tblDaily[Remaining],tblDaily[EntryDate],DATE(2026,3,21),tblDaily[WardCode],"BG")=0,"",SUMIFS(tblDaily[Remaining],tblDaily[EntryDate],DATE(2026,3,21),tblDaily[WardCode],"BG")),"")</f>
        <v>13</v>
      </c>
    </row>
    <row r="106" spans="1:8" x14ac:dyDescent="0.25">
      <c r="A106" s="29">
        <v>22</v>
      </c>
      <c r="B106" s="29">
        <f>IFERROR(IF(SUMIFS(tblDaily[Admissions],tblDaily[EntryDate],DATE(2026,3,22),tblDaily[WardCode],"BG")=0,"",SUMIFS(tblDaily[Admissions],tblDaily[EntryDate],DATE(2026,3,22),tblDaily[WardCode],"BG")),"")</f>
        <v>3</v>
      </c>
      <c r="C106" s="29">
        <f>IFERROR(IF(SUMIFS(tblDaily[Discharges],tblDaily[EntryDate],DATE(2026,3,22),tblDaily[WardCode],"BG")=0,"",SUMIFS(tblDaily[Discharges],tblDaily[EntryDate],DATE(2026,3,22),tblDaily[WardCode],"BG")),"")</f>
        <v>10</v>
      </c>
      <c r="D106" s="29" t="str">
        <f>IFERROR(IF(SUMIFS(tblDaily[Deaths],tblDaily[EntryDate],DATE(2026,3,22),tblDaily[WardCode],"BG")=0,"",SUMIFS(tblDaily[Deaths],tblDaily[EntryDate],DATE(2026,3,22),tblDaily[WardCode],"BG")),"")</f>
        <v/>
      </c>
      <c r="E106" s="29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29">
        <f>IFERROR(IF(SUMIFS(tblDaily[TransfersIn],tblDaily[EntryDate],DATE(2026,3,22),tblDaily[WardCode],"BG")=0,"",SUMIFS(tblDaily[TransfersIn],tblDaily[EntryDate],DATE(2026,3,22),tblDaily[WardCode],"BG")),"")</f>
        <v>2</v>
      </c>
      <c r="G106" s="29" t="str">
        <f>IFERROR(IF(SUMIFS(tblDaily[TransfersOut],tblDaily[EntryDate],DATE(2026,3,22),tblDaily[WardCode],"BG")=0,"",SUMIFS(tblDaily[TransfersOut],tblDaily[EntryDate],DATE(2026,3,22),tblDaily[WardCode],"BG")),"")</f>
        <v/>
      </c>
      <c r="H106" s="29">
        <f>IFERROR(IF(SUMIFS(tblDaily[Remaining],tblDaily[EntryDate],DATE(2026,3,22),tblDaily[WardCode],"BG")=0,"",SUMIFS(tblDaily[Remaining],tblDaily[EntryDate],DATE(2026,3,22),tblDaily[WardCode],"BG")),"")</f>
        <v>8</v>
      </c>
    </row>
    <row r="107" spans="1:8" x14ac:dyDescent="0.25">
      <c r="A107" s="29">
        <v>23</v>
      </c>
      <c r="B107" s="29">
        <f>IFERROR(IF(SUMIFS(tblDaily[Admissions],tblDaily[EntryDate],DATE(2026,3,23),tblDaily[WardCode],"BG")=0,"",SUMIFS(tblDaily[Admissions],tblDaily[EntryDate],DATE(2026,3,23),tblDaily[WardCode],"BG")),"")</f>
        <v>7</v>
      </c>
      <c r="C107" s="29">
        <f>IFERROR(IF(SUMIFS(tblDaily[Discharges],tblDaily[EntryDate],DATE(2026,3,23),tblDaily[WardCode],"BG")=0,"",SUMIFS(tblDaily[Discharges],tblDaily[EntryDate],DATE(2026,3,23),tblDaily[WardCode],"BG")),"")</f>
        <v>4</v>
      </c>
      <c r="D107" s="29" t="str">
        <f>IFERROR(IF(SUMIFS(tblDaily[Deaths],tblDaily[EntryDate],DATE(2026,3,23),tblDaily[WardCode],"BG")=0,"",SUMIFS(tblDaily[Deaths],tblDaily[EntryDate],DATE(2026,3,23),tblDaily[WardCode],"BG")),"")</f>
        <v/>
      </c>
      <c r="E107" s="29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29">
        <f>IFERROR(IF(SUMIFS(tblDaily[TransfersIn],tblDaily[EntryDate],DATE(2026,3,23),tblDaily[WardCode],"BG")=0,"",SUMIFS(tblDaily[TransfersIn],tblDaily[EntryDate],DATE(2026,3,23),tblDaily[WardCode],"BG")),"")</f>
        <v>4</v>
      </c>
      <c r="G107" s="29">
        <f>IFERROR(IF(SUMIFS(tblDaily[TransfersOut],tblDaily[EntryDate],DATE(2026,3,23),tblDaily[WardCode],"BG")=0,"",SUMIFS(tblDaily[TransfersOut],tblDaily[EntryDate],DATE(2026,3,23),tblDaily[WardCode],"BG")),"")</f>
        <v>1</v>
      </c>
      <c r="H107" s="29">
        <f>IFERROR(IF(SUMIFS(tblDaily[Remaining],tblDaily[EntryDate],DATE(2026,3,23),tblDaily[WardCode],"BG")=0,"",SUMIFS(tblDaily[Remaining],tblDaily[EntryDate],DATE(2026,3,23),tblDaily[WardCode],"BG")),"")</f>
        <v>14</v>
      </c>
    </row>
    <row r="108" spans="1:8" x14ac:dyDescent="0.25">
      <c r="A108" s="29">
        <v>24</v>
      </c>
      <c r="B108" s="29">
        <f>IFERROR(IF(SUMIFS(tblDaily[Admissions],tblDaily[EntryDate],DATE(2026,3,24),tblDaily[WardCode],"BG")=0,"",SUMIFS(tblDaily[Admissions],tblDaily[EntryDate],DATE(2026,3,24),tblDaily[WardCode],"BG")),"")</f>
        <v>7</v>
      </c>
      <c r="C108" s="29">
        <f>IFERROR(IF(SUMIFS(tblDaily[Discharges],tblDaily[EntryDate],DATE(2026,3,24),tblDaily[WardCode],"BG")=0,"",SUMIFS(tblDaily[Discharges],tblDaily[EntryDate],DATE(2026,3,24),tblDaily[WardCode],"BG")),"")</f>
        <v>5</v>
      </c>
      <c r="D108" s="29" t="str">
        <f>IFERROR(IF(SUMIFS(tblDaily[Deaths],tblDaily[EntryDate],DATE(2026,3,24),tblDaily[WardCode],"BG")=0,"",SUMIFS(tblDaily[Deaths],tblDaily[EntryDate],DATE(2026,3,24),tblDaily[WardCode],"BG")),"")</f>
        <v/>
      </c>
      <c r="E108" s="29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29">
        <f>IFERROR(IF(SUMIFS(tblDaily[TransfersIn],tblDaily[EntryDate],DATE(2026,3,24),tblDaily[WardCode],"BG")=0,"",SUMIFS(tblDaily[TransfersIn],tblDaily[EntryDate],DATE(2026,3,24),tblDaily[WardCode],"BG")),"")</f>
        <v>3</v>
      </c>
      <c r="G108" s="29">
        <f>IFERROR(IF(SUMIFS(tblDaily[TransfersOut],tblDaily[EntryDate],DATE(2026,3,24),tblDaily[WardCode],"BG")=0,"",SUMIFS(tblDaily[TransfersOut],tblDaily[EntryDate],DATE(2026,3,24),tblDaily[WardCode],"BG")),"")</f>
        <v>1</v>
      </c>
      <c r="H108" s="29">
        <f>IFERROR(IF(SUMIFS(tblDaily[Remaining],tblDaily[EntryDate],DATE(2026,3,24),tblDaily[WardCode],"BG")=0,"",SUMIFS(tblDaily[Remaining],tblDaily[EntryDate],DATE(2026,3,24),tblDaily[WardCode],"BG")),"")</f>
        <v>18</v>
      </c>
    </row>
    <row r="109" spans="1:8" x14ac:dyDescent="0.25">
      <c r="A109" s="29">
        <v>25</v>
      </c>
      <c r="B109" s="29">
        <f>IFERROR(IF(SUMIFS(tblDaily[Admissions],tblDaily[EntryDate],DATE(2026,3,25),tblDaily[WardCode],"BG")=0,"",SUMIFS(tblDaily[Admissions],tblDaily[EntryDate],DATE(2026,3,25),tblDaily[WardCode],"BG")),"")</f>
        <v>9</v>
      </c>
      <c r="C109" s="29">
        <f>IFERROR(IF(SUMIFS(tblDaily[Discharges],tblDaily[EntryDate],DATE(2026,3,25),tblDaily[WardCode],"BG")=0,"",SUMIFS(tblDaily[Discharges],tblDaily[EntryDate],DATE(2026,3,25),tblDaily[WardCode],"BG")),"")</f>
        <v>7</v>
      </c>
      <c r="D109" s="29" t="str">
        <f>IFERROR(IF(SUMIFS(tblDaily[Deaths],tblDaily[EntryDate],DATE(2026,3,25),tblDaily[WardCode],"BG")=0,"",SUMIFS(tblDaily[Deaths],tblDaily[EntryDate],DATE(2026,3,25),tblDaily[WardCode],"BG")),"")</f>
        <v/>
      </c>
      <c r="E109" s="29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29">
        <f>IFERROR(IF(SUMIFS(tblDaily[TransfersIn],tblDaily[EntryDate],DATE(2026,3,25),tblDaily[WardCode],"BG")=0,"",SUMIFS(tblDaily[TransfersIn],tblDaily[EntryDate],DATE(2026,3,25),tblDaily[WardCode],"BG")),"")</f>
        <v>2</v>
      </c>
      <c r="G109" s="29">
        <f>IFERROR(IF(SUMIFS(tblDaily[TransfersOut],tblDaily[EntryDate],DATE(2026,3,25),tblDaily[WardCode],"BG")=0,"",SUMIFS(tblDaily[TransfersOut],tblDaily[EntryDate],DATE(2026,3,25),tblDaily[WardCode],"BG")),"")</f>
        <v>2</v>
      </c>
      <c r="H109" s="29">
        <f>IFERROR(IF(SUMIFS(tblDaily[Remaining],tblDaily[EntryDate],DATE(2026,3,25),tblDaily[WardCode],"BG")=0,"",SUMIFS(tblDaily[Remaining],tblDaily[EntryDate],DATE(2026,3,25),tblDaily[WardCode],"BG")),"")</f>
        <v>20</v>
      </c>
    </row>
    <row r="110" spans="1:8" x14ac:dyDescent="0.25">
      <c r="A110" s="29">
        <v>26</v>
      </c>
      <c r="B110" s="29">
        <f>IFERROR(IF(SUMIFS(tblDaily[Admissions],tblDaily[EntryDate],DATE(2026,3,26),tblDaily[WardCode],"BG")=0,"",SUMIFS(tblDaily[Admissions],tblDaily[EntryDate],DATE(2026,3,26),tblDaily[WardCode],"BG")),"")</f>
        <v>10</v>
      </c>
      <c r="C110" s="29">
        <f>IFERROR(IF(SUMIFS(tblDaily[Discharges],tblDaily[EntryDate],DATE(2026,3,26),tblDaily[WardCode],"BG")=0,"",SUMIFS(tblDaily[Discharges],tblDaily[EntryDate],DATE(2026,3,26),tblDaily[WardCode],"BG")),"")</f>
        <v>6</v>
      </c>
      <c r="D110" s="29" t="str">
        <f>IFERROR(IF(SUMIFS(tblDaily[Deaths],tblDaily[EntryDate],DATE(2026,3,26),tblDaily[WardCode],"BG")=0,"",SUMIFS(tblDaily[Deaths],tblDaily[EntryDate],DATE(2026,3,26),tblDaily[WardCode],"BG")),"")</f>
        <v/>
      </c>
      <c r="E110" s="29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29">
        <f>IFERROR(IF(SUMIFS(tblDaily[TransfersIn],tblDaily[EntryDate],DATE(2026,3,26),tblDaily[WardCode],"BG")=0,"",SUMIFS(tblDaily[TransfersIn],tblDaily[EntryDate],DATE(2026,3,26),tblDaily[WardCode],"BG")),"")</f>
        <v>1</v>
      </c>
      <c r="G110" s="29">
        <f>IFERROR(IF(SUMIFS(tblDaily[TransfersOut],tblDaily[EntryDate],DATE(2026,3,26),tblDaily[WardCode],"BG")=0,"",SUMIFS(tblDaily[TransfersOut],tblDaily[EntryDate],DATE(2026,3,26),tblDaily[WardCode],"BG")),"")</f>
        <v>4</v>
      </c>
      <c r="H110" s="29">
        <f>IFERROR(IF(SUMIFS(tblDaily[Remaining],tblDaily[EntryDate],DATE(2026,3,26),tblDaily[WardCode],"BG")=0,"",SUMIFS(tblDaily[Remaining],tblDaily[EntryDate],DATE(2026,3,26),tblDaily[WardCode],"BG")),"")</f>
        <v>21</v>
      </c>
    </row>
    <row r="111" spans="1:8" x14ac:dyDescent="0.25">
      <c r="A111" s="29">
        <v>27</v>
      </c>
      <c r="B111" s="29">
        <f>IFERROR(IF(SUMIFS(tblDaily[Admissions],tblDaily[EntryDate],DATE(2026,3,27),tblDaily[WardCode],"BG")=0,"",SUMIFS(tblDaily[Admissions],tblDaily[EntryDate],DATE(2026,3,27),tblDaily[WardCode],"BG")),"")</f>
        <v>3</v>
      </c>
      <c r="C111" s="29">
        <f>IFERROR(IF(SUMIFS(tblDaily[Discharges],tblDaily[EntryDate],DATE(2026,3,27),tblDaily[WardCode],"BG")=0,"",SUMIFS(tblDaily[Discharges],tblDaily[EntryDate],DATE(2026,3,27),tblDaily[WardCode],"BG")),"")</f>
        <v>7</v>
      </c>
      <c r="D111" s="29" t="str">
        <f>IFERROR(IF(SUMIFS(tblDaily[Deaths],tblDaily[EntryDate],DATE(2026,3,27),tblDaily[WardCode],"BG")=0,"",SUMIFS(tblDaily[Deaths],tblDaily[EntryDate],DATE(2026,3,27),tblDaily[WardCode],"BG")),"")</f>
        <v/>
      </c>
      <c r="E111" s="29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29">
        <f>IFERROR(IF(SUMIFS(tblDaily[TransfersIn],tblDaily[EntryDate],DATE(2026,3,27),tblDaily[WardCode],"BG")=0,"",SUMIFS(tblDaily[TransfersIn],tblDaily[EntryDate],DATE(2026,3,27),tblDaily[WardCode],"BG")),"")</f>
        <v>1</v>
      </c>
      <c r="G111" s="29" t="str">
        <f>IFERROR(IF(SUMIFS(tblDaily[TransfersOut],tblDaily[EntryDate],DATE(2026,3,27),tblDaily[WardCode],"BG")=0,"",SUMIFS(tblDaily[TransfersOut],tblDaily[EntryDate],DATE(2026,3,27),tblDaily[WardCode],"BG")),"")</f>
        <v/>
      </c>
      <c r="H111" s="29">
        <f>IFERROR(IF(SUMIFS(tblDaily[Remaining],tblDaily[EntryDate],DATE(2026,3,27),tblDaily[WardCode],"BG")=0,"",SUMIFS(tblDaily[Remaining],tblDaily[EntryDate],DATE(2026,3,27),tblDaily[WardCode],"BG")),"")</f>
        <v>18</v>
      </c>
    </row>
    <row r="112" spans="1:8" x14ac:dyDescent="0.25">
      <c r="A112" s="29">
        <v>28</v>
      </c>
      <c r="B112" s="29">
        <f>IFERROR(IF(SUMIFS(tblDaily[Admissions],tblDaily[EntryDate],DATE(2026,3,28),tblDaily[WardCode],"BG")=0,"",SUMIFS(tblDaily[Admissions],tblDaily[EntryDate],DATE(2026,3,28),tblDaily[WardCode],"BG")),"")</f>
        <v>5</v>
      </c>
      <c r="C112" s="29">
        <f>IFERROR(IF(SUMIFS(tblDaily[Discharges],tblDaily[EntryDate],DATE(2026,3,28),tblDaily[WardCode],"BG")=0,"",SUMIFS(tblDaily[Discharges],tblDaily[EntryDate],DATE(2026,3,28),tblDaily[WardCode],"BG")),"")</f>
        <v>1</v>
      </c>
      <c r="D112" s="29" t="str">
        <f>IFERROR(IF(SUMIFS(tblDaily[Deaths],tblDaily[EntryDate],DATE(2026,3,28),tblDaily[WardCode],"BG")=0,"",SUMIFS(tblDaily[Deaths],tblDaily[EntryDate],DATE(2026,3,28),tblDaily[WardCode],"BG")),"")</f>
        <v/>
      </c>
      <c r="E112" s="29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29">
        <f>IFERROR(IF(SUMIFS(tblDaily[TransfersIn],tblDaily[EntryDate],DATE(2026,3,28),tblDaily[WardCode],"BG")=0,"",SUMIFS(tblDaily[TransfersIn],tblDaily[EntryDate],DATE(2026,3,28),tblDaily[WardCode],"BG")),"")</f>
        <v>2</v>
      </c>
      <c r="G112" s="29">
        <f>IFERROR(IF(SUMIFS(tblDaily[TransfersOut],tblDaily[EntryDate],DATE(2026,3,28),tblDaily[WardCode],"BG")=0,"",SUMIFS(tblDaily[TransfersOut],tblDaily[EntryDate],DATE(2026,3,28),tblDaily[WardCode],"BG")),"")</f>
        <v>1</v>
      </c>
      <c r="H112" s="29">
        <f>IFERROR(IF(SUMIFS(tblDaily[Remaining],tblDaily[EntryDate],DATE(2026,3,28),tblDaily[WardCode],"BG")=0,"",SUMIFS(tblDaily[Remaining],tblDaily[EntryDate],DATE(2026,3,28),tblDaily[WardCode],"BG")),"")</f>
        <v>23</v>
      </c>
    </row>
    <row r="113" spans="1:8" x14ac:dyDescent="0.25">
      <c r="A113" s="29">
        <v>29</v>
      </c>
      <c r="B113" s="29">
        <f>IFERROR(IF(SUMIFS(tblDaily[Admissions],tblDaily[EntryDate],DATE(2026,3,29),tblDaily[WardCode],"BG")=0,"",SUMIFS(tblDaily[Admissions],tblDaily[EntryDate],DATE(2026,3,29),tblDaily[WardCode],"BG")),"")</f>
        <v>3</v>
      </c>
      <c r="C113" s="29">
        <f>IFERROR(IF(SUMIFS(tblDaily[Discharges],tblDaily[EntryDate],DATE(2026,3,29),tblDaily[WardCode],"BG")=0,"",SUMIFS(tblDaily[Discharges],tblDaily[EntryDate],DATE(2026,3,29),tblDaily[WardCode],"BG")),"")</f>
        <v>10</v>
      </c>
      <c r="D113" s="29" t="str">
        <f>IFERROR(IF(SUMIFS(tblDaily[Deaths],tblDaily[EntryDate],DATE(2026,3,29),tblDaily[WardCode],"BG")=0,"",SUMIFS(tblDaily[Deaths],tblDaily[EntryDate],DATE(2026,3,29),tblDaily[WardCode],"BG")),"")</f>
        <v/>
      </c>
      <c r="E113" s="29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29">
        <f>IFERROR(IF(SUMIFS(tblDaily[TransfersIn],tblDaily[EntryDate],DATE(2026,3,29),tblDaily[WardCode],"BG")=0,"",SUMIFS(tblDaily[TransfersIn],tblDaily[EntryDate],DATE(2026,3,29),tblDaily[WardCode],"BG")),"")</f>
        <v>3</v>
      </c>
      <c r="G113" s="29">
        <f>IFERROR(IF(SUMIFS(tblDaily[TransfersOut],tblDaily[EntryDate],DATE(2026,3,29),tblDaily[WardCode],"BG")=0,"",SUMIFS(tblDaily[TransfersOut],tblDaily[EntryDate],DATE(2026,3,29),tblDaily[WardCode],"BG")),"")</f>
        <v>2</v>
      </c>
      <c r="H113" s="29">
        <f>IFERROR(IF(SUMIFS(tblDaily[Remaining],tblDaily[EntryDate],DATE(2026,3,29),tblDaily[WardCode],"BG")=0,"",SUMIFS(tblDaily[Remaining],tblDaily[EntryDate],DATE(2026,3,29),tblDaily[WardCode],"BG")),"")</f>
        <v>17</v>
      </c>
    </row>
    <row r="114" spans="1:8" x14ac:dyDescent="0.25">
      <c r="A114" s="29">
        <v>30</v>
      </c>
      <c r="B114" s="29">
        <f>IFERROR(IF(SUMIFS(tblDaily[Admissions],tblDaily[EntryDate],DATE(2026,3,30),tblDaily[WardCode],"BG")=0,"",SUMIFS(tblDaily[Admissions],tblDaily[EntryDate],DATE(2026,3,30),tblDaily[WardCode],"BG")),"")</f>
        <v>7</v>
      </c>
      <c r="C114" s="29">
        <f>IFERROR(IF(SUMIFS(tblDaily[Discharges],tblDaily[EntryDate],DATE(2026,3,30),tblDaily[WardCode],"BG")=0,"",SUMIFS(tblDaily[Discharges],tblDaily[EntryDate],DATE(2026,3,30),tblDaily[WardCode],"BG")),"")</f>
        <v>6</v>
      </c>
      <c r="D114" s="29" t="str">
        <f>IFERROR(IF(SUMIFS(tblDaily[Deaths],tblDaily[EntryDate],DATE(2026,3,30),tblDaily[WardCode],"BG")=0,"",SUMIFS(tblDaily[Deaths],tblDaily[EntryDate],DATE(2026,3,30),tblDaily[WardCode],"BG")),"")</f>
        <v/>
      </c>
      <c r="E114" s="29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29" t="str">
        <f>IFERROR(IF(SUMIFS(tblDaily[TransfersIn],tblDaily[EntryDate],DATE(2026,3,30),tblDaily[WardCode],"BG")=0,"",SUMIFS(tblDaily[TransfersIn],tblDaily[EntryDate],DATE(2026,3,30),tblDaily[WardCode],"BG")),"")</f>
        <v/>
      </c>
      <c r="G114" s="29">
        <f>IFERROR(IF(SUMIFS(tblDaily[TransfersOut],tblDaily[EntryDate],DATE(2026,3,30),tblDaily[WardCode],"BG")=0,"",SUMIFS(tblDaily[TransfersOut],tblDaily[EntryDate],DATE(2026,3,30),tblDaily[WardCode],"BG")),"")</f>
        <v>1</v>
      </c>
      <c r="H114" s="29">
        <f>IFERROR(IF(SUMIFS(tblDaily[Remaining],tblDaily[EntryDate],DATE(2026,3,30),tblDaily[WardCode],"BG")=0,"",SUMIFS(tblDaily[Remaining],tblDaily[EntryDate],DATE(2026,3,30),tblDaily[WardCode],"BG")),"")</f>
        <v>17</v>
      </c>
    </row>
    <row r="115" spans="1:8" x14ac:dyDescent="0.25">
      <c r="A115" s="29">
        <v>31</v>
      </c>
      <c r="B115" s="29">
        <f>IFERROR(IF(SUMIFS(tblDaily[Admissions],tblDaily[EntryDate],DATE(2026,3,31),tblDaily[WardCode],"BG")=0,"",SUMIFS(tblDaily[Admissions],tblDaily[EntryDate],DATE(2026,3,31),tblDaily[WardCode],"BG")),"")</f>
        <v>3</v>
      </c>
      <c r="C115" s="29">
        <f>IFERROR(IF(SUMIFS(tblDaily[Discharges],tblDaily[EntryDate],DATE(2026,3,31),tblDaily[WardCode],"BG")=0,"",SUMIFS(tblDaily[Discharges],tblDaily[EntryDate],DATE(2026,3,31),tblDaily[WardCode],"BG")),"")</f>
        <v>3</v>
      </c>
      <c r="D115" s="29" t="str">
        <f>IFERROR(IF(SUMIFS(tblDaily[Deaths],tblDaily[EntryDate],DATE(2026,3,31),tblDaily[WardCode],"BG")=0,"",SUMIFS(tblDaily[Deaths],tblDaily[EntryDate],DATE(2026,3,31),tblDaily[WardCode],"BG")),"")</f>
        <v/>
      </c>
      <c r="E115" s="29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29">
        <f>IFERROR(IF(SUMIFS(tblDaily[TransfersIn],tblDaily[EntryDate],DATE(2026,3,31),tblDaily[WardCode],"BG")=0,"",SUMIFS(tblDaily[TransfersIn],tblDaily[EntryDate],DATE(2026,3,31),tblDaily[WardCode],"BG")),"")</f>
        <v>2</v>
      </c>
      <c r="G115" s="29">
        <f>IFERROR(IF(SUMIFS(tblDaily[TransfersOut],tblDaily[EntryDate],DATE(2026,3,31),tblDaily[WardCode],"BG")=0,"",SUMIFS(tblDaily[TransfersOut],tblDaily[EntryDate],DATE(2026,3,31),tblDaily[WardCode],"BG")),"")</f>
        <v>1</v>
      </c>
      <c r="H115" s="29">
        <f>IFERROR(IF(SUMIFS(tblDaily[Remaining],tblDaily[EntryDate],DATE(2026,3,31),tblDaily[WardCode],"BG")=0,"",SUMIFS(tblDaily[Remaining],tblDaily[EntryDate],DATE(2026,3,31),tblDaily[WardCode],"BG")),"")</f>
        <v>18</v>
      </c>
    </row>
    <row r="116" spans="1:8" x14ac:dyDescent="0.25">
      <c r="A116" s="30" t="s">
        <v>115</v>
      </c>
      <c r="B116" s="30">
        <f>SUMIFS(tblDaily[Admissions],tblDaily[Month],3,tblDaily[WardCode],"BG") - SUMIFS(tblDaily[DeathsUnder24Hrs],tblDaily[Month],3,tblDaily[WardCode],"BG")</f>
        <v>146</v>
      </c>
      <c r="C116" s="30">
        <f>SUMIFS(tblDaily[Discharges],tblDaily[Month],3,tblDaily[WardCode],"BG")</f>
        <v>148</v>
      </c>
      <c r="D116" s="30">
        <f>SUMIFS(tblDaily[Deaths],tblDaily[Month],3,tblDaily[WardCode],"BG")</f>
        <v>0</v>
      </c>
      <c r="E116" s="30">
        <f>SUMIFS(tblDaily[DeathsUnder24Hrs],tblDaily[Month],3,tblDaily[WardCode],"BG")</f>
        <v>0</v>
      </c>
      <c r="F116" s="30">
        <f>SUMIFS(tblDaily[TransfersIn],tblDaily[Month],3,tblDaily[WardCode],"BG")</f>
        <v>51</v>
      </c>
      <c r="G116" s="30">
        <f>SUMIFS(tblDaily[TransfersOut],tblDaily[Month],3,tblDaily[WardCode],"BG")</f>
        <v>39</v>
      </c>
      <c r="H116" s="30">
        <f>SUMIFS(tblDaily[Remaining],tblDaily[Month],3,tblDaily[WardCode],"BG")</f>
        <v>424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119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IFERROR(SUMIFS(tblDaily[Remaining],tblDaily[EntryDate],DATE(2026,3,31),tblDaily[WardCode],"BG"),0)</f>
        <v>18</v>
      </c>
    </row>
    <row r="122" spans="1:8" x14ac:dyDescent="0.25">
      <c r="A122" s="24" t="s">
        <v>109</v>
      </c>
      <c r="H122" s="27">
        <f>IFERROR(INDEX(tblWardConfig[BedComplement],MATCH("BG",tblWardConfig[WardCode],0)),0)</f>
        <v>14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IFERROR(IF(SUMIFS(tblDaily[Admissions],tblDaily[EntryDate],DATE(2026,4,1),tblDaily[WardCode],"BG")=0,"",SUMIFS(tblDaily[Admissions],tblDaily[EntryDate],DATE(2026,4,1),tblDaily[WardCode],"BG")),"")</f>
        <v>1</v>
      </c>
      <c r="C124" s="29">
        <f>IFERROR(IF(SUMIFS(tblDaily[Discharges],tblDaily[EntryDate],DATE(2026,4,1),tblDaily[WardCode],"BG")=0,"",SUMIFS(tblDaily[Discharges],tblDaily[EntryDate],DATE(2026,4,1),tblDaily[WardCode],"BG")),"")</f>
        <v>2</v>
      </c>
      <c r="D124" s="29" t="str">
        <f>IFERROR(IF(SUMIFS(tblDaily[Deaths],tblDaily[EntryDate],DATE(2026,4,1),tblDaily[WardCode],"BG")=0,"",SUMIFS(tblDaily[Deaths],tblDaily[EntryDate],DATE(2026,4,1),tblDaily[WardCode],"BG")),"")</f>
        <v/>
      </c>
      <c r="E124" s="29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29">
        <f>IFERROR(IF(SUMIFS(tblDaily[TransfersIn],tblDaily[EntryDate],DATE(2026,4,1),tblDaily[WardCode],"BG")=0,"",SUMIFS(tblDaily[TransfersIn],tblDaily[EntryDate],DATE(2026,4,1),tblDaily[WardCode],"BG")),"")</f>
        <v>1</v>
      </c>
      <c r="G124" s="29">
        <f>IFERROR(IF(SUMIFS(tblDaily[TransfersOut],tblDaily[EntryDate],DATE(2026,4,1),tblDaily[WardCode],"BG")=0,"",SUMIFS(tblDaily[TransfersOut],tblDaily[EntryDate],DATE(2026,4,1),tblDaily[WardCode],"BG")),"")</f>
        <v>1</v>
      </c>
      <c r="H124" s="29">
        <f>IFERROR(IF(SUMIFS(tblDaily[Remaining],tblDaily[EntryDate],DATE(2026,4,1),tblDaily[WardCode],"BG")=0,"",SUMIFS(tblDaily[Remaining],tblDaily[EntryDate],DATE(2026,4,1),tblDaily[WardCode],"BG")),"")</f>
        <v>17</v>
      </c>
    </row>
    <row r="125" spans="1:8" x14ac:dyDescent="0.25">
      <c r="A125" s="29">
        <v>2</v>
      </c>
      <c r="B125" s="29">
        <f>IFERROR(IF(SUMIFS(tblDaily[Admissions],tblDaily[EntryDate],DATE(2026,4,2),tblDaily[WardCode],"BG")=0,"",SUMIFS(tblDaily[Admissions],tblDaily[EntryDate],DATE(2026,4,2),tblDaily[WardCode],"BG")),"")</f>
        <v>8</v>
      </c>
      <c r="C125" s="29">
        <f>IFERROR(IF(SUMIFS(tblDaily[Discharges],tblDaily[EntryDate],DATE(2026,4,2),tblDaily[WardCode],"BG")=0,"",SUMIFS(tblDaily[Discharges],tblDaily[EntryDate],DATE(2026,4,2),tblDaily[WardCode],"BG")),"")</f>
        <v>5</v>
      </c>
      <c r="D125" s="29" t="str">
        <f>IFERROR(IF(SUMIFS(tblDaily[Deaths],tblDaily[EntryDate],DATE(2026,4,2),tblDaily[WardCode],"BG")=0,"",SUMIFS(tblDaily[Deaths],tblDaily[EntryDate],DATE(2026,4,2),tblDaily[WardCode],"BG")),"")</f>
        <v/>
      </c>
      <c r="E125" s="29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29" t="str">
        <f>IFERROR(IF(SUMIFS(tblDaily[TransfersIn],tblDaily[EntryDate],DATE(2026,4,2),tblDaily[WardCode],"BG")=0,"",SUMIFS(tblDaily[TransfersIn],tblDaily[EntryDate],DATE(2026,4,2),tblDaily[WardCode],"BG")),"")</f>
        <v/>
      </c>
      <c r="G125" s="29" t="str">
        <f>IFERROR(IF(SUMIFS(tblDaily[TransfersOut],tblDaily[EntryDate],DATE(2026,4,2),tblDaily[WardCode],"BG")=0,"",SUMIFS(tblDaily[TransfersOut],tblDaily[EntryDate],DATE(2026,4,2),tblDaily[WardCode],"BG")),"")</f>
        <v/>
      </c>
      <c r="H125" s="29">
        <f>IFERROR(IF(SUMIFS(tblDaily[Remaining],tblDaily[EntryDate],DATE(2026,4,2),tblDaily[WardCode],"BG")=0,"",SUMIFS(tblDaily[Remaining],tblDaily[EntryDate],DATE(2026,4,2),tblDaily[WardCode],"BG")),"")</f>
        <v>20</v>
      </c>
    </row>
    <row r="126" spans="1:8" x14ac:dyDescent="0.25">
      <c r="A126" s="29">
        <v>3</v>
      </c>
      <c r="B126" s="29">
        <f>IFERROR(IF(SUMIFS(tblDaily[Admissions],tblDaily[EntryDate],DATE(2026,4,3),tblDaily[WardCode],"BG")=0,"",SUMIFS(tblDaily[Admissions],tblDaily[EntryDate],DATE(2026,4,3),tblDaily[WardCode],"BG")),"")</f>
        <v>4</v>
      </c>
      <c r="C126" s="29">
        <f>IFERROR(IF(SUMIFS(tblDaily[Discharges],tblDaily[EntryDate],DATE(2026,4,3),tblDaily[WardCode],"BG")=0,"",SUMIFS(tblDaily[Discharges],tblDaily[EntryDate],DATE(2026,4,3),tblDaily[WardCode],"BG")),"")</f>
        <v>6</v>
      </c>
      <c r="D126" s="29" t="str">
        <f>IFERROR(IF(SUMIFS(tblDaily[Deaths],tblDaily[EntryDate],DATE(2026,4,3),tblDaily[WardCode],"BG")=0,"",SUMIFS(tblDaily[Deaths],tblDaily[EntryDate],DATE(2026,4,3),tblDaily[WardCode],"BG")),"")</f>
        <v/>
      </c>
      <c r="E126" s="29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29">
        <f>IFERROR(IF(SUMIFS(tblDaily[TransfersIn],tblDaily[EntryDate],DATE(2026,4,3),tblDaily[WardCode],"BG")=0,"",SUMIFS(tblDaily[TransfersIn],tblDaily[EntryDate],DATE(2026,4,3),tblDaily[WardCode],"BG")),"")</f>
        <v>1</v>
      </c>
      <c r="G126" s="29">
        <f>IFERROR(IF(SUMIFS(tblDaily[TransfersOut],tblDaily[EntryDate],DATE(2026,4,3),tblDaily[WardCode],"BG")=0,"",SUMIFS(tblDaily[TransfersOut],tblDaily[EntryDate],DATE(2026,4,3),tblDaily[WardCode],"BG")),"")</f>
        <v>3</v>
      </c>
      <c r="H126" s="29">
        <f>IFERROR(IF(SUMIFS(tblDaily[Remaining],tblDaily[EntryDate],DATE(2026,4,3),tblDaily[WardCode],"BG")=0,"",SUMIFS(tblDaily[Remaining],tblDaily[EntryDate],DATE(2026,4,3),tblDaily[WardCode],"BG")),"")</f>
        <v>16</v>
      </c>
    </row>
    <row r="127" spans="1:8" x14ac:dyDescent="0.25">
      <c r="A127" s="29">
        <v>4</v>
      </c>
      <c r="B127" s="29">
        <f>IFERROR(IF(SUMIFS(tblDaily[Admissions],tblDaily[EntryDate],DATE(2026,4,4),tblDaily[WardCode],"BG")=0,"",SUMIFS(tblDaily[Admissions],tblDaily[EntryDate],DATE(2026,4,4),tblDaily[WardCode],"BG")),"")</f>
        <v>2</v>
      </c>
      <c r="C127" s="29">
        <f>IFERROR(IF(SUMIFS(tblDaily[Discharges],tblDaily[EntryDate],DATE(2026,4,4),tblDaily[WardCode],"BG")=0,"",SUMIFS(tblDaily[Discharges],tblDaily[EntryDate],DATE(2026,4,4),tblDaily[WardCode],"BG")),"")</f>
        <v>10</v>
      </c>
      <c r="D127" s="29" t="str">
        <f>IFERROR(IF(SUMIFS(tblDaily[Deaths],tblDaily[EntryDate],DATE(2026,4,4),tblDaily[WardCode],"BG")=0,"",SUMIFS(tblDaily[Deaths],tblDaily[EntryDate],DATE(2026,4,4),tblDaily[WardCode],"BG")),"")</f>
        <v/>
      </c>
      <c r="E127" s="29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29">
        <f>IFERROR(IF(SUMIFS(tblDaily[TransfersIn],tblDaily[EntryDate],DATE(2026,4,4),tblDaily[WardCode],"BG")=0,"",SUMIFS(tblDaily[TransfersIn],tblDaily[EntryDate],DATE(2026,4,4),tblDaily[WardCode],"BG")),"")</f>
        <v>2</v>
      </c>
      <c r="G127" s="29" t="str">
        <f>IFERROR(IF(SUMIFS(tblDaily[TransfersOut],tblDaily[EntryDate],DATE(2026,4,4),tblDaily[WardCode],"BG")=0,"",SUMIFS(tblDaily[TransfersOut],tblDaily[EntryDate],DATE(2026,4,4),tblDaily[WardCode],"BG")),"")</f>
        <v/>
      </c>
      <c r="H127" s="29">
        <f>IFERROR(IF(SUMIFS(tblDaily[Remaining],tblDaily[EntryDate],DATE(2026,4,4),tblDaily[WardCode],"BG")=0,"",SUMIFS(tblDaily[Remaining],tblDaily[EntryDate],DATE(2026,4,4),tblDaily[WardCode],"BG")),"")</f>
        <v>10</v>
      </c>
    </row>
    <row r="128" spans="1:8" x14ac:dyDescent="0.25">
      <c r="A128" s="29">
        <v>5</v>
      </c>
      <c r="B128" s="29">
        <f>IFERROR(IF(SUMIFS(tblDaily[Admissions],tblDaily[EntryDate],DATE(2026,4,5),tblDaily[WardCode],"BG")=0,"",SUMIFS(tblDaily[Admissions],tblDaily[EntryDate],DATE(2026,4,5),tblDaily[WardCode],"BG")),"")</f>
        <v>2</v>
      </c>
      <c r="C128" s="29">
        <f>IFERROR(IF(SUMIFS(tblDaily[Discharges],tblDaily[EntryDate],DATE(2026,4,5),tblDaily[WardCode],"BG")=0,"",SUMIFS(tblDaily[Discharges],tblDaily[EntryDate],DATE(2026,4,5),tblDaily[WardCode],"BG")),"")</f>
        <v>4</v>
      </c>
      <c r="D128" s="29" t="str">
        <f>IFERROR(IF(SUMIFS(tblDaily[Deaths],tblDaily[EntryDate],DATE(2026,4,5),tblDaily[WardCode],"BG")=0,"",SUMIFS(tblDaily[Deaths],tblDaily[EntryDate],DATE(2026,4,5),tblDaily[WardCode],"BG")),"")</f>
        <v/>
      </c>
      <c r="E128" s="29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29" t="str">
        <f>IFERROR(IF(SUMIFS(tblDaily[TransfersIn],tblDaily[EntryDate],DATE(2026,4,5),tblDaily[WardCode],"BG")=0,"",SUMIFS(tblDaily[TransfersIn],tblDaily[EntryDate],DATE(2026,4,5),tblDaily[WardCode],"BG")),"")</f>
        <v/>
      </c>
      <c r="G128" s="29" t="str">
        <f>IFERROR(IF(SUMIFS(tblDaily[TransfersOut],tblDaily[EntryDate],DATE(2026,4,5),tblDaily[WardCode],"BG")=0,"",SUMIFS(tblDaily[TransfersOut],tblDaily[EntryDate],DATE(2026,4,5),tblDaily[WardCode],"BG")),"")</f>
        <v/>
      </c>
      <c r="H128" s="29">
        <f>IFERROR(IF(SUMIFS(tblDaily[Remaining],tblDaily[EntryDate],DATE(2026,4,5),tblDaily[WardCode],"BG")=0,"",SUMIFS(tblDaily[Remaining],tblDaily[EntryDate],DATE(2026,4,5),tblDaily[WardCode],"BG")),"")</f>
        <v>8</v>
      </c>
    </row>
    <row r="129" spans="1:8" x14ac:dyDescent="0.25">
      <c r="A129" s="29">
        <v>6</v>
      </c>
      <c r="B129" s="29">
        <f>IFERROR(IF(SUMIFS(tblDaily[Admissions],tblDaily[EntryDate],DATE(2026,4,6),tblDaily[WardCode],"BG")=0,"",SUMIFS(tblDaily[Admissions],tblDaily[EntryDate],DATE(2026,4,6),tblDaily[WardCode],"BG")),"")</f>
        <v>7</v>
      </c>
      <c r="C129" s="29">
        <f>IFERROR(IF(SUMIFS(tblDaily[Discharges],tblDaily[EntryDate],DATE(2026,4,6),tblDaily[WardCode],"BG")=0,"",SUMIFS(tblDaily[Discharges],tblDaily[EntryDate],DATE(2026,4,6),tblDaily[WardCode],"BG")),"")</f>
        <v>2</v>
      </c>
      <c r="D129" s="29" t="str">
        <f>IFERROR(IF(SUMIFS(tblDaily[Deaths],tblDaily[EntryDate],DATE(2026,4,6),tblDaily[WardCode],"BG")=0,"",SUMIFS(tblDaily[Deaths],tblDaily[EntryDate],DATE(2026,4,6),tblDaily[WardCode],"BG")),"")</f>
        <v/>
      </c>
      <c r="E129" s="29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29">
        <f>IFERROR(IF(SUMIFS(tblDaily[TransfersIn],tblDaily[EntryDate],DATE(2026,4,6),tblDaily[WardCode],"BG")=0,"",SUMIFS(tblDaily[TransfersIn],tblDaily[EntryDate],DATE(2026,4,6),tblDaily[WardCode],"BG")),"")</f>
        <v>4</v>
      </c>
      <c r="G129" s="29" t="str">
        <f>IFERROR(IF(SUMIFS(tblDaily[TransfersOut],tblDaily[EntryDate],DATE(2026,4,6),tblDaily[WardCode],"BG")=0,"",SUMIFS(tblDaily[TransfersOut],tblDaily[EntryDate],DATE(2026,4,6),tblDaily[WardCode],"BG")),"")</f>
        <v/>
      </c>
      <c r="H129" s="29">
        <f>IFERROR(IF(SUMIFS(tblDaily[Remaining],tblDaily[EntryDate],DATE(2026,4,6),tblDaily[WardCode],"BG")=0,"",SUMIFS(tblDaily[Remaining],tblDaily[EntryDate],DATE(2026,4,6),tblDaily[WardCode],"BG")),"")</f>
        <v>17</v>
      </c>
    </row>
    <row r="130" spans="1:8" x14ac:dyDescent="0.25">
      <c r="A130" s="29">
        <v>7</v>
      </c>
      <c r="B130" s="29" t="str">
        <f>IFERROR(IF(SUMIFS(tblDaily[Admissions],tblDaily[EntryDate],DATE(2026,4,7),tblDaily[WardCode],"BG")=0,"",SUMIFS(tblDaily[Admissions],tblDaily[EntryDate],DATE(2026,4,7),tblDaily[WardCode],"BG")),"")</f>
        <v/>
      </c>
      <c r="C130" s="29" t="str">
        <f>IFERROR(IF(SUMIFS(tblDaily[Discharges],tblDaily[EntryDate],DATE(2026,4,7),tblDaily[WardCode],"BG")=0,"",SUMIFS(tblDaily[Discharges],tblDaily[EntryDate],DATE(2026,4,7),tblDaily[WardCode],"BG")),"")</f>
        <v/>
      </c>
      <c r="D130" s="29" t="str">
        <f>IFERROR(IF(SUMIFS(tblDaily[Deaths],tblDaily[EntryDate],DATE(2026,4,7),tblDaily[WardCode],"BG")=0,"",SUMIFS(tblDaily[Deaths],tblDaily[EntryDate],DATE(2026,4,7),tblDaily[WardCode],"BG")),"")</f>
        <v/>
      </c>
      <c r="E130" s="29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29" t="str">
        <f>IFERROR(IF(SUMIFS(tblDaily[TransfersIn],tblDaily[EntryDate],DATE(2026,4,7),tblDaily[WardCode],"BG")=0,"",SUMIFS(tblDaily[TransfersIn],tblDaily[EntryDate],DATE(2026,4,7),tblDaily[WardCode],"BG")),"")</f>
        <v/>
      </c>
      <c r="G130" s="29" t="str">
        <f>IFERROR(IF(SUMIFS(tblDaily[TransfersOut],tblDaily[EntryDate],DATE(2026,4,7),tblDaily[WardCode],"BG")=0,"",SUMIFS(tblDaily[TransfersOut],tblDaily[EntryDate],DATE(2026,4,7),tblDaily[WardCode],"BG")),"")</f>
        <v/>
      </c>
      <c r="H130" s="29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IFERROR(IF(SUMIFS(tblDaily[Admissions],tblDaily[EntryDate],DATE(2026,4,8),tblDaily[WardCode],"BG")=0,"",SUMIFS(tblDaily[Admissions],tblDaily[EntryDate],DATE(2026,4,8),tblDaily[WardCode],"BG")),"")</f>
        <v/>
      </c>
      <c r="C131" s="29" t="str">
        <f>IFERROR(IF(SUMIFS(tblDaily[Discharges],tblDaily[EntryDate],DATE(2026,4,8),tblDaily[WardCode],"BG")=0,"",SUMIFS(tblDaily[Discharges],tblDaily[EntryDate],DATE(2026,4,8),tblDaily[WardCode],"BG")),"")</f>
        <v/>
      </c>
      <c r="D131" s="29" t="str">
        <f>IFERROR(IF(SUMIFS(tblDaily[Deaths],tblDaily[EntryDate],DATE(2026,4,8),tblDaily[WardCode],"BG")=0,"",SUMIFS(tblDaily[Deaths],tblDaily[EntryDate],DATE(2026,4,8),tblDaily[WardCode],"BG")),"")</f>
        <v/>
      </c>
      <c r="E131" s="29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29" t="str">
        <f>IFERROR(IF(SUMIFS(tblDaily[TransfersIn],tblDaily[EntryDate],DATE(2026,4,8),tblDaily[WardCode],"BG")=0,"",SUMIFS(tblDaily[TransfersIn],tblDaily[EntryDate],DATE(2026,4,8),tblDaily[WardCode],"BG")),"")</f>
        <v/>
      </c>
      <c r="G131" s="29" t="str">
        <f>IFERROR(IF(SUMIFS(tblDaily[TransfersOut],tblDaily[EntryDate],DATE(2026,4,8),tblDaily[WardCode],"BG")=0,"",SUMIFS(tblDaily[TransfersOut],tblDaily[EntryDate],DATE(2026,4,8),tblDaily[WardCode],"BG")),"")</f>
        <v/>
      </c>
      <c r="H131" s="29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IFERROR(IF(SUMIFS(tblDaily[Admissions],tblDaily[EntryDate],DATE(2026,4,9),tblDaily[WardCode],"BG")=0,"",SUMIFS(tblDaily[Admissions],tblDaily[EntryDate],DATE(2026,4,9),tblDaily[WardCode],"BG")),"")</f>
        <v/>
      </c>
      <c r="C132" s="29" t="str">
        <f>IFERROR(IF(SUMIFS(tblDaily[Discharges],tblDaily[EntryDate],DATE(2026,4,9),tblDaily[WardCode],"BG")=0,"",SUMIFS(tblDaily[Discharges],tblDaily[EntryDate],DATE(2026,4,9),tblDaily[WardCode],"BG")),"")</f>
        <v/>
      </c>
      <c r="D132" s="29" t="str">
        <f>IFERROR(IF(SUMIFS(tblDaily[Deaths],tblDaily[EntryDate],DATE(2026,4,9),tblDaily[WardCode],"BG")=0,"",SUMIFS(tblDaily[Deaths],tblDaily[EntryDate],DATE(2026,4,9),tblDaily[WardCode],"BG")),"")</f>
        <v/>
      </c>
      <c r="E132" s="29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29" t="str">
        <f>IFERROR(IF(SUMIFS(tblDaily[TransfersIn],tblDaily[EntryDate],DATE(2026,4,9),tblDaily[WardCode],"BG")=0,"",SUMIFS(tblDaily[TransfersIn],tblDaily[EntryDate],DATE(2026,4,9),tblDaily[WardCode],"BG")),"")</f>
        <v/>
      </c>
      <c r="G132" s="29" t="str">
        <f>IFERROR(IF(SUMIFS(tblDaily[TransfersOut],tblDaily[EntryDate],DATE(2026,4,9),tblDaily[WardCode],"BG")=0,"",SUMIFS(tblDaily[TransfersOut],tblDaily[EntryDate],DATE(2026,4,9),tblDaily[WardCode],"BG")),"")</f>
        <v/>
      </c>
      <c r="H132" s="29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IFERROR(IF(SUMIFS(tblDaily[Admissions],tblDaily[EntryDate],DATE(2026,4,10),tblDaily[WardCode],"BG")=0,"",SUMIFS(tblDaily[Admissions],tblDaily[EntryDate],DATE(2026,4,10),tblDaily[WardCode],"BG")),"")</f>
        <v/>
      </c>
      <c r="C133" s="29" t="str">
        <f>IFERROR(IF(SUMIFS(tblDaily[Discharges],tblDaily[EntryDate],DATE(2026,4,10),tblDaily[WardCode],"BG")=0,"",SUMIFS(tblDaily[Discharges],tblDaily[EntryDate],DATE(2026,4,10),tblDaily[WardCode],"BG")),"")</f>
        <v/>
      </c>
      <c r="D133" s="29" t="str">
        <f>IFERROR(IF(SUMIFS(tblDaily[Deaths],tblDaily[EntryDate],DATE(2026,4,10),tblDaily[WardCode],"BG")=0,"",SUMIFS(tblDaily[Deaths],tblDaily[EntryDate],DATE(2026,4,10),tblDaily[WardCode],"BG")),"")</f>
        <v/>
      </c>
      <c r="E133" s="29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29" t="str">
        <f>IFERROR(IF(SUMIFS(tblDaily[TransfersIn],tblDaily[EntryDate],DATE(2026,4,10),tblDaily[WardCode],"BG")=0,"",SUMIFS(tblDaily[TransfersIn],tblDaily[EntryDate],DATE(2026,4,10),tblDaily[WardCode],"BG")),"")</f>
        <v/>
      </c>
      <c r="G133" s="29" t="str">
        <f>IFERROR(IF(SUMIFS(tblDaily[TransfersOut],tblDaily[EntryDate],DATE(2026,4,10),tblDaily[WardCode],"BG")=0,"",SUMIFS(tblDaily[TransfersOut],tblDaily[EntryDate],DATE(2026,4,10),tblDaily[WardCode],"BG")),"")</f>
        <v/>
      </c>
      <c r="H133" s="29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IFERROR(IF(SUMIFS(tblDaily[Admissions],tblDaily[EntryDate],DATE(2026,4,11),tblDaily[WardCode],"BG")=0,"",SUMIFS(tblDaily[Admissions],tblDaily[EntryDate],DATE(2026,4,11),tblDaily[WardCode],"BG")),"")</f>
        <v/>
      </c>
      <c r="C134" s="29" t="str">
        <f>IFERROR(IF(SUMIFS(tblDaily[Discharges],tblDaily[EntryDate],DATE(2026,4,11),tblDaily[WardCode],"BG")=0,"",SUMIFS(tblDaily[Discharges],tblDaily[EntryDate],DATE(2026,4,11),tblDaily[WardCode],"BG")),"")</f>
        <v/>
      </c>
      <c r="D134" s="29" t="str">
        <f>IFERROR(IF(SUMIFS(tblDaily[Deaths],tblDaily[EntryDate],DATE(2026,4,11),tblDaily[WardCode],"BG")=0,"",SUMIFS(tblDaily[Deaths],tblDaily[EntryDate],DATE(2026,4,11),tblDaily[WardCode],"BG")),"")</f>
        <v/>
      </c>
      <c r="E134" s="29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29" t="str">
        <f>IFERROR(IF(SUMIFS(tblDaily[TransfersIn],tblDaily[EntryDate],DATE(2026,4,11),tblDaily[WardCode],"BG")=0,"",SUMIFS(tblDaily[TransfersIn],tblDaily[EntryDate],DATE(2026,4,11),tblDaily[WardCode],"BG")),"")</f>
        <v/>
      </c>
      <c r="G134" s="29" t="str">
        <f>IFERROR(IF(SUMIFS(tblDaily[TransfersOut],tblDaily[EntryDate],DATE(2026,4,11),tblDaily[WardCode],"BG")=0,"",SUMIFS(tblDaily[TransfersOut],tblDaily[EntryDate],DATE(2026,4,11),tblDaily[WardCode],"BG")),"")</f>
        <v/>
      </c>
      <c r="H134" s="29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IFERROR(IF(SUMIFS(tblDaily[Admissions],tblDaily[EntryDate],DATE(2026,4,12),tblDaily[WardCode],"BG")=0,"",SUMIFS(tblDaily[Admissions],tblDaily[EntryDate],DATE(2026,4,12),tblDaily[WardCode],"BG")),"")</f>
        <v/>
      </c>
      <c r="C135" s="29" t="str">
        <f>IFERROR(IF(SUMIFS(tblDaily[Discharges],tblDaily[EntryDate],DATE(2026,4,12),tblDaily[WardCode],"BG")=0,"",SUMIFS(tblDaily[Discharges],tblDaily[EntryDate],DATE(2026,4,12),tblDaily[WardCode],"BG")),"")</f>
        <v/>
      </c>
      <c r="D135" s="29" t="str">
        <f>IFERROR(IF(SUMIFS(tblDaily[Deaths],tblDaily[EntryDate],DATE(2026,4,12),tblDaily[WardCode],"BG")=0,"",SUMIFS(tblDaily[Deaths],tblDaily[EntryDate],DATE(2026,4,12),tblDaily[WardCode],"BG")),"")</f>
        <v/>
      </c>
      <c r="E135" s="29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29" t="str">
        <f>IFERROR(IF(SUMIFS(tblDaily[TransfersIn],tblDaily[EntryDate],DATE(2026,4,12),tblDaily[WardCode],"BG")=0,"",SUMIFS(tblDaily[TransfersIn],tblDaily[EntryDate],DATE(2026,4,12),tblDaily[WardCode],"BG")),"")</f>
        <v/>
      </c>
      <c r="G135" s="29" t="str">
        <f>IFERROR(IF(SUMIFS(tblDaily[TransfersOut],tblDaily[EntryDate],DATE(2026,4,12),tblDaily[WardCode],"BG")=0,"",SUMIFS(tblDaily[TransfersOut],tblDaily[EntryDate],DATE(2026,4,12),tblDaily[WardCode],"BG")),"")</f>
        <v/>
      </c>
      <c r="H135" s="29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IFERROR(IF(SUMIFS(tblDaily[Admissions],tblDaily[EntryDate],DATE(2026,4,13),tblDaily[WardCode],"BG")=0,"",SUMIFS(tblDaily[Admissions],tblDaily[EntryDate],DATE(2026,4,13),tblDaily[WardCode],"BG")),"")</f>
        <v/>
      </c>
      <c r="C136" s="29" t="str">
        <f>IFERROR(IF(SUMIFS(tblDaily[Discharges],tblDaily[EntryDate],DATE(2026,4,13),tblDaily[WardCode],"BG")=0,"",SUMIFS(tblDaily[Discharges],tblDaily[EntryDate],DATE(2026,4,13),tblDaily[WardCode],"BG")),"")</f>
        <v/>
      </c>
      <c r="D136" s="29" t="str">
        <f>IFERROR(IF(SUMIFS(tblDaily[Deaths],tblDaily[EntryDate],DATE(2026,4,13),tblDaily[WardCode],"BG")=0,"",SUMIFS(tblDaily[Deaths],tblDaily[EntryDate],DATE(2026,4,13),tblDaily[WardCode],"BG")),"")</f>
        <v/>
      </c>
      <c r="E136" s="29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29" t="str">
        <f>IFERROR(IF(SUMIFS(tblDaily[TransfersIn],tblDaily[EntryDate],DATE(2026,4,13),tblDaily[WardCode],"BG")=0,"",SUMIFS(tblDaily[TransfersIn],tblDaily[EntryDate],DATE(2026,4,13),tblDaily[WardCode],"BG")),"")</f>
        <v/>
      </c>
      <c r="G136" s="29" t="str">
        <f>IFERROR(IF(SUMIFS(tblDaily[TransfersOut],tblDaily[EntryDate],DATE(2026,4,13),tblDaily[WardCode],"BG")=0,"",SUMIFS(tblDaily[TransfersOut],tblDaily[EntryDate],DATE(2026,4,13),tblDaily[WardCode],"BG")),"")</f>
        <v/>
      </c>
      <c r="H136" s="29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IFERROR(IF(SUMIFS(tblDaily[Admissions],tblDaily[EntryDate],DATE(2026,4,14),tblDaily[WardCode],"BG")=0,"",SUMIFS(tblDaily[Admissions],tblDaily[EntryDate],DATE(2026,4,14),tblDaily[WardCode],"BG")),"")</f>
        <v/>
      </c>
      <c r="C137" s="29" t="str">
        <f>IFERROR(IF(SUMIFS(tblDaily[Discharges],tblDaily[EntryDate],DATE(2026,4,14),tblDaily[WardCode],"BG")=0,"",SUMIFS(tblDaily[Discharges],tblDaily[EntryDate],DATE(2026,4,14),tblDaily[WardCode],"BG")),"")</f>
        <v/>
      </c>
      <c r="D137" s="29" t="str">
        <f>IFERROR(IF(SUMIFS(tblDaily[Deaths],tblDaily[EntryDate],DATE(2026,4,14),tblDaily[WardCode],"BG")=0,"",SUMIFS(tblDaily[Deaths],tblDaily[EntryDate],DATE(2026,4,14),tblDaily[WardCode],"BG")),"")</f>
        <v/>
      </c>
      <c r="E137" s="29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29" t="str">
        <f>IFERROR(IF(SUMIFS(tblDaily[TransfersIn],tblDaily[EntryDate],DATE(2026,4,14),tblDaily[WardCode],"BG")=0,"",SUMIFS(tblDaily[TransfersIn],tblDaily[EntryDate],DATE(2026,4,14),tblDaily[WardCode],"BG")),"")</f>
        <v/>
      </c>
      <c r="G137" s="29" t="str">
        <f>IFERROR(IF(SUMIFS(tblDaily[TransfersOut],tblDaily[EntryDate],DATE(2026,4,14),tblDaily[WardCode],"BG")=0,"",SUMIFS(tblDaily[TransfersOut],tblDaily[EntryDate],DATE(2026,4,14),tblDaily[WardCode],"BG")),"")</f>
        <v/>
      </c>
      <c r="H137" s="29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IFERROR(IF(SUMIFS(tblDaily[Admissions],tblDaily[EntryDate],DATE(2026,4,15),tblDaily[WardCode],"BG")=0,"",SUMIFS(tblDaily[Admissions],tblDaily[EntryDate],DATE(2026,4,15),tblDaily[WardCode],"BG")),"")</f>
        <v/>
      </c>
      <c r="C138" s="29" t="str">
        <f>IFERROR(IF(SUMIFS(tblDaily[Discharges],tblDaily[EntryDate],DATE(2026,4,15),tblDaily[WardCode],"BG")=0,"",SUMIFS(tblDaily[Discharges],tblDaily[EntryDate],DATE(2026,4,15),tblDaily[WardCode],"BG")),"")</f>
        <v/>
      </c>
      <c r="D138" s="29" t="str">
        <f>IFERROR(IF(SUMIFS(tblDaily[Deaths],tblDaily[EntryDate],DATE(2026,4,15),tblDaily[WardCode],"BG")=0,"",SUMIFS(tblDaily[Deaths],tblDaily[EntryDate],DATE(2026,4,15),tblDaily[WardCode],"BG")),"")</f>
        <v/>
      </c>
      <c r="E138" s="29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29" t="str">
        <f>IFERROR(IF(SUMIFS(tblDaily[TransfersIn],tblDaily[EntryDate],DATE(2026,4,15),tblDaily[WardCode],"BG")=0,"",SUMIFS(tblDaily[TransfersIn],tblDaily[EntryDate],DATE(2026,4,15),tblDaily[WardCode],"BG")),"")</f>
        <v/>
      </c>
      <c r="G138" s="29" t="str">
        <f>IFERROR(IF(SUMIFS(tblDaily[TransfersOut],tblDaily[EntryDate],DATE(2026,4,15),tblDaily[WardCode],"BG")=0,"",SUMIFS(tblDaily[TransfersOut],tblDaily[EntryDate],DATE(2026,4,15),tblDaily[WardCode],"BG")),"")</f>
        <v/>
      </c>
      <c r="H138" s="29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IFERROR(IF(SUMIFS(tblDaily[Admissions],tblDaily[EntryDate],DATE(2026,4,16),tblDaily[WardCode],"BG")=0,"",SUMIFS(tblDaily[Admissions],tblDaily[EntryDate],DATE(2026,4,16),tblDaily[WardCode],"BG")),"")</f>
        <v/>
      </c>
      <c r="C139" s="29" t="str">
        <f>IFERROR(IF(SUMIFS(tblDaily[Discharges],tblDaily[EntryDate],DATE(2026,4,16),tblDaily[WardCode],"BG")=0,"",SUMIFS(tblDaily[Discharges],tblDaily[EntryDate],DATE(2026,4,16),tblDaily[WardCode],"BG")),"")</f>
        <v/>
      </c>
      <c r="D139" s="29" t="str">
        <f>IFERROR(IF(SUMIFS(tblDaily[Deaths],tblDaily[EntryDate],DATE(2026,4,16),tblDaily[WardCode],"BG")=0,"",SUMIFS(tblDaily[Deaths],tblDaily[EntryDate],DATE(2026,4,16),tblDaily[WardCode],"BG")),"")</f>
        <v/>
      </c>
      <c r="E139" s="29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29" t="str">
        <f>IFERROR(IF(SUMIFS(tblDaily[TransfersIn],tblDaily[EntryDate],DATE(2026,4,16),tblDaily[WardCode],"BG")=0,"",SUMIFS(tblDaily[TransfersIn],tblDaily[EntryDate],DATE(2026,4,16),tblDaily[WardCode],"BG")),"")</f>
        <v/>
      </c>
      <c r="G139" s="29" t="str">
        <f>IFERROR(IF(SUMIFS(tblDaily[TransfersOut],tblDaily[EntryDate],DATE(2026,4,16),tblDaily[WardCode],"BG")=0,"",SUMIFS(tblDaily[TransfersOut],tblDaily[EntryDate],DATE(2026,4,16),tblDaily[WardCode],"BG")),"")</f>
        <v/>
      </c>
      <c r="H139" s="29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IFERROR(IF(SUMIFS(tblDaily[Admissions],tblDaily[EntryDate],DATE(2026,4,17),tblDaily[WardCode],"BG")=0,"",SUMIFS(tblDaily[Admissions],tblDaily[EntryDate],DATE(2026,4,17),tblDaily[WardCode],"BG")),"")</f>
        <v/>
      </c>
      <c r="C140" s="29" t="str">
        <f>IFERROR(IF(SUMIFS(tblDaily[Discharges],tblDaily[EntryDate],DATE(2026,4,17),tblDaily[WardCode],"BG")=0,"",SUMIFS(tblDaily[Discharges],tblDaily[EntryDate],DATE(2026,4,17),tblDaily[WardCode],"BG")),"")</f>
        <v/>
      </c>
      <c r="D140" s="29" t="str">
        <f>IFERROR(IF(SUMIFS(tblDaily[Deaths],tblDaily[EntryDate],DATE(2026,4,17),tblDaily[WardCode],"BG")=0,"",SUMIFS(tblDaily[Deaths],tblDaily[EntryDate],DATE(2026,4,17),tblDaily[WardCode],"BG")),"")</f>
        <v/>
      </c>
      <c r="E140" s="29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29" t="str">
        <f>IFERROR(IF(SUMIFS(tblDaily[TransfersIn],tblDaily[EntryDate],DATE(2026,4,17),tblDaily[WardCode],"BG")=0,"",SUMIFS(tblDaily[TransfersIn],tblDaily[EntryDate],DATE(2026,4,17),tblDaily[WardCode],"BG")),"")</f>
        <v/>
      </c>
      <c r="G140" s="29" t="str">
        <f>IFERROR(IF(SUMIFS(tblDaily[TransfersOut],tblDaily[EntryDate],DATE(2026,4,17),tblDaily[WardCode],"BG")=0,"",SUMIFS(tblDaily[TransfersOut],tblDaily[EntryDate],DATE(2026,4,17),tblDaily[WardCode],"BG")),"")</f>
        <v/>
      </c>
      <c r="H140" s="29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IFERROR(IF(SUMIFS(tblDaily[Admissions],tblDaily[EntryDate],DATE(2026,4,18),tblDaily[WardCode],"BG")=0,"",SUMIFS(tblDaily[Admissions],tblDaily[EntryDate],DATE(2026,4,18),tblDaily[WardCode],"BG")),"")</f>
        <v/>
      </c>
      <c r="C141" s="29" t="str">
        <f>IFERROR(IF(SUMIFS(tblDaily[Discharges],tblDaily[EntryDate],DATE(2026,4,18),tblDaily[WardCode],"BG")=0,"",SUMIFS(tblDaily[Discharges],tblDaily[EntryDate],DATE(2026,4,18),tblDaily[WardCode],"BG")),"")</f>
        <v/>
      </c>
      <c r="D141" s="29" t="str">
        <f>IFERROR(IF(SUMIFS(tblDaily[Deaths],tblDaily[EntryDate],DATE(2026,4,18),tblDaily[WardCode],"BG")=0,"",SUMIFS(tblDaily[Deaths],tblDaily[EntryDate],DATE(2026,4,18),tblDaily[WardCode],"BG")),"")</f>
        <v/>
      </c>
      <c r="E141" s="29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29" t="str">
        <f>IFERROR(IF(SUMIFS(tblDaily[TransfersIn],tblDaily[EntryDate],DATE(2026,4,18),tblDaily[WardCode],"BG")=0,"",SUMIFS(tblDaily[TransfersIn],tblDaily[EntryDate],DATE(2026,4,18),tblDaily[WardCode],"BG")),"")</f>
        <v/>
      </c>
      <c r="G141" s="29" t="str">
        <f>IFERROR(IF(SUMIFS(tblDaily[TransfersOut],tblDaily[EntryDate],DATE(2026,4,18),tblDaily[WardCode],"BG")=0,"",SUMIFS(tblDaily[TransfersOut],tblDaily[EntryDate],DATE(2026,4,18),tblDaily[WardCode],"BG")),"")</f>
        <v/>
      </c>
      <c r="H141" s="29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IFERROR(IF(SUMIFS(tblDaily[Admissions],tblDaily[EntryDate],DATE(2026,4,19),tblDaily[WardCode],"BG")=0,"",SUMIFS(tblDaily[Admissions],tblDaily[EntryDate],DATE(2026,4,19),tblDaily[WardCode],"BG")),"")</f>
        <v/>
      </c>
      <c r="C142" s="29" t="str">
        <f>IFERROR(IF(SUMIFS(tblDaily[Discharges],tblDaily[EntryDate],DATE(2026,4,19),tblDaily[WardCode],"BG")=0,"",SUMIFS(tblDaily[Discharges],tblDaily[EntryDate],DATE(2026,4,19),tblDaily[WardCode],"BG")),"")</f>
        <v/>
      </c>
      <c r="D142" s="29" t="str">
        <f>IFERROR(IF(SUMIFS(tblDaily[Deaths],tblDaily[EntryDate],DATE(2026,4,19),tblDaily[WardCode],"BG")=0,"",SUMIFS(tblDaily[Deaths],tblDaily[EntryDate],DATE(2026,4,19),tblDaily[WardCode],"BG")),"")</f>
        <v/>
      </c>
      <c r="E142" s="29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29" t="str">
        <f>IFERROR(IF(SUMIFS(tblDaily[TransfersIn],tblDaily[EntryDate],DATE(2026,4,19),tblDaily[WardCode],"BG")=0,"",SUMIFS(tblDaily[TransfersIn],tblDaily[EntryDate],DATE(2026,4,19),tblDaily[WardCode],"BG")),"")</f>
        <v/>
      </c>
      <c r="G142" s="29" t="str">
        <f>IFERROR(IF(SUMIFS(tblDaily[TransfersOut],tblDaily[EntryDate],DATE(2026,4,19),tblDaily[WardCode],"BG")=0,"",SUMIFS(tblDaily[TransfersOut],tblDaily[EntryDate],DATE(2026,4,19),tblDaily[WardCode],"BG")),"")</f>
        <v/>
      </c>
      <c r="H142" s="29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IFERROR(IF(SUMIFS(tblDaily[Admissions],tblDaily[EntryDate],DATE(2026,4,20),tblDaily[WardCode],"BG")=0,"",SUMIFS(tblDaily[Admissions],tblDaily[EntryDate],DATE(2026,4,20),tblDaily[WardCode],"BG")),"")</f>
        <v/>
      </c>
      <c r="C143" s="29" t="str">
        <f>IFERROR(IF(SUMIFS(tblDaily[Discharges],tblDaily[EntryDate],DATE(2026,4,20),tblDaily[WardCode],"BG")=0,"",SUMIFS(tblDaily[Discharges],tblDaily[EntryDate],DATE(2026,4,20),tblDaily[WardCode],"BG")),"")</f>
        <v/>
      </c>
      <c r="D143" s="29" t="str">
        <f>IFERROR(IF(SUMIFS(tblDaily[Deaths],tblDaily[EntryDate],DATE(2026,4,20),tblDaily[WardCode],"BG")=0,"",SUMIFS(tblDaily[Deaths],tblDaily[EntryDate],DATE(2026,4,20),tblDaily[WardCode],"BG")),"")</f>
        <v/>
      </c>
      <c r="E143" s="29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29" t="str">
        <f>IFERROR(IF(SUMIFS(tblDaily[TransfersIn],tblDaily[EntryDate],DATE(2026,4,20),tblDaily[WardCode],"BG")=0,"",SUMIFS(tblDaily[TransfersIn],tblDaily[EntryDate],DATE(2026,4,20),tblDaily[WardCode],"BG")),"")</f>
        <v/>
      </c>
      <c r="G143" s="29" t="str">
        <f>IFERROR(IF(SUMIFS(tblDaily[TransfersOut],tblDaily[EntryDate],DATE(2026,4,20),tblDaily[WardCode],"BG")=0,"",SUMIFS(tblDaily[TransfersOut],tblDaily[EntryDate],DATE(2026,4,20),tblDaily[WardCode],"BG")),"")</f>
        <v/>
      </c>
      <c r="H143" s="29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IFERROR(IF(SUMIFS(tblDaily[Admissions],tblDaily[EntryDate],DATE(2026,4,21),tblDaily[WardCode],"BG")=0,"",SUMIFS(tblDaily[Admissions],tblDaily[EntryDate],DATE(2026,4,21),tblDaily[WardCode],"BG")),"")</f>
        <v/>
      </c>
      <c r="C144" s="29" t="str">
        <f>IFERROR(IF(SUMIFS(tblDaily[Discharges],tblDaily[EntryDate],DATE(2026,4,21),tblDaily[WardCode],"BG")=0,"",SUMIFS(tblDaily[Discharges],tblDaily[EntryDate],DATE(2026,4,21),tblDaily[WardCode],"BG")),"")</f>
        <v/>
      </c>
      <c r="D144" s="29" t="str">
        <f>IFERROR(IF(SUMIFS(tblDaily[Deaths],tblDaily[EntryDate],DATE(2026,4,21),tblDaily[WardCode],"BG")=0,"",SUMIFS(tblDaily[Deaths],tblDaily[EntryDate],DATE(2026,4,21),tblDaily[WardCode],"BG")),"")</f>
        <v/>
      </c>
      <c r="E144" s="29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29" t="str">
        <f>IFERROR(IF(SUMIFS(tblDaily[TransfersIn],tblDaily[EntryDate],DATE(2026,4,21),tblDaily[WardCode],"BG")=0,"",SUMIFS(tblDaily[TransfersIn],tblDaily[EntryDate],DATE(2026,4,21),tblDaily[WardCode],"BG")),"")</f>
        <v/>
      </c>
      <c r="G144" s="29" t="str">
        <f>IFERROR(IF(SUMIFS(tblDaily[TransfersOut],tblDaily[EntryDate],DATE(2026,4,21),tblDaily[WardCode],"BG")=0,"",SUMIFS(tblDaily[TransfersOut],tblDaily[EntryDate],DATE(2026,4,21),tblDaily[WardCode],"BG")),"")</f>
        <v/>
      </c>
      <c r="H144" s="29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IFERROR(IF(SUMIFS(tblDaily[Admissions],tblDaily[EntryDate],DATE(2026,4,22),tblDaily[WardCode],"BG")=0,"",SUMIFS(tblDaily[Admissions],tblDaily[EntryDate],DATE(2026,4,22),tblDaily[WardCode],"BG")),"")</f>
        <v/>
      </c>
      <c r="C145" s="29" t="str">
        <f>IFERROR(IF(SUMIFS(tblDaily[Discharges],tblDaily[EntryDate],DATE(2026,4,22),tblDaily[WardCode],"BG")=0,"",SUMIFS(tblDaily[Discharges],tblDaily[EntryDate],DATE(2026,4,22),tblDaily[WardCode],"BG")),"")</f>
        <v/>
      </c>
      <c r="D145" s="29" t="str">
        <f>IFERROR(IF(SUMIFS(tblDaily[Deaths],tblDaily[EntryDate],DATE(2026,4,22),tblDaily[WardCode],"BG")=0,"",SUMIFS(tblDaily[Deaths],tblDaily[EntryDate],DATE(2026,4,22),tblDaily[WardCode],"BG")),"")</f>
        <v/>
      </c>
      <c r="E145" s="29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29" t="str">
        <f>IFERROR(IF(SUMIFS(tblDaily[TransfersIn],tblDaily[EntryDate],DATE(2026,4,22),tblDaily[WardCode],"BG")=0,"",SUMIFS(tblDaily[TransfersIn],tblDaily[EntryDate],DATE(2026,4,22),tblDaily[WardCode],"BG")),"")</f>
        <v/>
      </c>
      <c r="G145" s="29" t="str">
        <f>IFERROR(IF(SUMIFS(tblDaily[TransfersOut],tblDaily[EntryDate],DATE(2026,4,22),tblDaily[WardCode],"BG")=0,"",SUMIFS(tblDaily[TransfersOut],tblDaily[EntryDate],DATE(2026,4,22),tblDaily[WardCode],"BG")),"")</f>
        <v/>
      </c>
      <c r="H145" s="29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IFERROR(IF(SUMIFS(tblDaily[Admissions],tblDaily[EntryDate],DATE(2026,4,23),tblDaily[WardCode],"BG")=0,"",SUMIFS(tblDaily[Admissions],tblDaily[EntryDate],DATE(2026,4,23),tblDaily[WardCode],"BG")),"")</f>
        <v/>
      </c>
      <c r="C146" s="29" t="str">
        <f>IFERROR(IF(SUMIFS(tblDaily[Discharges],tblDaily[EntryDate],DATE(2026,4,23),tblDaily[WardCode],"BG")=0,"",SUMIFS(tblDaily[Discharges],tblDaily[EntryDate],DATE(2026,4,23),tblDaily[WardCode],"BG")),"")</f>
        <v/>
      </c>
      <c r="D146" s="29" t="str">
        <f>IFERROR(IF(SUMIFS(tblDaily[Deaths],tblDaily[EntryDate],DATE(2026,4,23),tblDaily[WardCode],"BG")=0,"",SUMIFS(tblDaily[Deaths],tblDaily[EntryDate],DATE(2026,4,23),tblDaily[WardCode],"BG")),"")</f>
        <v/>
      </c>
      <c r="E146" s="29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29" t="str">
        <f>IFERROR(IF(SUMIFS(tblDaily[TransfersIn],tblDaily[EntryDate],DATE(2026,4,23),tblDaily[WardCode],"BG")=0,"",SUMIFS(tblDaily[TransfersIn],tblDaily[EntryDate],DATE(2026,4,23),tblDaily[WardCode],"BG")),"")</f>
        <v/>
      </c>
      <c r="G146" s="29" t="str">
        <f>IFERROR(IF(SUMIFS(tblDaily[TransfersOut],tblDaily[EntryDate],DATE(2026,4,23),tblDaily[WardCode],"BG")=0,"",SUMIFS(tblDaily[TransfersOut],tblDaily[EntryDate],DATE(2026,4,23),tblDaily[WardCode],"BG")),"")</f>
        <v/>
      </c>
      <c r="H146" s="29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IFERROR(IF(SUMIFS(tblDaily[Admissions],tblDaily[EntryDate],DATE(2026,4,24),tblDaily[WardCode],"BG")=0,"",SUMIFS(tblDaily[Admissions],tblDaily[EntryDate],DATE(2026,4,24),tblDaily[WardCode],"BG")),"")</f>
        <v/>
      </c>
      <c r="C147" s="29" t="str">
        <f>IFERROR(IF(SUMIFS(tblDaily[Discharges],tblDaily[EntryDate],DATE(2026,4,24),tblDaily[WardCode],"BG")=0,"",SUMIFS(tblDaily[Discharges],tblDaily[EntryDate],DATE(2026,4,24),tblDaily[WardCode],"BG")),"")</f>
        <v/>
      </c>
      <c r="D147" s="29" t="str">
        <f>IFERROR(IF(SUMIFS(tblDaily[Deaths],tblDaily[EntryDate],DATE(2026,4,24),tblDaily[WardCode],"BG")=0,"",SUMIFS(tblDaily[Deaths],tblDaily[EntryDate],DATE(2026,4,24),tblDaily[WardCode],"BG")),"")</f>
        <v/>
      </c>
      <c r="E147" s="29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29" t="str">
        <f>IFERROR(IF(SUMIFS(tblDaily[TransfersIn],tblDaily[EntryDate],DATE(2026,4,24),tblDaily[WardCode],"BG")=0,"",SUMIFS(tblDaily[TransfersIn],tblDaily[EntryDate],DATE(2026,4,24),tblDaily[WardCode],"BG")),"")</f>
        <v/>
      </c>
      <c r="G147" s="29" t="str">
        <f>IFERROR(IF(SUMIFS(tblDaily[TransfersOut],tblDaily[EntryDate],DATE(2026,4,24),tblDaily[WardCode],"BG")=0,"",SUMIFS(tblDaily[TransfersOut],tblDaily[EntryDate],DATE(2026,4,24),tblDaily[WardCode],"BG")),"")</f>
        <v/>
      </c>
      <c r="H147" s="29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IFERROR(IF(SUMIFS(tblDaily[Admissions],tblDaily[EntryDate],DATE(2026,4,25),tblDaily[WardCode],"BG")=0,"",SUMIFS(tblDaily[Admissions],tblDaily[EntryDate],DATE(2026,4,25),tblDaily[WardCode],"BG")),"")</f>
        <v/>
      </c>
      <c r="C148" s="29" t="str">
        <f>IFERROR(IF(SUMIFS(tblDaily[Discharges],tblDaily[EntryDate],DATE(2026,4,25),tblDaily[WardCode],"BG")=0,"",SUMIFS(tblDaily[Discharges],tblDaily[EntryDate],DATE(2026,4,25),tblDaily[WardCode],"BG")),"")</f>
        <v/>
      </c>
      <c r="D148" s="29" t="str">
        <f>IFERROR(IF(SUMIFS(tblDaily[Deaths],tblDaily[EntryDate],DATE(2026,4,25),tblDaily[WardCode],"BG")=0,"",SUMIFS(tblDaily[Deaths],tblDaily[EntryDate],DATE(2026,4,25),tblDaily[WardCode],"BG")),"")</f>
        <v/>
      </c>
      <c r="E148" s="29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29" t="str">
        <f>IFERROR(IF(SUMIFS(tblDaily[TransfersIn],tblDaily[EntryDate],DATE(2026,4,25),tblDaily[WardCode],"BG")=0,"",SUMIFS(tblDaily[TransfersIn],tblDaily[EntryDate],DATE(2026,4,25),tblDaily[WardCode],"BG")),"")</f>
        <v/>
      </c>
      <c r="G148" s="29" t="str">
        <f>IFERROR(IF(SUMIFS(tblDaily[TransfersOut],tblDaily[EntryDate],DATE(2026,4,25),tblDaily[WardCode],"BG")=0,"",SUMIFS(tblDaily[TransfersOut],tblDaily[EntryDate],DATE(2026,4,25),tblDaily[WardCode],"BG")),"")</f>
        <v/>
      </c>
      <c r="H148" s="29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IFERROR(IF(SUMIFS(tblDaily[Admissions],tblDaily[EntryDate],DATE(2026,4,26),tblDaily[WardCode],"BG")=0,"",SUMIFS(tblDaily[Admissions],tblDaily[EntryDate],DATE(2026,4,26),tblDaily[WardCode],"BG")),"")</f>
        <v/>
      </c>
      <c r="C149" s="29" t="str">
        <f>IFERROR(IF(SUMIFS(tblDaily[Discharges],tblDaily[EntryDate],DATE(2026,4,26),tblDaily[WardCode],"BG")=0,"",SUMIFS(tblDaily[Discharges],tblDaily[EntryDate],DATE(2026,4,26),tblDaily[WardCode],"BG")),"")</f>
        <v/>
      </c>
      <c r="D149" s="29" t="str">
        <f>IFERROR(IF(SUMIFS(tblDaily[Deaths],tblDaily[EntryDate],DATE(2026,4,26),tblDaily[WardCode],"BG")=0,"",SUMIFS(tblDaily[Deaths],tblDaily[EntryDate],DATE(2026,4,26),tblDaily[WardCode],"BG")),"")</f>
        <v/>
      </c>
      <c r="E149" s="29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29" t="str">
        <f>IFERROR(IF(SUMIFS(tblDaily[TransfersIn],tblDaily[EntryDate],DATE(2026,4,26),tblDaily[WardCode],"BG")=0,"",SUMIFS(tblDaily[TransfersIn],tblDaily[EntryDate],DATE(2026,4,26),tblDaily[WardCode],"BG")),"")</f>
        <v/>
      </c>
      <c r="G149" s="29" t="str">
        <f>IFERROR(IF(SUMIFS(tblDaily[TransfersOut],tblDaily[EntryDate],DATE(2026,4,26),tblDaily[WardCode],"BG")=0,"",SUMIFS(tblDaily[TransfersOut],tblDaily[EntryDate],DATE(2026,4,26),tblDaily[WardCode],"BG")),"")</f>
        <v/>
      </c>
      <c r="H149" s="29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IFERROR(IF(SUMIFS(tblDaily[Admissions],tblDaily[EntryDate],DATE(2026,4,27),tblDaily[WardCode],"BG")=0,"",SUMIFS(tblDaily[Admissions],tblDaily[EntryDate],DATE(2026,4,27),tblDaily[WardCode],"BG")),"")</f>
        <v/>
      </c>
      <c r="C150" s="29" t="str">
        <f>IFERROR(IF(SUMIFS(tblDaily[Discharges],tblDaily[EntryDate],DATE(2026,4,27),tblDaily[WardCode],"BG")=0,"",SUMIFS(tblDaily[Discharges],tblDaily[EntryDate],DATE(2026,4,27),tblDaily[WardCode],"BG")),"")</f>
        <v/>
      </c>
      <c r="D150" s="29" t="str">
        <f>IFERROR(IF(SUMIFS(tblDaily[Deaths],tblDaily[EntryDate],DATE(2026,4,27),tblDaily[WardCode],"BG")=0,"",SUMIFS(tblDaily[Deaths],tblDaily[EntryDate],DATE(2026,4,27),tblDaily[WardCode],"BG")),"")</f>
        <v/>
      </c>
      <c r="E150" s="29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29" t="str">
        <f>IFERROR(IF(SUMIFS(tblDaily[TransfersIn],tblDaily[EntryDate],DATE(2026,4,27),tblDaily[WardCode],"BG")=0,"",SUMIFS(tblDaily[TransfersIn],tblDaily[EntryDate],DATE(2026,4,27),tblDaily[WardCode],"BG")),"")</f>
        <v/>
      </c>
      <c r="G150" s="29" t="str">
        <f>IFERROR(IF(SUMIFS(tblDaily[TransfersOut],tblDaily[EntryDate],DATE(2026,4,27),tblDaily[WardCode],"BG")=0,"",SUMIFS(tblDaily[TransfersOut],tblDaily[EntryDate],DATE(2026,4,27),tblDaily[WardCode],"BG")),"")</f>
        <v/>
      </c>
      <c r="H150" s="29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IFERROR(IF(SUMIFS(tblDaily[Admissions],tblDaily[EntryDate],DATE(2026,4,28),tblDaily[WardCode],"BG")=0,"",SUMIFS(tblDaily[Admissions],tblDaily[EntryDate],DATE(2026,4,28),tblDaily[WardCode],"BG")),"")</f>
        <v/>
      </c>
      <c r="C151" s="29" t="str">
        <f>IFERROR(IF(SUMIFS(tblDaily[Discharges],tblDaily[EntryDate],DATE(2026,4,28),tblDaily[WardCode],"BG")=0,"",SUMIFS(tblDaily[Discharges],tblDaily[EntryDate],DATE(2026,4,28),tblDaily[WardCode],"BG")),"")</f>
        <v/>
      </c>
      <c r="D151" s="29" t="str">
        <f>IFERROR(IF(SUMIFS(tblDaily[Deaths],tblDaily[EntryDate],DATE(2026,4,28),tblDaily[WardCode],"BG")=0,"",SUMIFS(tblDaily[Deaths],tblDaily[EntryDate],DATE(2026,4,28),tblDaily[WardCode],"BG")),"")</f>
        <v/>
      </c>
      <c r="E151" s="29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29" t="str">
        <f>IFERROR(IF(SUMIFS(tblDaily[TransfersIn],tblDaily[EntryDate],DATE(2026,4,28),tblDaily[WardCode],"BG")=0,"",SUMIFS(tblDaily[TransfersIn],tblDaily[EntryDate],DATE(2026,4,28),tblDaily[WardCode],"BG")),"")</f>
        <v/>
      </c>
      <c r="G151" s="29" t="str">
        <f>IFERROR(IF(SUMIFS(tblDaily[TransfersOut],tblDaily[EntryDate],DATE(2026,4,28),tblDaily[WardCode],"BG")=0,"",SUMIFS(tblDaily[TransfersOut],tblDaily[EntryDate],DATE(2026,4,28),tblDaily[WardCode],"BG")),"")</f>
        <v/>
      </c>
      <c r="H151" s="29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IFERROR(IF(SUMIFS(tblDaily[Admissions],tblDaily[EntryDate],DATE(2026,4,29),tblDaily[WardCode],"BG")=0,"",SUMIFS(tblDaily[Admissions],tblDaily[EntryDate],DATE(2026,4,29),tblDaily[WardCode],"BG")),"")</f>
        <v/>
      </c>
      <c r="C152" s="29" t="str">
        <f>IFERROR(IF(SUMIFS(tblDaily[Discharges],tblDaily[EntryDate],DATE(2026,4,29),tblDaily[WardCode],"BG")=0,"",SUMIFS(tblDaily[Discharges],tblDaily[EntryDate],DATE(2026,4,29),tblDaily[WardCode],"BG")),"")</f>
        <v/>
      </c>
      <c r="D152" s="29" t="str">
        <f>IFERROR(IF(SUMIFS(tblDaily[Deaths],tblDaily[EntryDate],DATE(2026,4,29),tblDaily[WardCode],"BG")=0,"",SUMIFS(tblDaily[Deaths],tblDaily[EntryDate],DATE(2026,4,29),tblDaily[WardCode],"BG")),"")</f>
        <v/>
      </c>
      <c r="E152" s="29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29" t="str">
        <f>IFERROR(IF(SUMIFS(tblDaily[TransfersIn],tblDaily[EntryDate],DATE(2026,4,29),tblDaily[WardCode],"BG")=0,"",SUMIFS(tblDaily[TransfersIn],tblDaily[EntryDate],DATE(2026,4,29),tblDaily[WardCode],"BG")),"")</f>
        <v/>
      </c>
      <c r="G152" s="29" t="str">
        <f>IFERROR(IF(SUMIFS(tblDaily[TransfersOut],tblDaily[EntryDate],DATE(2026,4,29),tblDaily[WardCode],"BG")=0,"",SUMIFS(tblDaily[TransfersOut],tblDaily[EntryDate],DATE(2026,4,29),tblDaily[WardCode],"BG")),"")</f>
        <v/>
      </c>
      <c r="H152" s="29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IFERROR(IF(SUMIFS(tblDaily[Admissions],tblDaily[EntryDate],DATE(2026,4,30),tblDaily[WardCode],"BG")=0,"",SUMIFS(tblDaily[Admissions],tblDaily[EntryDate],DATE(2026,4,30),tblDaily[WardCode],"BG")),"")</f>
        <v/>
      </c>
      <c r="C153" s="29" t="str">
        <f>IFERROR(IF(SUMIFS(tblDaily[Discharges],tblDaily[EntryDate],DATE(2026,4,30),tblDaily[WardCode],"BG")=0,"",SUMIFS(tblDaily[Discharges],tblDaily[EntryDate],DATE(2026,4,30),tblDaily[WardCode],"BG")),"")</f>
        <v/>
      </c>
      <c r="D153" s="29" t="str">
        <f>IFERROR(IF(SUMIFS(tblDaily[Deaths],tblDaily[EntryDate],DATE(2026,4,30),tblDaily[WardCode],"BG")=0,"",SUMIFS(tblDaily[Deaths],tblDaily[EntryDate],DATE(2026,4,30),tblDaily[WardCode],"BG")),"")</f>
        <v/>
      </c>
      <c r="E153" s="29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29" t="str">
        <f>IFERROR(IF(SUMIFS(tblDaily[TransfersIn],tblDaily[EntryDate],DATE(2026,4,30),tblDaily[WardCode],"BG")=0,"",SUMIFS(tblDaily[TransfersIn],tblDaily[EntryDate],DATE(2026,4,30),tblDaily[WardCode],"BG")),"")</f>
        <v/>
      </c>
      <c r="G153" s="29" t="str">
        <f>IFERROR(IF(SUMIFS(tblDaily[TransfersOut],tblDaily[EntryDate],DATE(2026,4,30),tblDaily[WardCode],"BG")=0,"",SUMIFS(tblDaily[TransfersOut],tblDaily[EntryDate],DATE(2026,4,30),tblDaily[WardCode],"BG")),"")</f>
        <v/>
      </c>
      <c r="H153" s="29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SUMIFS(tblDaily[Admissions],tblDaily[Month],4,tblDaily[WardCode],"BG") - SUMIFS(tblDaily[DeathsUnder24Hrs],tblDaily[Month],4,tblDaily[WardCode],"BG")</f>
        <v>24</v>
      </c>
      <c r="C155" s="30">
        <f>SUMIFS(tblDaily[Discharges],tblDaily[Month],4,tblDaily[WardCode],"BG")</f>
        <v>29</v>
      </c>
      <c r="D155" s="30">
        <f>SUMIFS(tblDaily[Deaths],tblDaily[Month],4,tblDaily[WardCode],"BG")</f>
        <v>0</v>
      </c>
      <c r="E155" s="30">
        <f>SUMIFS(tblDaily[DeathsUnder24Hrs],tblDaily[Month],4,tblDaily[WardCode],"BG")</f>
        <v>0</v>
      </c>
      <c r="F155" s="30">
        <f>SUMIFS(tblDaily[TransfersIn],tblDaily[Month],4,tblDaily[WardCode],"BG")</f>
        <v>8</v>
      </c>
      <c r="G155" s="30">
        <f>SUMIFS(tblDaily[TransfersOut],tblDaily[Month],4,tblDaily[WardCode],"BG")</f>
        <v>4</v>
      </c>
      <c r="H155" s="30">
        <f>SUMIFS(tblDaily[Remaining],tblDaily[Month],4,tblDaily[WardCode],"BG")</f>
        <v>88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119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IFERROR(SUMIFS(tblDaily[Remaining],tblDaily[EntryDate],DATE(2026,4,30),tblDaily[WardCode],"BG"),0)</f>
        <v>0</v>
      </c>
    </row>
    <row r="161" spans="1:8" x14ac:dyDescent="0.25">
      <c r="A161" s="24" t="s">
        <v>109</v>
      </c>
      <c r="H161" s="27">
        <f>IFERROR(INDEX(tblWardConfig[BedComplement],MATCH("BG",tblWardConfig[WardCode],0)),0)</f>
        <v>14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IFERROR(IF(SUMIFS(tblDaily[Admissions],tblDaily[EntryDate],DATE(2026,5,1),tblDaily[WardCode],"BG")=0,"",SUMIFS(tblDaily[Admissions],tblDaily[EntryDate],DATE(2026,5,1),tblDaily[WardCode],"BG")),"")</f>
        <v/>
      </c>
      <c r="C163" s="29" t="str">
        <f>IFERROR(IF(SUMIFS(tblDaily[Discharges],tblDaily[EntryDate],DATE(2026,5,1),tblDaily[WardCode],"BG")=0,"",SUMIFS(tblDaily[Discharges],tblDaily[EntryDate],DATE(2026,5,1),tblDaily[WardCode],"BG")),"")</f>
        <v/>
      </c>
      <c r="D163" s="29" t="str">
        <f>IFERROR(IF(SUMIFS(tblDaily[Deaths],tblDaily[EntryDate],DATE(2026,5,1),tblDaily[WardCode],"BG")=0,"",SUMIFS(tblDaily[Deaths],tblDaily[EntryDate],DATE(2026,5,1),tblDaily[WardCode],"BG")),"")</f>
        <v/>
      </c>
      <c r="E163" s="29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29" t="str">
        <f>IFERROR(IF(SUMIFS(tblDaily[TransfersIn],tblDaily[EntryDate],DATE(2026,5,1),tblDaily[WardCode],"BG")=0,"",SUMIFS(tblDaily[TransfersIn],tblDaily[EntryDate],DATE(2026,5,1),tblDaily[WardCode],"BG")),"")</f>
        <v/>
      </c>
      <c r="G163" s="29" t="str">
        <f>IFERROR(IF(SUMIFS(tblDaily[TransfersOut],tblDaily[EntryDate],DATE(2026,5,1),tblDaily[WardCode],"BG")=0,"",SUMIFS(tblDaily[TransfersOut],tblDaily[EntryDate],DATE(2026,5,1),tblDaily[WardCode],"BG")),"")</f>
        <v/>
      </c>
      <c r="H163" s="29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IFERROR(IF(SUMIFS(tblDaily[Admissions],tblDaily[EntryDate],DATE(2026,5,2),tblDaily[WardCode],"BG")=0,"",SUMIFS(tblDaily[Admissions],tblDaily[EntryDate],DATE(2026,5,2),tblDaily[WardCode],"BG")),"")</f>
        <v/>
      </c>
      <c r="C164" s="29" t="str">
        <f>IFERROR(IF(SUMIFS(tblDaily[Discharges],tblDaily[EntryDate],DATE(2026,5,2),tblDaily[WardCode],"BG")=0,"",SUMIFS(tblDaily[Discharges],tblDaily[EntryDate],DATE(2026,5,2),tblDaily[WardCode],"BG")),"")</f>
        <v/>
      </c>
      <c r="D164" s="29" t="str">
        <f>IFERROR(IF(SUMIFS(tblDaily[Deaths],tblDaily[EntryDate],DATE(2026,5,2),tblDaily[WardCode],"BG")=0,"",SUMIFS(tblDaily[Deaths],tblDaily[EntryDate],DATE(2026,5,2),tblDaily[WardCode],"BG")),"")</f>
        <v/>
      </c>
      <c r="E164" s="29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29" t="str">
        <f>IFERROR(IF(SUMIFS(tblDaily[TransfersIn],tblDaily[EntryDate],DATE(2026,5,2),tblDaily[WardCode],"BG")=0,"",SUMIFS(tblDaily[TransfersIn],tblDaily[EntryDate],DATE(2026,5,2),tblDaily[WardCode],"BG")),"")</f>
        <v/>
      </c>
      <c r="G164" s="29" t="str">
        <f>IFERROR(IF(SUMIFS(tblDaily[TransfersOut],tblDaily[EntryDate],DATE(2026,5,2),tblDaily[WardCode],"BG")=0,"",SUMIFS(tblDaily[TransfersOut],tblDaily[EntryDate],DATE(2026,5,2),tblDaily[WardCode],"BG")),"")</f>
        <v/>
      </c>
      <c r="H164" s="29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IFERROR(IF(SUMIFS(tblDaily[Admissions],tblDaily[EntryDate],DATE(2026,5,3),tblDaily[WardCode],"BG")=0,"",SUMIFS(tblDaily[Admissions],tblDaily[EntryDate],DATE(2026,5,3),tblDaily[WardCode],"BG")),"")</f>
        <v/>
      </c>
      <c r="C165" s="29" t="str">
        <f>IFERROR(IF(SUMIFS(tblDaily[Discharges],tblDaily[EntryDate],DATE(2026,5,3),tblDaily[WardCode],"BG")=0,"",SUMIFS(tblDaily[Discharges],tblDaily[EntryDate],DATE(2026,5,3),tblDaily[WardCode],"BG")),"")</f>
        <v/>
      </c>
      <c r="D165" s="29" t="str">
        <f>IFERROR(IF(SUMIFS(tblDaily[Deaths],tblDaily[EntryDate],DATE(2026,5,3),tblDaily[WardCode],"BG")=0,"",SUMIFS(tblDaily[Deaths],tblDaily[EntryDate],DATE(2026,5,3),tblDaily[WardCode],"BG")),"")</f>
        <v/>
      </c>
      <c r="E165" s="29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29" t="str">
        <f>IFERROR(IF(SUMIFS(tblDaily[TransfersIn],tblDaily[EntryDate],DATE(2026,5,3),tblDaily[WardCode],"BG")=0,"",SUMIFS(tblDaily[TransfersIn],tblDaily[EntryDate],DATE(2026,5,3),tblDaily[WardCode],"BG")),"")</f>
        <v/>
      </c>
      <c r="G165" s="29" t="str">
        <f>IFERROR(IF(SUMIFS(tblDaily[TransfersOut],tblDaily[EntryDate],DATE(2026,5,3),tblDaily[WardCode],"BG")=0,"",SUMIFS(tblDaily[TransfersOut],tblDaily[EntryDate],DATE(2026,5,3),tblDaily[WardCode],"BG")),"")</f>
        <v/>
      </c>
      <c r="H165" s="29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IFERROR(IF(SUMIFS(tblDaily[Admissions],tblDaily[EntryDate],DATE(2026,5,4),tblDaily[WardCode],"BG")=0,"",SUMIFS(tblDaily[Admissions],tblDaily[EntryDate],DATE(2026,5,4),tblDaily[WardCode],"BG")),"")</f>
        <v/>
      </c>
      <c r="C166" s="29" t="str">
        <f>IFERROR(IF(SUMIFS(tblDaily[Discharges],tblDaily[EntryDate],DATE(2026,5,4),tblDaily[WardCode],"BG")=0,"",SUMIFS(tblDaily[Discharges],tblDaily[EntryDate],DATE(2026,5,4),tblDaily[WardCode],"BG")),"")</f>
        <v/>
      </c>
      <c r="D166" s="29" t="str">
        <f>IFERROR(IF(SUMIFS(tblDaily[Deaths],tblDaily[EntryDate],DATE(2026,5,4),tblDaily[WardCode],"BG")=0,"",SUMIFS(tblDaily[Deaths],tblDaily[EntryDate],DATE(2026,5,4),tblDaily[WardCode],"BG")),"")</f>
        <v/>
      </c>
      <c r="E166" s="29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29" t="str">
        <f>IFERROR(IF(SUMIFS(tblDaily[TransfersIn],tblDaily[EntryDate],DATE(2026,5,4),tblDaily[WardCode],"BG")=0,"",SUMIFS(tblDaily[TransfersIn],tblDaily[EntryDate],DATE(2026,5,4),tblDaily[WardCode],"BG")),"")</f>
        <v/>
      </c>
      <c r="G166" s="29" t="str">
        <f>IFERROR(IF(SUMIFS(tblDaily[TransfersOut],tblDaily[EntryDate],DATE(2026,5,4),tblDaily[WardCode],"BG")=0,"",SUMIFS(tblDaily[TransfersOut],tblDaily[EntryDate],DATE(2026,5,4),tblDaily[WardCode],"BG")),"")</f>
        <v/>
      </c>
      <c r="H166" s="29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IFERROR(IF(SUMIFS(tblDaily[Admissions],tblDaily[EntryDate],DATE(2026,5,5),tblDaily[WardCode],"BG")=0,"",SUMIFS(tblDaily[Admissions],tblDaily[EntryDate],DATE(2026,5,5),tblDaily[WardCode],"BG")),"")</f>
        <v/>
      </c>
      <c r="C167" s="29" t="str">
        <f>IFERROR(IF(SUMIFS(tblDaily[Discharges],tblDaily[EntryDate],DATE(2026,5,5),tblDaily[WardCode],"BG")=0,"",SUMIFS(tblDaily[Discharges],tblDaily[EntryDate],DATE(2026,5,5),tblDaily[WardCode],"BG")),"")</f>
        <v/>
      </c>
      <c r="D167" s="29" t="str">
        <f>IFERROR(IF(SUMIFS(tblDaily[Deaths],tblDaily[EntryDate],DATE(2026,5,5),tblDaily[WardCode],"BG")=0,"",SUMIFS(tblDaily[Deaths],tblDaily[EntryDate],DATE(2026,5,5),tblDaily[WardCode],"BG")),"")</f>
        <v/>
      </c>
      <c r="E167" s="29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29" t="str">
        <f>IFERROR(IF(SUMIFS(tblDaily[TransfersIn],tblDaily[EntryDate],DATE(2026,5,5),tblDaily[WardCode],"BG")=0,"",SUMIFS(tblDaily[TransfersIn],tblDaily[EntryDate],DATE(2026,5,5),tblDaily[WardCode],"BG")),"")</f>
        <v/>
      </c>
      <c r="G167" s="29" t="str">
        <f>IFERROR(IF(SUMIFS(tblDaily[TransfersOut],tblDaily[EntryDate],DATE(2026,5,5),tblDaily[WardCode],"BG")=0,"",SUMIFS(tblDaily[TransfersOut],tblDaily[EntryDate],DATE(2026,5,5),tblDaily[WardCode],"BG")),"")</f>
        <v/>
      </c>
      <c r="H167" s="29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IFERROR(IF(SUMIFS(tblDaily[Admissions],tblDaily[EntryDate],DATE(2026,5,6),tblDaily[WardCode],"BG")=0,"",SUMIFS(tblDaily[Admissions],tblDaily[EntryDate],DATE(2026,5,6),tblDaily[WardCode],"BG")),"")</f>
        <v/>
      </c>
      <c r="C168" s="29" t="str">
        <f>IFERROR(IF(SUMIFS(tblDaily[Discharges],tblDaily[EntryDate],DATE(2026,5,6),tblDaily[WardCode],"BG")=0,"",SUMIFS(tblDaily[Discharges],tblDaily[EntryDate],DATE(2026,5,6),tblDaily[WardCode],"BG")),"")</f>
        <v/>
      </c>
      <c r="D168" s="29" t="str">
        <f>IFERROR(IF(SUMIFS(tblDaily[Deaths],tblDaily[EntryDate],DATE(2026,5,6),tblDaily[WardCode],"BG")=0,"",SUMIFS(tblDaily[Deaths],tblDaily[EntryDate],DATE(2026,5,6),tblDaily[WardCode],"BG")),"")</f>
        <v/>
      </c>
      <c r="E168" s="29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29" t="str">
        <f>IFERROR(IF(SUMIFS(tblDaily[TransfersIn],tblDaily[EntryDate],DATE(2026,5,6),tblDaily[WardCode],"BG")=0,"",SUMIFS(tblDaily[TransfersIn],tblDaily[EntryDate],DATE(2026,5,6),tblDaily[WardCode],"BG")),"")</f>
        <v/>
      </c>
      <c r="G168" s="29" t="str">
        <f>IFERROR(IF(SUMIFS(tblDaily[TransfersOut],tblDaily[EntryDate],DATE(2026,5,6),tblDaily[WardCode],"BG")=0,"",SUMIFS(tblDaily[TransfersOut],tblDaily[EntryDate],DATE(2026,5,6),tblDaily[WardCode],"BG")),"")</f>
        <v/>
      </c>
      <c r="H168" s="29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IFERROR(IF(SUMIFS(tblDaily[Admissions],tblDaily[EntryDate],DATE(2026,5,7),tblDaily[WardCode],"BG")=0,"",SUMIFS(tblDaily[Admissions],tblDaily[EntryDate],DATE(2026,5,7),tblDaily[WardCode],"BG")),"")</f>
        <v/>
      </c>
      <c r="C169" s="29" t="str">
        <f>IFERROR(IF(SUMIFS(tblDaily[Discharges],tblDaily[EntryDate],DATE(2026,5,7),tblDaily[WardCode],"BG")=0,"",SUMIFS(tblDaily[Discharges],tblDaily[EntryDate],DATE(2026,5,7),tblDaily[WardCode],"BG")),"")</f>
        <v/>
      </c>
      <c r="D169" s="29" t="str">
        <f>IFERROR(IF(SUMIFS(tblDaily[Deaths],tblDaily[EntryDate],DATE(2026,5,7),tblDaily[WardCode],"BG")=0,"",SUMIFS(tblDaily[Deaths],tblDaily[EntryDate],DATE(2026,5,7),tblDaily[WardCode],"BG")),"")</f>
        <v/>
      </c>
      <c r="E169" s="29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29" t="str">
        <f>IFERROR(IF(SUMIFS(tblDaily[TransfersIn],tblDaily[EntryDate],DATE(2026,5,7),tblDaily[WardCode],"BG")=0,"",SUMIFS(tblDaily[TransfersIn],tblDaily[EntryDate],DATE(2026,5,7),tblDaily[WardCode],"BG")),"")</f>
        <v/>
      </c>
      <c r="G169" s="29" t="str">
        <f>IFERROR(IF(SUMIFS(tblDaily[TransfersOut],tblDaily[EntryDate],DATE(2026,5,7),tblDaily[WardCode],"BG")=0,"",SUMIFS(tblDaily[TransfersOut],tblDaily[EntryDate],DATE(2026,5,7),tblDaily[WardCode],"BG")),"")</f>
        <v/>
      </c>
      <c r="H169" s="29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IFERROR(IF(SUMIFS(tblDaily[Admissions],tblDaily[EntryDate],DATE(2026,5,8),tblDaily[WardCode],"BG")=0,"",SUMIFS(tblDaily[Admissions],tblDaily[EntryDate],DATE(2026,5,8),tblDaily[WardCode],"BG")),"")</f>
        <v/>
      </c>
      <c r="C170" s="29" t="str">
        <f>IFERROR(IF(SUMIFS(tblDaily[Discharges],tblDaily[EntryDate],DATE(2026,5,8),tblDaily[WardCode],"BG")=0,"",SUMIFS(tblDaily[Discharges],tblDaily[EntryDate],DATE(2026,5,8),tblDaily[WardCode],"BG")),"")</f>
        <v/>
      </c>
      <c r="D170" s="29" t="str">
        <f>IFERROR(IF(SUMIFS(tblDaily[Deaths],tblDaily[EntryDate],DATE(2026,5,8),tblDaily[WardCode],"BG")=0,"",SUMIFS(tblDaily[Deaths],tblDaily[EntryDate],DATE(2026,5,8),tblDaily[WardCode],"BG")),"")</f>
        <v/>
      </c>
      <c r="E170" s="29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29" t="str">
        <f>IFERROR(IF(SUMIFS(tblDaily[TransfersIn],tblDaily[EntryDate],DATE(2026,5,8),tblDaily[WardCode],"BG")=0,"",SUMIFS(tblDaily[TransfersIn],tblDaily[EntryDate],DATE(2026,5,8),tblDaily[WardCode],"BG")),"")</f>
        <v/>
      </c>
      <c r="G170" s="29" t="str">
        <f>IFERROR(IF(SUMIFS(tblDaily[TransfersOut],tblDaily[EntryDate],DATE(2026,5,8),tblDaily[WardCode],"BG")=0,"",SUMIFS(tblDaily[TransfersOut],tblDaily[EntryDate],DATE(2026,5,8),tblDaily[WardCode],"BG")),"")</f>
        <v/>
      </c>
      <c r="H170" s="29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IFERROR(IF(SUMIFS(tblDaily[Admissions],tblDaily[EntryDate],DATE(2026,5,9),tblDaily[WardCode],"BG")=0,"",SUMIFS(tblDaily[Admissions],tblDaily[EntryDate],DATE(2026,5,9),tblDaily[WardCode],"BG")),"")</f>
        <v/>
      </c>
      <c r="C171" s="29" t="str">
        <f>IFERROR(IF(SUMIFS(tblDaily[Discharges],tblDaily[EntryDate],DATE(2026,5,9),tblDaily[WardCode],"BG")=0,"",SUMIFS(tblDaily[Discharges],tblDaily[EntryDate],DATE(2026,5,9),tblDaily[WardCode],"BG")),"")</f>
        <v/>
      </c>
      <c r="D171" s="29" t="str">
        <f>IFERROR(IF(SUMIFS(tblDaily[Deaths],tblDaily[EntryDate],DATE(2026,5,9),tblDaily[WardCode],"BG")=0,"",SUMIFS(tblDaily[Deaths],tblDaily[EntryDate],DATE(2026,5,9),tblDaily[WardCode],"BG")),"")</f>
        <v/>
      </c>
      <c r="E171" s="29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29" t="str">
        <f>IFERROR(IF(SUMIFS(tblDaily[TransfersIn],tblDaily[EntryDate],DATE(2026,5,9),tblDaily[WardCode],"BG")=0,"",SUMIFS(tblDaily[TransfersIn],tblDaily[EntryDate],DATE(2026,5,9),tblDaily[WardCode],"BG")),"")</f>
        <v/>
      </c>
      <c r="G171" s="29" t="str">
        <f>IFERROR(IF(SUMIFS(tblDaily[TransfersOut],tblDaily[EntryDate],DATE(2026,5,9),tblDaily[WardCode],"BG")=0,"",SUMIFS(tblDaily[TransfersOut],tblDaily[EntryDate],DATE(2026,5,9),tblDaily[WardCode],"BG")),"")</f>
        <v/>
      </c>
      <c r="H171" s="29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IFERROR(IF(SUMIFS(tblDaily[Admissions],tblDaily[EntryDate],DATE(2026,5,10),tblDaily[WardCode],"BG")=0,"",SUMIFS(tblDaily[Admissions],tblDaily[EntryDate],DATE(2026,5,10),tblDaily[WardCode],"BG")),"")</f>
        <v/>
      </c>
      <c r="C172" s="29" t="str">
        <f>IFERROR(IF(SUMIFS(tblDaily[Discharges],tblDaily[EntryDate],DATE(2026,5,10),tblDaily[WardCode],"BG")=0,"",SUMIFS(tblDaily[Discharges],tblDaily[EntryDate],DATE(2026,5,10),tblDaily[WardCode],"BG")),"")</f>
        <v/>
      </c>
      <c r="D172" s="29" t="str">
        <f>IFERROR(IF(SUMIFS(tblDaily[Deaths],tblDaily[EntryDate],DATE(2026,5,10),tblDaily[WardCode],"BG")=0,"",SUMIFS(tblDaily[Deaths],tblDaily[EntryDate],DATE(2026,5,10),tblDaily[WardCode],"BG")),"")</f>
        <v/>
      </c>
      <c r="E172" s="29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29" t="str">
        <f>IFERROR(IF(SUMIFS(tblDaily[TransfersIn],tblDaily[EntryDate],DATE(2026,5,10),tblDaily[WardCode],"BG")=0,"",SUMIFS(tblDaily[TransfersIn],tblDaily[EntryDate],DATE(2026,5,10),tblDaily[WardCode],"BG")),"")</f>
        <v/>
      </c>
      <c r="G172" s="29" t="str">
        <f>IFERROR(IF(SUMIFS(tblDaily[TransfersOut],tblDaily[EntryDate],DATE(2026,5,10),tblDaily[WardCode],"BG")=0,"",SUMIFS(tblDaily[TransfersOut],tblDaily[EntryDate],DATE(2026,5,10),tblDaily[WardCode],"BG")),"")</f>
        <v/>
      </c>
      <c r="H172" s="29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IFERROR(IF(SUMIFS(tblDaily[Admissions],tblDaily[EntryDate],DATE(2026,5,11),tblDaily[WardCode],"BG")=0,"",SUMIFS(tblDaily[Admissions],tblDaily[EntryDate],DATE(2026,5,11),tblDaily[WardCode],"BG")),"")</f>
        <v/>
      </c>
      <c r="C173" s="29" t="str">
        <f>IFERROR(IF(SUMIFS(tblDaily[Discharges],tblDaily[EntryDate],DATE(2026,5,11),tblDaily[WardCode],"BG")=0,"",SUMIFS(tblDaily[Discharges],tblDaily[EntryDate],DATE(2026,5,11),tblDaily[WardCode],"BG")),"")</f>
        <v/>
      </c>
      <c r="D173" s="29" t="str">
        <f>IFERROR(IF(SUMIFS(tblDaily[Deaths],tblDaily[EntryDate],DATE(2026,5,11),tblDaily[WardCode],"BG")=0,"",SUMIFS(tblDaily[Deaths],tblDaily[EntryDate],DATE(2026,5,11),tblDaily[WardCode],"BG")),"")</f>
        <v/>
      </c>
      <c r="E173" s="29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29" t="str">
        <f>IFERROR(IF(SUMIFS(tblDaily[TransfersIn],tblDaily[EntryDate],DATE(2026,5,11),tblDaily[WardCode],"BG")=0,"",SUMIFS(tblDaily[TransfersIn],tblDaily[EntryDate],DATE(2026,5,11),tblDaily[WardCode],"BG")),"")</f>
        <v/>
      </c>
      <c r="G173" s="29" t="str">
        <f>IFERROR(IF(SUMIFS(tblDaily[TransfersOut],tblDaily[EntryDate],DATE(2026,5,11),tblDaily[WardCode],"BG")=0,"",SUMIFS(tblDaily[TransfersOut],tblDaily[EntryDate],DATE(2026,5,11),tblDaily[WardCode],"BG")),"")</f>
        <v/>
      </c>
      <c r="H173" s="29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IFERROR(IF(SUMIFS(tblDaily[Admissions],tblDaily[EntryDate],DATE(2026,5,12),tblDaily[WardCode],"BG")=0,"",SUMIFS(tblDaily[Admissions],tblDaily[EntryDate],DATE(2026,5,12),tblDaily[WardCode],"BG")),"")</f>
        <v/>
      </c>
      <c r="C174" s="29" t="str">
        <f>IFERROR(IF(SUMIFS(tblDaily[Discharges],tblDaily[EntryDate],DATE(2026,5,12),tblDaily[WardCode],"BG")=0,"",SUMIFS(tblDaily[Discharges],tblDaily[EntryDate],DATE(2026,5,12),tblDaily[WardCode],"BG")),"")</f>
        <v/>
      </c>
      <c r="D174" s="29" t="str">
        <f>IFERROR(IF(SUMIFS(tblDaily[Deaths],tblDaily[EntryDate],DATE(2026,5,12),tblDaily[WardCode],"BG")=0,"",SUMIFS(tblDaily[Deaths],tblDaily[EntryDate],DATE(2026,5,12),tblDaily[WardCode],"BG")),"")</f>
        <v/>
      </c>
      <c r="E174" s="29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29" t="str">
        <f>IFERROR(IF(SUMIFS(tblDaily[TransfersIn],tblDaily[EntryDate],DATE(2026,5,12),tblDaily[WardCode],"BG")=0,"",SUMIFS(tblDaily[TransfersIn],tblDaily[EntryDate],DATE(2026,5,12),tblDaily[WardCode],"BG")),"")</f>
        <v/>
      </c>
      <c r="G174" s="29" t="str">
        <f>IFERROR(IF(SUMIFS(tblDaily[TransfersOut],tblDaily[EntryDate],DATE(2026,5,12),tblDaily[WardCode],"BG")=0,"",SUMIFS(tblDaily[TransfersOut],tblDaily[EntryDate],DATE(2026,5,12),tblDaily[WardCode],"BG")),"")</f>
        <v/>
      </c>
      <c r="H174" s="29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IFERROR(IF(SUMIFS(tblDaily[Admissions],tblDaily[EntryDate],DATE(2026,5,13),tblDaily[WardCode],"BG")=0,"",SUMIFS(tblDaily[Admissions],tblDaily[EntryDate],DATE(2026,5,13),tblDaily[WardCode],"BG")),"")</f>
        <v/>
      </c>
      <c r="C175" s="29" t="str">
        <f>IFERROR(IF(SUMIFS(tblDaily[Discharges],tblDaily[EntryDate],DATE(2026,5,13),tblDaily[WardCode],"BG")=0,"",SUMIFS(tblDaily[Discharges],tblDaily[EntryDate],DATE(2026,5,13),tblDaily[WardCode],"BG")),"")</f>
        <v/>
      </c>
      <c r="D175" s="29" t="str">
        <f>IFERROR(IF(SUMIFS(tblDaily[Deaths],tblDaily[EntryDate],DATE(2026,5,13),tblDaily[WardCode],"BG")=0,"",SUMIFS(tblDaily[Deaths],tblDaily[EntryDate],DATE(2026,5,13),tblDaily[WardCode],"BG")),"")</f>
        <v/>
      </c>
      <c r="E175" s="29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29" t="str">
        <f>IFERROR(IF(SUMIFS(tblDaily[TransfersIn],tblDaily[EntryDate],DATE(2026,5,13),tblDaily[WardCode],"BG")=0,"",SUMIFS(tblDaily[TransfersIn],tblDaily[EntryDate],DATE(2026,5,13),tblDaily[WardCode],"BG")),"")</f>
        <v/>
      </c>
      <c r="G175" s="29" t="str">
        <f>IFERROR(IF(SUMIFS(tblDaily[TransfersOut],tblDaily[EntryDate],DATE(2026,5,13),tblDaily[WardCode],"BG")=0,"",SUMIFS(tblDaily[TransfersOut],tblDaily[EntryDate],DATE(2026,5,13),tblDaily[WardCode],"BG")),"")</f>
        <v/>
      </c>
      <c r="H175" s="29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IFERROR(IF(SUMIFS(tblDaily[Admissions],tblDaily[EntryDate],DATE(2026,5,14),tblDaily[WardCode],"BG")=0,"",SUMIFS(tblDaily[Admissions],tblDaily[EntryDate],DATE(2026,5,14),tblDaily[WardCode],"BG")),"")</f>
        <v/>
      </c>
      <c r="C176" s="29" t="str">
        <f>IFERROR(IF(SUMIFS(tblDaily[Discharges],tblDaily[EntryDate],DATE(2026,5,14),tblDaily[WardCode],"BG")=0,"",SUMIFS(tblDaily[Discharges],tblDaily[EntryDate],DATE(2026,5,14),tblDaily[WardCode],"BG")),"")</f>
        <v/>
      </c>
      <c r="D176" s="29" t="str">
        <f>IFERROR(IF(SUMIFS(tblDaily[Deaths],tblDaily[EntryDate],DATE(2026,5,14),tblDaily[WardCode],"BG")=0,"",SUMIFS(tblDaily[Deaths],tblDaily[EntryDate],DATE(2026,5,14),tblDaily[WardCode],"BG")),"")</f>
        <v/>
      </c>
      <c r="E176" s="29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29" t="str">
        <f>IFERROR(IF(SUMIFS(tblDaily[TransfersIn],tblDaily[EntryDate],DATE(2026,5,14),tblDaily[WardCode],"BG")=0,"",SUMIFS(tblDaily[TransfersIn],tblDaily[EntryDate],DATE(2026,5,14),tblDaily[WardCode],"BG")),"")</f>
        <v/>
      </c>
      <c r="G176" s="29" t="str">
        <f>IFERROR(IF(SUMIFS(tblDaily[TransfersOut],tblDaily[EntryDate],DATE(2026,5,14),tblDaily[WardCode],"BG")=0,"",SUMIFS(tblDaily[TransfersOut],tblDaily[EntryDate],DATE(2026,5,14),tblDaily[WardCode],"BG")),"")</f>
        <v/>
      </c>
      <c r="H176" s="29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IFERROR(IF(SUMIFS(tblDaily[Admissions],tblDaily[EntryDate],DATE(2026,5,15),tblDaily[WardCode],"BG")=0,"",SUMIFS(tblDaily[Admissions],tblDaily[EntryDate],DATE(2026,5,15),tblDaily[WardCode],"BG")),"")</f>
        <v/>
      </c>
      <c r="C177" s="29" t="str">
        <f>IFERROR(IF(SUMIFS(tblDaily[Discharges],tblDaily[EntryDate],DATE(2026,5,15),tblDaily[WardCode],"BG")=0,"",SUMIFS(tblDaily[Discharges],tblDaily[EntryDate],DATE(2026,5,15),tblDaily[WardCode],"BG")),"")</f>
        <v/>
      </c>
      <c r="D177" s="29" t="str">
        <f>IFERROR(IF(SUMIFS(tblDaily[Deaths],tblDaily[EntryDate],DATE(2026,5,15),tblDaily[WardCode],"BG")=0,"",SUMIFS(tblDaily[Deaths],tblDaily[EntryDate],DATE(2026,5,15),tblDaily[WardCode],"BG")),"")</f>
        <v/>
      </c>
      <c r="E177" s="29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29" t="str">
        <f>IFERROR(IF(SUMIFS(tblDaily[TransfersIn],tblDaily[EntryDate],DATE(2026,5,15),tblDaily[WardCode],"BG")=0,"",SUMIFS(tblDaily[TransfersIn],tblDaily[EntryDate],DATE(2026,5,15),tblDaily[WardCode],"BG")),"")</f>
        <v/>
      </c>
      <c r="G177" s="29" t="str">
        <f>IFERROR(IF(SUMIFS(tblDaily[TransfersOut],tblDaily[EntryDate],DATE(2026,5,15),tblDaily[WardCode],"BG")=0,"",SUMIFS(tblDaily[TransfersOut],tblDaily[EntryDate],DATE(2026,5,15),tblDaily[WardCode],"BG")),"")</f>
        <v/>
      </c>
      <c r="H177" s="29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IFERROR(IF(SUMIFS(tblDaily[Admissions],tblDaily[EntryDate],DATE(2026,5,16),tblDaily[WardCode],"BG")=0,"",SUMIFS(tblDaily[Admissions],tblDaily[EntryDate],DATE(2026,5,16),tblDaily[WardCode],"BG")),"")</f>
        <v/>
      </c>
      <c r="C178" s="29" t="str">
        <f>IFERROR(IF(SUMIFS(tblDaily[Discharges],tblDaily[EntryDate],DATE(2026,5,16),tblDaily[WardCode],"BG")=0,"",SUMIFS(tblDaily[Discharges],tblDaily[EntryDate],DATE(2026,5,16),tblDaily[WardCode],"BG")),"")</f>
        <v/>
      </c>
      <c r="D178" s="29" t="str">
        <f>IFERROR(IF(SUMIFS(tblDaily[Deaths],tblDaily[EntryDate],DATE(2026,5,16),tblDaily[WardCode],"BG")=0,"",SUMIFS(tblDaily[Deaths],tblDaily[EntryDate],DATE(2026,5,16),tblDaily[WardCode],"BG")),"")</f>
        <v/>
      </c>
      <c r="E178" s="29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29" t="str">
        <f>IFERROR(IF(SUMIFS(tblDaily[TransfersIn],tblDaily[EntryDate],DATE(2026,5,16),tblDaily[WardCode],"BG")=0,"",SUMIFS(tblDaily[TransfersIn],tblDaily[EntryDate],DATE(2026,5,16),tblDaily[WardCode],"BG")),"")</f>
        <v/>
      </c>
      <c r="G178" s="29" t="str">
        <f>IFERROR(IF(SUMIFS(tblDaily[TransfersOut],tblDaily[EntryDate],DATE(2026,5,16),tblDaily[WardCode],"BG")=0,"",SUMIFS(tblDaily[TransfersOut],tblDaily[EntryDate],DATE(2026,5,16),tblDaily[WardCode],"BG")),"")</f>
        <v/>
      </c>
      <c r="H178" s="29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IFERROR(IF(SUMIFS(tblDaily[Admissions],tblDaily[EntryDate],DATE(2026,5,17),tblDaily[WardCode],"BG")=0,"",SUMIFS(tblDaily[Admissions],tblDaily[EntryDate],DATE(2026,5,17),tblDaily[WardCode],"BG")),"")</f>
        <v/>
      </c>
      <c r="C179" s="29" t="str">
        <f>IFERROR(IF(SUMIFS(tblDaily[Discharges],tblDaily[EntryDate],DATE(2026,5,17),tblDaily[WardCode],"BG")=0,"",SUMIFS(tblDaily[Discharges],tblDaily[EntryDate],DATE(2026,5,17),tblDaily[WardCode],"BG")),"")</f>
        <v/>
      </c>
      <c r="D179" s="29" t="str">
        <f>IFERROR(IF(SUMIFS(tblDaily[Deaths],tblDaily[EntryDate],DATE(2026,5,17),tblDaily[WardCode],"BG")=0,"",SUMIFS(tblDaily[Deaths],tblDaily[EntryDate],DATE(2026,5,17),tblDaily[WardCode],"BG")),"")</f>
        <v/>
      </c>
      <c r="E179" s="29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29" t="str">
        <f>IFERROR(IF(SUMIFS(tblDaily[TransfersIn],tblDaily[EntryDate],DATE(2026,5,17),tblDaily[WardCode],"BG")=0,"",SUMIFS(tblDaily[TransfersIn],tblDaily[EntryDate],DATE(2026,5,17),tblDaily[WardCode],"BG")),"")</f>
        <v/>
      </c>
      <c r="G179" s="29" t="str">
        <f>IFERROR(IF(SUMIFS(tblDaily[TransfersOut],tblDaily[EntryDate],DATE(2026,5,17),tblDaily[WardCode],"BG")=0,"",SUMIFS(tblDaily[TransfersOut],tblDaily[EntryDate],DATE(2026,5,17),tblDaily[WardCode],"BG")),"")</f>
        <v/>
      </c>
      <c r="H179" s="29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IFERROR(IF(SUMIFS(tblDaily[Admissions],tblDaily[EntryDate],DATE(2026,5,18),tblDaily[WardCode],"BG")=0,"",SUMIFS(tblDaily[Admissions],tblDaily[EntryDate],DATE(2026,5,18),tblDaily[WardCode],"BG")),"")</f>
        <v/>
      </c>
      <c r="C180" s="29" t="str">
        <f>IFERROR(IF(SUMIFS(tblDaily[Discharges],tblDaily[EntryDate],DATE(2026,5,18),tblDaily[WardCode],"BG")=0,"",SUMIFS(tblDaily[Discharges],tblDaily[EntryDate],DATE(2026,5,18),tblDaily[WardCode],"BG")),"")</f>
        <v/>
      </c>
      <c r="D180" s="29" t="str">
        <f>IFERROR(IF(SUMIFS(tblDaily[Deaths],tblDaily[EntryDate],DATE(2026,5,18),tblDaily[WardCode],"BG")=0,"",SUMIFS(tblDaily[Deaths],tblDaily[EntryDate],DATE(2026,5,18),tblDaily[WardCode],"BG")),"")</f>
        <v/>
      </c>
      <c r="E180" s="29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29" t="str">
        <f>IFERROR(IF(SUMIFS(tblDaily[TransfersIn],tblDaily[EntryDate],DATE(2026,5,18),tblDaily[WardCode],"BG")=0,"",SUMIFS(tblDaily[TransfersIn],tblDaily[EntryDate],DATE(2026,5,18),tblDaily[WardCode],"BG")),"")</f>
        <v/>
      </c>
      <c r="G180" s="29" t="str">
        <f>IFERROR(IF(SUMIFS(tblDaily[TransfersOut],tblDaily[EntryDate],DATE(2026,5,18),tblDaily[WardCode],"BG")=0,"",SUMIFS(tblDaily[TransfersOut],tblDaily[EntryDate],DATE(2026,5,18),tblDaily[WardCode],"BG")),"")</f>
        <v/>
      </c>
      <c r="H180" s="29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IFERROR(IF(SUMIFS(tblDaily[Admissions],tblDaily[EntryDate],DATE(2026,5,19),tblDaily[WardCode],"BG")=0,"",SUMIFS(tblDaily[Admissions],tblDaily[EntryDate],DATE(2026,5,19),tblDaily[WardCode],"BG")),"")</f>
        <v/>
      </c>
      <c r="C181" s="29" t="str">
        <f>IFERROR(IF(SUMIFS(tblDaily[Discharges],tblDaily[EntryDate],DATE(2026,5,19),tblDaily[WardCode],"BG")=0,"",SUMIFS(tblDaily[Discharges],tblDaily[EntryDate],DATE(2026,5,19),tblDaily[WardCode],"BG")),"")</f>
        <v/>
      </c>
      <c r="D181" s="29" t="str">
        <f>IFERROR(IF(SUMIFS(tblDaily[Deaths],tblDaily[EntryDate],DATE(2026,5,19),tblDaily[WardCode],"BG")=0,"",SUMIFS(tblDaily[Deaths],tblDaily[EntryDate],DATE(2026,5,19),tblDaily[WardCode],"BG")),"")</f>
        <v/>
      </c>
      <c r="E181" s="29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29" t="str">
        <f>IFERROR(IF(SUMIFS(tblDaily[TransfersIn],tblDaily[EntryDate],DATE(2026,5,19),tblDaily[WardCode],"BG")=0,"",SUMIFS(tblDaily[TransfersIn],tblDaily[EntryDate],DATE(2026,5,19),tblDaily[WardCode],"BG")),"")</f>
        <v/>
      </c>
      <c r="G181" s="29" t="str">
        <f>IFERROR(IF(SUMIFS(tblDaily[TransfersOut],tblDaily[EntryDate],DATE(2026,5,19),tblDaily[WardCode],"BG")=0,"",SUMIFS(tblDaily[TransfersOut],tblDaily[EntryDate],DATE(2026,5,19),tblDaily[WardCode],"BG")),"")</f>
        <v/>
      </c>
      <c r="H181" s="29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IFERROR(IF(SUMIFS(tblDaily[Admissions],tblDaily[EntryDate],DATE(2026,5,20),tblDaily[WardCode],"BG")=0,"",SUMIFS(tblDaily[Admissions],tblDaily[EntryDate],DATE(2026,5,20),tblDaily[WardCode],"BG")),"")</f>
        <v/>
      </c>
      <c r="C182" s="29" t="str">
        <f>IFERROR(IF(SUMIFS(tblDaily[Discharges],tblDaily[EntryDate],DATE(2026,5,20),tblDaily[WardCode],"BG")=0,"",SUMIFS(tblDaily[Discharges],tblDaily[EntryDate],DATE(2026,5,20),tblDaily[WardCode],"BG")),"")</f>
        <v/>
      </c>
      <c r="D182" s="29" t="str">
        <f>IFERROR(IF(SUMIFS(tblDaily[Deaths],tblDaily[EntryDate],DATE(2026,5,20),tblDaily[WardCode],"BG")=0,"",SUMIFS(tblDaily[Deaths],tblDaily[EntryDate],DATE(2026,5,20),tblDaily[WardCode],"BG")),"")</f>
        <v/>
      </c>
      <c r="E182" s="29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29" t="str">
        <f>IFERROR(IF(SUMIFS(tblDaily[TransfersIn],tblDaily[EntryDate],DATE(2026,5,20),tblDaily[WardCode],"BG")=0,"",SUMIFS(tblDaily[TransfersIn],tblDaily[EntryDate],DATE(2026,5,20),tblDaily[WardCode],"BG")),"")</f>
        <v/>
      </c>
      <c r="G182" s="29" t="str">
        <f>IFERROR(IF(SUMIFS(tblDaily[TransfersOut],tblDaily[EntryDate],DATE(2026,5,20),tblDaily[WardCode],"BG")=0,"",SUMIFS(tblDaily[TransfersOut],tblDaily[EntryDate],DATE(2026,5,20),tblDaily[WardCode],"BG")),"")</f>
        <v/>
      </c>
      <c r="H182" s="29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IFERROR(IF(SUMIFS(tblDaily[Admissions],tblDaily[EntryDate],DATE(2026,5,21),tblDaily[WardCode],"BG")=0,"",SUMIFS(tblDaily[Admissions],tblDaily[EntryDate],DATE(2026,5,21),tblDaily[WardCode],"BG")),"")</f>
        <v/>
      </c>
      <c r="C183" s="29" t="str">
        <f>IFERROR(IF(SUMIFS(tblDaily[Discharges],tblDaily[EntryDate],DATE(2026,5,21),tblDaily[WardCode],"BG")=0,"",SUMIFS(tblDaily[Discharges],tblDaily[EntryDate],DATE(2026,5,21),tblDaily[WardCode],"BG")),"")</f>
        <v/>
      </c>
      <c r="D183" s="29" t="str">
        <f>IFERROR(IF(SUMIFS(tblDaily[Deaths],tblDaily[EntryDate],DATE(2026,5,21),tblDaily[WardCode],"BG")=0,"",SUMIFS(tblDaily[Deaths],tblDaily[EntryDate],DATE(2026,5,21),tblDaily[WardCode],"BG")),"")</f>
        <v/>
      </c>
      <c r="E183" s="29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29" t="str">
        <f>IFERROR(IF(SUMIFS(tblDaily[TransfersIn],tblDaily[EntryDate],DATE(2026,5,21),tblDaily[WardCode],"BG")=0,"",SUMIFS(tblDaily[TransfersIn],tblDaily[EntryDate],DATE(2026,5,21),tblDaily[WardCode],"BG")),"")</f>
        <v/>
      </c>
      <c r="G183" s="29" t="str">
        <f>IFERROR(IF(SUMIFS(tblDaily[TransfersOut],tblDaily[EntryDate],DATE(2026,5,21),tblDaily[WardCode],"BG")=0,"",SUMIFS(tblDaily[TransfersOut],tblDaily[EntryDate],DATE(2026,5,21),tblDaily[WardCode],"BG")),"")</f>
        <v/>
      </c>
      <c r="H183" s="29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IFERROR(IF(SUMIFS(tblDaily[Admissions],tblDaily[EntryDate],DATE(2026,5,22),tblDaily[WardCode],"BG")=0,"",SUMIFS(tblDaily[Admissions],tblDaily[EntryDate],DATE(2026,5,22),tblDaily[WardCode],"BG")),"")</f>
        <v/>
      </c>
      <c r="C184" s="29" t="str">
        <f>IFERROR(IF(SUMIFS(tblDaily[Discharges],tblDaily[EntryDate],DATE(2026,5,22),tblDaily[WardCode],"BG")=0,"",SUMIFS(tblDaily[Discharges],tblDaily[EntryDate],DATE(2026,5,22),tblDaily[WardCode],"BG")),"")</f>
        <v/>
      </c>
      <c r="D184" s="29" t="str">
        <f>IFERROR(IF(SUMIFS(tblDaily[Deaths],tblDaily[EntryDate],DATE(2026,5,22),tblDaily[WardCode],"BG")=0,"",SUMIFS(tblDaily[Deaths],tblDaily[EntryDate],DATE(2026,5,22),tblDaily[WardCode],"BG")),"")</f>
        <v/>
      </c>
      <c r="E184" s="29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29" t="str">
        <f>IFERROR(IF(SUMIFS(tblDaily[TransfersIn],tblDaily[EntryDate],DATE(2026,5,22),tblDaily[WardCode],"BG")=0,"",SUMIFS(tblDaily[TransfersIn],tblDaily[EntryDate],DATE(2026,5,22),tblDaily[WardCode],"BG")),"")</f>
        <v/>
      </c>
      <c r="G184" s="29" t="str">
        <f>IFERROR(IF(SUMIFS(tblDaily[TransfersOut],tblDaily[EntryDate],DATE(2026,5,22),tblDaily[WardCode],"BG")=0,"",SUMIFS(tblDaily[TransfersOut],tblDaily[EntryDate],DATE(2026,5,22),tblDaily[WardCode],"BG")),"")</f>
        <v/>
      </c>
      <c r="H184" s="29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IFERROR(IF(SUMIFS(tblDaily[Admissions],tblDaily[EntryDate],DATE(2026,5,23),tblDaily[WardCode],"BG")=0,"",SUMIFS(tblDaily[Admissions],tblDaily[EntryDate],DATE(2026,5,23),tblDaily[WardCode],"BG")),"")</f>
        <v/>
      </c>
      <c r="C185" s="29" t="str">
        <f>IFERROR(IF(SUMIFS(tblDaily[Discharges],tblDaily[EntryDate],DATE(2026,5,23),tblDaily[WardCode],"BG")=0,"",SUMIFS(tblDaily[Discharges],tblDaily[EntryDate],DATE(2026,5,23),tblDaily[WardCode],"BG")),"")</f>
        <v/>
      </c>
      <c r="D185" s="29" t="str">
        <f>IFERROR(IF(SUMIFS(tblDaily[Deaths],tblDaily[EntryDate],DATE(2026,5,23),tblDaily[WardCode],"BG")=0,"",SUMIFS(tblDaily[Deaths],tblDaily[EntryDate],DATE(2026,5,23),tblDaily[WardCode],"BG")),"")</f>
        <v/>
      </c>
      <c r="E185" s="29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29" t="str">
        <f>IFERROR(IF(SUMIFS(tblDaily[TransfersIn],tblDaily[EntryDate],DATE(2026,5,23),tblDaily[WardCode],"BG")=0,"",SUMIFS(tblDaily[TransfersIn],tblDaily[EntryDate],DATE(2026,5,23),tblDaily[WardCode],"BG")),"")</f>
        <v/>
      </c>
      <c r="G185" s="29" t="str">
        <f>IFERROR(IF(SUMIFS(tblDaily[TransfersOut],tblDaily[EntryDate],DATE(2026,5,23),tblDaily[WardCode],"BG")=0,"",SUMIFS(tblDaily[TransfersOut],tblDaily[EntryDate],DATE(2026,5,23),tblDaily[WardCode],"BG")),"")</f>
        <v/>
      </c>
      <c r="H185" s="29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IFERROR(IF(SUMIFS(tblDaily[Admissions],tblDaily[EntryDate],DATE(2026,5,24),tblDaily[WardCode],"BG")=0,"",SUMIFS(tblDaily[Admissions],tblDaily[EntryDate],DATE(2026,5,24),tblDaily[WardCode],"BG")),"")</f>
        <v/>
      </c>
      <c r="C186" s="29" t="str">
        <f>IFERROR(IF(SUMIFS(tblDaily[Discharges],tblDaily[EntryDate],DATE(2026,5,24),tblDaily[WardCode],"BG")=0,"",SUMIFS(tblDaily[Discharges],tblDaily[EntryDate],DATE(2026,5,24),tblDaily[WardCode],"BG")),"")</f>
        <v/>
      </c>
      <c r="D186" s="29" t="str">
        <f>IFERROR(IF(SUMIFS(tblDaily[Deaths],tblDaily[EntryDate],DATE(2026,5,24),tblDaily[WardCode],"BG")=0,"",SUMIFS(tblDaily[Deaths],tblDaily[EntryDate],DATE(2026,5,24),tblDaily[WardCode],"BG")),"")</f>
        <v/>
      </c>
      <c r="E186" s="29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29" t="str">
        <f>IFERROR(IF(SUMIFS(tblDaily[TransfersIn],tblDaily[EntryDate],DATE(2026,5,24),tblDaily[WardCode],"BG")=0,"",SUMIFS(tblDaily[TransfersIn],tblDaily[EntryDate],DATE(2026,5,24),tblDaily[WardCode],"BG")),"")</f>
        <v/>
      </c>
      <c r="G186" s="29" t="str">
        <f>IFERROR(IF(SUMIFS(tblDaily[TransfersOut],tblDaily[EntryDate],DATE(2026,5,24),tblDaily[WardCode],"BG")=0,"",SUMIFS(tblDaily[TransfersOut],tblDaily[EntryDate],DATE(2026,5,24),tblDaily[WardCode],"BG")),"")</f>
        <v/>
      </c>
      <c r="H186" s="29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IFERROR(IF(SUMIFS(tblDaily[Admissions],tblDaily[EntryDate],DATE(2026,5,25),tblDaily[WardCode],"BG")=0,"",SUMIFS(tblDaily[Admissions],tblDaily[EntryDate],DATE(2026,5,25),tblDaily[WardCode],"BG")),"")</f>
        <v/>
      </c>
      <c r="C187" s="29" t="str">
        <f>IFERROR(IF(SUMIFS(tblDaily[Discharges],tblDaily[EntryDate],DATE(2026,5,25),tblDaily[WardCode],"BG")=0,"",SUMIFS(tblDaily[Discharges],tblDaily[EntryDate],DATE(2026,5,25),tblDaily[WardCode],"BG")),"")</f>
        <v/>
      </c>
      <c r="D187" s="29" t="str">
        <f>IFERROR(IF(SUMIFS(tblDaily[Deaths],tblDaily[EntryDate],DATE(2026,5,25),tblDaily[WardCode],"BG")=0,"",SUMIFS(tblDaily[Deaths],tblDaily[EntryDate],DATE(2026,5,25),tblDaily[WardCode],"BG")),"")</f>
        <v/>
      </c>
      <c r="E187" s="29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29" t="str">
        <f>IFERROR(IF(SUMIFS(tblDaily[TransfersIn],tblDaily[EntryDate],DATE(2026,5,25),tblDaily[WardCode],"BG")=0,"",SUMIFS(tblDaily[TransfersIn],tblDaily[EntryDate],DATE(2026,5,25),tblDaily[WardCode],"BG")),"")</f>
        <v/>
      </c>
      <c r="G187" s="29" t="str">
        <f>IFERROR(IF(SUMIFS(tblDaily[TransfersOut],tblDaily[EntryDate],DATE(2026,5,25),tblDaily[WardCode],"BG")=0,"",SUMIFS(tblDaily[TransfersOut],tblDaily[EntryDate],DATE(2026,5,25),tblDaily[WardCode],"BG")),"")</f>
        <v/>
      </c>
      <c r="H187" s="29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IFERROR(IF(SUMIFS(tblDaily[Admissions],tblDaily[EntryDate],DATE(2026,5,26),tblDaily[WardCode],"BG")=0,"",SUMIFS(tblDaily[Admissions],tblDaily[EntryDate],DATE(2026,5,26),tblDaily[WardCode],"BG")),"")</f>
        <v/>
      </c>
      <c r="C188" s="29" t="str">
        <f>IFERROR(IF(SUMIFS(tblDaily[Discharges],tblDaily[EntryDate],DATE(2026,5,26),tblDaily[WardCode],"BG")=0,"",SUMIFS(tblDaily[Discharges],tblDaily[EntryDate],DATE(2026,5,26),tblDaily[WardCode],"BG")),"")</f>
        <v/>
      </c>
      <c r="D188" s="29" t="str">
        <f>IFERROR(IF(SUMIFS(tblDaily[Deaths],tblDaily[EntryDate],DATE(2026,5,26),tblDaily[WardCode],"BG")=0,"",SUMIFS(tblDaily[Deaths],tblDaily[EntryDate],DATE(2026,5,26),tblDaily[WardCode],"BG")),"")</f>
        <v/>
      </c>
      <c r="E188" s="29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29" t="str">
        <f>IFERROR(IF(SUMIFS(tblDaily[TransfersIn],tblDaily[EntryDate],DATE(2026,5,26),tblDaily[WardCode],"BG")=0,"",SUMIFS(tblDaily[TransfersIn],tblDaily[EntryDate],DATE(2026,5,26),tblDaily[WardCode],"BG")),"")</f>
        <v/>
      </c>
      <c r="G188" s="29" t="str">
        <f>IFERROR(IF(SUMIFS(tblDaily[TransfersOut],tblDaily[EntryDate],DATE(2026,5,26),tblDaily[WardCode],"BG")=0,"",SUMIFS(tblDaily[TransfersOut],tblDaily[EntryDate],DATE(2026,5,26),tblDaily[WardCode],"BG")),"")</f>
        <v/>
      </c>
      <c r="H188" s="29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IFERROR(IF(SUMIFS(tblDaily[Admissions],tblDaily[EntryDate],DATE(2026,5,27),tblDaily[WardCode],"BG")=0,"",SUMIFS(tblDaily[Admissions],tblDaily[EntryDate],DATE(2026,5,27),tblDaily[WardCode],"BG")),"")</f>
        <v/>
      </c>
      <c r="C189" s="29" t="str">
        <f>IFERROR(IF(SUMIFS(tblDaily[Discharges],tblDaily[EntryDate],DATE(2026,5,27),tblDaily[WardCode],"BG")=0,"",SUMIFS(tblDaily[Discharges],tblDaily[EntryDate],DATE(2026,5,27),tblDaily[WardCode],"BG")),"")</f>
        <v/>
      </c>
      <c r="D189" s="29" t="str">
        <f>IFERROR(IF(SUMIFS(tblDaily[Deaths],tblDaily[EntryDate],DATE(2026,5,27),tblDaily[WardCode],"BG")=0,"",SUMIFS(tblDaily[Deaths],tblDaily[EntryDate],DATE(2026,5,27),tblDaily[WardCode],"BG")),"")</f>
        <v/>
      </c>
      <c r="E189" s="29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29" t="str">
        <f>IFERROR(IF(SUMIFS(tblDaily[TransfersIn],tblDaily[EntryDate],DATE(2026,5,27),tblDaily[WardCode],"BG")=0,"",SUMIFS(tblDaily[TransfersIn],tblDaily[EntryDate],DATE(2026,5,27),tblDaily[WardCode],"BG")),"")</f>
        <v/>
      </c>
      <c r="G189" s="29" t="str">
        <f>IFERROR(IF(SUMIFS(tblDaily[TransfersOut],tblDaily[EntryDate],DATE(2026,5,27),tblDaily[WardCode],"BG")=0,"",SUMIFS(tblDaily[TransfersOut],tblDaily[EntryDate],DATE(2026,5,27),tblDaily[WardCode],"BG")),"")</f>
        <v/>
      </c>
      <c r="H189" s="29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IFERROR(IF(SUMIFS(tblDaily[Admissions],tblDaily[EntryDate],DATE(2026,5,28),tblDaily[WardCode],"BG")=0,"",SUMIFS(tblDaily[Admissions],tblDaily[EntryDate],DATE(2026,5,28),tblDaily[WardCode],"BG")),"")</f>
        <v/>
      </c>
      <c r="C190" s="29" t="str">
        <f>IFERROR(IF(SUMIFS(tblDaily[Discharges],tblDaily[EntryDate],DATE(2026,5,28),tblDaily[WardCode],"BG")=0,"",SUMIFS(tblDaily[Discharges],tblDaily[EntryDate],DATE(2026,5,28),tblDaily[WardCode],"BG")),"")</f>
        <v/>
      </c>
      <c r="D190" s="29" t="str">
        <f>IFERROR(IF(SUMIFS(tblDaily[Deaths],tblDaily[EntryDate],DATE(2026,5,28),tblDaily[WardCode],"BG")=0,"",SUMIFS(tblDaily[Deaths],tblDaily[EntryDate],DATE(2026,5,28),tblDaily[WardCode],"BG")),"")</f>
        <v/>
      </c>
      <c r="E190" s="29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29" t="str">
        <f>IFERROR(IF(SUMIFS(tblDaily[TransfersIn],tblDaily[EntryDate],DATE(2026,5,28),tblDaily[WardCode],"BG")=0,"",SUMIFS(tblDaily[TransfersIn],tblDaily[EntryDate],DATE(2026,5,28),tblDaily[WardCode],"BG")),"")</f>
        <v/>
      </c>
      <c r="G190" s="29" t="str">
        <f>IFERROR(IF(SUMIFS(tblDaily[TransfersOut],tblDaily[EntryDate],DATE(2026,5,28),tblDaily[WardCode],"BG")=0,"",SUMIFS(tblDaily[TransfersOut],tblDaily[EntryDate],DATE(2026,5,28),tblDaily[WardCode],"BG")),"")</f>
        <v/>
      </c>
      <c r="H190" s="29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IFERROR(IF(SUMIFS(tblDaily[Admissions],tblDaily[EntryDate],DATE(2026,5,29),tblDaily[WardCode],"BG")=0,"",SUMIFS(tblDaily[Admissions],tblDaily[EntryDate],DATE(2026,5,29),tblDaily[WardCode],"BG")),"")</f>
        <v/>
      </c>
      <c r="C191" s="29" t="str">
        <f>IFERROR(IF(SUMIFS(tblDaily[Discharges],tblDaily[EntryDate],DATE(2026,5,29),tblDaily[WardCode],"BG")=0,"",SUMIFS(tblDaily[Discharges],tblDaily[EntryDate],DATE(2026,5,29),tblDaily[WardCode],"BG")),"")</f>
        <v/>
      </c>
      <c r="D191" s="29" t="str">
        <f>IFERROR(IF(SUMIFS(tblDaily[Deaths],tblDaily[EntryDate],DATE(2026,5,29),tblDaily[WardCode],"BG")=0,"",SUMIFS(tblDaily[Deaths],tblDaily[EntryDate],DATE(2026,5,29),tblDaily[WardCode],"BG")),"")</f>
        <v/>
      </c>
      <c r="E191" s="29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29" t="str">
        <f>IFERROR(IF(SUMIFS(tblDaily[TransfersIn],tblDaily[EntryDate],DATE(2026,5,29),tblDaily[WardCode],"BG")=0,"",SUMIFS(tblDaily[TransfersIn],tblDaily[EntryDate],DATE(2026,5,29),tblDaily[WardCode],"BG")),"")</f>
        <v/>
      </c>
      <c r="G191" s="29" t="str">
        <f>IFERROR(IF(SUMIFS(tblDaily[TransfersOut],tblDaily[EntryDate],DATE(2026,5,29),tblDaily[WardCode],"BG")=0,"",SUMIFS(tblDaily[TransfersOut],tblDaily[EntryDate],DATE(2026,5,29),tblDaily[WardCode],"BG")),"")</f>
        <v/>
      </c>
      <c r="H191" s="29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IFERROR(IF(SUMIFS(tblDaily[Admissions],tblDaily[EntryDate],DATE(2026,5,30),tblDaily[WardCode],"BG")=0,"",SUMIFS(tblDaily[Admissions],tblDaily[EntryDate],DATE(2026,5,30),tblDaily[WardCode],"BG")),"")</f>
        <v/>
      </c>
      <c r="C192" s="29" t="str">
        <f>IFERROR(IF(SUMIFS(tblDaily[Discharges],tblDaily[EntryDate],DATE(2026,5,30),tblDaily[WardCode],"BG")=0,"",SUMIFS(tblDaily[Discharges],tblDaily[EntryDate],DATE(2026,5,30),tblDaily[WardCode],"BG")),"")</f>
        <v/>
      </c>
      <c r="D192" s="29" t="str">
        <f>IFERROR(IF(SUMIFS(tblDaily[Deaths],tblDaily[EntryDate],DATE(2026,5,30),tblDaily[WardCode],"BG")=0,"",SUMIFS(tblDaily[Deaths],tblDaily[EntryDate],DATE(2026,5,30),tblDaily[WardCode],"BG")),"")</f>
        <v/>
      </c>
      <c r="E192" s="29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29" t="str">
        <f>IFERROR(IF(SUMIFS(tblDaily[TransfersIn],tblDaily[EntryDate],DATE(2026,5,30),tblDaily[WardCode],"BG")=0,"",SUMIFS(tblDaily[TransfersIn],tblDaily[EntryDate],DATE(2026,5,30),tblDaily[WardCode],"BG")),"")</f>
        <v/>
      </c>
      <c r="G192" s="29" t="str">
        <f>IFERROR(IF(SUMIFS(tblDaily[TransfersOut],tblDaily[EntryDate],DATE(2026,5,30),tblDaily[WardCode],"BG")=0,"",SUMIFS(tblDaily[TransfersOut],tblDaily[EntryDate],DATE(2026,5,30),tblDaily[WardCode],"BG")),"")</f>
        <v/>
      </c>
      <c r="H192" s="29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IFERROR(IF(SUMIFS(tblDaily[Admissions],tblDaily[EntryDate],DATE(2026,5,31),tblDaily[WardCode],"BG")=0,"",SUMIFS(tblDaily[Admissions],tblDaily[EntryDate],DATE(2026,5,31),tblDaily[WardCode],"BG")),"")</f>
        <v/>
      </c>
      <c r="C193" s="29" t="str">
        <f>IFERROR(IF(SUMIFS(tblDaily[Discharges],tblDaily[EntryDate],DATE(2026,5,31),tblDaily[WardCode],"BG")=0,"",SUMIFS(tblDaily[Discharges],tblDaily[EntryDate],DATE(2026,5,31),tblDaily[WardCode],"BG")),"")</f>
        <v/>
      </c>
      <c r="D193" s="29" t="str">
        <f>IFERROR(IF(SUMIFS(tblDaily[Deaths],tblDaily[EntryDate],DATE(2026,5,31),tblDaily[WardCode],"BG")=0,"",SUMIFS(tblDaily[Deaths],tblDaily[EntryDate],DATE(2026,5,31),tblDaily[WardCode],"BG")),"")</f>
        <v/>
      </c>
      <c r="E193" s="29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29" t="str">
        <f>IFERROR(IF(SUMIFS(tblDaily[TransfersIn],tblDaily[EntryDate],DATE(2026,5,31),tblDaily[WardCode],"BG")=0,"",SUMIFS(tblDaily[TransfersIn],tblDaily[EntryDate],DATE(2026,5,31),tblDaily[WardCode],"BG")),"")</f>
        <v/>
      </c>
      <c r="G193" s="29" t="str">
        <f>IFERROR(IF(SUMIFS(tblDaily[TransfersOut],tblDaily[EntryDate],DATE(2026,5,31),tblDaily[WardCode],"BG")=0,"",SUMIFS(tblDaily[TransfersOut],tblDaily[EntryDate],DATE(2026,5,31),tblDaily[WardCode],"BG")),"")</f>
        <v/>
      </c>
      <c r="H193" s="29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30" t="s">
        <v>115</v>
      </c>
      <c r="B194" s="30">
        <f>SUMIFS(tblDaily[Admissions],tblDaily[Month],5,tblDaily[WardCode],"BG") - SUMIFS(tblDaily[DeathsUnder24Hrs],tblDaily[Month],5,tblDaily[WardCode],"BG")</f>
        <v>0</v>
      </c>
      <c r="C194" s="30">
        <f>SUMIFS(tblDaily[Discharges],tblDaily[Month],5,tblDaily[WardCode],"BG")</f>
        <v>0</v>
      </c>
      <c r="D194" s="30">
        <f>SUMIFS(tblDaily[Deaths],tblDaily[Month],5,tblDaily[WardCode],"BG")</f>
        <v>0</v>
      </c>
      <c r="E194" s="30">
        <f>SUMIFS(tblDaily[DeathsUnder24Hrs],tblDaily[Month],5,tblDaily[WardCode],"BG")</f>
        <v>0</v>
      </c>
      <c r="F194" s="30">
        <f>SUMIFS(tblDaily[TransfersIn],tblDaily[Month],5,tblDaily[WardCode],"BG")</f>
        <v>0</v>
      </c>
      <c r="G194" s="30">
        <f>SUMIFS(tblDaily[TransfersOut],tblDaily[Month],5,tblDaily[WardCode],"BG")</f>
        <v>0</v>
      </c>
      <c r="H194" s="30">
        <f>SUMIFS(tblDaily[Remaining],tblDaily[Month],5,tblDaily[WardCode],"BG")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119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IFERROR(SUMIFS(tblDaily[Remaining],tblDaily[EntryDate],DATE(2026,5,31),tblDaily[WardCode],"BG"),0)</f>
        <v>0</v>
      </c>
    </row>
    <row r="200" spans="1:8" x14ac:dyDescent="0.25">
      <c r="A200" s="24" t="s">
        <v>109</v>
      </c>
      <c r="H200" s="27">
        <f>IFERROR(INDEX(tblWardConfig[BedComplement],MATCH("BG",tblWardConfig[WardCode],0)),0)</f>
        <v>14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IFERROR(IF(SUMIFS(tblDaily[Admissions],tblDaily[EntryDate],DATE(2026,6,1),tblDaily[WardCode],"BG")=0,"",SUMIFS(tblDaily[Admissions],tblDaily[EntryDate],DATE(2026,6,1),tblDaily[WardCode],"BG")),"")</f>
        <v/>
      </c>
      <c r="C202" s="29" t="str">
        <f>IFERROR(IF(SUMIFS(tblDaily[Discharges],tblDaily[EntryDate],DATE(2026,6,1),tblDaily[WardCode],"BG")=0,"",SUMIFS(tblDaily[Discharges],tblDaily[EntryDate],DATE(2026,6,1),tblDaily[WardCode],"BG")),"")</f>
        <v/>
      </c>
      <c r="D202" s="29" t="str">
        <f>IFERROR(IF(SUMIFS(tblDaily[Deaths],tblDaily[EntryDate],DATE(2026,6,1),tblDaily[WardCode],"BG")=0,"",SUMIFS(tblDaily[Deaths],tblDaily[EntryDate],DATE(2026,6,1),tblDaily[WardCode],"BG")),"")</f>
        <v/>
      </c>
      <c r="E202" s="29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29" t="str">
        <f>IFERROR(IF(SUMIFS(tblDaily[TransfersIn],tblDaily[EntryDate],DATE(2026,6,1),tblDaily[WardCode],"BG")=0,"",SUMIFS(tblDaily[TransfersIn],tblDaily[EntryDate],DATE(2026,6,1),tblDaily[WardCode],"BG")),"")</f>
        <v/>
      </c>
      <c r="G202" s="29" t="str">
        <f>IFERROR(IF(SUMIFS(tblDaily[TransfersOut],tblDaily[EntryDate],DATE(2026,6,1),tblDaily[WardCode],"BG")=0,"",SUMIFS(tblDaily[TransfersOut],tblDaily[EntryDate],DATE(2026,6,1),tblDaily[WardCode],"BG")),"")</f>
        <v/>
      </c>
      <c r="H202" s="29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IFERROR(IF(SUMIFS(tblDaily[Admissions],tblDaily[EntryDate],DATE(2026,6,2),tblDaily[WardCode],"BG")=0,"",SUMIFS(tblDaily[Admissions],tblDaily[EntryDate],DATE(2026,6,2),tblDaily[WardCode],"BG")),"")</f>
        <v/>
      </c>
      <c r="C203" s="29" t="str">
        <f>IFERROR(IF(SUMIFS(tblDaily[Discharges],tblDaily[EntryDate],DATE(2026,6,2),tblDaily[WardCode],"BG")=0,"",SUMIFS(tblDaily[Discharges],tblDaily[EntryDate],DATE(2026,6,2),tblDaily[WardCode],"BG")),"")</f>
        <v/>
      </c>
      <c r="D203" s="29" t="str">
        <f>IFERROR(IF(SUMIFS(tblDaily[Deaths],tblDaily[EntryDate],DATE(2026,6,2),tblDaily[WardCode],"BG")=0,"",SUMIFS(tblDaily[Deaths],tblDaily[EntryDate],DATE(2026,6,2),tblDaily[WardCode],"BG")),"")</f>
        <v/>
      </c>
      <c r="E203" s="29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29" t="str">
        <f>IFERROR(IF(SUMIFS(tblDaily[TransfersIn],tblDaily[EntryDate],DATE(2026,6,2),tblDaily[WardCode],"BG")=0,"",SUMIFS(tblDaily[TransfersIn],tblDaily[EntryDate],DATE(2026,6,2),tblDaily[WardCode],"BG")),"")</f>
        <v/>
      </c>
      <c r="G203" s="29" t="str">
        <f>IFERROR(IF(SUMIFS(tblDaily[TransfersOut],tblDaily[EntryDate],DATE(2026,6,2),tblDaily[WardCode],"BG")=0,"",SUMIFS(tblDaily[TransfersOut],tblDaily[EntryDate],DATE(2026,6,2),tblDaily[WardCode],"BG")),"")</f>
        <v/>
      </c>
      <c r="H203" s="29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IFERROR(IF(SUMIFS(tblDaily[Admissions],tblDaily[EntryDate],DATE(2026,6,3),tblDaily[WardCode],"BG")=0,"",SUMIFS(tblDaily[Admissions],tblDaily[EntryDate],DATE(2026,6,3),tblDaily[WardCode],"BG")),"")</f>
        <v/>
      </c>
      <c r="C204" s="29" t="str">
        <f>IFERROR(IF(SUMIFS(tblDaily[Discharges],tblDaily[EntryDate],DATE(2026,6,3),tblDaily[WardCode],"BG")=0,"",SUMIFS(tblDaily[Discharges],tblDaily[EntryDate],DATE(2026,6,3),tblDaily[WardCode],"BG")),"")</f>
        <v/>
      </c>
      <c r="D204" s="29" t="str">
        <f>IFERROR(IF(SUMIFS(tblDaily[Deaths],tblDaily[EntryDate],DATE(2026,6,3),tblDaily[WardCode],"BG")=0,"",SUMIFS(tblDaily[Deaths],tblDaily[EntryDate],DATE(2026,6,3),tblDaily[WardCode],"BG")),"")</f>
        <v/>
      </c>
      <c r="E204" s="29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29" t="str">
        <f>IFERROR(IF(SUMIFS(tblDaily[TransfersIn],tblDaily[EntryDate],DATE(2026,6,3),tblDaily[WardCode],"BG")=0,"",SUMIFS(tblDaily[TransfersIn],tblDaily[EntryDate],DATE(2026,6,3),tblDaily[WardCode],"BG")),"")</f>
        <v/>
      </c>
      <c r="G204" s="29" t="str">
        <f>IFERROR(IF(SUMIFS(tblDaily[TransfersOut],tblDaily[EntryDate],DATE(2026,6,3),tblDaily[WardCode],"BG")=0,"",SUMIFS(tblDaily[TransfersOut],tblDaily[EntryDate],DATE(2026,6,3),tblDaily[WardCode],"BG")),"")</f>
        <v/>
      </c>
      <c r="H204" s="29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IFERROR(IF(SUMIFS(tblDaily[Admissions],tblDaily[EntryDate],DATE(2026,6,4),tblDaily[WardCode],"BG")=0,"",SUMIFS(tblDaily[Admissions],tblDaily[EntryDate],DATE(2026,6,4),tblDaily[WardCode],"BG")),"")</f>
        <v/>
      </c>
      <c r="C205" s="29" t="str">
        <f>IFERROR(IF(SUMIFS(tblDaily[Discharges],tblDaily[EntryDate],DATE(2026,6,4),tblDaily[WardCode],"BG")=0,"",SUMIFS(tblDaily[Discharges],tblDaily[EntryDate],DATE(2026,6,4),tblDaily[WardCode],"BG")),"")</f>
        <v/>
      </c>
      <c r="D205" s="29" t="str">
        <f>IFERROR(IF(SUMIFS(tblDaily[Deaths],tblDaily[EntryDate],DATE(2026,6,4),tblDaily[WardCode],"BG")=0,"",SUMIFS(tblDaily[Deaths],tblDaily[EntryDate],DATE(2026,6,4),tblDaily[WardCode],"BG")),"")</f>
        <v/>
      </c>
      <c r="E205" s="29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29" t="str">
        <f>IFERROR(IF(SUMIFS(tblDaily[TransfersIn],tblDaily[EntryDate],DATE(2026,6,4),tblDaily[WardCode],"BG")=0,"",SUMIFS(tblDaily[TransfersIn],tblDaily[EntryDate],DATE(2026,6,4),tblDaily[WardCode],"BG")),"")</f>
        <v/>
      </c>
      <c r="G205" s="29" t="str">
        <f>IFERROR(IF(SUMIFS(tblDaily[TransfersOut],tblDaily[EntryDate],DATE(2026,6,4),tblDaily[WardCode],"BG")=0,"",SUMIFS(tblDaily[TransfersOut],tblDaily[EntryDate],DATE(2026,6,4),tblDaily[WardCode],"BG")),"")</f>
        <v/>
      </c>
      <c r="H205" s="29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IFERROR(IF(SUMIFS(tblDaily[Admissions],tblDaily[EntryDate],DATE(2026,6,5),tblDaily[WardCode],"BG")=0,"",SUMIFS(tblDaily[Admissions],tblDaily[EntryDate],DATE(2026,6,5),tblDaily[WardCode],"BG")),"")</f>
        <v/>
      </c>
      <c r="C206" s="29" t="str">
        <f>IFERROR(IF(SUMIFS(tblDaily[Discharges],tblDaily[EntryDate],DATE(2026,6,5),tblDaily[WardCode],"BG")=0,"",SUMIFS(tblDaily[Discharges],tblDaily[EntryDate],DATE(2026,6,5),tblDaily[WardCode],"BG")),"")</f>
        <v/>
      </c>
      <c r="D206" s="29" t="str">
        <f>IFERROR(IF(SUMIFS(tblDaily[Deaths],tblDaily[EntryDate],DATE(2026,6,5),tblDaily[WardCode],"BG")=0,"",SUMIFS(tblDaily[Deaths],tblDaily[EntryDate],DATE(2026,6,5),tblDaily[WardCode],"BG")),"")</f>
        <v/>
      </c>
      <c r="E206" s="29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29" t="str">
        <f>IFERROR(IF(SUMIFS(tblDaily[TransfersIn],tblDaily[EntryDate],DATE(2026,6,5),tblDaily[WardCode],"BG")=0,"",SUMIFS(tblDaily[TransfersIn],tblDaily[EntryDate],DATE(2026,6,5),tblDaily[WardCode],"BG")),"")</f>
        <v/>
      </c>
      <c r="G206" s="29" t="str">
        <f>IFERROR(IF(SUMIFS(tblDaily[TransfersOut],tblDaily[EntryDate],DATE(2026,6,5),tblDaily[WardCode],"BG")=0,"",SUMIFS(tblDaily[TransfersOut],tblDaily[EntryDate],DATE(2026,6,5),tblDaily[WardCode],"BG")),"")</f>
        <v/>
      </c>
      <c r="H206" s="29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IFERROR(IF(SUMIFS(tblDaily[Admissions],tblDaily[EntryDate],DATE(2026,6,6),tblDaily[WardCode],"BG")=0,"",SUMIFS(tblDaily[Admissions],tblDaily[EntryDate],DATE(2026,6,6),tblDaily[WardCode],"BG")),"")</f>
        <v/>
      </c>
      <c r="C207" s="29" t="str">
        <f>IFERROR(IF(SUMIFS(tblDaily[Discharges],tblDaily[EntryDate],DATE(2026,6,6),tblDaily[WardCode],"BG")=0,"",SUMIFS(tblDaily[Discharges],tblDaily[EntryDate],DATE(2026,6,6),tblDaily[WardCode],"BG")),"")</f>
        <v/>
      </c>
      <c r="D207" s="29" t="str">
        <f>IFERROR(IF(SUMIFS(tblDaily[Deaths],tblDaily[EntryDate],DATE(2026,6,6),tblDaily[WardCode],"BG")=0,"",SUMIFS(tblDaily[Deaths],tblDaily[EntryDate],DATE(2026,6,6),tblDaily[WardCode],"BG")),"")</f>
        <v/>
      </c>
      <c r="E207" s="29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29" t="str">
        <f>IFERROR(IF(SUMIFS(tblDaily[TransfersIn],tblDaily[EntryDate],DATE(2026,6,6),tblDaily[WardCode],"BG")=0,"",SUMIFS(tblDaily[TransfersIn],tblDaily[EntryDate],DATE(2026,6,6),tblDaily[WardCode],"BG")),"")</f>
        <v/>
      </c>
      <c r="G207" s="29" t="str">
        <f>IFERROR(IF(SUMIFS(tblDaily[TransfersOut],tblDaily[EntryDate],DATE(2026,6,6),tblDaily[WardCode],"BG")=0,"",SUMIFS(tblDaily[TransfersOut],tblDaily[EntryDate],DATE(2026,6,6),tblDaily[WardCode],"BG")),"")</f>
        <v/>
      </c>
      <c r="H207" s="29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IFERROR(IF(SUMIFS(tblDaily[Admissions],tblDaily[EntryDate],DATE(2026,6,7),tblDaily[WardCode],"BG")=0,"",SUMIFS(tblDaily[Admissions],tblDaily[EntryDate],DATE(2026,6,7),tblDaily[WardCode],"BG")),"")</f>
        <v/>
      </c>
      <c r="C208" s="29" t="str">
        <f>IFERROR(IF(SUMIFS(tblDaily[Discharges],tblDaily[EntryDate],DATE(2026,6,7),tblDaily[WardCode],"BG")=0,"",SUMIFS(tblDaily[Discharges],tblDaily[EntryDate],DATE(2026,6,7),tblDaily[WardCode],"BG")),"")</f>
        <v/>
      </c>
      <c r="D208" s="29" t="str">
        <f>IFERROR(IF(SUMIFS(tblDaily[Deaths],tblDaily[EntryDate],DATE(2026,6,7),tblDaily[WardCode],"BG")=0,"",SUMIFS(tblDaily[Deaths],tblDaily[EntryDate],DATE(2026,6,7),tblDaily[WardCode],"BG")),"")</f>
        <v/>
      </c>
      <c r="E208" s="29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29" t="str">
        <f>IFERROR(IF(SUMIFS(tblDaily[TransfersIn],tblDaily[EntryDate],DATE(2026,6,7),tblDaily[WardCode],"BG")=0,"",SUMIFS(tblDaily[TransfersIn],tblDaily[EntryDate],DATE(2026,6,7),tblDaily[WardCode],"BG")),"")</f>
        <v/>
      </c>
      <c r="G208" s="29" t="str">
        <f>IFERROR(IF(SUMIFS(tblDaily[TransfersOut],tblDaily[EntryDate],DATE(2026,6,7),tblDaily[WardCode],"BG")=0,"",SUMIFS(tblDaily[TransfersOut],tblDaily[EntryDate],DATE(2026,6,7),tblDaily[WardCode],"BG")),"")</f>
        <v/>
      </c>
      <c r="H208" s="29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IFERROR(IF(SUMIFS(tblDaily[Admissions],tblDaily[EntryDate],DATE(2026,6,8),tblDaily[WardCode],"BG")=0,"",SUMIFS(tblDaily[Admissions],tblDaily[EntryDate],DATE(2026,6,8),tblDaily[WardCode],"BG")),"")</f>
        <v/>
      </c>
      <c r="C209" s="29" t="str">
        <f>IFERROR(IF(SUMIFS(tblDaily[Discharges],tblDaily[EntryDate],DATE(2026,6,8),tblDaily[WardCode],"BG")=0,"",SUMIFS(tblDaily[Discharges],tblDaily[EntryDate],DATE(2026,6,8),tblDaily[WardCode],"BG")),"")</f>
        <v/>
      </c>
      <c r="D209" s="29" t="str">
        <f>IFERROR(IF(SUMIFS(tblDaily[Deaths],tblDaily[EntryDate],DATE(2026,6,8),tblDaily[WardCode],"BG")=0,"",SUMIFS(tblDaily[Deaths],tblDaily[EntryDate],DATE(2026,6,8),tblDaily[WardCode],"BG")),"")</f>
        <v/>
      </c>
      <c r="E209" s="29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29" t="str">
        <f>IFERROR(IF(SUMIFS(tblDaily[TransfersIn],tblDaily[EntryDate],DATE(2026,6,8),tblDaily[WardCode],"BG")=0,"",SUMIFS(tblDaily[TransfersIn],tblDaily[EntryDate],DATE(2026,6,8),tblDaily[WardCode],"BG")),"")</f>
        <v/>
      </c>
      <c r="G209" s="29" t="str">
        <f>IFERROR(IF(SUMIFS(tblDaily[TransfersOut],tblDaily[EntryDate],DATE(2026,6,8),tblDaily[WardCode],"BG")=0,"",SUMIFS(tblDaily[TransfersOut],tblDaily[EntryDate],DATE(2026,6,8),tblDaily[WardCode],"BG")),"")</f>
        <v/>
      </c>
      <c r="H209" s="29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IFERROR(IF(SUMIFS(tblDaily[Admissions],tblDaily[EntryDate],DATE(2026,6,9),tblDaily[WardCode],"BG")=0,"",SUMIFS(tblDaily[Admissions],tblDaily[EntryDate],DATE(2026,6,9),tblDaily[WardCode],"BG")),"")</f>
        <v/>
      </c>
      <c r="C210" s="29" t="str">
        <f>IFERROR(IF(SUMIFS(tblDaily[Discharges],tblDaily[EntryDate],DATE(2026,6,9),tblDaily[WardCode],"BG")=0,"",SUMIFS(tblDaily[Discharges],tblDaily[EntryDate],DATE(2026,6,9),tblDaily[WardCode],"BG")),"")</f>
        <v/>
      </c>
      <c r="D210" s="29" t="str">
        <f>IFERROR(IF(SUMIFS(tblDaily[Deaths],tblDaily[EntryDate],DATE(2026,6,9),tblDaily[WardCode],"BG")=0,"",SUMIFS(tblDaily[Deaths],tblDaily[EntryDate],DATE(2026,6,9),tblDaily[WardCode],"BG")),"")</f>
        <v/>
      </c>
      <c r="E210" s="29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29" t="str">
        <f>IFERROR(IF(SUMIFS(tblDaily[TransfersIn],tblDaily[EntryDate],DATE(2026,6,9),tblDaily[WardCode],"BG")=0,"",SUMIFS(tblDaily[TransfersIn],tblDaily[EntryDate],DATE(2026,6,9),tblDaily[WardCode],"BG")),"")</f>
        <v/>
      </c>
      <c r="G210" s="29" t="str">
        <f>IFERROR(IF(SUMIFS(tblDaily[TransfersOut],tblDaily[EntryDate],DATE(2026,6,9),tblDaily[WardCode],"BG")=0,"",SUMIFS(tblDaily[TransfersOut],tblDaily[EntryDate],DATE(2026,6,9),tblDaily[WardCode],"BG")),"")</f>
        <v/>
      </c>
      <c r="H210" s="29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IFERROR(IF(SUMIFS(tblDaily[Admissions],tblDaily[EntryDate],DATE(2026,6,10),tblDaily[WardCode],"BG")=0,"",SUMIFS(tblDaily[Admissions],tblDaily[EntryDate],DATE(2026,6,10),tblDaily[WardCode],"BG")),"")</f>
        <v/>
      </c>
      <c r="C211" s="29" t="str">
        <f>IFERROR(IF(SUMIFS(tblDaily[Discharges],tblDaily[EntryDate],DATE(2026,6,10),tblDaily[WardCode],"BG")=0,"",SUMIFS(tblDaily[Discharges],tblDaily[EntryDate],DATE(2026,6,10),tblDaily[WardCode],"BG")),"")</f>
        <v/>
      </c>
      <c r="D211" s="29" t="str">
        <f>IFERROR(IF(SUMIFS(tblDaily[Deaths],tblDaily[EntryDate],DATE(2026,6,10),tblDaily[WardCode],"BG")=0,"",SUMIFS(tblDaily[Deaths],tblDaily[EntryDate],DATE(2026,6,10),tblDaily[WardCode],"BG")),"")</f>
        <v/>
      </c>
      <c r="E211" s="29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29" t="str">
        <f>IFERROR(IF(SUMIFS(tblDaily[TransfersIn],tblDaily[EntryDate],DATE(2026,6,10),tblDaily[WardCode],"BG")=0,"",SUMIFS(tblDaily[TransfersIn],tblDaily[EntryDate],DATE(2026,6,10),tblDaily[WardCode],"BG")),"")</f>
        <v/>
      </c>
      <c r="G211" s="29" t="str">
        <f>IFERROR(IF(SUMIFS(tblDaily[TransfersOut],tblDaily[EntryDate],DATE(2026,6,10),tblDaily[WardCode],"BG")=0,"",SUMIFS(tblDaily[TransfersOut],tblDaily[EntryDate],DATE(2026,6,10),tblDaily[WardCode],"BG")),"")</f>
        <v/>
      </c>
      <c r="H211" s="29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IFERROR(IF(SUMIFS(tblDaily[Admissions],tblDaily[EntryDate],DATE(2026,6,11),tblDaily[WardCode],"BG")=0,"",SUMIFS(tblDaily[Admissions],tblDaily[EntryDate],DATE(2026,6,11),tblDaily[WardCode],"BG")),"")</f>
        <v/>
      </c>
      <c r="C212" s="29" t="str">
        <f>IFERROR(IF(SUMIFS(tblDaily[Discharges],tblDaily[EntryDate],DATE(2026,6,11),tblDaily[WardCode],"BG")=0,"",SUMIFS(tblDaily[Discharges],tblDaily[EntryDate],DATE(2026,6,11),tblDaily[WardCode],"BG")),"")</f>
        <v/>
      </c>
      <c r="D212" s="29" t="str">
        <f>IFERROR(IF(SUMIFS(tblDaily[Deaths],tblDaily[EntryDate],DATE(2026,6,11),tblDaily[WardCode],"BG")=0,"",SUMIFS(tblDaily[Deaths],tblDaily[EntryDate],DATE(2026,6,11),tblDaily[WardCode],"BG")),"")</f>
        <v/>
      </c>
      <c r="E212" s="29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29" t="str">
        <f>IFERROR(IF(SUMIFS(tblDaily[TransfersIn],tblDaily[EntryDate],DATE(2026,6,11),tblDaily[WardCode],"BG")=0,"",SUMIFS(tblDaily[TransfersIn],tblDaily[EntryDate],DATE(2026,6,11),tblDaily[WardCode],"BG")),"")</f>
        <v/>
      </c>
      <c r="G212" s="29" t="str">
        <f>IFERROR(IF(SUMIFS(tblDaily[TransfersOut],tblDaily[EntryDate],DATE(2026,6,11),tblDaily[WardCode],"BG")=0,"",SUMIFS(tblDaily[TransfersOut],tblDaily[EntryDate],DATE(2026,6,11),tblDaily[WardCode],"BG")),"")</f>
        <v/>
      </c>
      <c r="H212" s="29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IFERROR(IF(SUMIFS(tblDaily[Admissions],tblDaily[EntryDate],DATE(2026,6,12),tblDaily[WardCode],"BG")=0,"",SUMIFS(tblDaily[Admissions],tblDaily[EntryDate],DATE(2026,6,12),tblDaily[WardCode],"BG")),"")</f>
        <v/>
      </c>
      <c r="C213" s="29" t="str">
        <f>IFERROR(IF(SUMIFS(tblDaily[Discharges],tblDaily[EntryDate],DATE(2026,6,12),tblDaily[WardCode],"BG")=0,"",SUMIFS(tblDaily[Discharges],tblDaily[EntryDate],DATE(2026,6,12),tblDaily[WardCode],"BG")),"")</f>
        <v/>
      </c>
      <c r="D213" s="29" t="str">
        <f>IFERROR(IF(SUMIFS(tblDaily[Deaths],tblDaily[EntryDate],DATE(2026,6,12),tblDaily[WardCode],"BG")=0,"",SUMIFS(tblDaily[Deaths],tblDaily[EntryDate],DATE(2026,6,12),tblDaily[WardCode],"BG")),"")</f>
        <v/>
      </c>
      <c r="E213" s="29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29" t="str">
        <f>IFERROR(IF(SUMIFS(tblDaily[TransfersIn],tblDaily[EntryDate],DATE(2026,6,12),tblDaily[WardCode],"BG")=0,"",SUMIFS(tblDaily[TransfersIn],tblDaily[EntryDate],DATE(2026,6,12),tblDaily[WardCode],"BG")),"")</f>
        <v/>
      </c>
      <c r="G213" s="29" t="str">
        <f>IFERROR(IF(SUMIFS(tblDaily[TransfersOut],tblDaily[EntryDate],DATE(2026,6,12),tblDaily[WardCode],"BG")=0,"",SUMIFS(tblDaily[TransfersOut],tblDaily[EntryDate],DATE(2026,6,12),tblDaily[WardCode],"BG")),"")</f>
        <v/>
      </c>
      <c r="H213" s="29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IFERROR(IF(SUMIFS(tblDaily[Admissions],tblDaily[EntryDate],DATE(2026,6,13),tblDaily[WardCode],"BG")=0,"",SUMIFS(tblDaily[Admissions],tblDaily[EntryDate],DATE(2026,6,13),tblDaily[WardCode],"BG")),"")</f>
        <v/>
      </c>
      <c r="C214" s="29" t="str">
        <f>IFERROR(IF(SUMIFS(tblDaily[Discharges],tblDaily[EntryDate],DATE(2026,6,13),tblDaily[WardCode],"BG")=0,"",SUMIFS(tblDaily[Discharges],tblDaily[EntryDate],DATE(2026,6,13),tblDaily[WardCode],"BG")),"")</f>
        <v/>
      </c>
      <c r="D214" s="29" t="str">
        <f>IFERROR(IF(SUMIFS(tblDaily[Deaths],tblDaily[EntryDate],DATE(2026,6,13),tblDaily[WardCode],"BG")=0,"",SUMIFS(tblDaily[Deaths],tblDaily[EntryDate],DATE(2026,6,13),tblDaily[WardCode],"BG")),"")</f>
        <v/>
      </c>
      <c r="E214" s="29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29" t="str">
        <f>IFERROR(IF(SUMIFS(tblDaily[TransfersIn],tblDaily[EntryDate],DATE(2026,6,13),tblDaily[WardCode],"BG")=0,"",SUMIFS(tblDaily[TransfersIn],tblDaily[EntryDate],DATE(2026,6,13),tblDaily[WardCode],"BG")),"")</f>
        <v/>
      </c>
      <c r="G214" s="29" t="str">
        <f>IFERROR(IF(SUMIFS(tblDaily[TransfersOut],tblDaily[EntryDate],DATE(2026,6,13),tblDaily[WardCode],"BG")=0,"",SUMIFS(tblDaily[TransfersOut],tblDaily[EntryDate],DATE(2026,6,13),tblDaily[WardCode],"BG")),"")</f>
        <v/>
      </c>
      <c r="H214" s="29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IFERROR(IF(SUMIFS(tblDaily[Admissions],tblDaily[EntryDate],DATE(2026,6,14),tblDaily[WardCode],"BG")=0,"",SUMIFS(tblDaily[Admissions],tblDaily[EntryDate],DATE(2026,6,14),tblDaily[WardCode],"BG")),"")</f>
        <v/>
      </c>
      <c r="C215" s="29" t="str">
        <f>IFERROR(IF(SUMIFS(tblDaily[Discharges],tblDaily[EntryDate],DATE(2026,6,14),tblDaily[WardCode],"BG")=0,"",SUMIFS(tblDaily[Discharges],tblDaily[EntryDate],DATE(2026,6,14),tblDaily[WardCode],"BG")),"")</f>
        <v/>
      </c>
      <c r="D215" s="29" t="str">
        <f>IFERROR(IF(SUMIFS(tblDaily[Deaths],tblDaily[EntryDate],DATE(2026,6,14),tblDaily[WardCode],"BG")=0,"",SUMIFS(tblDaily[Deaths],tblDaily[EntryDate],DATE(2026,6,14),tblDaily[WardCode],"BG")),"")</f>
        <v/>
      </c>
      <c r="E215" s="29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29" t="str">
        <f>IFERROR(IF(SUMIFS(tblDaily[TransfersIn],tblDaily[EntryDate],DATE(2026,6,14),tblDaily[WardCode],"BG")=0,"",SUMIFS(tblDaily[TransfersIn],tblDaily[EntryDate],DATE(2026,6,14),tblDaily[WardCode],"BG")),"")</f>
        <v/>
      </c>
      <c r="G215" s="29" t="str">
        <f>IFERROR(IF(SUMIFS(tblDaily[TransfersOut],tblDaily[EntryDate],DATE(2026,6,14),tblDaily[WardCode],"BG")=0,"",SUMIFS(tblDaily[TransfersOut],tblDaily[EntryDate],DATE(2026,6,14),tblDaily[WardCode],"BG")),"")</f>
        <v/>
      </c>
      <c r="H215" s="29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IFERROR(IF(SUMIFS(tblDaily[Admissions],tblDaily[EntryDate],DATE(2026,6,15),tblDaily[WardCode],"BG")=0,"",SUMIFS(tblDaily[Admissions],tblDaily[EntryDate],DATE(2026,6,15),tblDaily[WardCode],"BG")),"")</f>
        <v/>
      </c>
      <c r="C216" s="29" t="str">
        <f>IFERROR(IF(SUMIFS(tblDaily[Discharges],tblDaily[EntryDate],DATE(2026,6,15),tblDaily[WardCode],"BG")=0,"",SUMIFS(tblDaily[Discharges],tblDaily[EntryDate],DATE(2026,6,15),tblDaily[WardCode],"BG")),"")</f>
        <v/>
      </c>
      <c r="D216" s="29" t="str">
        <f>IFERROR(IF(SUMIFS(tblDaily[Deaths],tblDaily[EntryDate],DATE(2026,6,15),tblDaily[WardCode],"BG")=0,"",SUMIFS(tblDaily[Deaths],tblDaily[EntryDate],DATE(2026,6,15),tblDaily[WardCode],"BG")),"")</f>
        <v/>
      </c>
      <c r="E216" s="29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29" t="str">
        <f>IFERROR(IF(SUMIFS(tblDaily[TransfersIn],tblDaily[EntryDate],DATE(2026,6,15),tblDaily[WardCode],"BG")=0,"",SUMIFS(tblDaily[TransfersIn],tblDaily[EntryDate],DATE(2026,6,15),tblDaily[WardCode],"BG")),"")</f>
        <v/>
      </c>
      <c r="G216" s="29" t="str">
        <f>IFERROR(IF(SUMIFS(tblDaily[TransfersOut],tblDaily[EntryDate],DATE(2026,6,15),tblDaily[WardCode],"BG")=0,"",SUMIFS(tblDaily[TransfersOut],tblDaily[EntryDate],DATE(2026,6,15),tblDaily[WardCode],"BG")),"")</f>
        <v/>
      </c>
      <c r="H216" s="29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IFERROR(IF(SUMIFS(tblDaily[Admissions],tblDaily[EntryDate],DATE(2026,6,16),tblDaily[WardCode],"BG")=0,"",SUMIFS(tblDaily[Admissions],tblDaily[EntryDate],DATE(2026,6,16),tblDaily[WardCode],"BG")),"")</f>
        <v/>
      </c>
      <c r="C217" s="29" t="str">
        <f>IFERROR(IF(SUMIFS(tblDaily[Discharges],tblDaily[EntryDate],DATE(2026,6,16),tblDaily[WardCode],"BG")=0,"",SUMIFS(tblDaily[Discharges],tblDaily[EntryDate],DATE(2026,6,16),tblDaily[WardCode],"BG")),"")</f>
        <v/>
      </c>
      <c r="D217" s="29" t="str">
        <f>IFERROR(IF(SUMIFS(tblDaily[Deaths],tblDaily[EntryDate],DATE(2026,6,16),tblDaily[WardCode],"BG")=0,"",SUMIFS(tblDaily[Deaths],tblDaily[EntryDate],DATE(2026,6,16),tblDaily[WardCode],"BG")),"")</f>
        <v/>
      </c>
      <c r="E217" s="29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29" t="str">
        <f>IFERROR(IF(SUMIFS(tblDaily[TransfersIn],tblDaily[EntryDate],DATE(2026,6,16),tblDaily[WardCode],"BG")=0,"",SUMIFS(tblDaily[TransfersIn],tblDaily[EntryDate],DATE(2026,6,16),tblDaily[WardCode],"BG")),"")</f>
        <v/>
      </c>
      <c r="G217" s="29" t="str">
        <f>IFERROR(IF(SUMIFS(tblDaily[TransfersOut],tblDaily[EntryDate],DATE(2026,6,16),tblDaily[WardCode],"BG")=0,"",SUMIFS(tblDaily[TransfersOut],tblDaily[EntryDate],DATE(2026,6,16),tblDaily[WardCode],"BG")),"")</f>
        <v/>
      </c>
      <c r="H217" s="29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IFERROR(IF(SUMIFS(tblDaily[Admissions],tblDaily[EntryDate],DATE(2026,6,17),tblDaily[WardCode],"BG")=0,"",SUMIFS(tblDaily[Admissions],tblDaily[EntryDate],DATE(2026,6,17),tblDaily[WardCode],"BG")),"")</f>
        <v/>
      </c>
      <c r="C218" s="29" t="str">
        <f>IFERROR(IF(SUMIFS(tblDaily[Discharges],tblDaily[EntryDate],DATE(2026,6,17),tblDaily[WardCode],"BG")=0,"",SUMIFS(tblDaily[Discharges],tblDaily[EntryDate],DATE(2026,6,17),tblDaily[WardCode],"BG")),"")</f>
        <v/>
      </c>
      <c r="D218" s="29" t="str">
        <f>IFERROR(IF(SUMIFS(tblDaily[Deaths],tblDaily[EntryDate],DATE(2026,6,17),tblDaily[WardCode],"BG")=0,"",SUMIFS(tblDaily[Deaths],tblDaily[EntryDate],DATE(2026,6,17),tblDaily[WardCode],"BG")),"")</f>
        <v/>
      </c>
      <c r="E218" s="29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29" t="str">
        <f>IFERROR(IF(SUMIFS(tblDaily[TransfersIn],tblDaily[EntryDate],DATE(2026,6,17),tblDaily[WardCode],"BG")=0,"",SUMIFS(tblDaily[TransfersIn],tblDaily[EntryDate],DATE(2026,6,17),tblDaily[WardCode],"BG")),"")</f>
        <v/>
      </c>
      <c r="G218" s="29" t="str">
        <f>IFERROR(IF(SUMIFS(tblDaily[TransfersOut],tblDaily[EntryDate],DATE(2026,6,17),tblDaily[WardCode],"BG")=0,"",SUMIFS(tblDaily[TransfersOut],tblDaily[EntryDate],DATE(2026,6,17),tblDaily[WardCode],"BG")),"")</f>
        <v/>
      </c>
      <c r="H218" s="29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IFERROR(IF(SUMIFS(tblDaily[Admissions],tblDaily[EntryDate],DATE(2026,6,18),tblDaily[WardCode],"BG")=0,"",SUMIFS(tblDaily[Admissions],tblDaily[EntryDate],DATE(2026,6,18),tblDaily[WardCode],"BG")),"")</f>
        <v/>
      </c>
      <c r="C219" s="29" t="str">
        <f>IFERROR(IF(SUMIFS(tblDaily[Discharges],tblDaily[EntryDate],DATE(2026,6,18),tblDaily[WardCode],"BG")=0,"",SUMIFS(tblDaily[Discharges],tblDaily[EntryDate],DATE(2026,6,18),tblDaily[WardCode],"BG")),"")</f>
        <v/>
      </c>
      <c r="D219" s="29" t="str">
        <f>IFERROR(IF(SUMIFS(tblDaily[Deaths],tblDaily[EntryDate],DATE(2026,6,18),tblDaily[WardCode],"BG")=0,"",SUMIFS(tblDaily[Deaths],tblDaily[EntryDate],DATE(2026,6,18),tblDaily[WardCode],"BG")),"")</f>
        <v/>
      </c>
      <c r="E219" s="29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29" t="str">
        <f>IFERROR(IF(SUMIFS(tblDaily[TransfersIn],tblDaily[EntryDate],DATE(2026,6,18),tblDaily[WardCode],"BG")=0,"",SUMIFS(tblDaily[TransfersIn],tblDaily[EntryDate],DATE(2026,6,18),tblDaily[WardCode],"BG")),"")</f>
        <v/>
      </c>
      <c r="G219" s="29" t="str">
        <f>IFERROR(IF(SUMIFS(tblDaily[TransfersOut],tblDaily[EntryDate],DATE(2026,6,18),tblDaily[WardCode],"BG")=0,"",SUMIFS(tblDaily[TransfersOut],tblDaily[EntryDate],DATE(2026,6,18),tblDaily[WardCode],"BG")),"")</f>
        <v/>
      </c>
      <c r="H219" s="29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IFERROR(IF(SUMIFS(tblDaily[Admissions],tblDaily[EntryDate],DATE(2026,6,19),tblDaily[WardCode],"BG")=0,"",SUMIFS(tblDaily[Admissions],tblDaily[EntryDate],DATE(2026,6,19),tblDaily[WardCode],"BG")),"")</f>
        <v/>
      </c>
      <c r="C220" s="29" t="str">
        <f>IFERROR(IF(SUMIFS(tblDaily[Discharges],tblDaily[EntryDate],DATE(2026,6,19),tblDaily[WardCode],"BG")=0,"",SUMIFS(tblDaily[Discharges],tblDaily[EntryDate],DATE(2026,6,19),tblDaily[WardCode],"BG")),"")</f>
        <v/>
      </c>
      <c r="D220" s="29" t="str">
        <f>IFERROR(IF(SUMIFS(tblDaily[Deaths],tblDaily[EntryDate],DATE(2026,6,19),tblDaily[WardCode],"BG")=0,"",SUMIFS(tblDaily[Deaths],tblDaily[EntryDate],DATE(2026,6,19),tblDaily[WardCode],"BG")),"")</f>
        <v/>
      </c>
      <c r="E220" s="29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29" t="str">
        <f>IFERROR(IF(SUMIFS(tblDaily[TransfersIn],tblDaily[EntryDate],DATE(2026,6,19),tblDaily[WardCode],"BG")=0,"",SUMIFS(tblDaily[TransfersIn],tblDaily[EntryDate],DATE(2026,6,19),tblDaily[WardCode],"BG")),"")</f>
        <v/>
      </c>
      <c r="G220" s="29" t="str">
        <f>IFERROR(IF(SUMIFS(tblDaily[TransfersOut],tblDaily[EntryDate],DATE(2026,6,19),tblDaily[WardCode],"BG")=0,"",SUMIFS(tblDaily[TransfersOut],tblDaily[EntryDate],DATE(2026,6,19),tblDaily[WardCode],"BG")),"")</f>
        <v/>
      </c>
      <c r="H220" s="29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IFERROR(IF(SUMIFS(tblDaily[Admissions],tblDaily[EntryDate],DATE(2026,6,20),tblDaily[WardCode],"BG")=0,"",SUMIFS(tblDaily[Admissions],tblDaily[EntryDate],DATE(2026,6,20),tblDaily[WardCode],"BG")),"")</f>
        <v/>
      </c>
      <c r="C221" s="29" t="str">
        <f>IFERROR(IF(SUMIFS(tblDaily[Discharges],tblDaily[EntryDate],DATE(2026,6,20),tblDaily[WardCode],"BG")=0,"",SUMIFS(tblDaily[Discharges],tblDaily[EntryDate],DATE(2026,6,20),tblDaily[WardCode],"BG")),"")</f>
        <v/>
      </c>
      <c r="D221" s="29" t="str">
        <f>IFERROR(IF(SUMIFS(tblDaily[Deaths],tblDaily[EntryDate],DATE(2026,6,20),tblDaily[WardCode],"BG")=0,"",SUMIFS(tblDaily[Deaths],tblDaily[EntryDate],DATE(2026,6,20),tblDaily[WardCode],"BG")),"")</f>
        <v/>
      </c>
      <c r="E221" s="29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29" t="str">
        <f>IFERROR(IF(SUMIFS(tblDaily[TransfersIn],tblDaily[EntryDate],DATE(2026,6,20),tblDaily[WardCode],"BG")=0,"",SUMIFS(tblDaily[TransfersIn],tblDaily[EntryDate],DATE(2026,6,20),tblDaily[WardCode],"BG")),"")</f>
        <v/>
      </c>
      <c r="G221" s="29" t="str">
        <f>IFERROR(IF(SUMIFS(tblDaily[TransfersOut],tblDaily[EntryDate],DATE(2026,6,20),tblDaily[WardCode],"BG")=0,"",SUMIFS(tblDaily[TransfersOut],tblDaily[EntryDate],DATE(2026,6,20),tblDaily[WardCode],"BG")),"")</f>
        <v/>
      </c>
      <c r="H221" s="29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IFERROR(IF(SUMIFS(tblDaily[Admissions],tblDaily[EntryDate],DATE(2026,6,21),tblDaily[WardCode],"BG")=0,"",SUMIFS(tblDaily[Admissions],tblDaily[EntryDate],DATE(2026,6,21),tblDaily[WardCode],"BG")),"")</f>
        <v/>
      </c>
      <c r="C222" s="29" t="str">
        <f>IFERROR(IF(SUMIFS(tblDaily[Discharges],tblDaily[EntryDate],DATE(2026,6,21),tblDaily[WardCode],"BG")=0,"",SUMIFS(tblDaily[Discharges],tblDaily[EntryDate],DATE(2026,6,21),tblDaily[WardCode],"BG")),"")</f>
        <v/>
      </c>
      <c r="D222" s="29" t="str">
        <f>IFERROR(IF(SUMIFS(tblDaily[Deaths],tblDaily[EntryDate],DATE(2026,6,21),tblDaily[WardCode],"BG")=0,"",SUMIFS(tblDaily[Deaths],tblDaily[EntryDate],DATE(2026,6,21),tblDaily[WardCode],"BG")),"")</f>
        <v/>
      </c>
      <c r="E222" s="29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29" t="str">
        <f>IFERROR(IF(SUMIFS(tblDaily[TransfersIn],tblDaily[EntryDate],DATE(2026,6,21),tblDaily[WardCode],"BG")=0,"",SUMIFS(tblDaily[TransfersIn],tblDaily[EntryDate],DATE(2026,6,21),tblDaily[WardCode],"BG")),"")</f>
        <v/>
      </c>
      <c r="G222" s="29" t="str">
        <f>IFERROR(IF(SUMIFS(tblDaily[TransfersOut],tblDaily[EntryDate],DATE(2026,6,21),tblDaily[WardCode],"BG")=0,"",SUMIFS(tblDaily[TransfersOut],tblDaily[EntryDate],DATE(2026,6,21),tblDaily[WardCode],"BG")),"")</f>
        <v/>
      </c>
      <c r="H222" s="29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IFERROR(IF(SUMIFS(tblDaily[Admissions],tblDaily[EntryDate],DATE(2026,6,22),tblDaily[WardCode],"BG")=0,"",SUMIFS(tblDaily[Admissions],tblDaily[EntryDate],DATE(2026,6,22),tblDaily[WardCode],"BG")),"")</f>
        <v/>
      </c>
      <c r="C223" s="29" t="str">
        <f>IFERROR(IF(SUMIFS(tblDaily[Discharges],tblDaily[EntryDate],DATE(2026,6,22),tblDaily[WardCode],"BG")=0,"",SUMIFS(tblDaily[Discharges],tblDaily[EntryDate],DATE(2026,6,22),tblDaily[WardCode],"BG")),"")</f>
        <v/>
      </c>
      <c r="D223" s="29" t="str">
        <f>IFERROR(IF(SUMIFS(tblDaily[Deaths],tblDaily[EntryDate],DATE(2026,6,22),tblDaily[WardCode],"BG")=0,"",SUMIFS(tblDaily[Deaths],tblDaily[EntryDate],DATE(2026,6,22),tblDaily[WardCode],"BG")),"")</f>
        <v/>
      </c>
      <c r="E223" s="29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29" t="str">
        <f>IFERROR(IF(SUMIFS(tblDaily[TransfersIn],tblDaily[EntryDate],DATE(2026,6,22),tblDaily[WardCode],"BG")=0,"",SUMIFS(tblDaily[TransfersIn],tblDaily[EntryDate],DATE(2026,6,22),tblDaily[WardCode],"BG")),"")</f>
        <v/>
      </c>
      <c r="G223" s="29" t="str">
        <f>IFERROR(IF(SUMIFS(tblDaily[TransfersOut],tblDaily[EntryDate],DATE(2026,6,22),tblDaily[WardCode],"BG")=0,"",SUMIFS(tblDaily[TransfersOut],tblDaily[EntryDate],DATE(2026,6,22),tblDaily[WardCode],"BG")),"")</f>
        <v/>
      </c>
      <c r="H223" s="29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IFERROR(IF(SUMIFS(tblDaily[Admissions],tblDaily[EntryDate],DATE(2026,6,23),tblDaily[WardCode],"BG")=0,"",SUMIFS(tblDaily[Admissions],tblDaily[EntryDate],DATE(2026,6,23),tblDaily[WardCode],"BG")),"")</f>
        <v/>
      </c>
      <c r="C224" s="29" t="str">
        <f>IFERROR(IF(SUMIFS(tblDaily[Discharges],tblDaily[EntryDate],DATE(2026,6,23),tblDaily[WardCode],"BG")=0,"",SUMIFS(tblDaily[Discharges],tblDaily[EntryDate],DATE(2026,6,23),tblDaily[WardCode],"BG")),"")</f>
        <v/>
      </c>
      <c r="D224" s="29" t="str">
        <f>IFERROR(IF(SUMIFS(tblDaily[Deaths],tblDaily[EntryDate],DATE(2026,6,23),tblDaily[WardCode],"BG")=0,"",SUMIFS(tblDaily[Deaths],tblDaily[EntryDate],DATE(2026,6,23),tblDaily[WardCode],"BG")),"")</f>
        <v/>
      </c>
      <c r="E224" s="29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29" t="str">
        <f>IFERROR(IF(SUMIFS(tblDaily[TransfersIn],tblDaily[EntryDate],DATE(2026,6,23),tblDaily[WardCode],"BG")=0,"",SUMIFS(tblDaily[TransfersIn],tblDaily[EntryDate],DATE(2026,6,23),tblDaily[WardCode],"BG")),"")</f>
        <v/>
      </c>
      <c r="G224" s="29" t="str">
        <f>IFERROR(IF(SUMIFS(tblDaily[TransfersOut],tblDaily[EntryDate],DATE(2026,6,23),tblDaily[WardCode],"BG")=0,"",SUMIFS(tblDaily[TransfersOut],tblDaily[EntryDate],DATE(2026,6,23),tblDaily[WardCode],"BG")),"")</f>
        <v/>
      </c>
      <c r="H224" s="29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IFERROR(IF(SUMIFS(tblDaily[Admissions],tblDaily[EntryDate],DATE(2026,6,24),tblDaily[WardCode],"BG")=0,"",SUMIFS(tblDaily[Admissions],tblDaily[EntryDate],DATE(2026,6,24),tblDaily[WardCode],"BG")),"")</f>
        <v/>
      </c>
      <c r="C225" s="29" t="str">
        <f>IFERROR(IF(SUMIFS(tblDaily[Discharges],tblDaily[EntryDate],DATE(2026,6,24),tblDaily[WardCode],"BG")=0,"",SUMIFS(tblDaily[Discharges],tblDaily[EntryDate],DATE(2026,6,24),tblDaily[WardCode],"BG")),"")</f>
        <v/>
      </c>
      <c r="D225" s="29" t="str">
        <f>IFERROR(IF(SUMIFS(tblDaily[Deaths],tblDaily[EntryDate],DATE(2026,6,24),tblDaily[WardCode],"BG")=0,"",SUMIFS(tblDaily[Deaths],tblDaily[EntryDate],DATE(2026,6,24),tblDaily[WardCode],"BG")),"")</f>
        <v/>
      </c>
      <c r="E225" s="29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29" t="str">
        <f>IFERROR(IF(SUMIFS(tblDaily[TransfersIn],tblDaily[EntryDate],DATE(2026,6,24),tblDaily[WardCode],"BG")=0,"",SUMIFS(tblDaily[TransfersIn],tblDaily[EntryDate],DATE(2026,6,24),tblDaily[WardCode],"BG")),"")</f>
        <v/>
      </c>
      <c r="G225" s="29" t="str">
        <f>IFERROR(IF(SUMIFS(tblDaily[TransfersOut],tblDaily[EntryDate],DATE(2026,6,24),tblDaily[WardCode],"BG")=0,"",SUMIFS(tblDaily[TransfersOut],tblDaily[EntryDate],DATE(2026,6,24),tblDaily[WardCode],"BG")),"")</f>
        <v/>
      </c>
      <c r="H225" s="29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IFERROR(IF(SUMIFS(tblDaily[Admissions],tblDaily[EntryDate],DATE(2026,6,25),tblDaily[WardCode],"BG")=0,"",SUMIFS(tblDaily[Admissions],tblDaily[EntryDate],DATE(2026,6,25),tblDaily[WardCode],"BG")),"")</f>
        <v/>
      </c>
      <c r="C226" s="29" t="str">
        <f>IFERROR(IF(SUMIFS(tblDaily[Discharges],tblDaily[EntryDate],DATE(2026,6,25),tblDaily[WardCode],"BG")=0,"",SUMIFS(tblDaily[Discharges],tblDaily[EntryDate],DATE(2026,6,25),tblDaily[WardCode],"BG")),"")</f>
        <v/>
      </c>
      <c r="D226" s="29" t="str">
        <f>IFERROR(IF(SUMIFS(tblDaily[Deaths],tblDaily[EntryDate],DATE(2026,6,25),tblDaily[WardCode],"BG")=0,"",SUMIFS(tblDaily[Deaths],tblDaily[EntryDate],DATE(2026,6,25),tblDaily[WardCode],"BG")),"")</f>
        <v/>
      </c>
      <c r="E226" s="29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29" t="str">
        <f>IFERROR(IF(SUMIFS(tblDaily[TransfersIn],tblDaily[EntryDate],DATE(2026,6,25),tblDaily[WardCode],"BG")=0,"",SUMIFS(tblDaily[TransfersIn],tblDaily[EntryDate],DATE(2026,6,25),tblDaily[WardCode],"BG")),"")</f>
        <v/>
      </c>
      <c r="G226" s="29" t="str">
        <f>IFERROR(IF(SUMIFS(tblDaily[TransfersOut],tblDaily[EntryDate],DATE(2026,6,25),tblDaily[WardCode],"BG")=0,"",SUMIFS(tblDaily[TransfersOut],tblDaily[EntryDate],DATE(2026,6,25),tblDaily[WardCode],"BG")),"")</f>
        <v/>
      </c>
      <c r="H226" s="29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IFERROR(IF(SUMIFS(tblDaily[Admissions],tblDaily[EntryDate],DATE(2026,6,26),tblDaily[WardCode],"BG")=0,"",SUMIFS(tblDaily[Admissions],tblDaily[EntryDate],DATE(2026,6,26),tblDaily[WardCode],"BG")),"")</f>
        <v/>
      </c>
      <c r="C227" s="29" t="str">
        <f>IFERROR(IF(SUMIFS(tblDaily[Discharges],tblDaily[EntryDate],DATE(2026,6,26),tblDaily[WardCode],"BG")=0,"",SUMIFS(tblDaily[Discharges],tblDaily[EntryDate],DATE(2026,6,26),tblDaily[WardCode],"BG")),"")</f>
        <v/>
      </c>
      <c r="D227" s="29" t="str">
        <f>IFERROR(IF(SUMIFS(tblDaily[Deaths],tblDaily[EntryDate],DATE(2026,6,26),tblDaily[WardCode],"BG")=0,"",SUMIFS(tblDaily[Deaths],tblDaily[EntryDate],DATE(2026,6,26),tblDaily[WardCode],"BG")),"")</f>
        <v/>
      </c>
      <c r="E227" s="29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29" t="str">
        <f>IFERROR(IF(SUMIFS(tblDaily[TransfersIn],tblDaily[EntryDate],DATE(2026,6,26),tblDaily[WardCode],"BG")=0,"",SUMIFS(tblDaily[TransfersIn],tblDaily[EntryDate],DATE(2026,6,26),tblDaily[WardCode],"BG")),"")</f>
        <v/>
      </c>
      <c r="G227" s="29" t="str">
        <f>IFERROR(IF(SUMIFS(tblDaily[TransfersOut],tblDaily[EntryDate],DATE(2026,6,26),tblDaily[WardCode],"BG")=0,"",SUMIFS(tblDaily[TransfersOut],tblDaily[EntryDate],DATE(2026,6,26),tblDaily[WardCode],"BG")),"")</f>
        <v/>
      </c>
      <c r="H227" s="29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IFERROR(IF(SUMIFS(tblDaily[Admissions],tblDaily[EntryDate],DATE(2026,6,27),tblDaily[WardCode],"BG")=0,"",SUMIFS(tblDaily[Admissions],tblDaily[EntryDate],DATE(2026,6,27),tblDaily[WardCode],"BG")),"")</f>
        <v/>
      </c>
      <c r="C228" s="29" t="str">
        <f>IFERROR(IF(SUMIFS(tblDaily[Discharges],tblDaily[EntryDate],DATE(2026,6,27),tblDaily[WardCode],"BG")=0,"",SUMIFS(tblDaily[Discharges],tblDaily[EntryDate],DATE(2026,6,27),tblDaily[WardCode],"BG")),"")</f>
        <v/>
      </c>
      <c r="D228" s="29" t="str">
        <f>IFERROR(IF(SUMIFS(tblDaily[Deaths],tblDaily[EntryDate],DATE(2026,6,27),tblDaily[WardCode],"BG")=0,"",SUMIFS(tblDaily[Deaths],tblDaily[EntryDate],DATE(2026,6,27),tblDaily[WardCode],"BG")),"")</f>
        <v/>
      </c>
      <c r="E228" s="29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29" t="str">
        <f>IFERROR(IF(SUMIFS(tblDaily[TransfersIn],tblDaily[EntryDate],DATE(2026,6,27),tblDaily[WardCode],"BG")=0,"",SUMIFS(tblDaily[TransfersIn],tblDaily[EntryDate],DATE(2026,6,27),tblDaily[WardCode],"BG")),"")</f>
        <v/>
      </c>
      <c r="G228" s="29" t="str">
        <f>IFERROR(IF(SUMIFS(tblDaily[TransfersOut],tblDaily[EntryDate],DATE(2026,6,27),tblDaily[WardCode],"BG")=0,"",SUMIFS(tblDaily[TransfersOut],tblDaily[EntryDate],DATE(2026,6,27),tblDaily[WardCode],"BG")),"")</f>
        <v/>
      </c>
      <c r="H228" s="29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IFERROR(IF(SUMIFS(tblDaily[Admissions],tblDaily[EntryDate],DATE(2026,6,28),tblDaily[WardCode],"BG")=0,"",SUMIFS(tblDaily[Admissions],tblDaily[EntryDate],DATE(2026,6,28),tblDaily[WardCode],"BG")),"")</f>
        <v/>
      </c>
      <c r="C229" s="29" t="str">
        <f>IFERROR(IF(SUMIFS(tblDaily[Discharges],tblDaily[EntryDate],DATE(2026,6,28),tblDaily[WardCode],"BG")=0,"",SUMIFS(tblDaily[Discharges],tblDaily[EntryDate],DATE(2026,6,28),tblDaily[WardCode],"BG")),"")</f>
        <v/>
      </c>
      <c r="D229" s="29" t="str">
        <f>IFERROR(IF(SUMIFS(tblDaily[Deaths],tblDaily[EntryDate],DATE(2026,6,28),tblDaily[WardCode],"BG")=0,"",SUMIFS(tblDaily[Deaths],tblDaily[EntryDate],DATE(2026,6,28),tblDaily[WardCode],"BG")),"")</f>
        <v/>
      </c>
      <c r="E229" s="29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29" t="str">
        <f>IFERROR(IF(SUMIFS(tblDaily[TransfersIn],tblDaily[EntryDate],DATE(2026,6,28),tblDaily[WardCode],"BG")=0,"",SUMIFS(tblDaily[TransfersIn],tblDaily[EntryDate],DATE(2026,6,28),tblDaily[WardCode],"BG")),"")</f>
        <v/>
      </c>
      <c r="G229" s="29" t="str">
        <f>IFERROR(IF(SUMIFS(tblDaily[TransfersOut],tblDaily[EntryDate],DATE(2026,6,28),tblDaily[WardCode],"BG")=0,"",SUMIFS(tblDaily[TransfersOut],tblDaily[EntryDate],DATE(2026,6,28),tblDaily[WardCode],"BG")),"")</f>
        <v/>
      </c>
      <c r="H229" s="29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IFERROR(IF(SUMIFS(tblDaily[Admissions],tblDaily[EntryDate],DATE(2026,6,29),tblDaily[WardCode],"BG")=0,"",SUMIFS(tblDaily[Admissions],tblDaily[EntryDate],DATE(2026,6,29),tblDaily[WardCode],"BG")),"")</f>
        <v/>
      </c>
      <c r="C230" s="29" t="str">
        <f>IFERROR(IF(SUMIFS(tblDaily[Discharges],tblDaily[EntryDate],DATE(2026,6,29),tblDaily[WardCode],"BG")=0,"",SUMIFS(tblDaily[Discharges],tblDaily[EntryDate],DATE(2026,6,29),tblDaily[WardCode],"BG")),"")</f>
        <v/>
      </c>
      <c r="D230" s="29" t="str">
        <f>IFERROR(IF(SUMIFS(tblDaily[Deaths],tblDaily[EntryDate],DATE(2026,6,29),tblDaily[WardCode],"BG")=0,"",SUMIFS(tblDaily[Deaths],tblDaily[EntryDate],DATE(2026,6,29),tblDaily[WardCode],"BG")),"")</f>
        <v/>
      </c>
      <c r="E230" s="29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29" t="str">
        <f>IFERROR(IF(SUMIFS(tblDaily[TransfersIn],tblDaily[EntryDate],DATE(2026,6,29),tblDaily[WardCode],"BG")=0,"",SUMIFS(tblDaily[TransfersIn],tblDaily[EntryDate],DATE(2026,6,29),tblDaily[WardCode],"BG")),"")</f>
        <v/>
      </c>
      <c r="G230" s="29" t="str">
        <f>IFERROR(IF(SUMIFS(tblDaily[TransfersOut],tblDaily[EntryDate],DATE(2026,6,29),tblDaily[WardCode],"BG")=0,"",SUMIFS(tblDaily[TransfersOut],tblDaily[EntryDate],DATE(2026,6,29),tblDaily[WardCode],"BG")),"")</f>
        <v/>
      </c>
      <c r="H230" s="29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IFERROR(IF(SUMIFS(tblDaily[Admissions],tblDaily[EntryDate],DATE(2026,6,30),tblDaily[WardCode],"BG")=0,"",SUMIFS(tblDaily[Admissions],tblDaily[EntryDate],DATE(2026,6,30),tblDaily[WardCode],"BG")),"")</f>
        <v/>
      </c>
      <c r="C231" s="29" t="str">
        <f>IFERROR(IF(SUMIFS(tblDaily[Discharges],tblDaily[EntryDate],DATE(2026,6,30),tblDaily[WardCode],"BG")=0,"",SUMIFS(tblDaily[Discharges],tblDaily[EntryDate],DATE(2026,6,30),tblDaily[WardCode],"BG")),"")</f>
        <v/>
      </c>
      <c r="D231" s="29" t="str">
        <f>IFERROR(IF(SUMIFS(tblDaily[Deaths],tblDaily[EntryDate],DATE(2026,6,30),tblDaily[WardCode],"BG")=0,"",SUMIFS(tblDaily[Deaths],tblDaily[EntryDate],DATE(2026,6,30),tblDaily[WardCode],"BG")),"")</f>
        <v/>
      </c>
      <c r="E231" s="29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29" t="str">
        <f>IFERROR(IF(SUMIFS(tblDaily[TransfersIn],tblDaily[EntryDate],DATE(2026,6,30),tblDaily[WardCode],"BG")=0,"",SUMIFS(tblDaily[TransfersIn],tblDaily[EntryDate],DATE(2026,6,30),tblDaily[WardCode],"BG")),"")</f>
        <v/>
      </c>
      <c r="G231" s="29" t="str">
        <f>IFERROR(IF(SUMIFS(tblDaily[TransfersOut],tblDaily[EntryDate],DATE(2026,6,30),tblDaily[WardCode],"BG")=0,"",SUMIFS(tblDaily[TransfersOut],tblDaily[EntryDate],DATE(2026,6,30),tblDaily[WardCode],"BG")),"")</f>
        <v/>
      </c>
      <c r="H231" s="29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SUMIFS(tblDaily[Admissions],tblDaily[Month],6,tblDaily[WardCode],"BG") - SUMIFS(tblDaily[DeathsUnder24Hrs],tblDaily[Month],6,tblDaily[WardCode],"BG")</f>
        <v>0</v>
      </c>
      <c r="C233" s="30">
        <f>SUMIFS(tblDaily[Discharges],tblDaily[Month],6,tblDaily[WardCode],"BG")</f>
        <v>0</v>
      </c>
      <c r="D233" s="30">
        <f>SUMIFS(tblDaily[Deaths],tblDaily[Month],6,tblDaily[WardCode],"BG")</f>
        <v>0</v>
      </c>
      <c r="E233" s="30">
        <f>SUMIFS(tblDaily[DeathsUnder24Hrs],tblDaily[Month],6,tblDaily[WardCode],"BG")</f>
        <v>0</v>
      </c>
      <c r="F233" s="30">
        <f>SUMIFS(tblDaily[TransfersIn],tblDaily[Month],6,tblDaily[WardCode],"BG")</f>
        <v>0</v>
      </c>
      <c r="G233" s="30">
        <f>SUMIFS(tblDaily[TransfersOut],tblDaily[Month],6,tblDaily[WardCode],"BG")</f>
        <v>0</v>
      </c>
      <c r="H233" s="30">
        <f>SUMIFS(tblDaily[Remaining],tblDaily[Month],6,tblDaily[WardCode],"BG")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119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IFERROR(SUMIFS(tblDaily[Remaining],tblDaily[EntryDate],DATE(2026,6,30),tblDaily[WardCode],"BG"),0)</f>
        <v>0</v>
      </c>
    </row>
    <row r="239" spans="1:8" x14ac:dyDescent="0.25">
      <c r="A239" s="24" t="s">
        <v>109</v>
      </c>
      <c r="H239" s="27">
        <f>IFERROR(INDEX(tblWardConfig[BedComplement],MATCH("BG",tblWardConfig[WardCode],0)),0)</f>
        <v>14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IFERROR(IF(SUMIFS(tblDaily[Admissions],tblDaily[EntryDate],DATE(2026,7,1),tblDaily[WardCode],"BG")=0,"",SUMIFS(tblDaily[Admissions],tblDaily[EntryDate],DATE(2026,7,1),tblDaily[WardCode],"BG")),"")</f>
        <v/>
      </c>
      <c r="C241" s="29" t="str">
        <f>IFERROR(IF(SUMIFS(tblDaily[Discharges],tblDaily[EntryDate],DATE(2026,7,1),tblDaily[WardCode],"BG")=0,"",SUMIFS(tblDaily[Discharges],tblDaily[EntryDate],DATE(2026,7,1),tblDaily[WardCode],"BG")),"")</f>
        <v/>
      </c>
      <c r="D241" s="29" t="str">
        <f>IFERROR(IF(SUMIFS(tblDaily[Deaths],tblDaily[EntryDate],DATE(2026,7,1),tblDaily[WardCode],"BG")=0,"",SUMIFS(tblDaily[Deaths],tblDaily[EntryDate],DATE(2026,7,1),tblDaily[WardCode],"BG")),"")</f>
        <v/>
      </c>
      <c r="E241" s="29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29" t="str">
        <f>IFERROR(IF(SUMIFS(tblDaily[TransfersIn],tblDaily[EntryDate],DATE(2026,7,1),tblDaily[WardCode],"BG")=0,"",SUMIFS(tblDaily[TransfersIn],tblDaily[EntryDate],DATE(2026,7,1),tblDaily[WardCode],"BG")),"")</f>
        <v/>
      </c>
      <c r="G241" s="29" t="str">
        <f>IFERROR(IF(SUMIFS(tblDaily[TransfersOut],tblDaily[EntryDate],DATE(2026,7,1),tblDaily[WardCode],"BG")=0,"",SUMIFS(tblDaily[TransfersOut],tblDaily[EntryDate],DATE(2026,7,1),tblDaily[WardCode],"BG")),"")</f>
        <v/>
      </c>
      <c r="H241" s="29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IFERROR(IF(SUMIFS(tblDaily[Admissions],tblDaily[EntryDate],DATE(2026,7,2),tblDaily[WardCode],"BG")=0,"",SUMIFS(tblDaily[Admissions],tblDaily[EntryDate],DATE(2026,7,2),tblDaily[WardCode],"BG")),"")</f>
        <v/>
      </c>
      <c r="C242" s="29" t="str">
        <f>IFERROR(IF(SUMIFS(tblDaily[Discharges],tblDaily[EntryDate],DATE(2026,7,2),tblDaily[WardCode],"BG")=0,"",SUMIFS(tblDaily[Discharges],tblDaily[EntryDate],DATE(2026,7,2),tblDaily[WardCode],"BG")),"")</f>
        <v/>
      </c>
      <c r="D242" s="29" t="str">
        <f>IFERROR(IF(SUMIFS(tblDaily[Deaths],tblDaily[EntryDate],DATE(2026,7,2),tblDaily[WardCode],"BG")=0,"",SUMIFS(tblDaily[Deaths],tblDaily[EntryDate],DATE(2026,7,2),tblDaily[WardCode],"BG")),"")</f>
        <v/>
      </c>
      <c r="E242" s="29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29" t="str">
        <f>IFERROR(IF(SUMIFS(tblDaily[TransfersIn],tblDaily[EntryDate],DATE(2026,7,2),tblDaily[WardCode],"BG")=0,"",SUMIFS(tblDaily[TransfersIn],tblDaily[EntryDate],DATE(2026,7,2),tblDaily[WardCode],"BG")),"")</f>
        <v/>
      </c>
      <c r="G242" s="29" t="str">
        <f>IFERROR(IF(SUMIFS(tblDaily[TransfersOut],tblDaily[EntryDate],DATE(2026,7,2),tblDaily[WardCode],"BG")=0,"",SUMIFS(tblDaily[TransfersOut],tblDaily[EntryDate],DATE(2026,7,2),tblDaily[WardCode],"BG")),"")</f>
        <v/>
      </c>
      <c r="H242" s="29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IFERROR(IF(SUMIFS(tblDaily[Admissions],tblDaily[EntryDate],DATE(2026,7,3),tblDaily[WardCode],"BG")=0,"",SUMIFS(tblDaily[Admissions],tblDaily[EntryDate],DATE(2026,7,3),tblDaily[WardCode],"BG")),"")</f>
        <v/>
      </c>
      <c r="C243" s="29" t="str">
        <f>IFERROR(IF(SUMIFS(tblDaily[Discharges],tblDaily[EntryDate],DATE(2026,7,3),tblDaily[WardCode],"BG")=0,"",SUMIFS(tblDaily[Discharges],tblDaily[EntryDate],DATE(2026,7,3),tblDaily[WardCode],"BG")),"")</f>
        <v/>
      </c>
      <c r="D243" s="29" t="str">
        <f>IFERROR(IF(SUMIFS(tblDaily[Deaths],tblDaily[EntryDate],DATE(2026,7,3),tblDaily[WardCode],"BG")=0,"",SUMIFS(tblDaily[Deaths],tblDaily[EntryDate],DATE(2026,7,3),tblDaily[WardCode],"BG")),"")</f>
        <v/>
      </c>
      <c r="E243" s="29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29" t="str">
        <f>IFERROR(IF(SUMIFS(tblDaily[TransfersIn],tblDaily[EntryDate],DATE(2026,7,3),tblDaily[WardCode],"BG")=0,"",SUMIFS(tblDaily[TransfersIn],tblDaily[EntryDate],DATE(2026,7,3),tblDaily[WardCode],"BG")),"")</f>
        <v/>
      </c>
      <c r="G243" s="29" t="str">
        <f>IFERROR(IF(SUMIFS(tblDaily[TransfersOut],tblDaily[EntryDate],DATE(2026,7,3),tblDaily[WardCode],"BG")=0,"",SUMIFS(tblDaily[TransfersOut],tblDaily[EntryDate],DATE(2026,7,3),tblDaily[WardCode],"BG")),"")</f>
        <v/>
      </c>
      <c r="H243" s="29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IFERROR(IF(SUMIFS(tblDaily[Admissions],tblDaily[EntryDate],DATE(2026,7,4),tblDaily[WardCode],"BG")=0,"",SUMIFS(tblDaily[Admissions],tblDaily[EntryDate],DATE(2026,7,4),tblDaily[WardCode],"BG")),"")</f>
        <v/>
      </c>
      <c r="C244" s="29" t="str">
        <f>IFERROR(IF(SUMIFS(tblDaily[Discharges],tblDaily[EntryDate],DATE(2026,7,4),tblDaily[WardCode],"BG")=0,"",SUMIFS(tblDaily[Discharges],tblDaily[EntryDate],DATE(2026,7,4),tblDaily[WardCode],"BG")),"")</f>
        <v/>
      </c>
      <c r="D244" s="29" t="str">
        <f>IFERROR(IF(SUMIFS(tblDaily[Deaths],tblDaily[EntryDate],DATE(2026,7,4),tblDaily[WardCode],"BG")=0,"",SUMIFS(tblDaily[Deaths],tblDaily[EntryDate],DATE(2026,7,4),tblDaily[WardCode],"BG")),"")</f>
        <v/>
      </c>
      <c r="E244" s="29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29" t="str">
        <f>IFERROR(IF(SUMIFS(tblDaily[TransfersIn],tblDaily[EntryDate],DATE(2026,7,4),tblDaily[WardCode],"BG")=0,"",SUMIFS(tblDaily[TransfersIn],tblDaily[EntryDate],DATE(2026,7,4),tblDaily[WardCode],"BG")),"")</f>
        <v/>
      </c>
      <c r="G244" s="29" t="str">
        <f>IFERROR(IF(SUMIFS(tblDaily[TransfersOut],tblDaily[EntryDate],DATE(2026,7,4),tblDaily[WardCode],"BG")=0,"",SUMIFS(tblDaily[TransfersOut],tblDaily[EntryDate],DATE(2026,7,4),tblDaily[WardCode],"BG")),"")</f>
        <v/>
      </c>
      <c r="H244" s="29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IFERROR(IF(SUMIFS(tblDaily[Admissions],tblDaily[EntryDate],DATE(2026,7,5),tblDaily[WardCode],"BG")=0,"",SUMIFS(tblDaily[Admissions],tblDaily[EntryDate],DATE(2026,7,5),tblDaily[WardCode],"BG")),"")</f>
        <v/>
      </c>
      <c r="C245" s="29" t="str">
        <f>IFERROR(IF(SUMIFS(tblDaily[Discharges],tblDaily[EntryDate],DATE(2026,7,5),tblDaily[WardCode],"BG")=0,"",SUMIFS(tblDaily[Discharges],tblDaily[EntryDate],DATE(2026,7,5),tblDaily[WardCode],"BG")),"")</f>
        <v/>
      </c>
      <c r="D245" s="29" t="str">
        <f>IFERROR(IF(SUMIFS(tblDaily[Deaths],tblDaily[EntryDate],DATE(2026,7,5),tblDaily[WardCode],"BG")=0,"",SUMIFS(tblDaily[Deaths],tblDaily[EntryDate],DATE(2026,7,5),tblDaily[WardCode],"BG")),"")</f>
        <v/>
      </c>
      <c r="E245" s="29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29" t="str">
        <f>IFERROR(IF(SUMIFS(tblDaily[TransfersIn],tblDaily[EntryDate],DATE(2026,7,5),tblDaily[WardCode],"BG")=0,"",SUMIFS(tblDaily[TransfersIn],tblDaily[EntryDate],DATE(2026,7,5),tblDaily[WardCode],"BG")),"")</f>
        <v/>
      </c>
      <c r="G245" s="29" t="str">
        <f>IFERROR(IF(SUMIFS(tblDaily[TransfersOut],tblDaily[EntryDate],DATE(2026,7,5),tblDaily[WardCode],"BG")=0,"",SUMIFS(tblDaily[TransfersOut],tblDaily[EntryDate],DATE(2026,7,5),tblDaily[WardCode],"BG")),"")</f>
        <v/>
      </c>
      <c r="H245" s="29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IFERROR(IF(SUMIFS(tblDaily[Admissions],tblDaily[EntryDate],DATE(2026,7,6),tblDaily[WardCode],"BG")=0,"",SUMIFS(tblDaily[Admissions],tblDaily[EntryDate],DATE(2026,7,6),tblDaily[WardCode],"BG")),"")</f>
        <v/>
      </c>
      <c r="C246" s="29" t="str">
        <f>IFERROR(IF(SUMIFS(tblDaily[Discharges],tblDaily[EntryDate],DATE(2026,7,6),tblDaily[WardCode],"BG")=0,"",SUMIFS(tblDaily[Discharges],tblDaily[EntryDate],DATE(2026,7,6),tblDaily[WardCode],"BG")),"")</f>
        <v/>
      </c>
      <c r="D246" s="29" t="str">
        <f>IFERROR(IF(SUMIFS(tblDaily[Deaths],tblDaily[EntryDate],DATE(2026,7,6),tblDaily[WardCode],"BG")=0,"",SUMIFS(tblDaily[Deaths],tblDaily[EntryDate],DATE(2026,7,6),tblDaily[WardCode],"BG")),"")</f>
        <v/>
      </c>
      <c r="E246" s="29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29" t="str">
        <f>IFERROR(IF(SUMIFS(tblDaily[TransfersIn],tblDaily[EntryDate],DATE(2026,7,6),tblDaily[WardCode],"BG")=0,"",SUMIFS(tblDaily[TransfersIn],tblDaily[EntryDate],DATE(2026,7,6),tblDaily[WardCode],"BG")),"")</f>
        <v/>
      </c>
      <c r="G246" s="29" t="str">
        <f>IFERROR(IF(SUMIFS(tblDaily[TransfersOut],tblDaily[EntryDate],DATE(2026,7,6),tblDaily[WardCode],"BG")=0,"",SUMIFS(tblDaily[TransfersOut],tblDaily[EntryDate],DATE(2026,7,6),tblDaily[WardCode],"BG")),"")</f>
        <v/>
      </c>
      <c r="H246" s="29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IFERROR(IF(SUMIFS(tblDaily[Admissions],tblDaily[EntryDate],DATE(2026,7,7),tblDaily[WardCode],"BG")=0,"",SUMIFS(tblDaily[Admissions],tblDaily[EntryDate],DATE(2026,7,7),tblDaily[WardCode],"BG")),"")</f>
        <v/>
      </c>
      <c r="C247" s="29" t="str">
        <f>IFERROR(IF(SUMIFS(tblDaily[Discharges],tblDaily[EntryDate],DATE(2026,7,7),tblDaily[WardCode],"BG")=0,"",SUMIFS(tblDaily[Discharges],tblDaily[EntryDate],DATE(2026,7,7),tblDaily[WardCode],"BG")),"")</f>
        <v/>
      </c>
      <c r="D247" s="29" t="str">
        <f>IFERROR(IF(SUMIFS(tblDaily[Deaths],tblDaily[EntryDate],DATE(2026,7,7),tblDaily[WardCode],"BG")=0,"",SUMIFS(tblDaily[Deaths],tblDaily[EntryDate],DATE(2026,7,7),tblDaily[WardCode],"BG")),"")</f>
        <v/>
      </c>
      <c r="E247" s="29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29" t="str">
        <f>IFERROR(IF(SUMIFS(tblDaily[TransfersIn],tblDaily[EntryDate],DATE(2026,7,7),tblDaily[WardCode],"BG")=0,"",SUMIFS(tblDaily[TransfersIn],tblDaily[EntryDate],DATE(2026,7,7),tblDaily[WardCode],"BG")),"")</f>
        <v/>
      </c>
      <c r="G247" s="29" t="str">
        <f>IFERROR(IF(SUMIFS(tblDaily[TransfersOut],tblDaily[EntryDate],DATE(2026,7,7),tblDaily[WardCode],"BG")=0,"",SUMIFS(tblDaily[TransfersOut],tblDaily[EntryDate],DATE(2026,7,7),tblDaily[WardCode],"BG")),"")</f>
        <v/>
      </c>
      <c r="H247" s="29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IFERROR(IF(SUMIFS(tblDaily[Admissions],tblDaily[EntryDate],DATE(2026,7,8),tblDaily[WardCode],"BG")=0,"",SUMIFS(tblDaily[Admissions],tblDaily[EntryDate],DATE(2026,7,8),tblDaily[WardCode],"BG")),"")</f>
        <v/>
      </c>
      <c r="C248" s="29" t="str">
        <f>IFERROR(IF(SUMIFS(tblDaily[Discharges],tblDaily[EntryDate],DATE(2026,7,8),tblDaily[WardCode],"BG")=0,"",SUMIFS(tblDaily[Discharges],tblDaily[EntryDate],DATE(2026,7,8),tblDaily[WardCode],"BG")),"")</f>
        <v/>
      </c>
      <c r="D248" s="29" t="str">
        <f>IFERROR(IF(SUMIFS(tblDaily[Deaths],tblDaily[EntryDate],DATE(2026,7,8),tblDaily[WardCode],"BG")=0,"",SUMIFS(tblDaily[Deaths],tblDaily[EntryDate],DATE(2026,7,8),tblDaily[WardCode],"BG")),"")</f>
        <v/>
      </c>
      <c r="E248" s="29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29" t="str">
        <f>IFERROR(IF(SUMIFS(tblDaily[TransfersIn],tblDaily[EntryDate],DATE(2026,7,8),tblDaily[WardCode],"BG")=0,"",SUMIFS(tblDaily[TransfersIn],tblDaily[EntryDate],DATE(2026,7,8),tblDaily[WardCode],"BG")),"")</f>
        <v/>
      </c>
      <c r="G248" s="29" t="str">
        <f>IFERROR(IF(SUMIFS(tblDaily[TransfersOut],tblDaily[EntryDate],DATE(2026,7,8),tblDaily[WardCode],"BG")=0,"",SUMIFS(tblDaily[TransfersOut],tblDaily[EntryDate],DATE(2026,7,8),tblDaily[WardCode],"BG")),"")</f>
        <v/>
      </c>
      <c r="H248" s="29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IFERROR(IF(SUMIFS(tblDaily[Admissions],tblDaily[EntryDate],DATE(2026,7,9),tblDaily[WardCode],"BG")=0,"",SUMIFS(tblDaily[Admissions],tblDaily[EntryDate],DATE(2026,7,9),tblDaily[WardCode],"BG")),"")</f>
        <v/>
      </c>
      <c r="C249" s="29" t="str">
        <f>IFERROR(IF(SUMIFS(tblDaily[Discharges],tblDaily[EntryDate],DATE(2026,7,9),tblDaily[WardCode],"BG")=0,"",SUMIFS(tblDaily[Discharges],tblDaily[EntryDate],DATE(2026,7,9),tblDaily[WardCode],"BG")),"")</f>
        <v/>
      </c>
      <c r="D249" s="29" t="str">
        <f>IFERROR(IF(SUMIFS(tblDaily[Deaths],tblDaily[EntryDate],DATE(2026,7,9),tblDaily[WardCode],"BG")=0,"",SUMIFS(tblDaily[Deaths],tblDaily[EntryDate],DATE(2026,7,9),tblDaily[WardCode],"BG")),"")</f>
        <v/>
      </c>
      <c r="E249" s="29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29" t="str">
        <f>IFERROR(IF(SUMIFS(tblDaily[TransfersIn],tblDaily[EntryDate],DATE(2026,7,9),tblDaily[WardCode],"BG")=0,"",SUMIFS(tblDaily[TransfersIn],tblDaily[EntryDate],DATE(2026,7,9),tblDaily[WardCode],"BG")),"")</f>
        <v/>
      </c>
      <c r="G249" s="29" t="str">
        <f>IFERROR(IF(SUMIFS(tblDaily[TransfersOut],tblDaily[EntryDate],DATE(2026,7,9),tblDaily[WardCode],"BG")=0,"",SUMIFS(tblDaily[TransfersOut],tblDaily[EntryDate],DATE(2026,7,9),tblDaily[WardCode],"BG")),"")</f>
        <v/>
      </c>
      <c r="H249" s="29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IFERROR(IF(SUMIFS(tblDaily[Admissions],tblDaily[EntryDate],DATE(2026,7,10),tblDaily[WardCode],"BG")=0,"",SUMIFS(tblDaily[Admissions],tblDaily[EntryDate],DATE(2026,7,10),tblDaily[WardCode],"BG")),"")</f>
        <v/>
      </c>
      <c r="C250" s="29" t="str">
        <f>IFERROR(IF(SUMIFS(tblDaily[Discharges],tblDaily[EntryDate],DATE(2026,7,10),tblDaily[WardCode],"BG")=0,"",SUMIFS(tblDaily[Discharges],tblDaily[EntryDate],DATE(2026,7,10),tblDaily[WardCode],"BG")),"")</f>
        <v/>
      </c>
      <c r="D250" s="29" t="str">
        <f>IFERROR(IF(SUMIFS(tblDaily[Deaths],tblDaily[EntryDate],DATE(2026,7,10),tblDaily[WardCode],"BG")=0,"",SUMIFS(tblDaily[Deaths],tblDaily[EntryDate],DATE(2026,7,10),tblDaily[WardCode],"BG")),"")</f>
        <v/>
      </c>
      <c r="E250" s="29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29" t="str">
        <f>IFERROR(IF(SUMIFS(tblDaily[TransfersIn],tblDaily[EntryDate],DATE(2026,7,10),tblDaily[WardCode],"BG")=0,"",SUMIFS(tblDaily[TransfersIn],tblDaily[EntryDate],DATE(2026,7,10),tblDaily[WardCode],"BG")),"")</f>
        <v/>
      </c>
      <c r="G250" s="29" t="str">
        <f>IFERROR(IF(SUMIFS(tblDaily[TransfersOut],tblDaily[EntryDate],DATE(2026,7,10),tblDaily[WardCode],"BG")=0,"",SUMIFS(tblDaily[TransfersOut],tblDaily[EntryDate],DATE(2026,7,10),tblDaily[WardCode],"BG")),"")</f>
        <v/>
      </c>
      <c r="H250" s="29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IFERROR(IF(SUMIFS(tblDaily[Admissions],tblDaily[EntryDate],DATE(2026,7,11),tblDaily[WardCode],"BG")=0,"",SUMIFS(tblDaily[Admissions],tblDaily[EntryDate],DATE(2026,7,11),tblDaily[WardCode],"BG")),"")</f>
        <v/>
      </c>
      <c r="C251" s="29" t="str">
        <f>IFERROR(IF(SUMIFS(tblDaily[Discharges],tblDaily[EntryDate],DATE(2026,7,11),tblDaily[WardCode],"BG")=0,"",SUMIFS(tblDaily[Discharges],tblDaily[EntryDate],DATE(2026,7,11),tblDaily[WardCode],"BG")),"")</f>
        <v/>
      </c>
      <c r="D251" s="29" t="str">
        <f>IFERROR(IF(SUMIFS(tblDaily[Deaths],tblDaily[EntryDate],DATE(2026,7,11),tblDaily[WardCode],"BG")=0,"",SUMIFS(tblDaily[Deaths],tblDaily[EntryDate],DATE(2026,7,11),tblDaily[WardCode],"BG")),"")</f>
        <v/>
      </c>
      <c r="E251" s="29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29" t="str">
        <f>IFERROR(IF(SUMIFS(tblDaily[TransfersIn],tblDaily[EntryDate],DATE(2026,7,11),tblDaily[WardCode],"BG")=0,"",SUMIFS(tblDaily[TransfersIn],tblDaily[EntryDate],DATE(2026,7,11),tblDaily[WardCode],"BG")),"")</f>
        <v/>
      </c>
      <c r="G251" s="29" t="str">
        <f>IFERROR(IF(SUMIFS(tblDaily[TransfersOut],tblDaily[EntryDate],DATE(2026,7,11),tblDaily[WardCode],"BG")=0,"",SUMIFS(tblDaily[TransfersOut],tblDaily[EntryDate],DATE(2026,7,11),tblDaily[WardCode],"BG")),"")</f>
        <v/>
      </c>
      <c r="H251" s="29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IFERROR(IF(SUMIFS(tblDaily[Admissions],tblDaily[EntryDate],DATE(2026,7,12),tblDaily[WardCode],"BG")=0,"",SUMIFS(tblDaily[Admissions],tblDaily[EntryDate],DATE(2026,7,12),tblDaily[WardCode],"BG")),"")</f>
        <v/>
      </c>
      <c r="C252" s="29" t="str">
        <f>IFERROR(IF(SUMIFS(tblDaily[Discharges],tblDaily[EntryDate],DATE(2026,7,12),tblDaily[WardCode],"BG")=0,"",SUMIFS(tblDaily[Discharges],tblDaily[EntryDate],DATE(2026,7,12),tblDaily[WardCode],"BG")),"")</f>
        <v/>
      </c>
      <c r="D252" s="29" t="str">
        <f>IFERROR(IF(SUMIFS(tblDaily[Deaths],tblDaily[EntryDate],DATE(2026,7,12),tblDaily[WardCode],"BG")=0,"",SUMIFS(tblDaily[Deaths],tblDaily[EntryDate],DATE(2026,7,12),tblDaily[WardCode],"BG")),"")</f>
        <v/>
      </c>
      <c r="E252" s="29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29" t="str">
        <f>IFERROR(IF(SUMIFS(tblDaily[TransfersIn],tblDaily[EntryDate],DATE(2026,7,12),tblDaily[WardCode],"BG")=0,"",SUMIFS(tblDaily[TransfersIn],tblDaily[EntryDate],DATE(2026,7,12),tblDaily[WardCode],"BG")),"")</f>
        <v/>
      </c>
      <c r="G252" s="29" t="str">
        <f>IFERROR(IF(SUMIFS(tblDaily[TransfersOut],tblDaily[EntryDate],DATE(2026,7,12),tblDaily[WardCode],"BG")=0,"",SUMIFS(tblDaily[TransfersOut],tblDaily[EntryDate],DATE(2026,7,12),tblDaily[WardCode],"BG")),"")</f>
        <v/>
      </c>
      <c r="H252" s="29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IFERROR(IF(SUMIFS(tblDaily[Admissions],tblDaily[EntryDate],DATE(2026,7,13),tblDaily[WardCode],"BG")=0,"",SUMIFS(tblDaily[Admissions],tblDaily[EntryDate],DATE(2026,7,13),tblDaily[WardCode],"BG")),"")</f>
        <v/>
      </c>
      <c r="C253" s="29" t="str">
        <f>IFERROR(IF(SUMIFS(tblDaily[Discharges],tblDaily[EntryDate],DATE(2026,7,13),tblDaily[WardCode],"BG")=0,"",SUMIFS(tblDaily[Discharges],tblDaily[EntryDate],DATE(2026,7,13),tblDaily[WardCode],"BG")),"")</f>
        <v/>
      </c>
      <c r="D253" s="29" t="str">
        <f>IFERROR(IF(SUMIFS(tblDaily[Deaths],tblDaily[EntryDate],DATE(2026,7,13),tblDaily[WardCode],"BG")=0,"",SUMIFS(tblDaily[Deaths],tblDaily[EntryDate],DATE(2026,7,13),tblDaily[WardCode],"BG")),"")</f>
        <v/>
      </c>
      <c r="E253" s="29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29" t="str">
        <f>IFERROR(IF(SUMIFS(tblDaily[TransfersIn],tblDaily[EntryDate],DATE(2026,7,13),tblDaily[WardCode],"BG")=0,"",SUMIFS(tblDaily[TransfersIn],tblDaily[EntryDate],DATE(2026,7,13),tblDaily[WardCode],"BG")),"")</f>
        <v/>
      </c>
      <c r="G253" s="29" t="str">
        <f>IFERROR(IF(SUMIFS(tblDaily[TransfersOut],tblDaily[EntryDate],DATE(2026,7,13),tblDaily[WardCode],"BG")=0,"",SUMIFS(tblDaily[TransfersOut],tblDaily[EntryDate],DATE(2026,7,13),tblDaily[WardCode],"BG")),"")</f>
        <v/>
      </c>
      <c r="H253" s="29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IFERROR(IF(SUMIFS(tblDaily[Admissions],tblDaily[EntryDate],DATE(2026,7,14),tblDaily[WardCode],"BG")=0,"",SUMIFS(tblDaily[Admissions],tblDaily[EntryDate],DATE(2026,7,14),tblDaily[WardCode],"BG")),"")</f>
        <v/>
      </c>
      <c r="C254" s="29" t="str">
        <f>IFERROR(IF(SUMIFS(tblDaily[Discharges],tblDaily[EntryDate],DATE(2026,7,14),tblDaily[WardCode],"BG")=0,"",SUMIFS(tblDaily[Discharges],tblDaily[EntryDate],DATE(2026,7,14),tblDaily[WardCode],"BG")),"")</f>
        <v/>
      </c>
      <c r="D254" s="29" t="str">
        <f>IFERROR(IF(SUMIFS(tblDaily[Deaths],tblDaily[EntryDate],DATE(2026,7,14),tblDaily[WardCode],"BG")=0,"",SUMIFS(tblDaily[Deaths],tblDaily[EntryDate],DATE(2026,7,14),tblDaily[WardCode],"BG")),"")</f>
        <v/>
      </c>
      <c r="E254" s="29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29" t="str">
        <f>IFERROR(IF(SUMIFS(tblDaily[TransfersIn],tblDaily[EntryDate],DATE(2026,7,14),tblDaily[WardCode],"BG")=0,"",SUMIFS(tblDaily[TransfersIn],tblDaily[EntryDate],DATE(2026,7,14),tblDaily[WardCode],"BG")),"")</f>
        <v/>
      </c>
      <c r="G254" s="29" t="str">
        <f>IFERROR(IF(SUMIFS(tblDaily[TransfersOut],tblDaily[EntryDate],DATE(2026,7,14),tblDaily[WardCode],"BG")=0,"",SUMIFS(tblDaily[TransfersOut],tblDaily[EntryDate],DATE(2026,7,14),tblDaily[WardCode],"BG")),"")</f>
        <v/>
      </c>
      <c r="H254" s="29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IFERROR(IF(SUMIFS(tblDaily[Admissions],tblDaily[EntryDate],DATE(2026,7,15),tblDaily[WardCode],"BG")=0,"",SUMIFS(tblDaily[Admissions],tblDaily[EntryDate],DATE(2026,7,15),tblDaily[WardCode],"BG")),"")</f>
        <v/>
      </c>
      <c r="C255" s="29" t="str">
        <f>IFERROR(IF(SUMIFS(tblDaily[Discharges],tblDaily[EntryDate],DATE(2026,7,15),tblDaily[WardCode],"BG")=0,"",SUMIFS(tblDaily[Discharges],tblDaily[EntryDate],DATE(2026,7,15),tblDaily[WardCode],"BG")),"")</f>
        <v/>
      </c>
      <c r="D255" s="29" t="str">
        <f>IFERROR(IF(SUMIFS(tblDaily[Deaths],tblDaily[EntryDate],DATE(2026,7,15),tblDaily[WardCode],"BG")=0,"",SUMIFS(tblDaily[Deaths],tblDaily[EntryDate],DATE(2026,7,15),tblDaily[WardCode],"BG")),"")</f>
        <v/>
      </c>
      <c r="E255" s="29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29" t="str">
        <f>IFERROR(IF(SUMIFS(tblDaily[TransfersIn],tblDaily[EntryDate],DATE(2026,7,15),tblDaily[WardCode],"BG")=0,"",SUMIFS(tblDaily[TransfersIn],tblDaily[EntryDate],DATE(2026,7,15),tblDaily[WardCode],"BG")),"")</f>
        <v/>
      </c>
      <c r="G255" s="29" t="str">
        <f>IFERROR(IF(SUMIFS(tblDaily[TransfersOut],tblDaily[EntryDate],DATE(2026,7,15),tblDaily[WardCode],"BG")=0,"",SUMIFS(tblDaily[TransfersOut],tblDaily[EntryDate],DATE(2026,7,15),tblDaily[WardCode],"BG")),"")</f>
        <v/>
      </c>
      <c r="H255" s="29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IFERROR(IF(SUMIFS(tblDaily[Admissions],tblDaily[EntryDate],DATE(2026,7,16),tblDaily[WardCode],"BG")=0,"",SUMIFS(tblDaily[Admissions],tblDaily[EntryDate],DATE(2026,7,16),tblDaily[WardCode],"BG")),"")</f>
        <v/>
      </c>
      <c r="C256" s="29" t="str">
        <f>IFERROR(IF(SUMIFS(tblDaily[Discharges],tblDaily[EntryDate],DATE(2026,7,16),tblDaily[WardCode],"BG")=0,"",SUMIFS(tblDaily[Discharges],tblDaily[EntryDate],DATE(2026,7,16),tblDaily[WardCode],"BG")),"")</f>
        <v/>
      </c>
      <c r="D256" s="29" t="str">
        <f>IFERROR(IF(SUMIFS(tblDaily[Deaths],tblDaily[EntryDate],DATE(2026,7,16),tblDaily[WardCode],"BG")=0,"",SUMIFS(tblDaily[Deaths],tblDaily[EntryDate],DATE(2026,7,16),tblDaily[WardCode],"BG")),"")</f>
        <v/>
      </c>
      <c r="E256" s="29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29" t="str">
        <f>IFERROR(IF(SUMIFS(tblDaily[TransfersIn],tblDaily[EntryDate],DATE(2026,7,16),tblDaily[WardCode],"BG")=0,"",SUMIFS(tblDaily[TransfersIn],tblDaily[EntryDate],DATE(2026,7,16),tblDaily[WardCode],"BG")),"")</f>
        <v/>
      </c>
      <c r="G256" s="29" t="str">
        <f>IFERROR(IF(SUMIFS(tblDaily[TransfersOut],tblDaily[EntryDate],DATE(2026,7,16),tblDaily[WardCode],"BG")=0,"",SUMIFS(tblDaily[TransfersOut],tblDaily[EntryDate],DATE(2026,7,16),tblDaily[WardCode],"BG")),"")</f>
        <v/>
      </c>
      <c r="H256" s="29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IFERROR(IF(SUMIFS(tblDaily[Admissions],tblDaily[EntryDate],DATE(2026,7,17),tblDaily[WardCode],"BG")=0,"",SUMIFS(tblDaily[Admissions],tblDaily[EntryDate],DATE(2026,7,17),tblDaily[WardCode],"BG")),"")</f>
        <v/>
      </c>
      <c r="C257" s="29" t="str">
        <f>IFERROR(IF(SUMIFS(tblDaily[Discharges],tblDaily[EntryDate],DATE(2026,7,17),tblDaily[WardCode],"BG")=0,"",SUMIFS(tblDaily[Discharges],tblDaily[EntryDate],DATE(2026,7,17),tblDaily[WardCode],"BG")),"")</f>
        <v/>
      </c>
      <c r="D257" s="29" t="str">
        <f>IFERROR(IF(SUMIFS(tblDaily[Deaths],tblDaily[EntryDate],DATE(2026,7,17),tblDaily[WardCode],"BG")=0,"",SUMIFS(tblDaily[Deaths],tblDaily[EntryDate],DATE(2026,7,17),tblDaily[WardCode],"BG")),"")</f>
        <v/>
      </c>
      <c r="E257" s="29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29" t="str">
        <f>IFERROR(IF(SUMIFS(tblDaily[TransfersIn],tblDaily[EntryDate],DATE(2026,7,17),tblDaily[WardCode],"BG")=0,"",SUMIFS(tblDaily[TransfersIn],tblDaily[EntryDate],DATE(2026,7,17),tblDaily[WardCode],"BG")),"")</f>
        <v/>
      </c>
      <c r="G257" s="29" t="str">
        <f>IFERROR(IF(SUMIFS(tblDaily[TransfersOut],tblDaily[EntryDate],DATE(2026,7,17),tblDaily[WardCode],"BG")=0,"",SUMIFS(tblDaily[TransfersOut],tblDaily[EntryDate],DATE(2026,7,17),tblDaily[WardCode],"BG")),"")</f>
        <v/>
      </c>
      <c r="H257" s="29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IFERROR(IF(SUMIFS(tblDaily[Admissions],tblDaily[EntryDate],DATE(2026,7,18),tblDaily[WardCode],"BG")=0,"",SUMIFS(tblDaily[Admissions],tblDaily[EntryDate],DATE(2026,7,18),tblDaily[WardCode],"BG")),"")</f>
        <v/>
      </c>
      <c r="C258" s="29" t="str">
        <f>IFERROR(IF(SUMIFS(tblDaily[Discharges],tblDaily[EntryDate],DATE(2026,7,18),tblDaily[WardCode],"BG")=0,"",SUMIFS(tblDaily[Discharges],tblDaily[EntryDate],DATE(2026,7,18),tblDaily[WardCode],"BG")),"")</f>
        <v/>
      </c>
      <c r="D258" s="29" t="str">
        <f>IFERROR(IF(SUMIFS(tblDaily[Deaths],tblDaily[EntryDate],DATE(2026,7,18),tblDaily[WardCode],"BG")=0,"",SUMIFS(tblDaily[Deaths],tblDaily[EntryDate],DATE(2026,7,18),tblDaily[WardCode],"BG")),"")</f>
        <v/>
      </c>
      <c r="E258" s="29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29" t="str">
        <f>IFERROR(IF(SUMIFS(tblDaily[TransfersIn],tblDaily[EntryDate],DATE(2026,7,18),tblDaily[WardCode],"BG")=0,"",SUMIFS(tblDaily[TransfersIn],tblDaily[EntryDate],DATE(2026,7,18),tblDaily[WardCode],"BG")),"")</f>
        <v/>
      </c>
      <c r="G258" s="29" t="str">
        <f>IFERROR(IF(SUMIFS(tblDaily[TransfersOut],tblDaily[EntryDate],DATE(2026,7,18),tblDaily[WardCode],"BG")=0,"",SUMIFS(tblDaily[TransfersOut],tblDaily[EntryDate],DATE(2026,7,18),tblDaily[WardCode],"BG")),"")</f>
        <v/>
      </c>
      <c r="H258" s="29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IFERROR(IF(SUMIFS(tblDaily[Admissions],tblDaily[EntryDate],DATE(2026,7,19),tblDaily[WardCode],"BG")=0,"",SUMIFS(tblDaily[Admissions],tblDaily[EntryDate],DATE(2026,7,19),tblDaily[WardCode],"BG")),"")</f>
        <v/>
      </c>
      <c r="C259" s="29" t="str">
        <f>IFERROR(IF(SUMIFS(tblDaily[Discharges],tblDaily[EntryDate],DATE(2026,7,19),tblDaily[WardCode],"BG")=0,"",SUMIFS(tblDaily[Discharges],tblDaily[EntryDate],DATE(2026,7,19),tblDaily[WardCode],"BG")),"")</f>
        <v/>
      </c>
      <c r="D259" s="29" t="str">
        <f>IFERROR(IF(SUMIFS(tblDaily[Deaths],tblDaily[EntryDate],DATE(2026,7,19),tblDaily[WardCode],"BG")=0,"",SUMIFS(tblDaily[Deaths],tblDaily[EntryDate],DATE(2026,7,19),tblDaily[WardCode],"BG")),"")</f>
        <v/>
      </c>
      <c r="E259" s="29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29" t="str">
        <f>IFERROR(IF(SUMIFS(tblDaily[TransfersIn],tblDaily[EntryDate],DATE(2026,7,19),tblDaily[WardCode],"BG")=0,"",SUMIFS(tblDaily[TransfersIn],tblDaily[EntryDate],DATE(2026,7,19),tblDaily[WardCode],"BG")),"")</f>
        <v/>
      </c>
      <c r="G259" s="29" t="str">
        <f>IFERROR(IF(SUMIFS(tblDaily[TransfersOut],tblDaily[EntryDate],DATE(2026,7,19),tblDaily[WardCode],"BG")=0,"",SUMIFS(tblDaily[TransfersOut],tblDaily[EntryDate],DATE(2026,7,19),tblDaily[WardCode],"BG")),"")</f>
        <v/>
      </c>
      <c r="H259" s="29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IFERROR(IF(SUMIFS(tblDaily[Admissions],tblDaily[EntryDate],DATE(2026,7,20),tblDaily[WardCode],"BG")=0,"",SUMIFS(tblDaily[Admissions],tblDaily[EntryDate],DATE(2026,7,20),tblDaily[WardCode],"BG")),"")</f>
        <v/>
      </c>
      <c r="C260" s="29" t="str">
        <f>IFERROR(IF(SUMIFS(tblDaily[Discharges],tblDaily[EntryDate],DATE(2026,7,20),tblDaily[WardCode],"BG")=0,"",SUMIFS(tblDaily[Discharges],tblDaily[EntryDate],DATE(2026,7,20),tblDaily[WardCode],"BG")),"")</f>
        <v/>
      </c>
      <c r="D260" s="29" t="str">
        <f>IFERROR(IF(SUMIFS(tblDaily[Deaths],tblDaily[EntryDate],DATE(2026,7,20),tblDaily[WardCode],"BG")=0,"",SUMIFS(tblDaily[Deaths],tblDaily[EntryDate],DATE(2026,7,20),tblDaily[WardCode],"BG")),"")</f>
        <v/>
      </c>
      <c r="E260" s="29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29" t="str">
        <f>IFERROR(IF(SUMIFS(tblDaily[TransfersIn],tblDaily[EntryDate],DATE(2026,7,20),tblDaily[WardCode],"BG")=0,"",SUMIFS(tblDaily[TransfersIn],tblDaily[EntryDate],DATE(2026,7,20),tblDaily[WardCode],"BG")),"")</f>
        <v/>
      </c>
      <c r="G260" s="29" t="str">
        <f>IFERROR(IF(SUMIFS(tblDaily[TransfersOut],tblDaily[EntryDate],DATE(2026,7,20),tblDaily[WardCode],"BG")=0,"",SUMIFS(tblDaily[TransfersOut],tblDaily[EntryDate],DATE(2026,7,20),tblDaily[WardCode],"BG")),"")</f>
        <v/>
      </c>
      <c r="H260" s="29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IFERROR(IF(SUMIFS(tblDaily[Admissions],tblDaily[EntryDate],DATE(2026,7,21),tblDaily[WardCode],"BG")=0,"",SUMIFS(tblDaily[Admissions],tblDaily[EntryDate],DATE(2026,7,21),tblDaily[WardCode],"BG")),"")</f>
        <v/>
      </c>
      <c r="C261" s="29" t="str">
        <f>IFERROR(IF(SUMIFS(tblDaily[Discharges],tblDaily[EntryDate],DATE(2026,7,21),tblDaily[WardCode],"BG")=0,"",SUMIFS(tblDaily[Discharges],tblDaily[EntryDate],DATE(2026,7,21),tblDaily[WardCode],"BG")),"")</f>
        <v/>
      </c>
      <c r="D261" s="29" t="str">
        <f>IFERROR(IF(SUMIFS(tblDaily[Deaths],tblDaily[EntryDate],DATE(2026,7,21),tblDaily[WardCode],"BG")=0,"",SUMIFS(tblDaily[Deaths],tblDaily[EntryDate],DATE(2026,7,21),tblDaily[WardCode],"BG")),"")</f>
        <v/>
      </c>
      <c r="E261" s="29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29" t="str">
        <f>IFERROR(IF(SUMIFS(tblDaily[TransfersIn],tblDaily[EntryDate],DATE(2026,7,21),tblDaily[WardCode],"BG")=0,"",SUMIFS(tblDaily[TransfersIn],tblDaily[EntryDate],DATE(2026,7,21),tblDaily[WardCode],"BG")),"")</f>
        <v/>
      </c>
      <c r="G261" s="29" t="str">
        <f>IFERROR(IF(SUMIFS(tblDaily[TransfersOut],tblDaily[EntryDate],DATE(2026,7,21),tblDaily[WardCode],"BG")=0,"",SUMIFS(tblDaily[TransfersOut],tblDaily[EntryDate],DATE(2026,7,21),tblDaily[WardCode],"BG")),"")</f>
        <v/>
      </c>
      <c r="H261" s="29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IFERROR(IF(SUMIFS(tblDaily[Admissions],tblDaily[EntryDate],DATE(2026,7,22),tblDaily[WardCode],"BG")=0,"",SUMIFS(tblDaily[Admissions],tblDaily[EntryDate],DATE(2026,7,22),tblDaily[WardCode],"BG")),"")</f>
        <v/>
      </c>
      <c r="C262" s="29" t="str">
        <f>IFERROR(IF(SUMIFS(tblDaily[Discharges],tblDaily[EntryDate],DATE(2026,7,22),tblDaily[WardCode],"BG")=0,"",SUMIFS(tblDaily[Discharges],tblDaily[EntryDate],DATE(2026,7,22),tblDaily[WardCode],"BG")),"")</f>
        <v/>
      </c>
      <c r="D262" s="29" t="str">
        <f>IFERROR(IF(SUMIFS(tblDaily[Deaths],tblDaily[EntryDate],DATE(2026,7,22),tblDaily[WardCode],"BG")=0,"",SUMIFS(tblDaily[Deaths],tblDaily[EntryDate],DATE(2026,7,22),tblDaily[WardCode],"BG")),"")</f>
        <v/>
      </c>
      <c r="E262" s="29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29" t="str">
        <f>IFERROR(IF(SUMIFS(tblDaily[TransfersIn],tblDaily[EntryDate],DATE(2026,7,22),tblDaily[WardCode],"BG")=0,"",SUMIFS(tblDaily[TransfersIn],tblDaily[EntryDate],DATE(2026,7,22),tblDaily[WardCode],"BG")),"")</f>
        <v/>
      </c>
      <c r="G262" s="29" t="str">
        <f>IFERROR(IF(SUMIFS(tblDaily[TransfersOut],tblDaily[EntryDate],DATE(2026,7,22),tblDaily[WardCode],"BG")=0,"",SUMIFS(tblDaily[TransfersOut],tblDaily[EntryDate],DATE(2026,7,22),tblDaily[WardCode],"BG")),"")</f>
        <v/>
      </c>
      <c r="H262" s="29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IFERROR(IF(SUMIFS(tblDaily[Admissions],tblDaily[EntryDate],DATE(2026,7,23),tblDaily[WardCode],"BG")=0,"",SUMIFS(tblDaily[Admissions],tblDaily[EntryDate],DATE(2026,7,23),tblDaily[WardCode],"BG")),"")</f>
        <v/>
      </c>
      <c r="C263" s="29" t="str">
        <f>IFERROR(IF(SUMIFS(tblDaily[Discharges],tblDaily[EntryDate],DATE(2026,7,23),tblDaily[WardCode],"BG")=0,"",SUMIFS(tblDaily[Discharges],tblDaily[EntryDate],DATE(2026,7,23),tblDaily[WardCode],"BG")),"")</f>
        <v/>
      </c>
      <c r="D263" s="29" t="str">
        <f>IFERROR(IF(SUMIFS(tblDaily[Deaths],tblDaily[EntryDate],DATE(2026,7,23),tblDaily[WardCode],"BG")=0,"",SUMIFS(tblDaily[Deaths],tblDaily[EntryDate],DATE(2026,7,23),tblDaily[WardCode],"BG")),"")</f>
        <v/>
      </c>
      <c r="E263" s="29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29" t="str">
        <f>IFERROR(IF(SUMIFS(tblDaily[TransfersIn],tblDaily[EntryDate],DATE(2026,7,23),tblDaily[WardCode],"BG")=0,"",SUMIFS(tblDaily[TransfersIn],tblDaily[EntryDate],DATE(2026,7,23),tblDaily[WardCode],"BG")),"")</f>
        <v/>
      </c>
      <c r="G263" s="29" t="str">
        <f>IFERROR(IF(SUMIFS(tblDaily[TransfersOut],tblDaily[EntryDate],DATE(2026,7,23),tblDaily[WardCode],"BG")=0,"",SUMIFS(tblDaily[TransfersOut],tblDaily[EntryDate],DATE(2026,7,23),tblDaily[WardCode],"BG")),"")</f>
        <v/>
      </c>
      <c r="H263" s="29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IFERROR(IF(SUMIFS(tblDaily[Admissions],tblDaily[EntryDate],DATE(2026,7,24),tblDaily[WardCode],"BG")=0,"",SUMIFS(tblDaily[Admissions],tblDaily[EntryDate],DATE(2026,7,24),tblDaily[WardCode],"BG")),"")</f>
        <v/>
      </c>
      <c r="C264" s="29" t="str">
        <f>IFERROR(IF(SUMIFS(tblDaily[Discharges],tblDaily[EntryDate],DATE(2026,7,24),tblDaily[WardCode],"BG")=0,"",SUMIFS(tblDaily[Discharges],tblDaily[EntryDate],DATE(2026,7,24),tblDaily[WardCode],"BG")),"")</f>
        <v/>
      </c>
      <c r="D264" s="29" t="str">
        <f>IFERROR(IF(SUMIFS(tblDaily[Deaths],tblDaily[EntryDate],DATE(2026,7,24),tblDaily[WardCode],"BG")=0,"",SUMIFS(tblDaily[Deaths],tblDaily[EntryDate],DATE(2026,7,24),tblDaily[WardCode],"BG")),"")</f>
        <v/>
      </c>
      <c r="E264" s="29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29" t="str">
        <f>IFERROR(IF(SUMIFS(tblDaily[TransfersIn],tblDaily[EntryDate],DATE(2026,7,24),tblDaily[WardCode],"BG")=0,"",SUMIFS(tblDaily[TransfersIn],tblDaily[EntryDate],DATE(2026,7,24),tblDaily[WardCode],"BG")),"")</f>
        <v/>
      </c>
      <c r="G264" s="29" t="str">
        <f>IFERROR(IF(SUMIFS(tblDaily[TransfersOut],tblDaily[EntryDate],DATE(2026,7,24),tblDaily[WardCode],"BG")=0,"",SUMIFS(tblDaily[TransfersOut],tblDaily[EntryDate],DATE(2026,7,24),tblDaily[WardCode],"BG")),"")</f>
        <v/>
      </c>
      <c r="H264" s="29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IFERROR(IF(SUMIFS(tblDaily[Admissions],tblDaily[EntryDate],DATE(2026,7,25),tblDaily[WardCode],"BG")=0,"",SUMIFS(tblDaily[Admissions],tblDaily[EntryDate],DATE(2026,7,25),tblDaily[WardCode],"BG")),"")</f>
        <v/>
      </c>
      <c r="C265" s="29" t="str">
        <f>IFERROR(IF(SUMIFS(tblDaily[Discharges],tblDaily[EntryDate],DATE(2026,7,25),tblDaily[WardCode],"BG")=0,"",SUMIFS(tblDaily[Discharges],tblDaily[EntryDate],DATE(2026,7,25),tblDaily[WardCode],"BG")),"")</f>
        <v/>
      </c>
      <c r="D265" s="29" t="str">
        <f>IFERROR(IF(SUMIFS(tblDaily[Deaths],tblDaily[EntryDate],DATE(2026,7,25),tblDaily[WardCode],"BG")=0,"",SUMIFS(tblDaily[Deaths],tblDaily[EntryDate],DATE(2026,7,25),tblDaily[WardCode],"BG")),"")</f>
        <v/>
      </c>
      <c r="E265" s="29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29" t="str">
        <f>IFERROR(IF(SUMIFS(tblDaily[TransfersIn],tblDaily[EntryDate],DATE(2026,7,25),tblDaily[WardCode],"BG")=0,"",SUMIFS(tblDaily[TransfersIn],tblDaily[EntryDate],DATE(2026,7,25),tblDaily[WardCode],"BG")),"")</f>
        <v/>
      </c>
      <c r="G265" s="29" t="str">
        <f>IFERROR(IF(SUMIFS(tblDaily[TransfersOut],tblDaily[EntryDate],DATE(2026,7,25),tblDaily[WardCode],"BG")=0,"",SUMIFS(tblDaily[TransfersOut],tblDaily[EntryDate],DATE(2026,7,25),tblDaily[WardCode],"BG")),"")</f>
        <v/>
      </c>
      <c r="H265" s="29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IFERROR(IF(SUMIFS(tblDaily[Admissions],tblDaily[EntryDate],DATE(2026,7,26),tblDaily[WardCode],"BG")=0,"",SUMIFS(tblDaily[Admissions],tblDaily[EntryDate],DATE(2026,7,26),tblDaily[WardCode],"BG")),"")</f>
        <v/>
      </c>
      <c r="C266" s="29" t="str">
        <f>IFERROR(IF(SUMIFS(tblDaily[Discharges],tblDaily[EntryDate],DATE(2026,7,26),tblDaily[WardCode],"BG")=0,"",SUMIFS(tblDaily[Discharges],tblDaily[EntryDate],DATE(2026,7,26),tblDaily[WardCode],"BG")),"")</f>
        <v/>
      </c>
      <c r="D266" s="29" t="str">
        <f>IFERROR(IF(SUMIFS(tblDaily[Deaths],tblDaily[EntryDate],DATE(2026,7,26),tblDaily[WardCode],"BG")=0,"",SUMIFS(tblDaily[Deaths],tblDaily[EntryDate],DATE(2026,7,26),tblDaily[WardCode],"BG")),"")</f>
        <v/>
      </c>
      <c r="E266" s="29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29" t="str">
        <f>IFERROR(IF(SUMIFS(tblDaily[TransfersIn],tblDaily[EntryDate],DATE(2026,7,26),tblDaily[WardCode],"BG")=0,"",SUMIFS(tblDaily[TransfersIn],tblDaily[EntryDate],DATE(2026,7,26),tblDaily[WardCode],"BG")),"")</f>
        <v/>
      </c>
      <c r="G266" s="29" t="str">
        <f>IFERROR(IF(SUMIFS(tblDaily[TransfersOut],tblDaily[EntryDate],DATE(2026,7,26),tblDaily[WardCode],"BG")=0,"",SUMIFS(tblDaily[TransfersOut],tblDaily[EntryDate],DATE(2026,7,26),tblDaily[WardCode],"BG")),"")</f>
        <v/>
      </c>
      <c r="H266" s="29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IFERROR(IF(SUMIFS(tblDaily[Admissions],tblDaily[EntryDate],DATE(2026,7,27),tblDaily[WardCode],"BG")=0,"",SUMIFS(tblDaily[Admissions],tblDaily[EntryDate],DATE(2026,7,27),tblDaily[WardCode],"BG")),"")</f>
        <v/>
      </c>
      <c r="C267" s="29" t="str">
        <f>IFERROR(IF(SUMIFS(tblDaily[Discharges],tblDaily[EntryDate],DATE(2026,7,27),tblDaily[WardCode],"BG")=0,"",SUMIFS(tblDaily[Discharges],tblDaily[EntryDate],DATE(2026,7,27),tblDaily[WardCode],"BG")),"")</f>
        <v/>
      </c>
      <c r="D267" s="29" t="str">
        <f>IFERROR(IF(SUMIFS(tblDaily[Deaths],tblDaily[EntryDate],DATE(2026,7,27),tblDaily[WardCode],"BG")=0,"",SUMIFS(tblDaily[Deaths],tblDaily[EntryDate],DATE(2026,7,27),tblDaily[WardCode],"BG")),"")</f>
        <v/>
      </c>
      <c r="E267" s="29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29" t="str">
        <f>IFERROR(IF(SUMIFS(tblDaily[TransfersIn],tblDaily[EntryDate],DATE(2026,7,27),tblDaily[WardCode],"BG")=0,"",SUMIFS(tblDaily[TransfersIn],tblDaily[EntryDate],DATE(2026,7,27),tblDaily[WardCode],"BG")),"")</f>
        <v/>
      </c>
      <c r="G267" s="29" t="str">
        <f>IFERROR(IF(SUMIFS(tblDaily[TransfersOut],tblDaily[EntryDate],DATE(2026,7,27),tblDaily[WardCode],"BG")=0,"",SUMIFS(tblDaily[TransfersOut],tblDaily[EntryDate],DATE(2026,7,27),tblDaily[WardCode],"BG")),"")</f>
        <v/>
      </c>
      <c r="H267" s="29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IFERROR(IF(SUMIFS(tblDaily[Admissions],tblDaily[EntryDate],DATE(2026,7,28),tblDaily[WardCode],"BG")=0,"",SUMIFS(tblDaily[Admissions],tblDaily[EntryDate],DATE(2026,7,28),tblDaily[WardCode],"BG")),"")</f>
        <v/>
      </c>
      <c r="C268" s="29" t="str">
        <f>IFERROR(IF(SUMIFS(tblDaily[Discharges],tblDaily[EntryDate],DATE(2026,7,28),tblDaily[WardCode],"BG")=0,"",SUMIFS(tblDaily[Discharges],tblDaily[EntryDate],DATE(2026,7,28),tblDaily[WardCode],"BG")),"")</f>
        <v/>
      </c>
      <c r="D268" s="29" t="str">
        <f>IFERROR(IF(SUMIFS(tblDaily[Deaths],tblDaily[EntryDate],DATE(2026,7,28),tblDaily[WardCode],"BG")=0,"",SUMIFS(tblDaily[Deaths],tblDaily[EntryDate],DATE(2026,7,28),tblDaily[WardCode],"BG")),"")</f>
        <v/>
      </c>
      <c r="E268" s="29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29" t="str">
        <f>IFERROR(IF(SUMIFS(tblDaily[TransfersIn],tblDaily[EntryDate],DATE(2026,7,28),tblDaily[WardCode],"BG")=0,"",SUMIFS(tblDaily[TransfersIn],tblDaily[EntryDate],DATE(2026,7,28),tblDaily[WardCode],"BG")),"")</f>
        <v/>
      </c>
      <c r="G268" s="29" t="str">
        <f>IFERROR(IF(SUMIFS(tblDaily[TransfersOut],tblDaily[EntryDate],DATE(2026,7,28),tblDaily[WardCode],"BG")=0,"",SUMIFS(tblDaily[TransfersOut],tblDaily[EntryDate],DATE(2026,7,28),tblDaily[WardCode],"BG")),"")</f>
        <v/>
      </c>
      <c r="H268" s="29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IFERROR(IF(SUMIFS(tblDaily[Admissions],tblDaily[EntryDate],DATE(2026,7,29),tblDaily[WardCode],"BG")=0,"",SUMIFS(tblDaily[Admissions],tblDaily[EntryDate],DATE(2026,7,29),tblDaily[WardCode],"BG")),"")</f>
        <v/>
      </c>
      <c r="C269" s="29" t="str">
        <f>IFERROR(IF(SUMIFS(tblDaily[Discharges],tblDaily[EntryDate],DATE(2026,7,29),tblDaily[WardCode],"BG")=0,"",SUMIFS(tblDaily[Discharges],tblDaily[EntryDate],DATE(2026,7,29),tblDaily[WardCode],"BG")),"")</f>
        <v/>
      </c>
      <c r="D269" s="29" t="str">
        <f>IFERROR(IF(SUMIFS(tblDaily[Deaths],tblDaily[EntryDate],DATE(2026,7,29),tblDaily[WardCode],"BG")=0,"",SUMIFS(tblDaily[Deaths],tblDaily[EntryDate],DATE(2026,7,29),tblDaily[WardCode],"BG")),"")</f>
        <v/>
      </c>
      <c r="E269" s="29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29" t="str">
        <f>IFERROR(IF(SUMIFS(tblDaily[TransfersIn],tblDaily[EntryDate],DATE(2026,7,29),tblDaily[WardCode],"BG")=0,"",SUMIFS(tblDaily[TransfersIn],tblDaily[EntryDate],DATE(2026,7,29),tblDaily[WardCode],"BG")),"")</f>
        <v/>
      </c>
      <c r="G269" s="29" t="str">
        <f>IFERROR(IF(SUMIFS(tblDaily[TransfersOut],tblDaily[EntryDate],DATE(2026,7,29),tblDaily[WardCode],"BG")=0,"",SUMIFS(tblDaily[TransfersOut],tblDaily[EntryDate],DATE(2026,7,29),tblDaily[WardCode],"BG")),"")</f>
        <v/>
      </c>
      <c r="H269" s="29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IFERROR(IF(SUMIFS(tblDaily[Admissions],tblDaily[EntryDate],DATE(2026,7,30),tblDaily[WardCode],"BG")=0,"",SUMIFS(tblDaily[Admissions],tblDaily[EntryDate],DATE(2026,7,30),tblDaily[WardCode],"BG")),"")</f>
        <v/>
      </c>
      <c r="C270" s="29" t="str">
        <f>IFERROR(IF(SUMIFS(tblDaily[Discharges],tblDaily[EntryDate],DATE(2026,7,30),tblDaily[WardCode],"BG")=0,"",SUMIFS(tblDaily[Discharges],tblDaily[EntryDate],DATE(2026,7,30),tblDaily[WardCode],"BG")),"")</f>
        <v/>
      </c>
      <c r="D270" s="29" t="str">
        <f>IFERROR(IF(SUMIFS(tblDaily[Deaths],tblDaily[EntryDate],DATE(2026,7,30),tblDaily[WardCode],"BG")=0,"",SUMIFS(tblDaily[Deaths],tblDaily[EntryDate],DATE(2026,7,30),tblDaily[WardCode],"BG")),"")</f>
        <v/>
      </c>
      <c r="E270" s="29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29" t="str">
        <f>IFERROR(IF(SUMIFS(tblDaily[TransfersIn],tblDaily[EntryDate],DATE(2026,7,30),tblDaily[WardCode],"BG")=0,"",SUMIFS(tblDaily[TransfersIn],tblDaily[EntryDate],DATE(2026,7,30),tblDaily[WardCode],"BG")),"")</f>
        <v/>
      </c>
      <c r="G270" s="29" t="str">
        <f>IFERROR(IF(SUMIFS(tblDaily[TransfersOut],tblDaily[EntryDate],DATE(2026,7,30),tblDaily[WardCode],"BG")=0,"",SUMIFS(tblDaily[TransfersOut],tblDaily[EntryDate],DATE(2026,7,30),tblDaily[WardCode],"BG")),"")</f>
        <v/>
      </c>
      <c r="H270" s="29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IFERROR(IF(SUMIFS(tblDaily[Admissions],tblDaily[EntryDate],DATE(2026,7,31),tblDaily[WardCode],"BG")=0,"",SUMIFS(tblDaily[Admissions],tblDaily[EntryDate],DATE(2026,7,31),tblDaily[WardCode],"BG")),"")</f>
        <v/>
      </c>
      <c r="C271" s="29" t="str">
        <f>IFERROR(IF(SUMIFS(tblDaily[Discharges],tblDaily[EntryDate],DATE(2026,7,31),tblDaily[WardCode],"BG")=0,"",SUMIFS(tblDaily[Discharges],tblDaily[EntryDate],DATE(2026,7,31),tblDaily[WardCode],"BG")),"")</f>
        <v/>
      </c>
      <c r="D271" s="29" t="str">
        <f>IFERROR(IF(SUMIFS(tblDaily[Deaths],tblDaily[EntryDate],DATE(2026,7,31),tblDaily[WardCode],"BG")=0,"",SUMIFS(tblDaily[Deaths],tblDaily[EntryDate],DATE(2026,7,31),tblDaily[WardCode],"BG")),"")</f>
        <v/>
      </c>
      <c r="E271" s="29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29" t="str">
        <f>IFERROR(IF(SUMIFS(tblDaily[TransfersIn],tblDaily[EntryDate],DATE(2026,7,31),tblDaily[WardCode],"BG")=0,"",SUMIFS(tblDaily[TransfersIn],tblDaily[EntryDate],DATE(2026,7,31),tblDaily[WardCode],"BG")),"")</f>
        <v/>
      </c>
      <c r="G271" s="29" t="str">
        <f>IFERROR(IF(SUMIFS(tblDaily[TransfersOut],tblDaily[EntryDate],DATE(2026,7,31),tblDaily[WardCode],"BG")=0,"",SUMIFS(tblDaily[TransfersOut],tblDaily[EntryDate],DATE(2026,7,31),tblDaily[WardCode],"BG")),"")</f>
        <v/>
      </c>
      <c r="H271" s="29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30" t="s">
        <v>115</v>
      </c>
      <c r="B272" s="30">
        <f>SUMIFS(tblDaily[Admissions],tblDaily[Month],7,tblDaily[WardCode],"BG") - SUMIFS(tblDaily[DeathsUnder24Hrs],tblDaily[Month],7,tblDaily[WardCode],"BG")</f>
        <v>0</v>
      </c>
      <c r="C272" s="30">
        <f>SUMIFS(tblDaily[Discharges],tblDaily[Month],7,tblDaily[WardCode],"BG")</f>
        <v>0</v>
      </c>
      <c r="D272" s="30">
        <f>SUMIFS(tblDaily[Deaths],tblDaily[Month],7,tblDaily[WardCode],"BG")</f>
        <v>0</v>
      </c>
      <c r="E272" s="30">
        <f>SUMIFS(tblDaily[DeathsUnder24Hrs],tblDaily[Month],7,tblDaily[WardCode],"BG")</f>
        <v>0</v>
      </c>
      <c r="F272" s="30">
        <f>SUMIFS(tblDaily[TransfersIn],tblDaily[Month],7,tblDaily[WardCode],"BG")</f>
        <v>0</v>
      </c>
      <c r="G272" s="30">
        <f>SUMIFS(tblDaily[TransfersOut],tblDaily[Month],7,tblDaily[WardCode],"BG")</f>
        <v>0</v>
      </c>
      <c r="H272" s="30">
        <f>SUMIFS(tblDaily[Remaining],tblDaily[Month],7,tblDaily[WardCode],"BG")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119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IFERROR(SUMIFS(tblDaily[Remaining],tblDaily[EntryDate],DATE(2026,7,31),tblDaily[WardCode],"BG"),0)</f>
        <v>0</v>
      </c>
    </row>
    <row r="278" spans="1:8" x14ac:dyDescent="0.25">
      <c r="A278" s="24" t="s">
        <v>109</v>
      </c>
      <c r="H278" s="27">
        <f>IFERROR(INDEX(tblWardConfig[BedComplement],MATCH("BG",tblWardConfig[WardCode],0)),0)</f>
        <v>14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IFERROR(IF(SUMIFS(tblDaily[Admissions],tblDaily[EntryDate],DATE(2026,8,1),tblDaily[WardCode],"BG")=0,"",SUMIFS(tblDaily[Admissions],tblDaily[EntryDate],DATE(2026,8,1),tblDaily[WardCode],"BG")),"")</f>
        <v/>
      </c>
      <c r="C280" s="29" t="str">
        <f>IFERROR(IF(SUMIFS(tblDaily[Discharges],tblDaily[EntryDate],DATE(2026,8,1),tblDaily[WardCode],"BG")=0,"",SUMIFS(tblDaily[Discharges],tblDaily[EntryDate],DATE(2026,8,1),tblDaily[WardCode],"BG")),"")</f>
        <v/>
      </c>
      <c r="D280" s="29" t="str">
        <f>IFERROR(IF(SUMIFS(tblDaily[Deaths],tblDaily[EntryDate],DATE(2026,8,1),tblDaily[WardCode],"BG")=0,"",SUMIFS(tblDaily[Deaths],tblDaily[EntryDate],DATE(2026,8,1),tblDaily[WardCode],"BG")),"")</f>
        <v/>
      </c>
      <c r="E280" s="29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29" t="str">
        <f>IFERROR(IF(SUMIFS(tblDaily[TransfersIn],tblDaily[EntryDate],DATE(2026,8,1),tblDaily[WardCode],"BG")=0,"",SUMIFS(tblDaily[TransfersIn],tblDaily[EntryDate],DATE(2026,8,1),tblDaily[WardCode],"BG")),"")</f>
        <v/>
      </c>
      <c r="G280" s="29" t="str">
        <f>IFERROR(IF(SUMIFS(tblDaily[TransfersOut],tblDaily[EntryDate],DATE(2026,8,1),tblDaily[WardCode],"BG")=0,"",SUMIFS(tblDaily[TransfersOut],tblDaily[EntryDate],DATE(2026,8,1),tblDaily[WardCode],"BG")),"")</f>
        <v/>
      </c>
      <c r="H280" s="29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IFERROR(IF(SUMIFS(tblDaily[Admissions],tblDaily[EntryDate],DATE(2026,8,2),tblDaily[WardCode],"BG")=0,"",SUMIFS(tblDaily[Admissions],tblDaily[EntryDate],DATE(2026,8,2),tblDaily[WardCode],"BG")),"")</f>
        <v/>
      </c>
      <c r="C281" s="29" t="str">
        <f>IFERROR(IF(SUMIFS(tblDaily[Discharges],tblDaily[EntryDate],DATE(2026,8,2),tblDaily[WardCode],"BG")=0,"",SUMIFS(tblDaily[Discharges],tblDaily[EntryDate],DATE(2026,8,2),tblDaily[WardCode],"BG")),"")</f>
        <v/>
      </c>
      <c r="D281" s="29" t="str">
        <f>IFERROR(IF(SUMIFS(tblDaily[Deaths],tblDaily[EntryDate],DATE(2026,8,2),tblDaily[WardCode],"BG")=0,"",SUMIFS(tblDaily[Deaths],tblDaily[EntryDate],DATE(2026,8,2),tblDaily[WardCode],"BG")),"")</f>
        <v/>
      </c>
      <c r="E281" s="29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29" t="str">
        <f>IFERROR(IF(SUMIFS(tblDaily[TransfersIn],tblDaily[EntryDate],DATE(2026,8,2),tblDaily[WardCode],"BG")=0,"",SUMIFS(tblDaily[TransfersIn],tblDaily[EntryDate],DATE(2026,8,2),tblDaily[WardCode],"BG")),"")</f>
        <v/>
      </c>
      <c r="G281" s="29" t="str">
        <f>IFERROR(IF(SUMIFS(tblDaily[TransfersOut],tblDaily[EntryDate],DATE(2026,8,2),tblDaily[WardCode],"BG")=0,"",SUMIFS(tblDaily[TransfersOut],tblDaily[EntryDate],DATE(2026,8,2),tblDaily[WardCode],"BG")),"")</f>
        <v/>
      </c>
      <c r="H281" s="29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IFERROR(IF(SUMIFS(tblDaily[Admissions],tblDaily[EntryDate],DATE(2026,8,3),tblDaily[WardCode],"BG")=0,"",SUMIFS(tblDaily[Admissions],tblDaily[EntryDate],DATE(2026,8,3),tblDaily[WardCode],"BG")),"")</f>
        <v/>
      </c>
      <c r="C282" s="29" t="str">
        <f>IFERROR(IF(SUMIFS(tblDaily[Discharges],tblDaily[EntryDate],DATE(2026,8,3),tblDaily[WardCode],"BG")=0,"",SUMIFS(tblDaily[Discharges],tblDaily[EntryDate],DATE(2026,8,3),tblDaily[WardCode],"BG")),"")</f>
        <v/>
      </c>
      <c r="D282" s="29" t="str">
        <f>IFERROR(IF(SUMIFS(tblDaily[Deaths],tblDaily[EntryDate],DATE(2026,8,3),tblDaily[WardCode],"BG")=0,"",SUMIFS(tblDaily[Deaths],tblDaily[EntryDate],DATE(2026,8,3),tblDaily[WardCode],"BG")),"")</f>
        <v/>
      </c>
      <c r="E282" s="29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29" t="str">
        <f>IFERROR(IF(SUMIFS(tblDaily[TransfersIn],tblDaily[EntryDate],DATE(2026,8,3),tblDaily[WardCode],"BG")=0,"",SUMIFS(tblDaily[TransfersIn],tblDaily[EntryDate],DATE(2026,8,3),tblDaily[WardCode],"BG")),"")</f>
        <v/>
      </c>
      <c r="G282" s="29" t="str">
        <f>IFERROR(IF(SUMIFS(tblDaily[TransfersOut],tblDaily[EntryDate],DATE(2026,8,3),tblDaily[WardCode],"BG")=0,"",SUMIFS(tblDaily[TransfersOut],tblDaily[EntryDate],DATE(2026,8,3),tblDaily[WardCode],"BG")),"")</f>
        <v/>
      </c>
      <c r="H282" s="29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IFERROR(IF(SUMIFS(tblDaily[Admissions],tblDaily[EntryDate],DATE(2026,8,4),tblDaily[WardCode],"BG")=0,"",SUMIFS(tblDaily[Admissions],tblDaily[EntryDate],DATE(2026,8,4),tblDaily[WardCode],"BG")),"")</f>
        <v/>
      </c>
      <c r="C283" s="29" t="str">
        <f>IFERROR(IF(SUMIFS(tblDaily[Discharges],tblDaily[EntryDate],DATE(2026,8,4),tblDaily[WardCode],"BG")=0,"",SUMIFS(tblDaily[Discharges],tblDaily[EntryDate],DATE(2026,8,4),tblDaily[WardCode],"BG")),"")</f>
        <v/>
      </c>
      <c r="D283" s="29" t="str">
        <f>IFERROR(IF(SUMIFS(tblDaily[Deaths],tblDaily[EntryDate],DATE(2026,8,4),tblDaily[WardCode],"BG")=0,"",SUMIFS(tblDaily[Deaths],tblDaily[EntryDate],DATE(2026,8,4),tblDaily[WardCode],"BG")),"")</f>
        <v/>
      </c>
      <c r="E283" s="29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29" t="str">
        <f>IFERROR(IF(SUMIFS(tblDaily[TransfersIn],tblDaily[EntryDate],DATE(2026,8,4),tblDaily[WardCode],"BG")=0,"",SUMIFS(tblDaily[TransfersIn],tblDaily[EntryDate],DATE(2026,8,4),tblDaily[WardCode],"BG")),"")</f>
        <v/>
      </c>
      <c r="G283" s="29" t="str">
        <f>IFERROR(IF(SUMIFS(tblDaily[TransfersOut],tblDaily[EntryDate],DATE(2026,8,4),tblDaily[WardCode],"BG")=0,"",SUMIFS(tblDaily[TransfersOut],tblDaily[EntryDate],DATE(2026,8,4),tblDaily[WardCode],"BG")),"")</f>
        <v/>
      </c>
      <c r="H283" s="29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IFERROR(IF(SUMIFS(tblDaily[Admissions],tblDaily[EntryDate],DATE(2026,8,5),tblDaily[WardCode],"BG")=0,"",SUMIFS(tblDaily[Admissions],tblDaily[EntryDate],DATE(2026,8,5),tblDaily[WardCode],"BG")),"")</f>
        <v/>
      </c>
      <c r="C284" s="29" t="str">
        <f>IFERROR(IF(SUMIFS(tblDaily[Discharges],tblDaily[EntryDate],DATE(2026,8,5),tblDaily[WardCode],"BG")=0,"",SUMIFS(tblDaily[Discharges],tblDaily[EntryDate],DATE(2026,8,5),tblDaily[WardCode],"BG")),"")</f>
        <v/>
      </c>
      <c r="D284" s="29" t="str">
        <f>IFERROR(IF(SUMIFS(tblDaily[Deaths],tblDaily[EntryDate],DATE(2026,8,5),tblDaily[WardCode],"BG")=0,"",SUMIFS(tblDaily[Deaths],tblDaily[EntryDate],DATE(2026,8,5),tblDaily[WardCode],"BG")),"")</f>
        <v/>
      </c>
      <c r="E284" s="29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29" t="str">
        <f>IFERROR(IF(SUMIFS(tblDaily[TransfersIn],tblDaily[EntryDate],DATE(2026,8,5),tblDaily[WardCode],"BG")=0,"",SUMIFS(tblDaily[TransfersIn],tblDaily[EntryDate],DATE(2026,8,5),tblDaily[WardCode],"BG")),"")</f>
        <v/>
      </c>
      <c r="G284" s="29" t="str">
        <f>IFERROR(IF(SUMIFS(tblDaily[TransfersOut],tblDaily[EntryDate],DATE(2026,8,5),tblDaily[WardCode],"BG")=0,"",SUMIFS(tblDaily[TransfersOut],tblDaily[EntryDate],DATE(2026,8,5),tblDaily[WardCode],"BG")),"")</f>
        <v/>
      </c>
      <c r="H284" s="29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IFERROR(IF(SUMIFS(tblDaily[Admissions],tblDaily[EntryDate],DATE(2026,8,6),tblDaily[WardCode],"BG")=0,"",SUMIFS(tblDaily[Admissions],tblDaily[EntryDate],DATE(2026,8,6),tblDaily[WardCode],"BG")),"")</f>
        <v/>
      </c>
      <c r="C285" s="29" t="str">
        <f>IFERROR(IF(SUMIFS(tblDaily[Discharges],tblDaily[EntryDate],DATE(2026,8,6),tblDaily[WardCode],"BG")=0,"",SUMIFS(tblDaily[Discharges],tblDaily[EntryDate],DATE(2026,8,6),tblDaily[WardCode],"BG")),"")</f>
        <v/>
      </c>
      <c r="D285" s="29" t="str">
        <f>IFERROR(IF(SUMIFS(tblDaily[Deaths],tblDaily[EntryDate],DATE(2026,8,6),tblDaily[WardCode],"BG")=0,"",SUMIFS(tblDaily[Deaths],tblDaily[EntryDate],DATE(2026,8,6),tblDaily[WardCode],"BG")),"")</f>
        <v/>
      </c>
      <c r="E285" s="29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29" t="str">
        <f>IFERROR(IF(SUMIFS(tblDaily[TransfersIn],tblDaily[EntryDate],DATE(2026,8,6),tblDaily[WardCode],"BG")=0,"",SUMIFS(tblDaily[TransfersIn],tblDaily[EntryDate],DATE(2026,8,6),tblDaily[WardCode],"BG")),"")</f>
        <v/>
      </c>
      <c r="G285" s="29" t="str">
        <f>IFERROR(IF(SUMIFS(tblDaily[TransfersOut],tblDaily[EntryDate],DATE(2026,8,6),tblDaily[WardCode],"BG")=0,"",SUMIFS(tblDaily[TransfersOut],tblDaily[EntryDate],DATE(2026,8,6),tblDaily[WardCode],"BG")),"")</f>
        <v/>
      </c>
      <c r="H285" s="29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IFERROR(IF(SUMIFS(tblDaily[Admissions],tblDaily[EntryDate],DATE(2026,8,7),tblDaily[WardCode],"BG")=0,"",SUMIFS(tblDaily[Admissions],tblDaily[EntryDate],DATE(2026,8,7),tblDaily[WardCode],"BG")),"")</f>
        <v/>
      </c>
      <c r="C286" s="29" t="str">
        <f>IFERROR(IF(SUMIFS(tblDaily[Discharges],tblDaily[EntryDate],DATE(2026,8,7),tblDaily[WardCode],"BG")=0,"",SUMIFS(tblDaily[Discharges],tblDaily[EntryDate],DATE(2026,8,7),tblDaily[WardCode],"BG")),"")</f>
        <v/>
      </c>
      <c r="D286" s="29" t="str">
        <f>IFERROR(IF(SUMIFS(tblDaily[Deaths],tblDaily[EntryDate],DATE(2026,8,7),tblDaily[WardCode],"BG")=0,"",SUMIFS(tblDaily[Deaths],tblDaily[EntryDate],DATE(2026,8,7),tblDaily[WardCode],"BG")),"")</f>
        <v/>
      </c>
      <c r="E286" s="29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29" t="str">
        <f>IFERROR(IF(SUMIFS(tblDaily[TransfersIn],tblDaily[EntryDate],DATE(2026,8,7),tblDaily[WardCode],"BG")=0,"",SUMIFS(tblDaily[TransfersIn],tblDaily[EntryDate],DATE(2026,8,7),tblDaily[WardCode],"BG")),"")</f>
        <v/>
      </c>
      <c r="G286" s="29" t="str">
        <f>IFERROR(IF(SUMIFS(tblDaily[TransfersOut],tblDaily[EntryDate],DATE(2026,8,7),tblDaily[WardCode],"BG")=0,"",SUMIFS(tblDaily[TransfersOut],tblDaily[EntryDate],DATE(2026,8,7),tblDaily[WardCode],"BG")),"")</f>
        <v/>
      </c>
      <c r="H286" s="29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IFERROR(IF(SUMIFS(tblDaily[Admissions],tblDaily[EntryDate],DATE(2026,8,8),tblDaily[WardCode],"BG")=0,"",SUMIFS(tblDaily[Admissions],tblDaily[EntryDate],DATE(2026,8,8),tblDaily[WardCode],"BG")),"")</f>
        <v/>
      </c>
      <c r="C287" s="29" t="str">
        <f>IFERROR(IF(SUMIFS(tblDaily[Discharges],tblDaily[EntryDate],DATE(2026,8,8),tblDaily[WardCode],"BG")=0,"",SUMIFS(tblDaily[Discharges],tblDaily[EntryDate],DATE(2026,8,8),tblDaily[WardCode],"BG")),"")</f>
        <v/>
      </c>
      <c r="D287" s="29" t="str">
        <f>IFERROR(IF(SUMIFS(tblDaily[Deaths],tblDaily[EntryDate],DATE(2026,8,8),tblDaily[WardCode],"BG")=0,"",SUMIFS(tblDaily[Deaths],tblDaily[EntryDate],DATE(2026,8,8),tblDaily[WardCode],"BG")),"")</f>
        <v/>
      </c>
      <c r="E287" s="29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29" t="str">
        <f>IFERROR(IF(SUMIFS(tblDaily[TransfersIn],tblDaily[EntryDate],DATE(2026,8,8),tblDaily[WardCode],"BG")=0,"",SUMIFS(tblDaily[TransfersIn],tblDaily[EntryDate],DATE(2026,8,8),tblDaily[WardCode],"BG")),"")</f>
        <v/>
      </c>
      <c r="G287" s="29" t="str">
        <f>IFERROR(IF(SUMIFS(tblDaily[TransfersOut],tblDaily[EntryDate],DATE(2026,8,8),tblDaily[WardCode],"BG")=0,"",SUMIFS(tblDaily[TransfersOut],tblDaily[EntryDate],DATE(2026,8,8),tblDaily[WardCode],"BG")),"")</f>
        <v/>
      </c>
      <c r="H287" s="29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IFERROR(IF(SUMIFS(tblDaily[Admissions],tblDaily[EntryDate],DATE(2026,8,9),tblDaily[WardCode],"BG")=0,"",SUMIFS(tblDaily[Admissions],tblDaily[EntryDate],DATE(2026,8,9),tblDaily[WardCode],"BG")),"")</f>
        <v/>
      </c>
      <c r="C288" s="29" t="str">
        <f>IFERROR(IF(SUMIFS(tblDaily[Discharges],tblDaily[EntryDate],DATE(2026,8,9),tblDaily[WardCode],"BG")=0,"",SUMIFS(tblDaily[Discharges],tblDaily[EntryDate],DATE(2026,8,9),tblDaily[WardCode],"BG")),"")</f>
        <v/>
      </c>
      <c r="D288" s="29" t="str">
        <f>IFERROR(IF(SUMIFS(tblDaily[Deaths],tblDaily[EntryDate],DATE(2026,8,9),tblDaily[WardCode],"BG")=0,"",SUMIFS(tblDaily[Deaths],tblDaily[EntryDate],DATE(2026,8,9),tblDaily[WardCode],"BG")),"")</f>
        <v/>
      </c>
      <c r="E288" s="29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29" t="str">
        <f>IFERROR(IF(SUMIFS(tblDaily[TransfersIn],tblDaily[EntryDate],DATE(2026,8,9),tblDaily[WardCode],"BG")=0,"",SUMIFS(tblDaily[TransfersIn],tblDaily[EntryDate],DATE(2026,8,9),tblDaily[WardCode],"BG")),"")</f>
        <v/>
      </c>
      <c r="G288" s="29" t="str">
        <f>IFERROR(IF(SUMIFS(tblDaily[TransfersOut],tblDaily[EntryDate],DATE(2026,8,9),tblDaily[WardCode],"BG")=0,"",SUMIFS(tblDaily[TransfersOut],tblDaily[EntryDate],DATE(2026,8,9),tblDaily[WardCode],"BG")),"")</f>
        <v/>
      </c>
      <c r="H288" s="29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IFERROR(IF(SUMIFS(tblDaily[Admissions],tblDaily[EntryDate],DATE(2026,8,10),tblDaily[WardCode],"BG")=0,"",SUMIFS(tblDaily[Admissions],tblDaily[EntryDate],DATE(2026,8,10),tblDaily[WardCode],"BG")),"")</f>
        <v/>
      </c>
      <c r="C289" s="29" t="str">
        <f>IFERROR(IF(SUMIFS(tblDaily[Discharges],tblDaily[EntryDate],DATE(2026,8,10),tblDaily[WardCode],"BG")=0,"",SUMIFS(tblDaily[Discharges],tblDaily[EntryDate],DATE(2026,8,10),tblDaily[WardCode],"BG")),"")</f>
        <v/>
      </c>
      <c r="D289" s="29" t="str">
        <f>IFERROR(IF(SUMIFS(tblDaily[Deaths],tblDaily[EntryDate],DATE(2026,8,10),tblDaily[WardCode],"BG")=0,"",SUMIFS(tblDaily[Deaths],tblDaily[EntryDate],DATE(2026,8,10),tblDaily[WardCode],"BG")),"")</f>
        <v/>
      </c>
      <c r="E289" s="29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29" t="str">
        <f>IFERROR(IF(SUMIFS(tblDaily[TransfersIn],tblDaily[EntryDate],DATE(2026,8,10),tblDaily[WardCode],"BG")=0,"",SUMIFS(tblDaily[TransfersIn],tblDaily[EntryDate],DATE(2026,8,10),tblDaily[WardCode],"BG")),"")</f>
        <v/>
      </c>
      <c r="G289" s="29" t="str">
        <f>IFERROR(IF(SUMIFS(tblDaily[TransfersOut],tblDaily[EntryDate],DATE(2026,8,10),tblDaily[WardCode],"BG")=0,"",SUMIFS(tblDaily[TransfersOut],tblDaily[EntryDate],DATE(2026,8,10),tblDaily[WardCode],"BG")),"")</f>
        <v/>
      </c>
      <c r="H289" s="29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IFERROR(IF(SUMIFS(tblDaily[Admissions],tblDaily[EntryDate],DATE(2026,8,11),tblDaily[WardCode],"BG")=0,"",SUMIFS(tblDaily[Admissions],tblDaily[EntryDate],DATE(2026,8,11),tblDaily[WardCode],"BG")),"")</f>
        <v/>
      </c>
      <c r="C290" s="29" t="str">
        <f>IFERROR(IF(SUMIFS(tblDaily[Discharges],tblDaily[EntryDate],DATE(2026,8,11),tblDaily[WardCode],"BG")=0,"",SUMIFS(tblDaily[Discharges],tblDaily[EntryDate],DATE(2026,8,11),tblDaily[WardCode],"BG")),"")</f>
        <v/>
      </c>
      <c r="D290" s="29" t="str">
        <f>IFERROR(IF(SUMIFS(tblDaily[Deaths],tblDaily[EntryDate],DATE(2026,8,11),tblDaily[WardCode],"BG")=0,"",SUMIFS(tblDaily[Deaths],tblDaily[EntryDate],DATE(2026,8,11),tblDaily[WardCode],"BG")),"")</f>
        <v/>
      </c>
      <c r="E290" s="29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29" t="str">
        <f>IFERROR(IF(SUMIFS(tblDaily[TransfersIn],tblDaily[EntryDate],DATE(2026,8,11),tblDaily[WardCode],"BG")=0,"",SUMIFS(tblDaily[TransfersIn],tblDaily[EntryDate],DATE(2026,8,11),tblDaily[WardCode],"BG")),"")</f>
        <v/>
      </c>
      <c r="G290" s="29" t="str">
        <f>IFERROR(IF(SUMIFS(tblDaily[TransfersOut],tblDaily[EntryDate],DATE(2026,8,11),tblDaily[WardCode],"BG")=0,"",SUMIFS(tblDaily[TransfersOut],tblDaily[EntryDate],DATE(2026,8,11),tblDaily[WardCode],"BG")),"")</f>
        <v/>
      </c>
      <c r="H290" s="29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IFERROR(IF(SUMIFS(tblDaily[Admissions],tblDaily[EntryDate],DATE(2026,8,12),tblDaily[WardCode],"BG")=0,"",SUMIFS(tblDaily[Admissions],tblDaily[EntryDate],DATE(2026,8,12),tblDaily[WardCode],"BG")),"")</f>
        <v/>
      </c>
      <c r="C291" s="29" t="str">
        <f>IFERROR(IF(SUMIFS(tblDaily[Discharges],tblDaily[EntryDate],DATE(2026,8,12),tblDaily[WardCode],"BG")=0,"",SUMIFS(tblDaily[Discharges],tblDaily[EntryDate],DATE(2026,8,12),tblDaily[WardCode],"BG")),"")</f>
        <v/>
      </c>
      <c r="D291" s="29" t="str">
        <f>IFERROR(IF(SUMIFS(tblDaily[Deaths],tblDaily[EntryDate],DATE(2026,8,12),tblDaily[WardCode],"BG")=0,"",SUMIFS(tblDaily[Deaths],tblDaily[EntryDate],DATE(2026,8,12),tblDaily[WardCode],"BG")),"")</f>
        <v/>
      </c>
      <c r="E291" s="29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29" t="str">
        <f>IFERROR(IF(SUMIFS(tblDaily[TransfersIn],tblDaily[EntryDate],DATE(2026,8,12),tblDaily[WardCode],"BG")=0,"",SUMIFS(tblDaily[TransfersIn],tblDaily[EntryDate],DATE(2026,8,12),tblDaily[WardCode],"BG")),"")</f>
        <v/>
      </c>
      <c r="G291" s="29" t="str">
        <f>IFERROR(IF(SUMIFS(tblDaily[TransfersOut],tblDaily[EntryDate],DATE(2026,8,12),tblDaily[WardCode],"BG")=0,"",SUMIFS(tblDaily[TransfersOut],tblDaily[EntryDate],DATE(2026,8,12),tblDaily[WardCode],"BG")),"")</f>
        <v/>
      </c>
      <c r="H291" s="29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IFERROR(IF(SUMIFS(tblDaily[Admissions],tblDaily[EntryDate],DATE(2026,8,13),tblDaily[WardCode],"BG")=0,"",SUMIFS(tblDaily[Admissions],tblDaily[EntryDate],DATE(2026,8,13),tblDaily[WardCode],"BG")),"")</f>
        <v/>
      </c>
      <c r="C292" s="29" t="str">
        <f>IFERROR(IF(SUMIFS(tblDaily[Discharges],tblDaily[EntryDate],DATE(2026,8,13),tblDaily[WardCode],"BG")=0,"",SUMIFS(tblDaily[Discharges],tblDaily[EntryDate],DATE(2026,8,13),tblDaily[WardCode],"BG")),"")</f>
        <v/>
      </c>
      <c r="D292" s="29" t="str">
        <f>IFERROR(IF(SUMIFS(tblDaily[Deaths],tblDaily[EntryDate],DATE(2026,8,13),tblDaily[WardCode],"BG")=0,"",SUMIFS(tblDaily[Deaths],tblDaily[EntryDate],DATE(2026,8,13),tblDaily[WardCode],"BG")),"")</f>
        <v/>
      </c>
      <c r="E292" s="29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29" t="str">
        <f>IFERROR(IF(SUMIFS(tblDaily[TransfersIn],tblDaily[EntryDate],DATE(2026,8,13),tblDaily[WardCode],"BG")=0,"",SUMIFS(tblDaily[TransfersIn],tblDaily[EntryDate],DATE(2026,8,13),tblDaily[WardCode],"BG")),"")</f>
        <v/>
      </c>
      <c r="G292" s="29" t="str">
        <f>IFERROR(IF(SUMIFS(tblDaily[TransfersOut],tblDaily[EntryDate],DATE(2026,8,13),tblDaily[WardCode],"BG")=0,"",SUMIFS(tblDaily[TransfersOut],tblDaily[EntryDate],DATE(2026,8,13),tblDaily[WardCode],"BG")),"")</f>
        <v/>
      </c>
      <c r="H292" s="29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IFERROR(IF(SUMIFS(tblDaily[Admissions],tblDaily[EntryDate],DATE(2026,8,14),tblDaily[WardCode],"BG")=0,"",SUMIFS(tblDaily[Admissions],tblDaily[EntryDate],DATE(2026,8,14),tblDaily[WardCode],"BG")),"")</f>
        <v/>
      </c>
      <c r="C293" s="29" t="str">
        <f>IFERROR(IF(SUMIFS(tblDaily[Discharges],tblDaily[EntryDate],DATE(2026,8,14),tblDaily[WardCode],"BG")=0,"",SUMIFS(tblDaily[Discharges],tblDaily[EntryDate],DATE(2026,8,14),tblDaily[WardCode],"BG")),"")</f>
        <v/>
      </c>
      <c r="D293" s="29" t="str">
        <f>IFERROR(IF(SUMIFS(tblDaily[Deaths],tblDaily[EntryDate],DATE(2026,8,14),tblDaily[WardCode],"BG")=0,"",SUMIFS(tblDaily[Deaths],tblDaily[EntryDate],DATE(2026,8,14),tblDaily[WardCode],"BG")),"")</f>
        <v/>
      </c>
      <c r="E293" s="29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29" t="str">
        <f>IFERROR(IF(SUMIFS(tblDaily[TransfersIn],tblDaily[EntryDate],DATE(2026,8,14),tblDaily[WardCode],"BG")=0,"",SUMIFS(tblDaily[TransfersIn],tblDaily[EntryDate],DATE(2026,8,14),tblDaily[WardCode],"BG")),"")</f>
        <v/>
      </c>
      <c r="G293" s="29" t="str">
        <f>IFERROR(IF(SUMIFS(tblDaily[TransfersOut],tblDaily[EntryDate],DATE(2026,8,14),tblDaily[WardCode],"BG")=0,"",SUMIFS(tblDaily[TransfersOut],tblDaily[EntryDate],DATE(2026,8,14),tblDaily[WardCode],"BG")),"")</f>
        <v/>
      </c>
      <c r="H293" s="29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IFERROR(IF(SUMIFS(tblDaily[Admissions],tblDaily[EntryDate],DATE(2026,8,15),tblDaily[WardCode],"BG")=0,"",SUMIFS(tblDaily[Admissions],tblDaily[EntryDate],DATE(2026,8,15),tblDaily[WardCode],"BG")),"")</f>
        <v/>
      </c>
      <c r="C294" s="29" t="str">
        <f>IFERROR(IF(SUMIFS(tblDaily[Discharges],tblDaily[EntryDate],DATE(2026,8,15),tblDaily[WardCode],"BG")=0,"",SUMIFS(tblDaily[Discharges],tblDaily[EntryDate],DATE(2026,8,15),tblDaily[WardCode],"BG")),"")</f>
        <v/>
      </c>
      <c r="D294" s="29" t="str">
        <f>IFERROR(IF(SUMIFS(tblDaily[Deaths],tblDaily[EntryDate],DATE(2026,8,15),tblDaily[WardCode],"BG")=0,"",SUMIFS(tblDaily[Deaths],tblDaily[EntryDate],DATE(2026,8,15),tblDaily[WardCode],"BG")),"")</f>
        <v/>
      </c>
      <c r="E294" s="29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29" t="str">
        <f>IFERROR(IF(SUMIFS(tblDaily[TransfersIn],tblDaily[EntryDate],DATE(2026,8,15),tblDaily[WardCode],"BG")=0,"",SUMIFS(tblDaily[TransfersIn],tblDaily[EntryDate],DATE(2026,8,15),tblDaily[WardCode],"BG")),"")</f>
        <v/>
      </c>
      <c r="G294" s="29" t="str">
        <f>IFERROR(IF(SUMIFS(tblDaily[TransfersOut],tblDaily[EntryDate],DATE(2026,8,15),tblDaily[WardCode],"BG")=0,"",SUMIFS(tblDaily[TransfersOut],tblDaily[EntryDate],DATE(2026,8,15),tblDaily[WardCode],"BG")),"")</f>
        <v/>
      </c>
      <c r="H294" s="29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IFERROR(IF(SUMIFS(tblDaily[Admissions],tblDaily[EntryDate],DATE(2026,8,16),tblDaily[WardCode],"BG")=0,"",SUMIFS(tblDaily[Admissions],tblDaily[EntryDate],DATE(2026,8,16),tblDaily[WardCode],"BG")),"")</f>
        <v/>
      </c>
      <c r="C295" s="29" t="str">
        <f>IFERROR(IF(SUMIFS(tblDaily[Discharges],tblDaily[EntryDate],DATE(2026,8,16),tblDaily[WardCode],"BG")=0,"",SUMIFS(tblDaily[Discharges],tblDaily[EntryDate],DATE(2026,8,16),tblDaily[WardCode],"BG")),"")</f>
        <v/>
      </c>
      <c r="D295" s="29" t="str">
        <f>IFERROR(IF(SUMIFS(tblDaily[Deaths],tblDaily[EntryDate],DATE(2026,8,16),tblDaily[WardCode],"BG")=0,"",SUMIFS(tblDaily[Deaths],tblDaily[EntryDate],DATE(2026,8,16),tblDaily[WardCode],"BG")),"")</f>
        <v/>
      </c>
      <c r="E295" s="29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29" t="str">
        <f>IFERROR(IF(SUMIFS(tblDaily[TransfersIn],tblDaily[EntryDate],DATE(2026,8,16),tblDaily[WardCode],"BG")=0,"",SUMIFS(tblDaily[TransfersIn],tblDaily[EntryDate],DATE(2026,8,16),tblDaily[WardCode],"BG")),"")</f>
        <v/>
      </c>
      <c r="G295" s="29" t="str">
        <f>IFERROR(IF(SUMIFS(tblDaily[TransfersOut],tblDaily[EntryDate],DATE(2026,8,16),tblDaily[WardCode],"BG")=0,"",SUMIFS(tblDaily[TransfersOut],tblDaily[EntryDate],DATE(2026,8,16),tblDaily[WardCode],"BG")),"")</f>
        <v/>
      </c>
      <c r="H295" s="29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IFERROR(IF(SUMIFS(tblDaily[Admissions],tblDaily[EntryDate],DATE(2026,8,17),tblDaily[WardCode],"BG")=0,"",SUMIFS(tblDaily[Admissions],tblDaily[EntryDate],DATE(2026,8,17),tblDaily[WardCode],"BG")),"")</f>
        <v/>
      </c>
      <c r="C296" s="29" t="str">
        <f>IFERROR(IF(SUMIFS(tblDaily[Discharges],tblDaily[EntryDate],DATE(2026,8,17),tblDaily[WardCode],"BG")=0,"",SUMIFS(tblDaily[Discharges],tblDaily[EntryDate],DATE(2026,8,17),tblDaily[WardCode],"BG")),"")</f>
        <v/>
      </c>
      <c r="D296" s="29" t="str">
        <f>IFERROR(IF(SUMIFS(tblDaily[Deaths],tblDaily[EntryDate],DATE(2026,8,17),tblDaily[WardCode],"BG")=0,"",SUMIFS(tblDaily[Deaths],tblDaily[EntryDate],DATE(2026,8,17),tblDaily[WardCode],"BG")),"")</f>
        <v/>
      </c>
      <c r="E296" s="29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29" t="str">
        <f>IFERROR(IF(SUMIFS(tblDaily[TransfersIn],tblDaily[EntryDate],DATE(2026,8,17),tblDaily[WardCode],"BG")=0,"",SUMIFS(tblDaily[TransfersIn],tblDaily[EntryDate],DATE(2026,8,17),tblDaily[WardCode],"BG")),"")</f>
        <v/>
      </c>
      <c r="G296" s="29" t="str">
        <f>IFERROR(IF(SUMIFS(tblDaily[TransfersOut],tblDaily[EntryDate],DATE(2026,8,17),tblDaily[WardCode],"BG")=0,"",SUMIFS(tblDaily[TransfersOut],tblDaily[EntryDate],DATE(2026,8,17),tblDaily[WardCode],"BG")),"")</f>
        <v/>
      </c>
      <c r="H296" s="29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IFERROR(IF(SUMIFS(tblDaily[Admissions],tblDaily[EntryDate],DATE(2026,8,18),tblDaily[WardCode],"BG")=0,"",SUMIFS(tblDaily[Admissions],tblDaily[EntryDate],DATE(2026,8,18),tblDaily[WardCode],"BG")),"")</f>
        <v/>
      </c>
      <c r="C297" s="29" t="str">
        <f>IFERROR(IF(SUMIFS(tblDaily[Discharges],tblDaily[EntryDate],DATE(2026,8,18),tblDaily[WardCode],"BG")=0,"",SUMIFS(tblDaily[Discharges],tblDaily[EntryDate],DATE(2026,8,18),tblDaily[WardCode],"BG")),"")</f>
        <v/>
      </c>
      <c r="D297" s="29" t="str">
        <f>IFERROR(IF(SUMIFS(tblDaily[Deaths],tblDaily[EntryDate],DATE(2026,8,18),tblDaily[WardCode],"BG")=0,"",SUMIFS(tblDaily[Deaths],tblDaily[EntryDate],DATE(2026,8,18),tblDaily[WardCode],"BG")),"")</f>
        <v/>
      </c>
      <c r="E297" s="29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29" t="str">
        <f>IFERROR(IF(SUMIFS(tblDaily[TransfersIn],tblDaily[EntryDate],DATE(2026,8,18),tblDaily[WardCode],"BG")=0,"",SUMIFS(tblDaily[TransfersIn],tblDaily[EntryDate],DATE(2026,8,18),tblDaily[WardCode],"BG")),"")</f>
        <v/>
      </c>
      <c r="G297" s="29" t="str">
        <f>IFERROR(IF(SUMIFS(tblDaily[TransfersOut],tblDaily[EntryDate],DATE(2026,8,18),tblDaily[WardCode],"BG")=0,"",SUMIFS(tblDaily[TransfersOut],tblDaily[EntryDate],DATE(2026,8,18),tblDaily[WardCode],"BG")),"")</f>
        <v/>
      </c>
      <c r="H297" s="29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IFERROR(IF(SUMIFS(tblDaily[Admissions],tblDaily[EntryDate],DATE(2026,8,19),tblDaily[WardCode],"BG")=0,"",SUMIFS(tblDaily[Admissions],tblDaily[EntryDate],DATE(2026,8,19),tblDaily[WardCode],"BG")),"")</f>
        <v/>
      </c>
      <c r="C298" s="29" t="str">
        <f>IFERROR(IF(SUMIFS(tblDaily[Discharges],tblDaily[EntryDate],DATE(2026,8,19),tblDaily[WardCode],"BG")=0,"",SUMIFS(tblDaily[Discharges],tblDaily[EntryDate],DATE(2026,8,19),tblDaily[WardCode],"BG")),"")</f>
        <v/>
      </c>
      <c r="D298" s="29" t="str">
        <f>IFERROR(IF(SUMIFS(tblDaily[Deaths],tblDaily[EntryDate],DATE(2026,8,19),tblDaily[WardCode],"BG")=0,"",SUMIFS(tblDaily[Deaths],tblDaily[EntryDate],DATE(2026,8,19),tblDaily[WardCode],"BG")),"")</f>
        <v/>
      </c>
      <c r="E298" s="29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29" t="str">
        <f>IFERROR(IF(SUMIFS(tblDaily[TransfersIn],tblDaily[EntryDate],DATE(2026,8,19),tblDaily[WardCode],"BG")=0,"",SUMIFS(tblDaily[TransfersIn],tblDaily[EntryDate],DATE(2026,8,19),tblDaily[WardCode],"BG")),"")</f>
        <v/>
      </c>
      <c r="G298" s="29" t="str">
        <f>IFERROR(IF(SUMIFS(tblDaily[TransfersOut],tblDaily[EntryDate],DATE(2026,8,19),tblDaily[WardCode],"BG")=0,"",SUMIFS(tblDaily[TransfersOut],tblDaily[EntryDate],DATE(2026,8,19),tblDaily[WardCode],"BG")),"")</f>
        <v/>
      </c>
      <c r="H298" s="29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IFERROR(IF(SUMIFS(tblDaily[Admissions],tblDaily[EntryDate],DATE(2026,8,20),tblDaily[WardCode],"BG")=0,"",SUMIFS(tblDaily[Admissions],tblDaily[EntryDate],DATE(2026,8,20),tblDaily[WardCode],"BG")),"")</f>
        <v/>
      </c>
      <c r="C299" s="29" t="str">
        <f>IFERROR(IF(SUMIFS(tblDaily[Discharges],tblDaily[EntryDate],DATE(2026,8,20),tblDaily[WardCode],"BG")=0,"",SUMIFS(tblDaily[Discharges],tblDaily[EntryDate],DATE(2026,8,20),tblDaily[WardCode],"BG")),"")</f>
        <v/>
      </c>
      <c r="D299" s="29" t="str">
        <f>IFERROR(IF(SUMIFS(tblDaily[Deaths],tblDaily[EntryDate],DATE(2026,8,20),tblDaily[WardCode],"BG")=0,"",SUMIFS(tblDaily[Deaths],tblDaily[EntryDate],DATE(2026,8,20),tblDaily[WardCode],"BG")),"")</f>
        <v/>
      </c>
      <c r="E299" s="29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29" t="str">
        <f>IFERROR(IF(SUMIFS(tblDaily[TransfersIn],tblDaily[EntryDate],DATE(2026,8,20),tblDaily[WardCode],"BG")=0,"",SUMIFS(tblDaily[TransfersIn],tblDaily[EntryDate],DATE(2026,8,20),tblDaily[WardCode],"BG")),"")</f>
        <v/>
      </c>
      <c r="G299" s="29" t="str">
        <f>IFERROR(IF(SUMIFS(tblDaily[TransfersOut],tblDaily[EntryDate],DATE(2026,8,20),tblDaily[WardCode],"BG")=0,"",SUMIFS(tblDaily[TransfersOut],tblDaily[EntryDate],DATE(2026,8,20),tblDaily[WardCode],"BG")),"")</f>
        <v/>
      </c>
      <c r="H299" s="29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IFERROR(IF(SUMIFS(tblDaily[Admissions],tblDaily[EntryDate],DATE(2026,8,21),tblDaily[WardCode],"BG")=0,"",SUMIFS(tblDaily[Admissions],tblDaily[EntryDate],DATE(2026,8,21),tblDaily[WardCode],"BG")),"")</f>
        <v/>
      </c>
      <c r="C300" s="29" t="str">
        <f>IFERROR(IF(SUMIFS(tblDaily[Discharges],tblDaily[EntryDate],DATE(2026,8,21),tblDaily[WardCode],"BG")=0,"",SUMIFS(tblDaily[Discharges],tblDaily[EntryDate],DATE(2026,8,21),tblDaily[WardCode],"BG")),"")</f>
        <v/>
      </c>
      <c r="D300" s="29" t="str">
        <f>IFERROR(IF(SUMIFS(tblDaily[Deaths],tblDaily[EntryDate],DATE(2026,8,21),tblDaily[WardCode],"BG")=0,"",SUMIFS(tblDaily[Deaths],tblDaily[EntryDate],DATE(2026,8,21),tblDaily[WardCode],"BG")),"")</f>
        <v/>
      </c>
      <c r="E300" s="29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29" t="str">
        <f>IFERROR(IF(SUMIFS(tblDaily[TransfersIn],tblDaily[EntryDate],DATE(2026,8,21),tblDaily[WardCode],"BG")=0,"",SUMIFS(tblDaily[TransfersIn],tblDaily[EntryDate],DATE(2026,8,21),tblDaily[WardCode],"BG")),"")</f>
        <v/>
      </c>
      <c r="G300" s="29" t="str">
        <f>IFERROR(IF(SUMIFS(tblDaily[TransfersOut],tblDaily[EntryDate],DATE(2026,8,21),tblDaily[WardCode],"BG")=0,"",SUMIFS(tblDaily[TransfersOut],tblDaily[EntryDate],DATE(2026,8,21),tblDaily[WardCode],"BG")),"")</f>
        <v/>
      </c>
      <c r="H300" s="29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IFERROR(IF(SUMIFS(tblDaily[Admissions],tblDaily[EntryDate],DATE(2026,8,22),tblDaily[WardCode],"BG")=0,"",SUMIFS(tblDaily[Admissions],tblDaily[EntryDate],DATE(2026,8,22),tblDaily[WardCode],"BG")),"")</f>
        <v/>
      </c>
      <c r="C301" s="29" t="str">
        <f>IFERROR(IF(SUMIFS(tblDaily[Discharges],tblDaily[EntryDate],DATE(2026,8,22),tblDaily[WardCode],"BG")=0,"",SUMIFS(tblDaily[Discharges],tblDaily[EntryDate],DATE(2026,8,22),tblDaily[WardCode],"BG")),"")</f>
        <v/>
      </c>
      <c r="D301" s="29" t="str">
        <f>IFERROR(IF(SUMIFS(tblDaily[Deaths],tblDaily[EntryDate],DATE(2026,8,22),tblDaily[WardCode],"BG")=0,"",SUMIFS(tblDaily[Deaths],tblDaily[EntryDate],DATE(2026,8,22),tblDaily[WardCode],"BG")),"")</f>
        <v/>
      </c>
      <c r="E301" s="29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29" t="str">
        <f>IFERROR(IF(SUMIFS(tblDaily[TransfersIn],tblDaily[EntryDate],DATE(2026,8,22),tblDaily[WardCode],"BG")=0,"",SUMIFS(tblDaily[TransfersIn],tblDaily[EntryDate],DATE(2026,8,22),tblDaily[WardCode],"BG")),"")</f>
        <v/>
      </c>
      <c r="G301" s="29" t="str">
        <f>IFERROR(IF(SUMIFS(tblDaily[TransfersOut],tblDaily[EntryDate],DATE(2026,8,22),tblDaily[WardCode],"BG")=0,"",SUMIFS(tblDaily[TransfersOut],tblDaily[EntryDate],DATE(2026,8,22),tblDaily[WardCode],"BG")),"")</f>
        <v/>
      </c>
      <c r="H301" s="29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IFERROR(IF(SUMIFS(tblDaily[Admissions],tblDaily[EntryDate],DATE(2026,8,23),tblDaily[WardCode],"BG")=0,"",SUMIFS(tblDaily[Admissions],tblDaily[EntryDate],DATE(2026,8,23),tblDaily[WardCode],"BG")),"")</f>
        <v/>
      </c>
      <c r="C302" s="29" t="str">
        <f>IFERROR(IF(SUMIFS(tblDaily[Discharges],tblDaily[EntryDate],DATE(2026,8,23),tblDaily[WardCode],"BG")=0,"",SUMIFS(tblDaily[Discharges],tblDaily[EntryDate],DATE(2026,8,23),tblDaily[WardCode],"BG")),"")</f>
        <v/>
      </c>
      <c r="D302" s="29" t="str">
        <f>IFERROR(IF(SUMIFS(tblDaily[Deaths],tblDaily[EntryDate],DATE(2026,8,23),tblDaily[WardCode],"BG")=0,"",SUMIFS(tblDaily[Deaths],tblDaily[EntryDate],DATE(2026,8,23),tblDaily[WardCode],"BG")),"")</f>
        <v/>
      </c>
      <c r="E302" s="29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29" t="str">
        <f>IFERROR(IF(SUMIFS(tblDaily[TransfersIn],tblDaily[EntryDate],DATE(2026,8,23),tblDaily[WardCode],"BG")=0,"",SUMIFS(tblDaily[TransfersIn],tblDaily[EntryDate],DATE(2026,8,23),tblDaily[WardCode],"BG")),"")</f>
        <v/>
      </c>
      <c r="G302" s="29" t="str">
        <f>IFERROR(IF(SUMIFS(tblDaily[TransfersOut],tblDaily[EntryDate],DATE(2026,8,23),tblDaily[WardCode],"BG")=0,"",SUMIFS(tblDaily[TransfersOut],tblDaily[EntryDate],DATE(2026,8,23),tblDaily[WardCode],"BG")),"")</f>
        <v/>
      </c>
      <c r="H302" s="29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IFERROR(IF(SUMIFS(tblDaily[Admissions],tblDaily[EntryDate],DATE(2026,8,24),tblDaily[WardCode],"BG")=0,"",SUMIFS(tblDaily[Admissions],tblDaily[EntryDate],DATE(2026,8,24),tblDaily[WardCode],"BG")),"")</f>
        <v/>
      </c>
      <c r="C303" s="29" t="str">
        <f>IFERROR(IF(SUMIFS(tblDaily[Discharges],tblDaily[EntryDate],DATE(2026,8,24),tblDaily[WardCode],"BG")=0,"",SUMIFS(tblDaily[Discharges],tblDaily[EntryDate],DATE(2026,8,24),tblDaily[WardCode],"BG")),"")</f>
        <v/>
      </c>
      <c r="D303" s="29" t="str">
        <f>IFERROR(IF(SUMIFS(tblDaily[Deaths],tblDaily[EntryDate],DATE(2026,8,24),tblDaily[WardCode],"BG")=0,"",SUMIFS(tblDaily[Deaths],tblDaily[EntryDate],DATE(2026,8,24),tblDaily[WardCode],"BG")),"")</f>
        <v/>
      </c>
      <c r="E303" s="29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29" t="str">
        <f>IFERROR(IF(SUMIFS(tblDaily[TransfersIn],tblDaily[EntryDate],DATE(2026,8,24),tblDaily[WardCode],"BG")=0,"",SUMIFS(tblDaily[TransfersIn],tblDaily[EntryDate],DATE(2026,8,24),tblDaily[WardCode],"BG")),"")</f>
        <v/>
      </c>
      <c r="G303" s="29" t="str">
        <f>IFERROR(IF(SUMIFS(tblDaily[TransfersOut],tblDaily[EntryDate],DATE(2026,8,24),tblDaily[WardCode],"BG")=0,"",SUMIFS(tblDaily[TransfersOut],tblDaily[EntryDate],DATE(2026,8,24),tblDaily[WardCode],"BG")),"")</f>
        <v/>
      </c>
      <c r="H303" s="29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IFERROR(IF(SUMIFS(tblDaily[Admissions],tblDaily[EntryDate],DATE(2026,8,25),tblDaily[WardCode],"BG")=0,"",SUMIFS(tblDaily[Admissions],tblDaily[EntryDate],DATE(2026,8,25),tblDaily[WardCode],"BG")),"")</f>
        <v/>
      </c>
      <c r="C304" s="29" t="str">
        <f>IFERROR(IF(SUMIFS(tblDaily[Discharges],tblDaily[EntryDate],DATE(2026,8,25),tblDaily[WardCode],"BG")=0,"",SUMIFS(tblDaily[Discharges],tblDaily[EntryDate],DATE(2026,8,25),tblDaily[WardCode],"BG")),"")</f>
        <v/>
      </c>
      <c r="D304" s="29" t="str">
        <f>IFERROR(IF(SUMIFS(tblDaily[Deaths],tblDaily[EntryDate],DATE(2026,8,25),tblDaily[WardCode],"BG")=0,"",SUMIFS(tblDaily[Deaths],tblDaily[EntryDate],DATE(2026,8,25),tblDaily[WardCode],"BG")),"")</f>
        <v/>
      </c>
      <c r="E304" s="29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29" t="str">
        <f>IFERROR(IF(SUMIFS(tblDaily[TransfersIn],tblDaily[EntryDate],DATE(2026,8,25),tblDaily[WardCode],"BG")=0,"",SUMIFS(tblDaily[TransfersIn],tblDaily[EntryDate],DATE(2026,8,25),tblDaily[WardCode],"BG")),"")</f>
        <v/>
      </c>
      <c r="G304" s="29" t="str">
        <f>IFERROR(IF(SUMIFS(tblDaily[TransfersOut],tblDaily[EntryDate],DATE(2026,8,25),tblDaily[WardCode],"BG")=0,"",SUMIFS(tblDaily[TransfersOut],tblDaily[EntryDate],DATE(2026,8,25),tblDaily[WardCode],"BG")),"")</f>
        <v/>
      </c>
      <c r="H304" s="29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IFERROR(IF(SUMIFS(tblDaily[Admissions],tblDaily[EntryDate],DATE(2026,8,26),tblDaily[WardCode],"BG")=0,"",SUMIFS(tblDaily[Admissions],tblDaily[EntryDate],DATE(2026,8,26),tblDaily[WardCode],"BG")),"")</f>
        <v/>
      </c>
      <c r="C305" s="29" t="str">
        <f>IFERROR(IF(SUMIFS(tblDaily[Discharges],tblDaily[EntryDate],DATE(2026,8,26),tblDaily[WardCode],"BG")=0,"",SUMIFS(tblDaily[Discharges],tblDaily[EntryDate],DATE(2026,8,26),tblDaily[WardCode],"BG")),"")</f>
        <v/>
      </c>
      <c r="D305" s="29" t="str">
        <f>IFERROR(IF(SUMIFS(tblDaily[Deaths],tblDaily[EntryDate],DATE(2026,8,26),tblDaily[WardCode],"BG")=0,"",SUMIFS(tblDaily[Deaths],tblDaily[EntryDate],DATE(2026,8,26),tblDaily[WardCode],"BG")),"")</f>
        <v/>
      </c>
      <c r="E305" s="29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29" t="str">
        <f>IFERROR(IF(SUMIFS(tblDaily[TransfersIn],tblDaily[EntryDate],DATE(2026,8,26),tblDaily[WardCode],"BG")=0,"",SUMIFS(tblDaily[TransfersIn],tblDaily[EntryDate],DATE(2026,8,26),tblDaily[WardCode],"BG")),"")</f>
        <v/>
      </c>
      <c r="G305" s="29" t="str">
        <f>IFERROR(IF(SUMIFS(tblDaily[TransfersOut],tblDaily[EntryDate],DATE(2026,8,26),tblDaily[WardCode],"BG")=0,"",SUMIFS(tblDaily[TransfersOut],tblDaily[EntryDate],DATE(2026,8,26),tblDaily[WardCode],"BG")),"")</f>
        <v/>
      </c>
      <c r="H305" s="29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IFERROR(IF(SUMIFS(tblDaily[Admissions],tblDaily[EntryDate],DATE(2026,8,27),tblDaily[WardCode],"BG")=0,"",SUMIFS(tblDaily[Admissions],tblDaily[EntryDate],DATE(2026,8,27),tblDaily[WardCode],"BG")),"")</f>
        <v/>
      </c>
      <c r="C306" s="29" t="str">
        <f>IFERROR(IF(SUMIFS(tblDaily[Discharges],tblDaily[EntryDate],DATE(2026,8,27),tblDaily[WardCode],"BG")=0,"",SUMIFS(tblDaily[Discharges],tblDaily[EntryDate],DATE(2026,8,27),tblDaily[WardCode],"BG")),"")</f>
        <v/>
      </c>
      <c r="D306" s="29" t="str">
        <f>IFERROR(IF(SUMIFS(tblDaily[Deaths],tblDaily[EntryDate],DATE(2026,8,27),tblDaily[WardCode],"BG")=0,"",SUMIFS(tblDaily[Deaths],tblDaily[EntryDate],DATE(2026,8,27),tblDaily[WardCode],"BG")),"")</f>
        <v/>
      </c>
      <c r="E306" s="29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29" t="str">
        <f>IFERROR(IF(SUMIFS(tblDaily[TransfersIn],tblDaily[EntryDate],DATE(2026,8,27),tblDaily[WardCode],"BG")=0,"",SUMIFS(tblDaily[TransfersIn],tblDaily[EntryDate],DATE(2026,8,27),tblDaily[WardCode],"BG")),"")</f>
        <v/>
      </c>
      <c r="G306" s="29" t="str">
        <f>IFERROR(IF(SUMIFS(tblDaily[TransfersOut],tblDaily[EntryDate],DATE(2026,8,27),tblDaily[WardCode],"BG")=0,"",SUMIFS(tblDaily[TransfersOut],tblDaily[EntryDate],DATE(2026,8,27),tblDaily[WardCode],"BG")),"")</f>
        <v/>
      </c>
      <c r="H306" s="29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IFERROR(IF(SUMIFS(tblDaily[Admissions],tblDaily[EntryDate],DATE(2026,8,28),tblDaily[WardCode],"BG")=0,"",SUMIFS(tblDaily[Admissions],tblDaily[EntryDate],DATE(2026,8,28),tblDaily[WardCode],"BG")),"")</f>
        <v/>
      </c>
      <c r="C307" s="29" t="str">
        <f>IFERROR(IF(SUMIFS(tblDaily[Discharges],tblDaily[EntryDate],DATE(2026,8,28),tblDaily[WardCode],"BG")=0,"",SUMIFS(tblDaily[Discharges],tblDaily[EntryDate],DATE(2026,8,28),tblDaily[WardCode],"BG")),"")</f>
        <v/>
      </c>
      <c r="D307" s="29" t="str">
        <f>IFERROR(IF(SUMIFS(tblDaily[Deaths],tblDaily[EntryDate],DATE(2026,8,28),tblDaily[WardCode],"BG")=0,"",SUMIFS(tblDaily[Deaths],tblDaily[EntryDate],DATE(2026,8,28),tblDaily[WardCode],"BG")),"")</f>
        <v/>
      </c>
      <c r="E307" s="29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29" t="str">
        <f>IFERROR(IF(SUMIFS(tblDaily[TransfersIn],tblDaily[EntryDate],DATE(2026,8,28),tblDaily[WardCode],"BG")=0,"",SUMIFS(tblDaily[TransfersIn],tblDaily[EntryDate],DATE(2026,8,28),tblDaily[WardCode],"BG")),"")</f>
        <v/>
      </c>
      <c r="G307" s="29" t="str">
        <f>IFERROR(IF(SUMIFS(tblDaily[TransfersOut],tblDaily[EntryDate],DATE(2026,8,28),tblDaily[WardCode],"BG")=0,"",SUMIFS(tblDaily[TransfersOut],tblDaily[EntryDate],DATE(2026,8,28),tblDaily[WardCode],"BG")),"")</f>
        <v/>
      </c>
      <c r="H307" s="29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IFERROR(IF(SUMIFS(tblDaily[Admissions],tblDaily[EntryDate],DATE(2026,8,29),tblDaily[WardCode],"BG")=0,"",SUMIFS(tblDaily[Admissions],tblDaily[EntryDate],DATE(2026,8,29),tblDaily[WardCode],"BG")),"")</f>
        <v/>
      </c>
      <c r="C308" s="29" t="str">
        <f>IFERROR(IF(SUMIFS(tblDaily[Discharges],tblDaily[EntryDate],DATE(2026,8,29),tblDaily[WardCode],"BG")=0,"",SUMIFS(tblDaily[Discharges],tblDaily[EntryDate],DATE(2026,8,29),tblDaily[WardCode],"BG")),"")</f>
        <v/>
      </c>
      <c r="D308" s="29" t="str">
        <f>IFERROR(IF(SUMIFS(tblDaily[Deaths],tblDaily[EntryDate],DATE(2026,8,29),tblDaily[WardCode],"BG")=0,"",SUMIFS(tblDaily[Deaths],tblDaily[EntryDate],DATE(2026,8,29),tblDaily[WardCode],"BG")),"")</f>
        <v/>
      </c>
      <c r="E308" s="29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29" t="str">
        <f>IFERROR(IF(SUMIFS(tblDaily[TransfersIn],tblDaily[EntryDate],DATE(2026,8,29),tblDaily[WardCode],"BG")=0,"",SUMIFS(tblDaily[TransfersIn],tblDaily[EntryDate],DATE(2026,8,29),tblDaily[WardCode],"BG")),"")</f>
        <v/>
      </c>
      <c r="G308" s="29" t="str">
        <f>IFERROR(IF(SUMIFS(tblDaily[TransfersOut],tblDaily[EntryDate],DATE(2026,8,29),tblDaily[WardCode],"BG")=0,"",SUMIFS(tblDaily[TransfersOut],tblDaily[EntryDate],DATE(2026,8,29),tblDaily[WardCode],"BG")),"")</f>
        <v/>
      </c>
      <c r="H308" s="29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IFERROR(IF(SUMIFS(tblDaily[Admissions],tblDaily[EntryDate],DATE(2026,8,30),tblDaily[WardCode],"BG")=0,"",SUMIFS(tblDaily[Admissions],tblDaily[EntryDate],DATE(2026,8,30),tblDaily[WardCode],"BG")),"")</f>
        <v/>
      </c>
      <c r="C309" s="29" t="str">
        <f>IFERROR(IF(SUMIFS(tblDaily[Discharges],tblDaily[EntryDate],DATE(2026,8,30),tblDaily[WardCode],"BG")=0,"",SUMIFS(tblDaily[Discharges],tblDaily[EntryDate],DATE(2026,8,30),tblDaily[WardCode],"BG")),"")</f>
        <v/>
      </c>
      <c r="D309" s="29" t="str">
        <f>IFERROR(IF(SUMIFS(tblDaily[Deaths],tblDaily[EntryDate],DATE(2026,8,30),tblDaily[WardCode],"BG")=0,"",SUMIFS(tblDaily[Deaths],tblDaily[EntryDate],DATE(2026,8,30),tblDaily[WardCode],"BG")),"")</f>
        <v/>
      </c>
      <c r="E309" s="29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29" t="str">
        <f>IFERROR(IF(SUMIFS(tblDaily[TransfersIn],tblDaily[EntryDate],DATE(2026,8,30),tblDaily[WardCode],"BG")=0,"",SUMIFS(tblDaily[TransfersIn],tblDaily[EntryDate],DATE(2026,8,30),tblDaily[WardCode],"BG")),"")</f>
        <v/>
      </c>
      <c r="G309" s="29" t="str">
        <f>IFERROR(IF(SUMIFS(tblDaily[TransfersOut],tblDaily[EntryDate],DATE(2026,8,30),tblDaily[WardCode],"BG")=0,"",SUMIFS(tblDaily[TransfersOut],tblDaily[EntryDate],DATE(2026,8,30),tblDaily[WardCode],"BG")),"")</f>
        <v/>
      </c>
      <c r="H309" s="29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IFERROR(IF(SUMIFS(tblDaily[Admissions],tblDaily[EntryDate],DATE(2026,8,31),tblDaily[WardCode],"BG")=0,"",SUMIFS(tblDaily[Admissions],tblDaily[EntryDate],DATE(2026,8,31),tblDaily[WardCode],"BG")),"")</f>
        <v/>
      </c>
      <c r="C310" s="29" t="str">
        <f>IFERROR(IF(SUMIFS(tblDaily[Discharges],tblDaily[EntryDate],DATE(2026,8,31),tblDaily[WardCode],"BG")=0,"",SUMIFS(tblDaily[Discharges],tblDaily[EntryDate],DATE(2026,8,31),tblDaily[WardCode],"BG")),"")</f>
        <v/>
      </c>
      <c r="D310" s="29" t="str">
        <f>IFERROR(IF(SUMIFS(tblDaily[Deaths],tblDaily[EntryDate],DATE(2026,8,31),tblDaily[WardCode],"BG")=0,"",SUMIFS(tblDaily[Deaths],tblDaily[EntryDate],DATE(2026,8,31),tblDaily[WardCode],"BG")),"")</f>
        <v/>
      </c>
      <c r="E310" s="29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29" t="str">
        <f>IFERROR(IF(SUMIFS(tblDaily[TransfersIn],tblDaily[EntryDate],DATE(2026,8,31),tblDaily[WardCode],"BG")=0,"",SUMIFS(tblDaily[TransfersIn],tblDaily[EntryDate],DATE(2026,8,31),tblDaily[WardCode],"BG")),"")</f>
        <v/>
      </c>
      <c r="G310" s="29" t="str">
        <f>IFERROR(IF(SUMIFS(tblDaily[TransfersOut],tblDaily[EntryDate],DATE(2026,8,31),tblDaily[WardCode],"BG")=0,"",SUMIFS(tblDaily[TransfersOut],tblDaily[EntryDate],DATE(2026,8,31),tblDaily[WardCode],"BG")),"")</f>
        <v/>
      </c>
      <c r="H310" s="29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30" t="s">
        <v>115</v>
      </c>
      <c r="B311" s="30">
        <f>SUMIFS(tblDaily[Admissions],tblDaily[Month],8,tblDaily[WardCode],"BG") - SUMIFS(tblDaily[DeathsUnder24Hrs],tblDaily[Month],8,tblDaily[WardCode],"BG")</f>
        <v>0</v>
      </c>
      <c r="C311" s="30">
        <f>SUMIFS(tblDaily[Discharges],tblDaily[Month],8,tblDaily[WardCode],"BG")</f>
        <v>0</v>
      </c>
      <c r="D311" s="30">
        <f>SUMIFS(tblDaily[Deaths],tblDaily[Month],8,tblDaily[WardCode],"BG")</f>
        <v>0</v>
      </c>
      <c r="E311" s="30">
        <f>SUMIFS(tblDaily[DeathsUnder24Hrs],tblDaily[Month],8,tblDaily[WardCode],"BG")</f>
        <v>0</v>
      </c>
      <c r="F311" s="30">
        <f>SUMIFS(tblDaily[TransfersIn],tblDaily[Month],8,tblDaily[WardCode],"BG")</f>
        <v>0</v>
      </c>
      <c r="G311" s="30">
        <f>SUMIFS(tblDaily[TransfersOut],tblDaily[Month],8,tblDaily[WardCode],"BG")</f>
        <v>0</v>
      </c>
      <c r="H311" s="30">
        <f>SUMIFS(tblDaily[Remaining],tblDaily[Month],8,tblDaily[WardCode],"BG")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119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IFERROR(SUMIFS(tblDaily[Remaining],tblDaily[EntryDate],DATE(2026,8,31),tblDaily[WardCode],"BG"),0)</f>
        <v>0</v>
      </c>
    </row>
    <row r="317" spans="1:8" x14ac:dyDescent="0.25">
      <c r="A317" s="24" t="s">
        <v>109</v>
      </c>
      <c r="H317" s="27">
        <f>IFERROR(INDEX(tblWardConfig[BedComplement],MATCH("BG",tblWardConfig[WardCode],0)),0)</f>
        <v>14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IFERROR(IF(SUMIFS(tblDaily[Admissions],tblDaily[EntryDate],DATE(2026,9,1),tblDaily[WardCode],"BG")=0,"",SUMIFS(tblDaily[Admissions],tblDaily[EntryDate],DATE(2026,9,1),tblDaily[WardCode],"BG")),"")</f>
        <v/>
      </c>
      <c r="C319" s="29" t="str">
        <f>IFERROR(IF(SUMIFS(tblDaily[Discharges],tblDaily[EntryDate],DATE(2026,9,1),tblDaily[WardCode],"BG")=0,"",SUMIFS(tblDaily[Discharges],tblDaily[EntryDate],DATE(2026,9,1),tblDaily[WardCode],"BG")),"")</f>
        <v/>
      </c>
      <c r="D319" s="29" t="str">
        <f>IFERROR(IF(SUMIFS(tblDaily[Deaths],tblDaily[EntryDate],DATE(2026,9,1),tblDaily[WardCode],"BG")=0,"",SUMIFS(tblDaily[Deaths],tblDaily[EntryDate],DATE(2026,9,1),tblDaily[WardCode],"BG")),"")</f>
        <v/>
      </c>
      <c r="E319" s="29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29" t="str">
        <f>IFERROR(IF(SUMIFS(tblDaily[TransfersIn],tblDaily[EntryDate],DATE(2026,9,1),tblDaily[WardCode],"BG")=0,"",SUMIFS(tblDaily[TransfersIn],tblDaily[EntryDate],DATE(2026,9,1),tblDaily[WardCode],"BG")),"")</f>
        <v/>
      </c>
      <c r="G319" s="29" t="str">
        <f>IFERROR(IF(SUMIFS(tblDaily[TransfersOut],tblDaily[EntryDate],DATE(2026,9,1),tblDaily[WardCode],"BG")=0,"",SUMIFS(tblDaily[TransfersOut],tblDaily[EntryDate],DATE(2026,9,1),tblDaily[WardCode],"BG")),"")</f>
        <v/>
      </c>
      <c r="H319" s="29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IFERROR(IF(SUMIFS(tblDaily[Admissions],tblDaily[EntryDate],DATE(2026,9,2),tblDaily[WardCode],"BG")=0,"",SUMIFS(tblDaily[Admissions],tblDaily[EntryDate],DATE(2026,9,2),tblDaily[WardCode],"BG")),"")</f>
        <v/>
      </c>
      <c r="C320" s="29" t="str">
        <f>IFERROR(IF(SUMIFS(tblDaily[Discharges],tblDaily[EntryDate],DATE(2026,9,2),tblDaily[WardCode],"BG")=0,"",SUMIFS(tblDaily[Discharges],tblDaily[EntryDate],DATE(2026,9,2),tblDaily[WardCode],"BG")),"")</f>
        <v/>
      </c>
      <c r="D320" s="29" t="str">
        <f>IFERROR(IF(SUMIFS(tblDaily[Deaths],tblDaily[EntryDate],DATE(2026,9,2),tblDaily[WardCode],"BG")=0,"",SUMIFS(tblDaily[Deaths],tblDaily[EntryDate],DATE(2026,9,2),tblDaily[WardCode],"BG")),"")</f>
        <v/>
      </c>
      <c r="E320" s="29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29" t="str">
        <f>IFERROR(IF(SUMIFS(tblDaily[TransfersIn],tblDaily[EntryDate],DATE(2026,9,2),tblDaily[WardCode],"BG")=0,"",SUMIFS(tblDaily[TransfersIn],tblDaily[EntryDate],DATE(2026,9,2),tblDaily[WardCode],"BG")),"")</f>
        <v/>
      </c>
      <c r="G320" s="29" t="str">
        <f>IFERROR(IF(SUMIFS(tblDaily[TransfersOut],tblDaily[EntryDate],DATE(2026,9,2),tblDaily[WardCode],"BG")=0,"",SUMIFS(tblDaily[TransfersOut],tblDaily[EntryDate],DATE(2026,9,2),tblDaily[WardCode],"BG")),"")</f>
        <v/>
      </c>
      <c r="H320" s="29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IFERROR(IF(SUMIFS(tblDaily[Admissions],tblDaily[EntryDate],DATE(2026,9,3),tblDaily[WardCode],"BG")=0,"",SUMIFS(tblDaily[Admissions],tblDaily[EntryDate],DATE(2026,9,3),tblDaily[WardCode],"BG")),"")</f>
        <v/>
      </c>
      <c r="C321" s="29" t="str">
        <f>IFERROR(IF(SUMIFS(tblDaily[Discharges],tblDaily[EntryDate],DATE(2026,9,3),tblDaily[WardCode],"BG")=0,"",SUMIFS(tblDaily[Discharges],tblDaily[EntryDate],DATE(2026,9,3),tblDaily[WardCode],"BG")),"")</f>
        <v/>
      </c>
      <c r="D321" s="29" t="str">
        <f>IFERROR(IF(SUMIFS(tblDaily[Deaths],tblDaily[EntryDate],DATE(2026,9,3),tblDaily[WardCode],"BG")=0,"",SUMIFS(tblDaily[Deaths],tblDaily[EntryDate],DATE(2026,9,3),tblDaily[WardCode],"BG")),"")</f>
        <v/>
      </c>
      <c r="E321" s="29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29" t="str">
        <f>IFERROR(IF(SUMIFS(tblDaily[TransfersIn],tblDaily[EntryDate],DATE(2026,9,3),tblDaily[WardCode],"BG")=0,"",SUMIFS(tblDaily[TransfersIn],tblDaily[EntryDate],DATE(2026,9,3),tblDaily[WardCode],"BG")),"")</f>
        <v/>
      </c>
      <c r="G321" s="29" t="str">
        <f>IFERROR(IF(SUMIFS(tblDaily[TransfersOut],tblDaily[EntryDate],DATE(2026,9,3),tblDaily[WardCode],"BG")=0,"",SUMIFS(tblDaily[TransfersOut],tblDaily[EntryDate],DATE(2026,9,3),tblDaily[WardCode],"BG")),"")</f>
        <v/>
      </c>
      <c r="H321" s="29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IFERROR(IF(SUMIFS(tblDaily[Admissions],tblDaily[EntryDate],DATE(2026,9,4),tblDaily[WardCode],"BG")=0,"",SUMIFS(tblDaily[Admissions],tblDaily[EntryDate],DATE(2026,9,4),tblDaily[WardCode],"BG")),"")</f>
        <v/>
      </c>
      <c r="C322" s="29" t="str">
        <f>IFERROR(IF(SUMIFS(tblDaily[Discharges],tblDaily[EntryDate],DATE(2026,9,4),tblDaily[WardCode],"BG")=0,"",SUMIFS(tblDaily[Discharges],tblDaily[EntryDate],DATE(2026,9,4),tblDaily[WardCode],"BG")),"")</f>
        <v/>
      </c>
      <c r="D322" s="29" t="str">
        <f>IFERROR(IF(SUMIFS(tblDaily[Deaths],tblDaily[EntryDate],DATE(2026,9,4),tblDaily[WardCode],"BG")=0,"",SUMIFS(tblDaily[Deaths],tblDaily[EntryDate],DATE(2026,9,4),tblDaily[WardCode],"BG")),"")</f>
        <v/>
      </c>
      <c r="E322" s="29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29" t="str">
        <f>IFERROR(IF(SUMIFS(tblDaily[TransfersIn],tblDaily[EntryDate],DATE(2026,9,4),tblDaily[WardCode],"BG")=0,"",SUMIFS(tblDaily[TransfersIn],tblDaily[EntryDate],DATE(2026,9,4),tblDaily[WardCode],"BG")),"")</f>
        <v/>
      </c>
      <c r="G322" s="29" t="str">
        <f>IFERROR(IF(SUMIFS(tblDaily[TransfersOut],tblDaily[EntryDate],DATE(2026,9,4),tblDaily[WardCode],"BG")=0,"",SUMIFS(tblDaily[TransfersOut],tblDaily[EntryDate],DATE(2026,9,4),tblDaily[WardCode],"BG")),"")</f>
        <v/>
      </c>
      <c r="H322" s="29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IFERROR(IF(SUMIFS(tblDaily[Admissions],tblDaily[EntryDate],DATE(2026,9,5),tblDaily[WardCode],"BG")=0,"",SUMIFS(tblDaily[Admissions],tblDaily[EntryDate],DATE(2026,9,5),tblDaily[WardCode],"BG")),"")</f>
        <v/>
      </c>
      <c r="C323" s="29" t="str">
        <f>IFERROR(IF(SUMIFS(tblDaily[Discharges],tblDaily[EntryDate],DATE(2026,9,5),tblDaily[WardCode],"BG")=0,"",SUMIFS(tblDaily[Discharges],tblDaily[EntryDate],DATE(2026,9,5),tblDaily[WardCode],"BG")),"")</f>
        <v/>
      </c>
      <c r="D323" s="29" t="str">
        <f>IFERROR(IF(SUMIFS(tblDaily[Deaths],tblDaily[EntryDate],DATE(2026,9,5),tblDaily[WardCode],"BG")=0,"",SUMIFS(tblDaily[Deaths],tblDaily[EntryDate],DATE(2026,9,5),tblDaily[WardCode],"BG")),"")</f>
        <v/>
      </c>
      <c r="E323" s="29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29" t="str">
        <f>IFERROR(IF(SUMIFS(tblDaily[TransfersIn],tblDaily[EntryDate],DATE(2026,9,5),tblDaily[WardCode],"BG")=0,"",SUMIFS(tblDaily[TransfersIn],tblDaily[EntryDate],DATE(2026,9,5),tblDaily[WardCode],"BG")),"")</f>
        <v/>
      </c>
      <c r="G323" s="29" t="str">
        <f>IFERROR(IF(SUMIFS(tblDaily[TransfersOut],tblDaily[EntryDate],DATE(2026,9,5),tblDaily[WardCode],"BG")=0,"",SUMIFS(tblDaily[TransfersOut],tblDaily[EntryDate],DATE(2026,9,5),tblDaily[WardCode],"BG")),"")</f>
        <v/>
      </c>
      <c r="H323" s="29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IFERROR(IF(SUMIFS(tblDaily[Admissions],tblDaily[EntryDate],DATE(2026,9,6),tblDaily[WardCode],"BG")=0,"",SUMIFS(tblDaily[Admissions],tblDaily[EntryDate],DATE(2026,9,6),tblDaily[WardCode],"BG")),"")</f>
        <v/>
      </c>
      <c r="C324" s="29" t="str">
        <f>IFERROR(IF(SUMIFS(tblDaily[Discharges],tblDaily[EntryDate],DATE(2026,9,6),tblDaily[WardCode],"BG")=0,"",SUMIFS(tblDaily[Discharges],tblDaily[EntryDate],DATE(2026,9,6),tblDaily[WardCode],"BG")),"")</f>
        <v/>
      </c>
      <c r="D324" s="29" t="str">
        <f>IFERROR(IF(SUMIFS(tblDaily[Deaths],tblDaily[EntryDate],DATE(2026,9,6),tblDaily[WardCode],"BG")=0,"",SUMIFS(tblDaily[Deaths],tblDaily[EntryDate],DATE(2026,9,6),tblDaily[WardCode],"BG")),"")</f>
        <v/>
      </c>
      <c r="E324" s="29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29" t="str">
        <f>IFERROR(IF(SUMIFS(tblDaily[TransfersIn],tblDaily[EntryDate],DATE(2026,9,6),tblDaily[WardCode],"BG")=0,"",SUMIFS(tblDaily[TransfersIn],tblDaily[EntryDate],DATE(2026,9,6),tblDaily[WardCode],"BG")),"")</f>
        <v/>
      </c>
      <c r="G324" s="29" t="str">
        <f>IFERROR(IF(SUMIFS(tblDaily[TransfersOut],tblDaily[EntryDate],DATE(2026,9,6),tblDaily[WardCode],"BG")=0,"",SUMIFS(tblDaily[TransfersOut],tblDaily[EntryDate],DATE(2026,9,6),tblDaily[WardCode],"BG")),"")</f>
        <v/>
      </c>
      <c r="H324" s="29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IFERROR(IF(SUMIFS(tblDaily[Admissions],tblDaily[EntryDate],DATE(2026,9,7),tblDaily[WardCode],"BG")=0,"",SUMIFS(tblDaily[Admissions],tblDaily[EntryDate],DATE(2026,9,7),tblDaily[WardCode],"BG")),"")</f>
        <v/>
      </c>
      <c r="C325" s="29" t="str">
        <f>IFERROR(IF(SUMIFS(tblDaily[Discharges],tblDaily[EntryDate],DATE(2026,9,7),tblDaily[WardCode],"BG")=0,"",SUMIFS(tblDaily[Discharges],tblDaily[EntryDate],DATE(2026,9,7),tblDaily[WardCode],"BG")),"")</f>
        <v/>
      </c>
      <c r="D325" s="29" t="str">
        <f>IFERROR(IF(SUMIFS(tblDaily[Deaths],tblDaily[EntryDate],DATE(2026,9,7),tblDaily[WardCode],"BG")=0,"",SUMIFS(tblDaily[Deaths],tblDaily[EntryDate],DATE(2026,9,7),tblDaily[WardCode],"BG")),"")</f>
        <v/>
      </c>
      <c r="E325" s="29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29" t="str">
        <f>IFERROR(IF(SUMIFS(tblDaily[TransfersIn],tblDaily[EntryDate],DATE(2026,9,7),tblDaily[WardCode],"BG")=0,"",SUMIFS(tblDaily[TransfersIn],tblDaily[EntryDate],DATE(2026,9,7),tblDaily[WardCode],"BG")),"")</f>
        <v/>
      </c>
      <c r="G325" s="29" t="str">
        <f>IFERROR(IF(SUMIFS(tblDaily[TransfersOut],tblDaily[EntryDate],DATE(2026,9,7),tblDaily[WardCode],"BG")=0,"",SUMIFS(tblDaily[TransfersOut],tblDaily[EntryDate],DATE(2026,9,7),tblDaily[WardCode],"BG")),"")</f>
        <v/>
      </c>
      <c r="H325" s="29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IFERROR(IF(SUMIFS(tblDaily[Admissions],tblDaily[EntryDate],DATE(2026,9,8),tblDaily[WardCode],"BG")=0,"",SUMIFS(tblDaily[Admissions],tblDaily[EntryDate],DATE(2026,9,8),tblDaily[WardCode],"BG")),"")</f>
        <v/>
      </c>
      <c r="C326" s="29" t="str">
        <f>IFERROR(IF(SUMIFS(tblDaily[Discharges],tblDaily[EntryDate],DATE(2026,9,8),tblDaily[WardCode],"BG")=0,"",SUMIFS(tblDaily[Discharges],tblDaily[EntryDate],DATE(2026,9,8),tblDaily[WardCode],"BG")),"")</f>
        <v/>
      </c>
      <c r="D326" s="29" t="str">
        <f>IFERROR(IF(SUMIFS(tblDaily[Deaths],tblDaily[EntryDate],DATE(2026,9,8),tblDaily[WardCode],"BG")=0,"",SUMIFS(tblDaily[Deaths],tblDaily[EntryDate],DATE(2026,9,8),tblDaily[WardCode],"BG")),"")</f>
        <v/>
      </c>
      <c r="E326" s="29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29" t="str">
        <f>IFERROR(IF(SUMIFS(tblDaily[TransfersIn],tblDaily[EntryDate],DATE(2026,9,8),tblDaily[WardCode],"BG")=0,"",SUMIFS(tblDaily[TransfersIn],tblDaily[EntryDate],DATE(2026,9,8),tblDaily[WardCode],"BG")),"")</f>
        <v/>
      </c>
      <c r="G326" s="29" t="str">
        <f>IFERROR(IF(SUMIFS(tblDaily[TransfersOut],tblDaily[EntryDate],DATE(2026,9,8),tblDaily[WardCode],"BG")=0,"",SUMIFS(tblDaily[TransfersOut],tblDaily[EntryDate],DATE(2026,9,8),tblDaily[WardCode],"BG")),"")</f>
        <v/>
      </c>
      <c r="H326" s="29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IFERROR(IF(SUMIFS(tblDaily[Admissions],tblDaily[EntryDate],DATE(2026,9,9),tblDaily[WardCode],"BG")=0,"",SUMIFS(tblDaily[Admissions],tblDaily[EntryDate],DATE(2026,9,9),tblDaily[WardCode],"BG")),"")</f>
        <v/>
      </c>
      <c r="C327" s="29" t="str">
        <f>IFERROR(IF(SUMIFS(tblDaily[Discharges],tblDaily[EntryDate],DATE(2026,9,9),tblDaily[WardCode],"BG")=0,"",SUMIFS(tblDaily[Discharges],tblDaily[EntryDate],DATE(2026,9,9),tblDaily[WardCode],"BG")),"")</f>
        <v/>
      </c>
      <c r="D327" s="29" t="str">
        <f>IFERROR(IF(SUMIFS(tblDaily[Deaths],tblDaily[EntryDate],DATE(2026,9,9),tblDaily[WardCode],"BG")=0,"",SUMIFS(tblDaily[Deaths],tblDaily[EntryDate],DATE(2026,9,9),tblDaily[WardCode],"BG")),"")</f>
        <v/>
      </c>
      <c r="E327" s="29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29" t="str">
        <f>IFERROR(IF(SUMIFS(tblDaily[TransfersIn],tblDaily[EntryDate],DATE(2026,9,9),tblDaily[WardCode],"BG")=0,"",SUMIFS(tblDaily[TransfersIn],tblDaily[EntryDate],DATE(2026,9,9),tblDaily[WardCode],"BG")),"")</f>
        <v/>
      </c>
      <c r="G327" s="29" t="str">
        <f>IFERROR(IF(SUMIFS(tblDaily[TransfersOut],tblDaily[EntryDate],DATE(2026,9,9),tblDaily[WardCode],"BG")=0,"",SUMIFS(tblDaily[TransfersOut],tblDaily[EntryDate],DATE(2026,9,9),tblDaily[WardCode],"BG")),"")</f>
        <v/>
      </c>
      <c r="H327" s="29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IFERROR(IF(SUMIFS(tblDaily[Admissions],tblDaily[EntryDate],DATE(2026,9,10),tblDaily[WardCode],"BG")=0,"",SUMIFS(tblDaily[Admissions],tblDaily[EntryDate],DATE(2026,9,10),tblDaily[WardCode],"BG")),"")</f>
        <v/>
      </c>
      <c r="C328" s="29" t="str">
        <f>IFERROR(IF(SUMIFS(tblDaily[Discharges],tblDaily[EntryDate],DATE(2026,9,10),tblDaily[WardCode],"BG")=0,"",SUMIFS(tblDaily[Discharges],tblDaily[EntryDate],DATE(2026,9,10),tblDaily[WardCode],"BG")),"")</f>
        <v/>
      </c>
      <c r="D328" s="29" t="str">
        <f>IFERROR(IF(SUMIFS(tblDaily[Deaths],tblDaily[EntryDate],DATE(2026,9,10),tblDaily[WardCode],"BG")=0,"",SUMIFS(tblDaily[Deaths],tblDaily[EntryDate],DATE(2026,9,10),tblDaily[WardCode],"BG")),"")</f>
        <v/>
      </c>
      <c r="E328" s="29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29" t="str">
        <f>IFERROR(IF(SUMIFS(tblDaily[TransfersIn],tblDaily[EntryDate],DATE(2026,9,10),tblDaily[WardCode],"BG")=0,"",SUMIFS(tblDaily[TransfersIn],tblDaily[EntryDate],DATE(2026,9,10),tblDaily[WardCode],"BG")),"")</f>
        <v/>
      </c>
      <c r="G328" s="29" t="str">
        <f>IFERROR(IF(SUMIFS(tblDaily[TransfersOut],tblDaily[EntryDate],DATE(2026,9,10),tblDaily[WardCode],"BG")=0,"",SUMIFS(tblDaily[TransfersOut],tblDaily[EntryDate],DATE(2026,9,10),tblDaily[WardCode],"BG")),"")</f>
        <v/>
      </c>
      <c r="H328" s="29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IFERROR(IF(SUMIFS(tblDaily[Admissions],tblDaily[EntryDate],DATE(2026,9,11),tblDaily[WardCode],"BG")=0,"",SUMIFS(tblDaily[Admissions],tblDaily[EntryDate],DATE(2026,9,11),tblDaily[WardCode],"BG")),"")</f>
        <v/>
      </c>
      <c r="C329" s="29" t="str">
        <f>IFERROR(IF(SUMIFS(tblDaily[Discharges],tblDaily[EntryDate],DATE(2026,9,11),tblDaily[WardCode],"BG")=0,"",SUMIFS(tblDaily[Discharges],tblDaily[EntryDate],DATE(2026,9,11),tblDaily[WardCode],"BG")),"")</f>
        <v/>
      </c>
      <c r="D329" s="29" t="str">
        <f>IFERROR(IF(SUMIFS(tblDaily[Deaths],tblDaily[EntryDate],DATE(2026,9,11),tblDaily[WardCode],"BG")=0,"",SUMIFS(tblDaily[Deaths],tblDaily[EntryDate],DATE(2026,9,11),tblDaily[WardCode],"BG")),"")</f>
        <v/>
      </c>
      <c r="E329" s="29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29" t="str">
        <f>IFERROR(IF(SUMIFS(tblDaily[TransfersIn],tblDaily[EntryDate],DATE(2026,9,11),tblDaily[WardCode],"BG")=0,"",SUMIFS(tblDaily[TransfersIn],tblDaily[EntryDate],DATE(2026,9,11),tblDaily[WardCode],"BG")),"")</f>
        <v/>
      </c>
      <c r="G329" s="29" t="str">
        <f>IFERROR(IF(SUMIFS(tblDaily[TransfersOut],tblDaily[EntryDate],DATE(2026,9,11),tblDaily[WardCode],"BG")=0,"",SUMIFS(tblDaily[TransfersOut],tblDaily[EntryDate],DATE(2026,9,11),tblDaily[WardCode],"BG")),"")</f>
        <v/>
      </c>
      <c r="H329" s="29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IFERROR(IF(SUMIFS(tblDaily[Admissions],tblDaily[EntryDate],DATE(2026,9,12),tblDaily[WardCode],"BG")=0,"",SUMIFS(tblDaily[Admissions],tblDaily[EntryDate],DATE(2026,9,12),tblDaily[WardCode],"BG")),"")</f>
        <v/>
      </c>
      <c r="C330" s="29" t="str">
        <f>IFERROR(IF(SUMIFS(tblDaily[Discharges],tblDaily[EntryDate],DATE(2026,9,12),tblDaily[WardCode],"BG")=0,"",SUMIFS(tblDaily[Discharges],tblDaily[EntryDate],DATE(2026,9,12),tblDaily[WardCode],"BG")),"")</f>
        <v/>
      </c>
      <c r="D330" s="29" t="str">
        <f>IFERROR(IF(SUMIFS(tblDaily[Deaths],tblDaily[EntryDate],DATE(2026,9,12),tblDaily[WardCode],"BG")=0,"",SUMIFS(tblDaily[Deaths],tblDaily[EntryDate],DATE(2026,9,12),tblDaily[WardCode],"BG")),"")</f>
        <v/>
      </c>
      <c r="E330" s="29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29" t="str">
        <f>IFERROR(IF(SUMIFS(tblDaily[TransfersIn],tblDaily[EntryDate],DATE(2026,9,12),tblDaily[WardCode],"BG")=0,"",SUMIFS(tblDaily[TransfersIn],tblDaily[EntryDate],DATE(2026,9,12),tblDaily[WardCode],"BG")),"")</f>
        <v/>
      </c>
      <c r="G330" s="29" t="str">
        <f>IFERROR(IF(SUMIFS(tblDaily[TransfersOut],tblDaily[EntryDate],DATE(2026,9,12),tblDaily[WardCode],"BG")=0,"",SUMIFS(tblDaily[TransfersOut],tblDaily[EntryDate],DATE(2026,9,12),tblDaily[WardCode],"BG")),"")</f>
        <v/>
      </c>
      <c r="H330" s="29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IFERROR(IF(SUMIFS(tblDaily[Admissions],tblDaily[EntryDate],DATE(2026,9,13),tblDaily[WardCode],"BG")=0,"",SUMIFS(tblDaily[Admissions],tblDaily[EntryDate],DATE(2026,9,13),tblDaily[WardCode],"BG")),"")</f>
        <v/>
      </c>
      <c r="C331" s="29" t="str">
        <f>IFERROR(IF(SUMIFS(tblDaily[Discharges],tblDaily[EntryDate],DATE(2026,9,13),tblDaily[WardCode],"BG")=0,"",SUMIFS(tblDaily[Discharges],tblDaily[EntryDate],DATE(2026,9,13),tblDaily[WardCode],"BG")),"")</f>
        <v/>
      </c>
      <c r="D331" s="29" t="str">
        <f>IFERROR(IF(SUMIFS(tblDaily[Deaths],tblDaily[EntryDate],DATE(2026,9,13),tblDaily[WardCode],"BG")=0,"",SUMIFS(tblDaily[Deaths],tblDaily[EntryDate],DATE(2026,9,13),tblDaily[WardCode],"BG")),"")</f>
        <v/>
      </c>
      <c r="E331" s="29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29" t="str">
        <f>IFERROR(IF(SUMIFS(tblDaily[TransfersIn],tblDaily[EntryDate],DATE(2026,9,13),tblDaily[WardCode],"BG")=0,"",SUMIFS(tblDaily[TransfersIn],tblDaily[EntryDate],DATE(2026,9,13),tblDaily[WardCode],"BG")),"")</f>
        <v/>
      </c>
      <c r="G331" s="29" t="str">
        <f>IFERROR(IF(SUMIFS(tblDaily[TransfersOut],tblDaily[EntryDate],DATE(2026,9,13),tblDaily[WardCode],"BG")=0,"",SUMIFS(tblDaily[TransfersOut],tblDaily[EntryDate],DATE(2026,9,13),tblDaily[WardCode],"BG")),"")</f>
        <v/>
      </c>
      <c r="H331" s="29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IFERROR(IF(SUMIFS(tblDaily[Admissions],tblDaily[EntryDate],DATE(2026,9,14),tblDaily[WardCode],"BG")=0,"",SUMIFS(tblDaily[Admissions],tblDaily[EntryDate],DATE(2026,9,14),tblDaily[WardCode],"BG")),"")</f>
        <v/>
      </c>
      <c r="C332" s="29" t="str">
        <f>IFERROR(IF(SUMIFS(tblDaily[Discharges],tblDaily[EntryDate],DATE(2026,9,14),tblDaily[WardCode],"BG")=0,"",SUMIFS(tblDaily[Discharges],tblDaily[EntryDate],DATE(2026,9,14),tblDaily[WardCode],"BG")),"")</f>
        <v/>
      </c>
      <c r="D332" s="29" t="str">
        <f>IFERROR(IF(SUMIFS(tblDaily[Deaths],tblDaily[EntryDate],DATE(2026,9,14),tblDaily[WardCode],"BG")=0,"",SUMIFS(tblDaily[Deaths],tblDaily[EntryDate],DATE(2026,9,14),tblDaily[WardCode],"BG")),"")</f>
        <v/>
      </c>
      <c r="E332" s="29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29" t="str">
        <f>IFERROR(IF(SUMIFS(tblDaily[TransfersIn],tblDaily[EntryDate],DATE(2026,9,14),tblDaily[WardCode],"BG")=0,"",SUMIFS(tblDaily[TransfersIn],tblDaily[EntryDate],DATE(2026,9,14),tblDaily[WardCode],"BG")),"")</f>
        <v/>
      </c>
      <c r="G332" s="29" t="str">
        <f>IFERROR(IF(SUMIFS(tblDaily[TransfersOut],tblDaily[EntryDate],DATE(2026,9,14),tblDaily[WardCode],"BG")=0,"",SUMIFS(tblDaily[TransfersOut],tblDaily[EntryDate],DATE(2026,9,14),tblDaily[WardCode],"BG")),"")</f>
        <v/>
      </c>
      <c r="H332" s="29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IFERROR(IF(SUMIFS(tblDaily[Admissions],tblDaily[EntryDate],DATE(2026,9,15),tblDaily[WardCode],"BG")=0,"",SUMIFS(tblDaily[Admissions],tblDaily[EntryDate],DATE(2026,9,15),tblDaily[WardCode],"BG")),"")</f>
        <v/>
      </c>
      <c r="C333" s="29" t="str">
        <f>IFERROR(IF(SUMIFS(tblDaily[Discharges],tblDaily[EntryDate],DATE(2026,9,15),tblDaily[WardCode],"BG")=0,"",SUMIFS(tblDaily[Discharges],tblDaily[EntryDate],DATE(2026,9,15),tblDaily[WardCode],"BG")),"")</f>
        <v/>
      </c>
      <c r="D333" s="29" t="str">
        <f>IFERROR(IF(SUMIFS(tblDaily[Deaths],tblDaily[EntryDate],DATE(2026,9,15),tblDaily[WardCode],"BG")=0,"",SUMIFS(tblDaily[Deaths],tblDaily[EntryDate],DATE(2026,9,15),tblDaily[WardCode],"BG")),"")</f>
        <v/>
      </c>
      <c r="E333" s="29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29" t="str">
        <f>IFERROR(IF(SUMIFS(tblDaily[TransfersIn],tblDaily[EntryDate],DATE(2026,9,15),tblDaily[WardCode],"BG")=0,"",SUMIFS(tblDaily[TransfersIn],tblDaily[EntryDate],DATE(2026,9,15),tblDaily[WardCode],"BG")),"")</f>
        <v/>
      </c>
      <c r="G333" s="29" t="str">
        <f>IFERROR(IF(SUMIFS(tblDaily[TransfersOut],tblDaily[EntryDate],DATE(2026,9,15),tblDaily[WardCode],"BG")=0,"",SUMIFS(tblDaily[TransfersOut],tblDaily[EntryDate],DATE(2026,9,15),tblDaily[WardCode],"BG")),"")</f>
        <v/>
      </c>
      <c r="H333" s="29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IFERROR(IF(SUMIFS(tblDaily[Admissions],tblDaily[EntryDate],DATE(2026,9,16),tblDaily[WardCode],"BG")=0,"",SUMIFS(tblDaily[Admissions],tblDaily[EntryDate],DATE(2026,9,16),tblDaily[WardCode],"BG")),"")</f>
        <v/>
      </c>
      <c r="C334" s="29" t="str">
        <f>IFERROR(IF(SUMIFS(tblDaily[Discharges],tblDaily[EntryDate],DATE(2026,9,16),tblDaily[WardCode],"BG")=0,"",SUMIFS(tblDaily[Discharges],tblDaily[EntryDate],DATE(2026,9,16),tblDaily[WardCode],"BG")),"")</f>
        <v/>
      </c>
      <c r="D334" s="29" t="str">
        <f>IFERROR(IF(SUMIFS(tblDaily[Deaths],tblDaily[EntryDate],DATE(2026,9,16),tblDaily[WardCode],"BG")=0,"",SUMIFS(tblDaily[Deaths],tblDaily[EntryDate],DATE(2026,9,16),tblDaily[WardCode],"BG")),"")</f>
        <v/>
      </c>
      <c r="E334" s="29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29" t="str">
        <f>IFERROR(IF(SUMIFS(tblDaily[TransfersIn],tblDaily[EntryDate],DATE(2026,9,16),tblDaily[WardCode],"BG")=0,"",SUMIFS(tblDaily[TransfersIn],tblDaily[EntryDate],DATE(2026,9,16),tblDaily[WardCode],"BG")),"")</f>
        <v/>
      </c>
      <c r="G334" s="29" t="str">
        <f>IFERROR(IF(SUMIFS(tblDaily[TransfersOut],tblDaily[EntryDate],DATE(2026,9,16),tblDaily[WardCode],"BG")=0,"",SUMIFS(tblDaily[TransfersOut],tblDaily[EntryDate],DATE(2026,9,16),tblDaily[WardCode],"BG")),"")</f>
        <v/>
      </c>
      <c r="H334" s="29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IFERROR(IF(SUMIFS(tblDaily[Admissions],tblDaily[EntryDate],DATE(2026,9,17),tblDaily[WardCode],"BG")=0,"",SUMIFS(tblDaily[Admissions],tblDaily[EntryDate],DATE(2026,9,17),tblDaily[WardCode],"BG")),"")</f>
        <v/>
      </c>
      <c r="C335" s="29" t="str">
        <f>IFERROR(IF(SUMIFS(tblDaily[Discharges],tblDaily[EntryDate],DATE(2026,9,17),tblDaily[WardCode],"BG")=0,"",SUMIFS(tblDaily[Discharges],tblDaily[EntryDate],DATE(2026,9,17),tblDaily[WardCode],"BG")),"")</f>
        <v/>
      </c>
      <c r="D335" s="29" t="str">
        <f>IFERROR(IF(SUMIFS(tblDaily[Deaths],tblDaily[EntryDate],DATE(2026,9,17),tblDaily[WardCode],"BG")=0,"",SUMIFS(tblDaily[Deaths],tblDaily[EntryDate],DATE(2026,9,17),tblDaily[WardCode],"BG")),"")</f>
        <v/>
      </c>
      <c r="E335" s="29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29" t="str">
        <f>IFERROR(IF(SUMIFS(tblDaily[TransfersIn],tblDaily[EntryDate],DATE(2026,9,17),tblDaily[WardCode],"BG")=0,"",SUMIFS(tblDaily[TransfersIn],tblDaily[EntryDate],DATE(2026,9,17),tblDaily[WardCode],"BG")),"")</f>
        <v/>
      </c>
      <c r="G335" s="29" t="str">
        <f>IFERROR(IF(SUMIFS(tblDaily[TransfersOut],tblDaily[EntryDate],DATE(2026,9,17),tblDaily[WardCode],"BG")=0,"",SUMIFS(tblDaily[TransfersOut],tblDaily[EntryDate],DATE(2026,9,17),tblDaily[WardCode],"BG")),"")</f>
        <v/>
      </c>
      <c r="H335" s="29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IFERROR(IF(SUMIFS(tblDaily[Admissions],tblDaily[EntryDate],DATE(2026,9,18),tblDaily[WardCode],"BG")=0,"",SUMIFS(tblDaily[Admissions],tblDaily[EntryDate],DATE(2026,9,18),tblDaily[WardCode],"BG")),"")</f>
        <v/>
      </c>
      <c r="C336" s="29" t="str">
        <f>IFERROR(IF(SUMIFS(tblDaily[Discharges],tblDaily[EntryDate],DATE(2026,9,18),tblDaily[WardCode],"BG")=0,"",SUMIFS(tblDaily[Discharges],tblDaily[EntryDate],DATE(2026,9,18),tblDaily[WardCode],"BG")),"")</f>
        <v/>
      </c>
      <c r="D336" s="29" t="str">
        <f>IFERROR(IF(SUMIFS(tblDaily[Deaths],tblDaily[EntryDate],DATE(2026,9,18),tblDaily[WardCode],"BG")=0,"",SUMIFS(tblDaily[Deaths],tblDaily[EntryDate],DATE(2026,9,18),tblDaily[WardCode],"BG")),"")</f>
        <v/>
      </c>
      <c r="E336" s="29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29" t="str">
        <f>IFERROR(IF(SUMIFS(tblDaily[TransfersIn],tblDaily[EntryDate],DATE(2026,9,18),tblDaily[WardCode],"BG")=0,"",SUMIFS(tblDaily[TransfersIn],tblDaily[EntryDate],DATE(2026,9,18),tblDaily[WardCode],"BG")),"")</f>
        <v/>
      </c>
      <c r="G336" s="29" t="str">
        <f>IFERROR(IF(SUMIFS(tblDaily[TransfersOut],tblDaily[EntryDate],DATE(2026,9,18),tblDaily[WardCode],"BG")=0,"",SUMIFS(tblDaily[TransfersOut],tblDaily[EntryDate],DATE(2026,9,18),tblDaily[WardCode],"BG")),"")</f>
        <v/>
      </c>
      <c r="H336" s="29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IFERROR(IF(SUMIFS(tblDaily[Admissions],tblDaily[EntryDate],DATE(2026,9,19),tblDaily[WardCode],"BG")=0,"",SUMIFS(tblDaily[Admissions],tblDaily[EntryDate],DATE(2026,9,19),tblDaily[WardCode],"BG")),"")</f>
        <v/>
      </c>
      <c r="C337" s="29" t="str">
        <f>IFERROR(IF(SUMIFS(tblDaily[Discharges],tblDaily[EntryDate],DATE(2026,9,19),tblDaily[WardCode],"BG")=0,"",SUMIFS(tblDaily[Discharges],tblDaily[EntryDate],DATE(2026,9,19),tblDaily[WardCode],"BG")),"")</f>
        <v/>
      </c>
      <c r="D337" s="29" t="str">
        <f>IFERROR(IF(SUMIFS(tblDaily[Deaths],tblDaily[EntryDate],DATE(2026,9,19),tblDaily[WardCode],"BG")=0,"",SUMIFS(tblDaily[Deaths],tblDaily[EntryDate],DATE(2026,9,19),tblDaily[WardCode],"BG")),"")</f>
        <v/>
      </c>
      <c r="E337" s="29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29" t="str">
        <f>IFERROR(IF(SUMIFS(tblDaily[TransfersIn],tblDaily[EntryDate],DATE(2026,9,19),tblDaily[WardCode],"BG")=0,"",SUMIFS(tblDaily[TransfersIn],tblDaily[EntryDate],DATE(2026,9,19),tblDaily[WardCode],"BG")),"")</f>
        <v/>
      </c>
      <c r="G337" s="29" t="str">
        <f>IFERROR(IF(SUMIFS(tblDaily[TransfersOut],tblDaily[EntryDate],DATE(2026,9,19),tblDaily[WardCode],"BG")=0,"",SUMIFS(tblDaily[TransfersOut],tblDaily[EntryDate],DATE(2026,9,19),tblDaily[WardCode],"BG")),"")</f>
        <v/>
      </c>
      <c r="H337" s="29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IFERROR(IF(SUMIFS(tblDaily[Admissions],tblDaily[EntryDate],DATE(2026,9,20),tblDaily[WardCode],"BG")=0,"",SUMIFS(tblDaily[Admissions],tblDaily[EntryDate],DATE(2026,9,20),tblDaily[WardCode],"BG")),"")</f>
        <v/>
      </c>
      <c r="C338" s="29" t="str">
        <f>IFERROR(IF(SUMIFS(tblDaily[Discharges],tblDaily[EntryDate],DATE(2026,9,20),tblDaily[WardCode],"BG")=0,"",SUMIFS(tblDaily[Discharges],tblDaily[EntryDate],DATE(2026,9,20),tblDaily[WardCode],"BG")),"")</f>
        <v/>
      </c>
      <c r="D338" s="29" t="str">
        <f>IFERROR(IF(SUMIFS(tblDaily[Deaths],tblDaily[EntryDate],DATE(2026,9,20),tblDaily[WardCode],"BG")=0,"",SUMIFS(tblDaily[Deaths],tblDaily[EntryDate],DATE(2026,9,20),tblDaily[WardCode],"BG")),"")</f>
        <v/>
      </c>
      <c r="E338" s="29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29" t="str">
        <f>IFERROR(IF(SUMIFS(tblDaily[TransfersIn],tblDaily[EntryDate],DATE(2026,9,20),tblDaily[WardCode],"BG")=0,"",SUMIFS(tblDaily[TransfersIn],tblDaily[EntryDate],DATE(2026,9,20),tblDaily[WardCode],"BG")),"")</f>
        <v/>
      </c>
      <c r="G338" s="29" t="str">
        <f>IFERROR(IF(SUMIFS(tblDaily[TransfersOut],tblDaily[EntryDate],DATE(2026,9,20),tblDaily[WardCode],"BG")=0,"",SUMIFS(tblDaily[TransfersOut],tblDaily[EntryDate],DATE(2026,9,20),tblDaily[WardCode],"BG")),"")</f>
        <v/>
      </c>
      <c r="H338" s="29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IFERROR(IF(SUMIFS(tblDaily[Admissions],tblDaily[EntryDate],DATE(2026,9,21),tblDaily[WardCode],"BG")=0,"",SUMIFS(tblDaily[Admissions],tblDaily[EntryDate],DATE(2026,9,21),tblDaily[WardCode],"BG")),"")</f>
        <v/>
      </c>
      <c r="C339" s="29" t="str">
        <f>IFERROR(IF(SUMIFS(tblDaily[Discharges],tblDaily[EntryDate],DATE(2026,9,21),tblDaily[WardCode],"BG")=0,"",SUMIFS(tblDaily[Discharges],tblDaily[EntryDate],DATE(2026,9,21),tblDaily[WardCode],"BG")),"")</f>
        <v/>
      </c>
      <c r="D339" s="29" t="str">
        <f>IFERROR(IF(SUMIFS(tblDaily[Deaths],tblDaily[EntryDate],DATE(2026,9,21),tblDaily[WardCode],"BG")=0,"",SUMIFS(tblDaily[Deaths],tblDaily[EntryDate],DATE(2026,9,21),tblDaily[WardCode],"BG")),"")</f>
        <v/>
      </c>
      <c r="E339" s="29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29" t="str">
        <f>IFERROR(IF(SUMIFS(tblDaily[TransfersIn],tblDaily[EntryDate],DATE(2026,9,21),tblDaily[WardCode],"BG")=0,"",SUMIFS(tblDaily[TransfersIn],tblDaily[EntryDate],DATE(2026,9,21),tblDaily[WardCode],"BG")),"")</f>
        <v/>
      </c>
      <c r="G339" s="29" t="str">
        <f>IFERROR(IF(SUMIFS(tblDaily[TransfersOut],tblDaily[EntryDate],DATE(2026,9,21),tblDaily[WardCode],"BG")=0,"",SUMIFS(tblDaily[TransfersOut],tblDaily[EntryDate],DATE(2026,9,21),tblDaily[WardCode],"BG")),"")</f>
        <v/>
      </c>
      <c r="H339" s="29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IFERROR(IF(SUMIFS(tblDaily[Admissions],tblDaily[EntryDate],DATE(2026,9,22),tblDaily[WardCode],"BG")=0,"",SUMIFS(tblDaily[Admissions],tblDaily[EntryDate],DATE(2026,9,22),tblDaily[WardCode],"BG")),"")</f>
        <v/>
      </c>
      <c r="C340" s="29" t="str">
        <f>IFERROR(IF(SUMIFS(tblDaily[Discharges],tblDaily[EntryDate],DATE(2026,9,22),tblDaily[WardCode],"BG")=0,"",SUMIFS(tblDaily[Discharges],tblDaily[EntryDate],DATE(2026,9,22),tblDaily[WardCode],"BG")),"")</f>
        <v/>
      </c>
      <c r="D340" s="29" t="str">
        <f>IFERROR(IF(SUMIFS(tblDaily[Deaths],tblDaily[EntryDate],DATE(2026,9,22),tblDaily[WardCode],"BG")=0,"",SUMIFS(tblDaily[Deaths],tblDaily[EntryDate],DATE(2026,9,22),tblDaily[WardCode],"BG")),"")</f>
        <v/>
      </c>
      <c r="E340" s="29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29" t="str">
        <f>IFERROR(IF(SUMIFS(tblDaily[TransfersIn],tblDaily[EntryDate],DATE(2026,9,22),tblDaily[WardCode],"BG")=0,"",SUMIFS(tblDaily[TransfersIn],tblDaily[EntryDate],DATE(2026,9,22),tblDaily[WardCode],"BG")),"")</f>
        <v/>
      </c>
      <c r="G340" s="29" t="str">
        <f>IFERROR(IF(SUMIFS(tblDaily[TransfersOut],tblDaily[EntryDate],DATE(2026,9,22),tblDaily[WardCode],"BG")=0,"",SUMIFS(tblDaily[TransfersOut],tblDaily[EntryDate],DATE(2026,9,22),tblDaily[WardCode],"BG")),"")</f>
        <v/>
      </c>
      <c r="H340" s="29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IFERROR(IF(SUMIFS(tblDaily[Admissions],tblDaily[EntryDate],DATE(2026,9,23),tblDaily[WardCode],"BG")=0,"",SUMIFS(tblDaily[Admissions],tblDaily[EntryDate],DATE(2026,9,23),tblDaily[WardCode],"BG")),"")</f>
        <v/>
      </c>
      <c r="C341" s="29" t="str">
        <f>IFERROR(IF(SUMIFS(tblDaily[Discharges],tblDaily[EntryDate],DATE(2026,9,23),tblDaily[WardCode],"BG")=0,"",SUMIFS(tblDaily[Discharges],tblDaily[EntryDate],DATE(2026,9,23),tblDaily[WardCode],"BG")),"")</f>
        <v/>
      </c>
      <c r="D341" s="29" t="str">
        <f>IFERROR(IF(SUMIFS(tblDaily[Deaths],tblDaily[EntryDate],DATE(2026,9,23),tblDaily[WardCode],"BG")=0,"",SUMIFS(tblDaily[Deaths],tblDaily[EntryDate],DATE(2026,9,23),tblDaily[WardCode],"BG")),"")</f>
        <v/>
      </c>
      <c r="E341" s="29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29" t="str">
        <f>IFERROR(IF(SUMIFS(tblDaily[TransfersIn],tblDaily[EntryDate],DATE(2026,9,23),tblDaily[WardCode],"BG")=0,"",SUMIFS(tblDaily[TransfersIn],tblDaily[EntryDate],DATE(2026,9,23),tblDaily[WardCode],"BG")),"")</f>
        <v/>
      </c>
      <c r="G341" s="29" t="str">
        <f>IFERROR(IF(SUMIFS(tblDaily[TransfersOut],tblDaily[EntryDate],DATE(2026,9,23),tblDaily[WardCode],"BG")=0,"",SUMIFS(tblDaily[TransfersOut],tblDaily[EntryDate],DATE(2026,9,23),tblDaily[WardCode],"BG")),"")</f>
        <v/>
      </c>
      <c r="H341" s="29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IFERROR(IF(SUMIFS(tblDaily[Admissions],tblDaily[EntryDate],DATE(2026,9,24),tblDaily[WardCode],"BG")=0,"",SUMIFS(tblDaily[Admissions],tblDaily[EntryDate],DATE(2026,9,24),tblDaily[WardCode],"BG")),"")</f>
        <v/>
      </c>
      <c r="C342" s="29" t="str">
        <f>IFERROR(IF(SUMIFS(tblDaily[Discharges],tblDaily[EntryDate],DATE(2026,9,24),tblDaily[WardCode],"BG")=0,"",SUMIFS(tblDaily[Discharges],tblDaily[EntryDate],DATE(2026,9,24),tblDaily[WardCode],"BG")),"")</f>
        <v/>
      </c>
      <c r="D342" s="29" t="str">
        <f>IFERROR(IF(SUMIFS(tblDaily[Deaths],tblDaily[EntryDate],DATE(2026,9,24),tblDaily[WardCode],"BG")=0,"",SUMIFS(tblDaily[Deaths],tblDaily[EntryDate],DATE(2026,9,24),tblDaily[WardCode],"BG")),"")</f>
        <v/>
      </c>
      <c r="E342" s="29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29" t="str">
        <f>IFERROR(IF(SUMIFS(tblDaily[TransfersIn],tblDaily[EntryDate],DATE(2026,9,24),tblDaily[WardCode],"BG")=0,"",SUMIFS(tblDaily[TransfersIn],tblDaily[EntryDate],DATE(2026,9,24),tblDaily[WardCode],"BG")),"")</f>
        <v/>
      </c>
      <c r="G342" s="29" t="str">
        <f>IFERROR(IF(SUMIFS(tblDaily[TransfersOut],tblDaily[EntryDate],DATE(2026,9,24),tblDaily[WardCode],"BG")=0,"",SUMIFS(tblDaily[TransfersOut],tblDaily[EntryDate],DATE(2026,9,24),tblDaily[WardCode],"BG")),"")</f>
        <v/>
      </c>
      <c r="H342" s="29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IFERROR(IF(SUMIFS(tblDaily[Admissions],tblDaily[EntryDate],DATE(2026,9,25),tblDaily[WardCode],"BG")=0,"",SUMIFS(tblDaily[Admissions],tblDaily[EntryDate],DATE(2026,9,25),tblDaily[WardCode],"BG")),"")</f>
        <v/>
      </c>
      <c r="C343" s="29" t="str">
        <f>IFERROR(IF(SUMIFS(tblDaily[Discharges],tblDaily[EntryDate],DATE(2026,9,25),tblDaily[WardCode],"BG")=0,"",SUMIFS(tblDaily[Discharges],tblDaily[EntryDate],DATE(2026,9,25),tblDaily[WardCode],"BG")),"")</f>
        <v/>
      </c>
      <c r="D343" s="29" t="str">
        <f>IFERROR(IF(SUMIFS(tblDaily[Deaths],tblDaily[EntryDate],DATE(2026,9,25),tblDaily[WardCode],"BG")=0,"",SUMIFS(tblDaily[Deaths],tblDaily[EntryDate],DATE(2026,9,25),tblDaily[WardCode],"BG")),"")</f>
        <v/>
      </c>
      <c r="E343" s="29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29" t="str">
        <f>IFERROR(IF(SUMIFS(tblDaily[TransfersIn],tblDaily[EntryDate],DATE(2026,9,25),tblDaily[WardCode],"BG")=0,"",SUMIFS(tblDaily[TransfersIn],tblDaily[EntryDate],DATE(2026,9,25),tblDaily[WardCode],"BG")),"")</f>
        <v/>
      </c>
      <c r="G343" s="29" t="str">
        <f>IFERROR(IF(SUMIFS(tblDaily[TransfersOut],tblDaily[EntryDate],DATE(2026,9,25),tblDaily[WardCode],"BG")=0,"",SUMIFS(tblDaily[TransfersOut],tblDaily[EntryDate],DATE(2026,9,25),tblDaily[WardCode],"BG")),"")</f>
        <v/>
      </c>
      <c r="H343" s="29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IFERROR(IF(SUMIFS(tblDaily[Admissions],tblDaily[EntryDate],DATE(2026,9,26),tblDaily[WardCode],"BG")=0,"",SUMIFS(tblDaily[Admissions],tblDaily[EntryDate],DATE(2026,9,26),tblDaily[WardCode],"BG")),"")</f>
        <v/>
      </c>
      <c r="C344" s="29" t="str">
        <f>IFERROR(IF(SUMIFS(tblDaily[Discharges],tblDaily[EntryDate],DATE(2026,9,26),tblDaily[WardCode],"BG")=0,"",SUMIFS(tblDaily[Discharges],tblDaily[EntryDate],DATE(2026,9,26),tblDaily[WardCode],"BG")),"")</f>
        <v/>
      </c>
      <c r="D344" s="29" t="str">
        <f>IFERROR(IF(SUMIFS(tblDaily[Deaths],tblDaily[EntryDate],DATE(2026,9,26),tblDaily[WardCode],"BG")=0,"",SUMIFS(tblDaily[Deaths],tblDaily[EntryDate],DATE(2026,9,26),tblDaily[WardCode],"BG")),"")</f>
        <v/>
      </c>
      <c r="E344" s="29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29" t="str">
        <f>IFERROR(IF(SUMIFS(tblDaily[TransfersIn],tblDaily[EntryDate],DATE(2026,9,26),tblDaily[WardCode],"BG")=0,"",SUMIFS(tblDaily[TransfersIn],tblDaily[EntryDate],DATE(2026,9,26),tblDaily[WardCode],"BG")),"")</f>
        <v/>
      </c>
      <c r="G344" s="29" t="str">
        <f>IFERROR(IF(SUMIFS(tblDaily[TransfersOut],tblDaily[EntryDate],DATE(2026,9,26),tblDaily[WardCode],"BG")=0,"",SUMIFS(tblDaily[TransfersOut],tblDaily[EntryDate],DATE(2026,9,26),tblDaily[WardCode],"BG")),"")</f>
        <v/>
      </c>
      <c r="H344" s="29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IFERROR(IF(SUMIFS(tblDaily[Admissions],tblDaily[EntryDate],DATE(2026,9,27),tblDaily[WardCode],"BG")=0,"",SUMIFS(tblDaily[Admissions],tblDaily[EntryDate],DATE(2026,9,27),tblDaily[WardCode],"BG")),"")</f>
        <v/>
      </c>
      <c r="C345" s="29" t="str">
        <f>IFERROR(IF(SUMIFS(tblDaily[Discharges],tblDaily[EntryDate],DATE(2026,9,27),tblDaily[WardCode],"BG")=0,"",SUMIFS(tblDaily[Discharges],tblDaily[EntryDate],DATE(2026,9,27),tblDaily[WardCode],"BG")),"")</f>
        <v/>
      </c>
      <c r="D345" s="29" t="str">
        <f>IFERROR(IF(SUMIFS(tblDaily[Deaths],tblDaily[EntryDate],DATE(2026,9,27),tblDaily[WardCode],"BG")=0,"",SUMIFS(tblDaily[Deaths],tblDaily[EntryDate],DATE(2026,9,27),tblDaily[WardCode],"BG")),"")</f>
        <v/>
      </c>
      <c r="E345" s="29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29" t="str">
        <f>IFERROR(IF(SUMIFS(tblDaily[TransfersIn],tblDaily[EntryDate],DATE(2026,9,27),tblDaily[WardCode],"BG")=0,"",SUMIFS(tblDaily[TransfersIn],tblDaily[EntryDate],DATE(2026,9,27),tblDaily[WardCode],"BG")),"")</f>
        <v/>
      </c>
      <c r="G345" s="29" t="str">
        <f>IFERROR(IF(SUMIFS(tblDaily[TransfersOut],tblDaily[EntryDate],DATE(2026,9,27),tblDaily[WardCode],"BG")=0,"",SUMIFS(tblDaily[TransfersOut],tblDaily[EntryDate],DATE(2026,9,27),tblDaily[WardCode],"BG")),"")</f>
        <v/>
      </c>
      <c r="H345" s="29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IFERROR(IF(SUMIFS(tblDaily[Admissions],tblDaily[EntryDate],DATE(2026,9,28),tblDaily[WardCode],"BG")=0,"",SUMIFS(tblDaily[Admissions],tblDaily[EntryDate],DATE(2026,9,28),tblDaily[WardCode],"BG")),"")</f>
        <v/>
      </c>
      <c r="C346" s="29" t="str">
        <f>IFERROR(IF(SUMIFS(tblDaily[Discharges],tblDaily[EntryDate],DATE(2026,9,28),tblDaily[WardCode],"BG")=0,"",SUMIFS(tblDaily[Discharges],tblDaily[EntryDate],DATE(2026,9,28),tblDaily[WardCode],"BG")),"")</f>
        <v/>
      </c>
      <c r="D346" s="29" t="str">
        <f>IFERROR(IF(SUMIFS(tblDaily[Deaths],tblDaily[EntryDate],DATE(2026,9,28),tblDaily[WardCode],"BG")=0,"",SUMIFS(tblDaily[Deaths],tblDaily[EntryDate],DATE(2026,9,28),tblDaily[WardCode],"BG")),"")</f>
        <v/>
      </c>
      <c r="E346" s="29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29" t="str">
        <f>IFERROR(IF(SUMIFS(tblDaily[TransfersIn],tblDaily[EntryDate],DATE(2026,9,28),tblDaily[WardCode],"BG")=0,"",SUMIFS(tblDaily[TransfersIn],tblDaily[EntryDate],DATE(2026,9,28),tblDaily[WardCode],"BG")),"")</f>
        <v/>
      </c>
      <c r="G346" s="29" t="str">
        <f>IFERROR(IF(SUMIFS(tblDaily[TransfersOut],tblDaily[EntryDate],DATE(2026,9,28),tblDaily[WardCode],"BG")=0,"",SUMIFS(tblDaily[TransfersOut],tblDaily[EntryDate],DATE(2026,9,28),tblDaily[WardCode],"BG")),"")</f>
        <v/>
      </c>
      <c r="H346" s="29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IFERROR(IF(SUMIFS(tblDaily[Admissions],tblDaily[EntryDate],DATE(2026,9,29),tblDaily[WardCode],"BG")=0,"",SUMIFS(tblDaily[Admissions],tblDaily[EntryDate],DATE(2026,9,29),tblDaily[WardCode],"BG")),"")</f>
        <v/>
      </c>
      <c r="C347" s="29" t="str">
        <f>IFERROR(IF(SUMIFS(tblDaily[Discharges],tblDaily[EntryDate],DATE(2026,9,29),tblDaily[WardCode],"BG")=0,"",SUMIFS(tblDaily[Discharges],tblDaily[EntryDate],DATE(2026,9,29),tblDaily[WardCode],"BG")),"")</f>
        <v/>
      </c>
      <c r="D347" s="29" t="str">
        <f>IFERROR(IF(SUMIFS(tblDaily[Deaths],tblDaily[EntryDate],DATE(2026,9,29),tblDaily[WardCode],"BG")=0,"",SUMIFS(tblDaily[Deaths],tblDaily[EntryDate],DATE(2026,9,29),tblDaily[WardCode],"BG")),"")</f>
        <v/>
      </c>
      <c r="E347" s="29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29" t="str">
        <f>IFERROR(IF(SUMIFS(tblDaily[TransfersIn],tblDaily[EntryDate],DATE(2026,9,29),tblDaily[WardCode],"BG")=0,"",SUMIFS(tblDaily[TransfersIn],tblDaily[EntryDate],DATE(2026,9,29),tblDaily[WardCode],"BG")),"")</f>
        <v/>
      </c>
      <c r="G347" s="29" t="str">
        <f>IFERROR(IF(SUMIFS(tblDaily[TransfersOut],tblDaily[EntryDate],DATE(2026,9,29),tblDaily[WardCode],"BG")=0,"",SUMIFS(tblDaily[TransfersOut],tblDaily[EntryDate],DATE(2026,9,29),tblDaily[WardCode],"BG")),"")</f>
        <v/>
      </c>
      <c r="H347" s="29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IFERROR(IF(SUMIFS(tblDaily[Admissions],tblDaily[EntryDate],DATE(2026,9,30),tblDaily[WardCode],"BG")=0,"",SUMIFS(tblDaily[Admissions],tblDaily[EntryDate],DATE(2026,9,30),tblDaily[WardCode],"BG")),"")</f>
        <v/>
      </c>
      <c r="C348" s="29" t="str">
        <f>IFERROR(IF(SUMIFS(tblDaily[Discharges],tblDaily[EntryDate],DATE(2026,9,30),tblDaily[WardCode],"BG")=0,"",SUMIFS(tblDaily[Discharges],tblDaily[EntryDate],DATE(2026,9,30),tblDaily[WardCode],"BG")),"")</f>
        <v/>
      </c>
      <c r="D348" s="29" t="str">
        <f>IFERROR(IF(SUMIFS(tblDaily[Deaths],tblDaily[EntryDate],DATE(2026,9,30),tblDaily[WardCode],"BG")=0,"",SUMIFS(tblDaily[Deaths],tblDaily[EntryDate],DATE(2026,9,30),tblDaily[WardCode],"BG")),"")</f>
        <v/>
      </c>
      <c r="E348" s="29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29" t="str">
        <f>IFERROR(IF(SUMIFS(tblDaily[TransfersIn],tblDaily[EntryDate],DATE(2026,9,30),tblDaily[WardCode],"BG")=0,"",SUMIFS(tblDaily[TransfersIn],tblDaily[EntryDate],DATE(2026,9,30),tblDaily[WardCode],"BG")),"")</f>
        <v/>
      </c>
      <c r="G348" s="29" t="str">
        <f>IFERROR(IF(SUMIFS(tblDaily[TransfersOut],tblDaily[EntryDate],DATE(2026,9,30),tblDaily[WardCode],"BG")=0,"",SUMIFS(tblDaily[TransfersOut],tblDaily[EntryDate],DATE(2026,9,30),tblDaily[WardCode],"BG")),"")</f>
        <v/>
      </c>
      <c r="H348" s="29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SUMIFS(tblDaily[Admissions],tblDaily[Month],9,tblDaily[WardCode],"BG") - SUMIFS(tblDaily[DeathsUnder24Hrs],tblDaily[Month],9,tblDaily[WardCode],"BG")</f>
        <v>0</v>
      </c>
      <c r="C350" s="30">
        <f>SUMIFS(tblDaily[Discharges],tblDaily[Month],9,tblDaily[WardCode],"BG")</f>
        <v>0</v>
      </c>
      <c r="D350" s="30">
        <f>SUMIFS(tblDaily[Deaths],tblDaily[Month],9,tblDaily[WardCode],"BG")</f>
        <v>0</v>
      </c>
      <c r="E350" s="30">
        <f>SUMIFS(tblDaily[DeathsUnder24Hrs],tblDaily[Month],9,tblDaily[WardCode],"BG")</f>
        <v>0</v>
      </c>
      <c r="F350" s="30">
        <f>SUMIFS(tblDaily[TransfersIn],tblDaily[Month],9,tblDaily[WardCode],"BG")</f>
        <v>0</v>
      </c>
      <c r="G350" s="30">
        <f>SUMIFS(tblDaily[TransfersOut],tblDaily[Month],9,tblDaily[WardCode],"BG")</f>
        <v>0</v>
      </c>
      <c r="H350" s="30">
        <f>SUMIFS(tblDaily[Remaining],tblDaily[Month],9,tblDaily[WardCode],"BG")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119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IFERROR(SUMIFS(tblDaily[Remaining],tblDaily[EntryDate],DATE(2026,9,30),tblDaily[WardCode],"BG"),0)</f>
        <v>0</v>
      </c>
    </row>
    <row r="356" spans="1:8" x14ac:dyDescent="0.25">
      <c r="A356" s="24" t="s">
        <v>109</v>
      </c>
      <c r="H356" s="27">
        <f>IFERROR(INDEX(tblWardConfig[BedComplement],MATCH("BG",tblWardConfig[WardCode],0)),0)</f>
        <v>14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IFERROR(IF(SUMIFS(tblDaily[Admissions],tblDaily[EntryDate],DATE(2026,10,1),tblDaily[WardCode],"BG")=0,"",SUMIFS(tblDaily[Admissions],tblDaily[EntryDate],DATE(2026,10,1),tblDaily[WardCode],"BG")),"")</f>
        <v/>
      </c>
      <c r="C358" s="29" t="str">
        <f>IFERROR(IF(SUMIFS(tblDaily[Discharges],tblDaily[EntryDate],DATE(2026,10,1),tblDaily[WardCode],"BG")=0,"",SUMIFS(tblDaily[Discharges],tblDaily[EntryDate],DATE(2026,10,1),tblDaily[WardCode],"BG")),"")</f>
        <v/>
      </c>
      <c r="D358" s="29" t="str">
        <f>IFERROR(IF(SUMIFS(tblDaily[Deaths],tblDaily[EntryDate],DATE(2026,10,1),tblDaily[WardCode],"BG")=0,"",SUMIFS(tblDaily[Deaths],tblDaily[EntryDate],DATE(2026,10,1),tblDaily[WardCode],"BG")),"")</f>
        <v/>
      </c>
      <c r="E358" s="29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29" t="str">
        <f>IFERROR(IF(SUMIFS(tblDaily[TransfersIn],tblDaily[EntryDate],DATE(2026,10,1),tblDaily[WardCode],"BG")=0,"",SUMIFS(tblDaily[TransfersIn],tblDaily[EntryDate],DATE(2026,10,1),tblDaily[WardCode],"BG")),"")</f>
        <v/>
      </c>
      <c r="G358" s="29" t="str">
        <f>IFERROR(IF(SUMIFS(tblDaily[TransfersOut],tblDaily[EntryDate],DATE(2026,10,1),tblDaily[WardCode],"BG")=0,"",SUMIFS(tblDaily[TransfersOut],tblDaily[EntryDate],DATE(2026,10,1),tblDaily[WardCode],"BG")),"")</f>
        <v/>
      </c>
      <c r="H358" s="29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IFERROR(IF(SUMIFS(tblDaily[Admissions],tblDaily[EntryDate],DATE(2026,10,2),tblDaily[WardCode],"BG")=0,"",SUMIFS(tblDaily[Admissions],tblDaily[EntryDate],DATE(2026,10,2),tblDaily[WardCode],"BG")),"")</f>
        <v/>
      </c>
      <c r="C359" s="29" t="str">
        <f>IFERROR(IF(SUMIFS(tblDaily[Discharges],tblDaily[EntryDate],DATE(2026,10,2),tblDaily[WardCode],"BG")=0,"",SUMIFS(tblDaily[Discharges],tblDaily[EntryDate],DATE(2026,10,2),tblDaily[WardCode],"BG")),"")</f>
        <v/>
      </c>
      <c r="D359" s="29" t="str">
        <f>IFERROR(IF(SUMIFS(tblDaily[Deaths],tblDaily[EntryDate],DATE(2026,10,2),tblDaily[WardCode],"BG")=0,"",SUMIFS(tblDaily[Deaths],tblDaily[EntryDate],DATE(2026,10,2),tblDaily[WardCode],"BG")),"")</f>
        <v/>
      </c>
      <c r="E359" s="29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29" t="str">
        <f>IFERROR(IF(SUMIFS(tblDaily[TransfersIn],tblDaily[EntryDate],DATE(2026,10,2),tblDaily[WardCode],"BG")=0,"",SUMIFS(tblDaily[TransfersIn],tblDaily[EntryDate],DATE(2026,10,2),tblDaily[WardCode],"BG")),"")</f>
        <v/>
      </c>
      <c r="G359" s="29" t="str">
        <f>IFERROR(IF(SUMIFS(tblDaily[TransfersOut],tblDaily[EntryDate],DATE(2026,10,2),tblDaily[WardCode],"BG")=0,"",SUMIFS(tblDaily[TransfersOut],tblDaily[EntryDate],DATE(2026,10,2),tblDaily[WardCode],"BG")),"")</f>
        <v/>
      </c>
      <c r="H359" s="29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IFERROR(IF(SUMIFS(tblDaily[Admissions],tblDaily[EntryDate],DATE(2026,10,3),tblDaily[WardCode],"BG")=0,"",SUMIFS(tblDaily[Admissions],tblDaily[EntryDate],DATE(2026,10,3),tblDaily[WardCode],"BG")),"")</f>
        <v/>
      </c>
      <c r="C360" s="29" t="str">
        <f>IFERROR(IF(SUMIFS(tblDaily[Discharges],tblDaily[EntryDate],DATE(2026,10,3),tblDaily[WardCode],"BG")=0,"",SUMIFS(tblDaily[Discharges],tblDaily[EntryDate],DATE(2026,10,3),tblDaily[WardCode],"BG")),"")</f>
        <v/>
      </c>
      <c r="D360" s="29" t="str">
        <f>IFERROR(IF(SUMIFS(tblDaily[Deaths],tblDaily[EntryDate],DATE(2026,10,3),tblDaily[WardCode],"BG")=0,"",SUMIFS(tblDaily[Deaths],tblDaily[EntryDate],DATE(2026,10,3),tblDaily[WardCode],"BG")),"")</f>
        <v/>
      </c>
      <c r="E360" s="29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29" t="str">
        <f>IFERROR(IF(SUMIFS(tblDaily[TransfersIn],tblDaily[EntryDate],DATE(2026,10,3),tblDaily[WardCode],"BG")=0,"",SUMIFS(tblDaily[TransfersIn],tblDaily[EntryDate],DATE(2026,10,3),tblDaily[WardCode],"BG")),"")</f>
        <v/>
      </c>
      <c r="G360" s="29" t="str">
        <f>IFERROR(IF(SUMIFS(tblDaily[TransfersOut],tblDaily[EntryDate],DATE(2026,10,3),tblDaily[WardCode],"BG")=0,"",SUMIFS(tblDaily[TransfersOut],tblDaily[EntryDate],DATE(2026,10,3),tblDaily[WardCode],"BG")),"")</f>
        <v/>
      </c>
      <c r="H360" s="29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IFERROR(IF(SUMIFS(tblDaily[Admissions],tblDaily[EntryDate],DATE(2026,10,4),tblDaily[WardCode],"BG")=0,"",SUMIFS(tblDaily[Admissions],tblDaily[EntryDate],DATE(2026,10,4),tblDaily[WardCode],"BG")),"")</f>
        <v/>
      </c>
      <c r="C361" s="29" t="str">
        <f>IFERROR(IF(SUMIFS(tblDaily[Discharges],tblDaily[EntryDate],DATE(2026,10,4),tblDaily[WardCode],"BG")=0,"",SUMIFS(tblDaily[Discharges],tblDaily[EntryDate],DATE(2026,10,4),tblDaily[WardCode],"BG")),"")</f>
        <v/>
      </c>
      <c r="D361" s="29" t="str">
        <f>IFERROR(IF(SUMIFS(tblDaily[Deaths],tblDaily[EntryDate],DATE(2026,10,4),tblDaily[WardCode],"BG")=0,"",SUMIFS(tblDaily[Deaths],tblDaily[EntryDate],DATE(2026,10,4),tblDaily[WardCode],"BG")),"")</f>
        <v/>
      </c>
      <c r="E361" s="29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29" t="str">
        <f>IFERROR(IF(SUMIFS(tblDaily[TransfersIn],tblDaily[EntryDate],DATE(2026,10,4),tblDaily[WardCode],"BG")=0,"",SUMIFS(tblDaily[TransfersIn],tblDaily[EntryDate],DATE(2026,10,4),tblDaily[WardCode],"BG")),"")</f>
        <v/>
      </c>
      <c r="G361" s="29" t="str">
        <f>IFERROR(IF(SUMIFS(tblDaily[TransfersOut],tblDaily[EntryDate],DATE(2026,10,4),tblDaily[WardCode],"BG")=0,"",SUMIFS(tblDaily[TransfersOut],tblDaily[EntryDate],DATE(2026,10,4),tblDaily[WardCode],"BG")),"")</f>
        <v/>
      </c>
      <c r="H361" s="29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IFERROR(IF(SUMIFS(tblDaily[Admissions],tblDaily[EntryDate],DATE(2026,10,5),tblDaily[WardCode],"BG")=0,"",SUMIFS(tblDaily[Admissions],tblDaily[EntryDate],DATE(2026,10,5),tblDaily[WardCode],"BG")),"")</f>
        <v/>
      </c>
      <c r="C362" s="29" t="str">
        <f>IFERROR(IF(SUMIFS(tblDaily[Discharges],tblDaily[EntryDate],DATE(2026,10,5),tblDaily[WardCode],"BG")=0,"",SUMIFS(tblDaily[Discharges],tblDaily[EntryDate],DATE(2026,10,5),tblDaily[WardCode],"BG")),"")</f>
        <v/>
      </c>
      <c r="D362" s="29" t="str">
        <f>IFERROR(IF(SUMIFS(tblDaily[Deaths],tblDaily[EntryDate],DATE(2026,10,5),tblDaily[WardCode],"BG")=0,"",SUMIFS(tblDaily[Deaths],tblDaily[EntryDate],DATE(2026,10,5),tblDaily[WardCode],"BG")),"")</f>
        <v/>
      </c>
      <c r="E362" s="29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29" t="str">
        <f>IFERROR(IF(SUMIFS(tblDaily[TransfersIn],tblDaily[EntryDate],DATE(2026,10,5),tblDaily[WardCode],"BG")=0,"",SUMIFS(tblDaily[TransfersIn],tblDaily[EntryDate],DATE(2026,10,5),tblDaily[WardCode],"BG")),"")</f>
        <v/>
      </c>
      <c r="G362" s="29" t="str">
        <f>IFERROR(IF(SUMIFS(tblDaily[TransfersOut],tblDaily[EntryDate],DATE(2026,10,5),tblDaily[WardCode],"BG")=0,"",SUMIFS(tblDaily[TransfersOut],tblDaily[EntryDate],DATE(2026,10,5),tblDaily[WardCode],"BG")),"")</f>
        <v/>
      </c>
      <c r="H362" s="29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IFERROR(IF(SUMIFS(tblDaily[Admissions],tblDaily[EntryDate],DATE(2026,10,6),tblDaily[WardCode],"BG")=0,"",SUMIFS(tblDaily[Admissions],tblDaily[EntryDate],DATE(2026,10,6),tblDaily[WardCode],"BG")),"")</f>
        <v/>
      </c>
      <c r="C363" s="29" t="str">
        <f>IFERROR(IF(SUMIFS(tblDaily[Discharges],tblDaily[EntryDate],DATE(2026,10,6),tblDaily[WardCode],"BG")=0,"",SUMIFS(tblDaily[Discharges],tblDaily[EntryDate],DATE(2026,10,6),tblDaily[WardCode],"BG")),"")</f>
        <v/>
      </c>
      <c r="D363" s="29" t="str">
        <f>IFERROR(IF(SUMIFS(tblDaily[Deaths],tblDaily[EntryDate],DATE(2026,10,6),tblDaily[WardCode],"BG")=0,"",SUMIFS(tblDaily[Deaths],tblDaily[EntryDate],DATE(2026,10,6),tblDaily[WardCode],"BG")),"")</f>
        <v/>
      </c>
      <c r="E363" s="29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29" t="str">
        <f>IFERROR(IF(SUMIFS(tblDaily[TransfersIn],tblDaily[EntryDate],DATE(2026,10,6),tblDaily[WardCode],"BG")=0,"",SUMIFS(tblDaily[TransfersIn],tblDaily[EntryDate],DATE(2026,10,6),tblDaily[WardCode],"BG")),"")</f>
        <v/>
      </c>
      <c r="G363" s="29" t="str">
        <f>IFERROR(IF(SUMIFS(tblDaily[TransfersOut],tblDaily[EntryDate],DATE(2026,10,6),tblDaily[WardCode],"BG")=0,"",SUMIFS(tblDaily[TransfersOut],tblDaily[EntryDate],DATE(2026,10,6),tblDaily[WardCode],"BG")),"")</f>
        <v/>
      </c>
      <c r="H363" s="29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IFERROR(IF(SUMIFS(tblDaily[Admissions],tblDaily[EntryDate],DATE(2026,10,7),tblDaily[WardCode],"BG")=0,"",SUMIFS(tblDaily[Admissions],tblDaily[EntryDate],DATE(2026,10,7),tblDaily[WardCode],"BG")),"")</f>
        <v/>
      </c>
      <c r="C364" s="29" t="str">
        <f>IFERROR(IF(SUMIFS(tblDaily[Discharges],tblDaily[EntryDate],DATE(2026,10,7),tblDaily[WardCode],"BG")=0,"",SUMIFS(tblDaily[Discharges],tblDaily[EntryDate],DATE(2026,10,7),tblDaily[WardCode],"BG")),"")</f>
        <v/>
      </c>
      <c r="D364" s="29" t="str">
        <f>IFERROR(IF(SUMIFS(tblDaily[Deaths],tblDaily[EntryDate],DATE(2026,10,7),tblDaily[WardCode],"BG")=0,"",SUMIFS(tblDaily[Deaths],tblDaily[EntryDate],DATE(2026,10,7),tblDaily[WardCode],"BG")),"")</f>
        <v/>
      </c>
      <c r="E364" s="29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29" t="str">
        <f>IFERROR(IF(SUMIFS(tblDaily[TransfersIn],tblDaily[EntryDate],DATE(2026,10,7),tblDaily[WardCode],"BG")=0,"",SUMIFS(tblDaily[TransfersIn],tblDaily[EntryDate],DATE(2026,10,7),tblDaily[WardCode],"BG")),"")</f>
        <v/>
      </c>
      <c r="G364" s="29" t="str">
        <f>IFERROR(IF(SUMIFS(tblDaily[TransfersOut],tblDaily[EntryDate],DATE(2026,10,7),tblDaily[WardCode],"BG")=0,"",SUMIFS(tblDaily[TransfersOut],tblDaily[EntryDate],DATE(2026,10,7),tblDaily[WardCode],"BG")),"")</f>
        <v/>
      </c>
      <c r="H364" s="29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IFERROR(IF(SUMIFS(tblDaily[Admissions],tblDaily[EntryDate],DATE(2026,10,8),tblDaily[WardCode],"BG")=0,"",SUMIFS(tblDaily[Admissions],tblDaily[EntryDate],DATE(2026,10,8),tblDaily[WardCode],"BG")),"")</f>
        <v/>
      </c>
      <c r="C365" s="29" t="str">
        <f>IFERROR(IF(SUMIFS(tblDaily[Discharges],tblDaily[EntryDate],DATE(2026,10,8),tblDaily[WardCode],"BG")=0,"",SUMIFS(tblDaily[Discharges],tblDaily[EntryDate],DATE(2026,10,8),tblDaily[WardCode],"BG")),"")</f>
        <v/>
      </c>
      <c r="D365" s="29" t="str">
        <f>IFERROR(IF(SUMIFS(tblDaily[Deaths],tblDaily[EntryDate],DATE(2026,10,8),tblDaily[WardCode],"BG")=0,"",SUMIFS(tblDaily[Deaths],tblDaily[EntryDate],DATE(2026,10,8),tblDaily[WardCode],"BG")),"")</f>
        <v/>
      </c>
      <c r="E365" s="29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29" t="str">
        <f>IFERROR(IF(SUMIFS(tblDaily[TransfersIn],tblDaily[EntryDate],DATE(2026,10,8),tblDaily[WardCode],"BG")=0,"",SUMIFS(tblDaily[TransfersIn],tblDaily[EntryDate],DATE(2026,10,8),tblDaily[WardCode],"BG")),"")</f>
        <v/>
      </c>
      <c r="G365" s="29" t="str">
        <f>IFERROR(IF(SUMIFS(tblDaily[TransfersOut],tblDaily[EntryDate],DATE(2026,10,8),tblDaily[WardCode],"BG")=0,"",SUMIFS(tblDaily[TransfersOut],tblDaily[EntryDate],DATE(2026,10,8),tblDaily[WardCode],"BG")),"")</f>
        <v/>
      </c>
      <c r="H365" s="29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IFERROR(IF(SUMIFS(tblDaily[Admissions],tblDaily[EntryDate],DATE(2026,10,9),tblDaily[WardCode],"BG")=0,"",SUMIFS(tblDaily[Admissions],tblDaily[EntryDate],DATE(2026,10,9),tblDaily[WardCode],"BG")),"")</f>
        <v/>
      </c>
      <c r="C366" s="29" t="str">
        <f>IFERROR(IF(SUMIFS(tblDaily[Discharges],tblDaily[EntryDate],DATE(2026,10,9),tblDaily[WardCode],"BG")=0,"",SUMIFS(tblDaily[Discharges],tblDaily[EntryDate],DATE(2026,10,9),tblDaily[WardCode],"BG")),"")</f>
        <v/>
      </c>
      <c r="D366" s="29" t="str">
        <f>IFERROR(IF(SUMIFS(tblDaily[Deaths],tblDaily[EntryDate],DATE(2026,10,9),tblDaily[WardCode],"BG")=0,"",SUMIFS(tblDaily[Deaths],tblDaily[EntryDate],DATE(2026,10,9),tblDaily[WardCode],"BG")),"")</f>
        <v/>
      </c>
      <c r="E366" s="29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29" t="str">
        <f>IFERROR(IF(SUMIFS(tblDaily[TransfersIn],tblDaily[EntryDate],DATE(2026,10,9),tblDaily[WardCode],"BG")=0,"",SUMIFS(tblDaily[TransfersIn],tblDaily[EntryDate],DATE(2026,10,9),tblDaily[WardCode],"BG")),"")</f>
        <v/>
      </c>
      <c r="G366" s="29" t="str">
        <f>IFERROR(IF(SUMIFS(tblDaily[TransfersOut],tblDaily[EntryDate],DATE(2026,10,9),tblDaily[WardCode],"BG")=0,"",SUMIFS(tblDaily[TransfersOut],tblDaily[EntryDate],DATE(2026,10,9),tblDaily[WardCode],"BG")),"")</f>
        <v/>
      </c>
      <c r="H366" s="29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IFERROR(IF(SUMIFS(tblDaily[Admissions],tblDaily[EntryDate],DATE(2026,10,10),tblDaily[WardCode],"BG")=0,"",SUMIFS(tblDaily[Admissions],tblDaily[EntryDate],DATE(2026,10,10),tblDaily[WardCode],"BG")),"")</f>
        <v/>
      </c>
      <c r="C367" s="29" t="str">
        <f>IFERROR(IF(SUMIFS(tblDaily[Discharges],tblDaily[EntryDate],DATE(2026,10,10),tblDaily[WardCode],"BG")=0,"",SUMIFS(tblDaily[Discharges],tblDaily[EntryDate],DATE(2026,10,10),tblDaily[WardCode],"BG")),"")</f>
        <v/>
      </c>
      <c r="D367" s="29" t="str">
        <f>IFERROR(IF(SUMIFS(tblDaily[Deaths],tblDaily[EntryDate],DATE(2026,10,10),tblDaily[WardCode],"BG")=0,"",SUMIFS(tblDaily[Deaths],tblDaily[EntryDate],DATE(2026,10,10),tblDaily[WardCode],"BG")),"")</f>
        <v/>
      </c>
      <c r="E367" s="29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29" t="str">
        <f>IFERROR(IF(SUMIFS(tblDaily[TransfersIn],tblDaily[EntryDate],DATE(2026,10,10),tblDaily[WardCode],"BG")=0,"",SUMIFS(tblDaily[TransfersIn],tblDaily[EntryDate],DATE(2026,10,10),tblDaily[WardCode],"BG")),"")</f>
        <v/>
      </c>
      <c r="G367" s="29" t="str">
        <f>IFERROR(IF(SUMIFS(tblDaily[TransfersOut],tblDaily[EntryDate],DATE(2026,10,10),tblDaily[WardCode],"BG")=0,"",SUMIFS(tblDaily[TransfersOut],tblDaily[EntryDate],DATE(2026,10,10),tblDaily[WardCode],"BG")),"")</f>
        <v/>
      </c>
      <c r="H367" s="29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IFERROR(IF(SUMIFS(tblDaily[Admissions],tblDaily[EntryDate],DATE(2026,10,11),tblDaily[WardCode],"BG")=0,"",SUMIFS(tblDaily[Admissions],tblDaily[EntryDate],DATE(2026,10,11),tblDaily[WardCode],"BG")),"")</f>
        <v/>
      </c>
      <c r="C368" s="29" t="str">
        <f>IFERROR(IF(SUMIFS(tblDaily[Discharges],tblDaily[EntryDate],DATE(2026,10,11),tblDaily[WardCode],"BG")=0,"",SUMIFS(tblDaily[Discharges],tblDaily[EntryDate],DATE(2026,10,11),tblDaily[WardCode],"BG")),"")</f>
        <v/>
      </c>
      <c r="D368" s="29" t="str">
        <f>IFERROR(IF(SUMIFS(tblDaily[Deaths],tblDaily[EntryDate],DATE(2026,10,11),tblDaily[WardCode],"BG")=0,"",SUMIFS(tblDaily[Deaths],tblDaily[EntryDate],DATE(2026,10,11),tblDaily[WardCode],"BG")),"")</f>
        <v/>
      </c>
      <c r="E368" s="29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29" t="str">
        <f>IFERROR(IF(SUMIFS(tblDaily[TransfersIn],tblDaily[EntryDate],DATE(2026,10,11),tblDaily[WardCode],"BG")=0,"",SUMIFS(tblDaily[TransfersIn],tblDaily[EntryDate],DATE(2026,10,11),tblDaily[WardCode],"BG")),"")</f>
        <v/>
      </c>
      <c r="G368" s="29" t="str">
        <f>IFERROR(IF(SUMIFS(tblDaily[TransfersOut],tblDaily[EntryDate],DATE(2026,10,11),tblDaily[WardCode],"BG")=0,"",SUMIFS(tblDaily[TransfersOut],tblDaily[EntryDate],DATE(2026,10,11),tblDaily[WardCode],"BG")),"")</f>
        <v/>
      </c>
      <c r="H368" s="29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IFERROR(IF(SUMIFS(tblDaily[Admissions],tblDaily[EntryDate],DATE(2026,10,12),tblDaily[WardCode],"BG")=0,"",SUMIFS(tblDaily[Admissions],tblDaily[EntryDate],DATE(2026,10,12),tblDaily[WardCode],"BG")),"")</f>
        <v/>
      </c>
      <c r="C369" s="29" t="str">
        <f>IFERROR(IF(SUMIFS(tblDaily[Discharges],tblDaily[EntryDate],DATE(2026,10,12),tblDaily[WardCode],"BG")=0,"",SUMIFS(tblDaily[Discharges],tblDaily[EntryDate],DATE(2026,10,12),tblDaily[WardCode],"BG")),"")</f>
        <v/>
      </c>
      <c r="D369" s="29" t="str">
        <f>IFERROR(IF(SUMIFS(tblDaily[Deaths],tblDaily[EntryDate],DATE(2026,10,12),tblDaily[WardCode],"BG")=0,"",SUMIFS(tblDaily[Deaths],tblDaily[EntryDate],DATE(2026,10,12),tblDaily[WardCode],"BG")),"")</f>
        <v/>
      </c>
      <c r="E369" s="29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29" t="str">
        <f>IFERROR(IF(SUMIFS(tblDaily[TransfersIn],tblDaily[EntryDate],DATE(2026,10,12),tblDaily[WardCode],"BG")=0,"",SUMIFS(tblDaily[TransfersIn],tblDaily[EntryDate],DATE(2026,10,12),tblDaily[WardCode],"BG")),"")</f>
        <v/>
      </c>
      <c r="G369" s="29" t="str">
        <f>IFERROR(IF(SUMIFS(tblDaily[TransfersOut],tblDaily[EntryDate],DATE(2026,10,12),tblDaily[WardCode],"BG")=0,"",SUMIFS(tblDaily[TransfersOut],tblDaily[EntryDate],DATE(2026,10,12),tblDaily[WardCode],"BG")),"")</f>
        <v/>
      </c>
      <c r="H369" s="29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IFERROR(IF(SUMIFS(tblDaily[Admissions],tblDaily[EntryDate],DATE(2026,10,13),tblDaily[WardCode],"BG")=0,"",SUMIFS(tblDaily[Admissions],tblDaily[EntryDate],DATE(2026,10,13),tblDaily[WardCode],"BG")),"")</f>
        <v/>
      </c>
      <c r="C370" s="29" t="str">
        <f>IFERROR(IF(SUMIFS(tblDaily[Discharges],tblDaily[EntryDate],DATE(2026,10,13),tblDaily[WardCode],"BG")=0,"",SUMIFS(tblDaily[Discharges],tblDaily[EntryDate],DATE(2026,10,13),tblDaily[WardCode],"BG")),"")</f>
        <v/>
      </c>
      <c r="D370" s="29" t="str">
        <f>IFERROR(IF(SUMIFS(tblDaily[Deaths],tblDaily[EntryDate],DATE(2026,10,13),tblDaily[WardCode],"BG")=0,"",SUMIFS(tblDaily[Deaths],tblDaily[EntryDate],DATE(2026,10,13),tblDaily[WardCode],"BG")),"")</f>
        <v/>
      </c>
      <c r="E370" s="29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29" t="str">
        <f>IFERROR(IF(SUMIFS(tblDaily[TransfersIn],tblDaily[EntryDate],DATE(2026,10,13),tblDaily[WardCode],"BG")=0,"",SUMIFS(tblDaily[TransfersIn],tblDaily[EntryDate],DATE(2026,10,13),tblDaily[WardCode],"BG")),"")</f>
        <v/>
      </c>
      <c r="G370" s="29" t="str">
        <f>IFERROR(IF(SUMIFS(tblDaily[TransfersOut],tblDaily[EntryDate],DATE(2026,10,13),tblDaily[WardCode],"BG")=0,"",SUMIFS(tblDaily[TransfersOut],tblDaily[EntryDate],DATE(2026,10,13),tblDaily[WardCode],"BG")),"")</f>
        <v/>
      </c>
      <c r="H370" s="29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IFERROR(IF(SUMIFS(tblDaily[Admissions],tblDaily[EntryDate],DATE(2026,10,14),tblDaily[WardCode],"BG")=0,"",SUMIFS(tblDaily[Admissions],tblDaily[EntryDate],DATE(2026,10,14),tblDaily[WardCode],"BG")),"")</f>
        <v/>
      </c>
      <c r="C371" s="29" t="str">
        <f>IFERROR(IF(SUMIFS(tblDaily[Discharges],tblDaily[EntryDate],DATE(2026,10,14),tblDaily[WardCode],"BG")=0,"",SUMIFS(tblDaily[Discharges],tblDaily[EntryDate],DATE(2026,10,14),tblDaily[WardCode],"BG")),"")</f>
        <v/>
      </c>
      <c r="D371" s="29" t="str">
        <f>IFERROR(IF(SUMIFS(tblDaily[Deaths],tblDaily[EntryDate],DATE(2026,10,14),tblDaily[WardCode],"BG")=0,"",SUMIFS(tblDaily[Deaths],tblDaily[EntryDate],DATE(2026,10,14),tblDaily[WardCode],"BG")),"")</f>
        <v/>
      </c>
      <c r="E371" s="29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29" t="str">
        <f>IFERROR(IF(SUMIFS(tblDaily[TransfersIn],tblDaily[EntryDate],DATE(2026,10,14),tblDaily[WardCode],"BG")=0,"",SUMIFS(tblDaily[TransfersIn],tblDaily[EntryDate],DATE(2026,10,14),tblDaily[WardCode],"BG")),"")</f>
        <v/>
      </c>
      <c r="G371" s="29" t="str">
        <f>IFERROR(IF(SUMIFS(tblDaily[TransfersOut],tblDaily[EntryDate],DATE(2026,10,14),tblDaily[WardCode],"BG")=0,"",SUMIFS(tblDaily[TransfersOut],tblDaily[EntryDate],DATE(2026,10,14),tblDaily[WardCode],"BG")),"")</f>
        <v/>
      </c>
      <c r="H371" s="29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IFERROR(IF(SUMIFS(tblDaily[Admissions],tblDaily[EntryDate],DATE(2026,10,15),tblDaily[WardCode],"BG")=0,"",SUMIFS(tblDaily[Admissions],tblDaily[EntryDate],DATE(2026,10,15),tblDaily[WardCode],"BG")),"")</f>
        <v/>
      </c>
      <c r="C372" s="29" t="str">
        <f>IFERROR(IF(SUMIFS(tblDaily[Discharges],tblDaily[EntryDate],DATE(2026,10,15),tblDaily[WardCode],"BG")=0,"",SUMIFS(tblDaily[Discharges],tblDaily[EntryDate],DATE(2026,10,15),tblDaily[WardCode],"BG")),"")</f>
        <v/>
      </c>
      <c r="D372" s="29" t="str">
        <f>IFERROR(IF(SUMIFS(tblDaily[Deaths],tblDaily[EntryDate],DATE(2026,10,15),tblDaily[WardCode],"BG")=0,"",SUMIFS(tblDaily[Deaths],tblDaily[EntryDate],DATE(2026,10,15),tblDaily[WardCode],"BG")),"")</f>
        <v/>
      </c>
      <c r="E372" s="29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29" t="str">
        <f>IFERROR(IF(SUMIFS(tblDaily[TransfersIn],tblDaily[EntryDate],DATE(2026,10,15),tblDaily[WardCode],"BG")=0,"",SUMIFS(tblDaily[TransfersIn],tblDaily[EntryDate],DATE(2026,10,15),tblDaily[WardCode],"BG")),"")</f>
        <v/>
      </c>
      <c r="G372" s="29" t="str">
        <f>IFERROR(IF(SUMIFS(tblDaily[TransfersOut],tblDaily[EntryDate],DATE(2026,10,15),tblDaily[WardCode],"BG")=0,"",SUMIFS(tblDaily[TransfersOut],tblDaily[EntryDate],DATE(2026,10,15),tblDaily[WardCode],"BG")),"")</f>
        <v/>
      </c>
      <c r="H372" s="29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IFERROR(IF(SUMIFS(tblDaily[Admissions],tblDaily[EntryDate],DATE(2026,10,16),tblDaily[WardCode],"BG")=0,"",SUMIFS(tblDaily[Admissions],tblDaily[EntryDate],DATE(2026,10,16),tblDaily[WardCode],"BG")),"")</f>
        <v/>
      </c>
      <c r="C373" s="29" t="str">
        <f>IFERROR(IF(SUMIFS(tblDaily[Discharges],tblDaily[EntryDate],DATE(2026,10,16),tblDaily[WardCode],"BG")=0,"",SUMIFS(tblDaily[Discharges],tblDaily[EntryDate],DATE(2026,10,16),tblDaily[WardCode],"BG")),"")</f>
        <v/>
      </c>
      <c r="D373" s="29" t="str">
        <f>IFERROR(IF(SUMIFS(tblDaily[Deaths],tblDaily[EntryDate],DATE(2026,10,16),tblDaily[WardCode],"BG")=0,"",SUMIFS(tblDaily[Deaths],tblDaily[EntryDate],DATE(2026,10,16),tblDaily[WardCode],"BG")),"")</f>
        <v/>
      </c>
      <c r="E373" s="29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29" t="str">
        <f>IFERROR(IF(SUMIFS(tblDaily[TransfersIn],tblDaily[EntryDate],DATE(2026,10,16),tblDaily[WardCode],"BG")=0,"",SUMIFS(tblDaily[TransfersIn],tblDaily[EntryDate],DATE(2026,10,16),tblDaily[WardCode],"BG")),"")</f>
        <v/>
      </c>
      <c r="G373" s="29" t="str">
        <f>IFERROR(IF(SUMIFS(tblDaily[TransfersOut],tblDaily[EntryDate],DATE(2026,10,16),tblDaily[WardCode],"BG")=0,"",SUMIFS(tblDaily[TransfersOut],tblDaily[EntryDate],DATE(2026,10,16),tblDaily[WardCode],"BG")),"")</f>
        <v/>
      </c>
      <c r="H373" s="29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IFERROR(IF(SUMIFS(tblDaily[Admissions],tblDaily[EntryDate],DATE(2026,10,17),tblDaily[WardCode],"BG")=0,"",SUMIFS(tblDaily[Admissions],tblDaily[EntryDate],DATE(2026,10,17),tblDaily[WardCode],"BG")),"")</f>
        <v/>
      </c>
      <c r="C374" s="29" t="str">
        <f>IFERROR(IF(SUMIFS(tblDaily[Discharges],tblDaily[EntryDate],DATE(2026,10,17),tblDaily[WardCode],"BG")=0,"",SUMIFS(tblDaily[Discharges],tblDaily[EntryDate],DATE(2026,10,17),tblDaily[WardCode],"BG")),"")</f>
        <v/>
      </c>
      <c r="D374" s="29" t="str">
        <f>IFERROR(IF(SUMIFS(tblDaily[Deaths],tblDaily[EntryDate],DATE(2026,10,17),tblDaily[WardCode],"BG")=0,"",SUMIFS(tblDaily[Deaths],tblDaily[EntryDate],DATE(2026,10,17),tblDaily[WardCode],"BG")),"")</f>
        <v/>
      </c>
      <c r="E374" s="29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29" t="str">
        <f>IFERROR(IF(SUMIFS(tblDaily[TransfersIn],tblDaily[EntryDate],DATE(2026,10,17),tblDaily[WardCode],"BG")=0,"",SUMIFS(tblDaily[TransfersIn],tblDaily[EntryDate],DATE(2026,10,17),tblDaily[WardCode],"BG")),"")</f>
        <v/>
      </c>
      <c r="G374" s="29" t="str">
        <f>IFERROR(IF(SUMIFS(tblDaily[TransfersOut],tblDaily[EntryDate],DATE(2026,10,17),tblDaily[WardCode],"BG")=0,"",SUMIFS(tblDaily[TransfersOut],tblDaily[EntryDate],DATE(2026,10,17),tblDaily[WardCode],"BG")),"")</f>
        <v/>
      </c>
      <c r="H374" s="29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IFERROR(IF(SUMIFS(tblDaily[Admissions],tblDaily[EntryDate],DATE(2026,10,18),tblDaily[WardCode],"BG")=0,"",SUMIFS(tblDaily[Admissions],tblDaily[EntryDate],DATE(2026,10,18),tblDaily[WardCode],"BG")),"")</f>
        <v/>
      </c>
      <c r="C375" s="29" t="str">
        <f>IFERROR(IF(SUMIFS(tblDaily[Discharges],tblDaily[EntryDate],DATE(2026,10,18),tblDaily[WardCode],"BG")=0,"",SUMIFS(tblDaily[Discharges],tblDaily[EntryDate],DATE(2026,10,18),tblDaily[WardCode],"BG")),"")</f>
        <v/>
      </c>
      <c r="D375" s="29" t="str">
        <f>IFERROR(IF(SUMIFS(tblDaily[Deaths],tblDaily[EntryDate],DATE(2026,10,18),tblDaily[WardCode],"BG")=0,"",SUMIFS(tblDaily[Deaths],tblDaily[EntryDate],DATE(2026,10,18),tblDaily[WardCode],"BG")),"")</f>
        <v/>
      </c>
      <c r="E375" s="29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29" t="str">
        <f>IFERROR(IF(SUMIFS(tblDaily[TransfersIn],tblDaily[EntryDate],DATE(2026,10,18),tblDaily[WardCode],"BG")=0,"",SUMIFS(tblDaily[TransfersIn],tblDaily[EntryDate],DATE(2026,10,18),tblDaily[WardCode],"BG")),"")</f>
        <v/>
      </c>
      <c r="G375" s="29" t="str">
        <f>IFERROR(IF(SUMIFS(tblDaily[TransfersOut],tblDaily[EntryDate],DATE(2026,10,18),tblDaily[WardCode],"BG")=0,"",SUMIFS(tblDaily[TransfersOut],tblDaily[EntryDate],DATE(2026,10,18),tblDaily[WardCode],"BG")),"")</f>
        <v/>
      </c>
      <c r="H375" s="29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IFERROR(IF(SUMIFS(tblDaily[Admissions],tblDaily[EntryDate],DATE(2026,10,19),tblDaily[WardCode],"BG")=0,"",SUMIFS(tblDaily[Admissions],tblDaily[EntryDate],DATE(2026,10,19),tblDaily[WardCode],"BG")),"")</f>
        <v/>
      </c>
      <c r="C376" s="29" t="str">
        <f>IFERROR(IF(SUMIFS(tblDaily[Discharges],tblDaily[EntryDate],DATE(2026,10,19),tblDaily[WardCode],"BG")=0,"",SUMIFS(tblDaily[Discharges],tblDaily[EntryDate],DATE(2026,10,19),tblDaily[WardCode],"BG")),"")</f>
        <v/>
      </c>
      <c r="D376" s="29" t="str">
        <f>IFERROR(IF(SUMIFS(tblDaily[Deaths],tblDaily[EntryDate],DATE(2026,10,19),tblDaily[WardCode],"BG")=0,"",SUMIFS(tblDaily[Deaths],tblDaily[EntryDate],DATE(2026,10,19),tblDaily[WardCode],"BG")),"")</f>
        <v/>
      </c>
      <c r="E376" s="29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29" t="str">
        <f>IFERROR(IF(SUMIFS(tblDaily[TransfersIn],tblDaily[EntryDate],DATE(2026,10,19),tblDaily[WardCode],"BG")=0,"",SUMIFS(tblDaily[TransfersIn],tblDaily[EntryDate],DATE(2026,10,19),tblDaily[WardCode],"BG")),"")</f>
        <v/>
      </c>
      <c r="G376" s="29" t="str">
        <f>IFERROR(IF(SUMIFS(tblDaily[TransfersOut],tblDaily[EntryDate],DATE(2026,10,19),tblDaily[WardCode],"BG")=0,"",SUMIFS(tblDaily[TransfersOut],tblDaily[EntryDate],DATE(2026,10,19),tblDaily[WardCode],"BG")),"")</f>
        <v/>
      </c>
      <c r="H376" s="29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IFERROR(IF(SUMIFS(tblDaily[Admissions],tblDaily[EntryDate],DATE(2026,10,20),tblDaily[WardCode],"BG")=0,"",SUMIFS(tblDaily[Admissions],tblDaily[EntryDate],DATE(2026,10,20),tblDaily[WardCode],"BG")),"")</f>
        <v/>
      </c>
      <c r="C377" s="29" t="str">
        <f>IFERROR(IF(SUMIFS(tblDaily[Discharges],tblDaily[EntryDate],DATE(2026,10,20),tblDaily[WardCode],"BG")=0,"",SUMIFS(tblDaily[Discharges],tblDaily[EntryDate],DATE(2026,10,20),tblDaily[WardCode],"BG")),"")</f>
        <v/>
      </c>
      <c r="D377" s="29" t="str">
        <f>IFERROR(IF(SUMIFS(tblDaily[Deaths],tblDaily[EntryDate],DATE(2026,10,20),tblDaily[WardCode],"BG")=0,"",SUMIFS(tblDaily[Deaths],tblDaily[EntryDate],DATE(2026,10,20),tblDaily[WardCode],"BG")),"")</f>
        <v/>
      </c>
      <c r="E377" s="29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29" t="str">
        <f>IFERROR(IF(SUMIFS(tblDaily[TransfersIn],tblDaily[EntryDate],DATE(2026,10,20),tblDaily[WardCode],"BG")=0,"",SUMIFS(tblDaily[TransfersIn],tblDaily[EntryDate],DATE(2026,10,20),tblDaily[WardCode],"BG")),"")</f>
        <v/>
      </c>
      <c r="G377" s="29" t="str">
        <f>IFERROR(IF(SUMIFS(tblDaily[TransfersOut],tblDaily[EntryDate],DATE(2026,10,20),tblDaily[WardCode],"BG")=0,"",SUMIFS(tblDaily[TransfersOut],tblDaily[EntryDate],DATE(2026,10,20),tblDaily[WardCode],"BG")),"")</f>
        <v/>
      </c>
      <c r="H377" s="29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IFERROR(IF(SUMIFS(tblDaily[Admissions],tblDaily[EntryDate],DATE(2026,10,21),tblDaily[WardCode],"BG")=0,"",SUMIFS(tblDaily[Admissions],tblDaily[EntryDate],DATE(2026,10,21),tblDaily[WardCode],"BG")),"")</f>
        <v/>
      </c>
      <c r="C378" s="29" t="str">
        <f>IFERROR(IF(SUMIFS(tblDaily[Discharges],tblDaily[EntryDate],DATE(2026,10,21),tblDaily[WardCode],"BG")=0,"",SUMIFS(tblDaily[Discharges],tblDaily[EntryDate],DATE(2026,10,21),tblDaily[WardCode],"BG")),"")</f>
        <v/>
      </c>
      <c r="D378" s="29" t="str">
        <f>IFERROR(IF(SUMIFS(tblDaily[Deaths],tblDaily[EntryDate],DATE(2026,10,21),tblDaily[WardCode],"BG")=0,"",SUMIFS(tblDaily[Deaths],tblDaily[EntryDate],DATE(2026,10,21),tblDaily[WardCode],"BG")),"")</f>
        <v/>
      </c>
      <c r="E378" s="29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29" t="str">
        <f>IFERROR(IF(SUMIFS(tblDaily[TransfersIn],tblDaily[EntryDate],DATE(2026,10,21),tblDaily[WardCode],"BG")=0,"",SUMIFS(tblDaily[TransfersIn],tblDaily[EntryDate],DATE(2026,10,21),tblDaily[WardCode],"BG")),"")</f>
        <v/>
      </c>
      <c r="G378" s="29" t="str">
        <f>IFERROR(IF(SUMIFS(tblDaily[TransfersOut],tblDaily[EntryDate],DATE(2026,10,21),tblDaily[WardCode],"BG")=0,"",SUMIFS(tblDaily[TransfersOut],tblDaily[EntryDate],DATE(2026,10,21),tblDaily[WardCode],"BG")),"")</f>
        <v/>
      </c>
      <c r="H378" s="29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IFERROR(IF(SUMIFS(tblDaily[Admissions],tblDaily[EntryDate],DATE(2026,10,22),tblDaily[WardCode],"BG")=0,"",SUMIFS(tblDaily[Admissions],tblDaily[EntryDate],DATE(2026,10,22),tblDaily[WardCode],"BG")),"")</f>
        <v/>
      </c>
      <c r="C379" s="29" t="str">
        <f>IFERROR(IF(SUMIFS(tblDaily[Discharges],tblDaily[EntryDate],DATE(2026,10,22),tblDaily[WardCode],"BG")=0,"",SUMIFS(tblDaily[Discharges],tblDaily[EntryDate],DATE(2026,10,22),tblDaily[WardCode],"BG")),"")</f>
        <v/>
      </c>
      <c r="D379" s="29" t="str">
        <f>IFERROR(IF(SUMIFS(tblDaily[Deaths],tblDaily[EntryDate],DATE(2026,10,22),tblDaily[WardCode],"BG")=0,"",SUMIFS(tblDaily[Deaths],tblDaily[EntryDate],DATE(2026,10,22),tblDaily[WardCode],"BG")),"")</f>
        <v/>
      </c>
      <c r="E379" s="29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29" t="str">
        <f>IFERROR(IF(SUMIFS(tblDaily[TransfersIn],tblDaily[EntryDate],DATE(2026,10,22),tblDaily[WardCode],"BG")=0,"",SUMIFS(tblDaily[TransfersIn],tblDaily[EntryDate],DATE(2026,10,22),tblDaily[WardCode],"BG")),"")</f>
        <v/>
      </c>
      <c r="G379" s="29" t="str">
        <f>IFERROR(IF(SUMIFS(tblDaily[TransfersOut],tblDaily[EntryDate],DATE(2026,10,22),tblDaily[WardCode],"BG")=0,"",SUMIFS(tblDaily[TransfersOut],tblDaily[EntryDate],DATE(2026,10,22),tblDaily[WardCode],"BG")),"")</f>
        <v/>
      </c>
      <c r="H379" s="29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IFERROR(IF(SUMIFS(tblDaily[Admissions],tblDaily[EntryDate],DATE(2026,10,23),tblDaily[WardCode],"BG")=0,"",SUMIFS(tblDaily[Admissions],tblDaily[EntryDate],DATE(2026,10,23),tblDaily[WardCode],"BG")),"")</f>
        <v/>
      </c>
      <c r="C380" s="29" t="str">
        <f>IFERROR(IF(SUMIFS(tblDaily[Discharges],tblDaily[EntryDate],DATE(2026,10,23),tblDaily[WardCode],"BG")=0,"",SUMIFS(tblDaily[Discharges],tblDaily[EntryDate],DATE(2026,10,23),tblDaily[WardCode],"BG")),"")</f>
        <v/>
      </c>
      <c r="D380" s="29" t="str">
        <f>IFERROR(IF(SUMIFS(tblDaily[Deaths],tblDaily[EntryDate],DATE(2026,10,23),tblDaily[WardCode],"BG")=0,"",SUMIFS(tblDaily[Deaths],tblDaily[EntryDate],DATE(2026,10,23),tblDaily[WardCode],"BG")),"")</f>
        <v/>
      </c>
      <c r="E380" s="29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29" t="str">
        <f>IFERROR(IF(SUMIFS(tblDaily[TransfersIn],tblDaily[EntryDate],DATE(2026,10,23),tblDaily[WardCode],"BG")=0,"",SUMIFS(tblDaily[TransfersIn],tblDaily[EntryDate],DATE(2026,10,23),tblDaily[WardCode],"BG")),"")</f>
        <v/>
      </c>
      <c r="G380" s="29" t="str">
        <f>IFERROR(IF(SUMIFS(tblDaily[TransfersOut],tblDaily[EntryDate],DATE(2026,10,23),tblDaily[WardCode],"BG")=0,"",SUMIFS(tblDaily[TransfersOut],tblDaily[EntryDate],DATE(2026,10,23),tblDaily[WardCode],"BG")),"")</f>
        <v/>
      </c>
      <c r="H380" s="29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IFERROR(IF(SUMIFS(tblDaily[Admissions],tblDaily[EntryDate],DATE(2026,10,24),tblDaily[WardCode],"BG")=0,"",SUMIFS(tblDaily[Admissions],tblDaily[EntryDate],DATE(2026,10,24),tblDaily[WardCode],"BG")),"")</f>
        <v/>
      </c>
      <c r="C381" s="29" t="str">
        <f>IFERROR(IF(SUMIFS(tblDaily[Discharges],tblDaily[EntryDate],DATE(2026,10,24),tblDaily[WardCode],"BG")=0,"",SUMIFS(tblDaily[Discharges],tblDaily[EntryDate],DATE(2026,10,24),tblDaily[WardCode],"BG")),"")</f>
        <v/>
      </c>
      <c r="D381" s="29" t="str">
        <f>IFERROR(IF(SUMIFS(tblDaily[Deaths],tblDaily[EntryDate],DATE(2026,10,24),tblDaily[WardCode],"BG")=0,"",SUMIFS(tblDaily[Deaths],tblDaily[EntryDate],DATE(2026,10,24),tblDaily[WardCode],"BG")),"")</f>
        <v/>
      </c>
      <c r="E381" s="29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29" t="str">
        <f>IFERROR(IF(SUMIFS(tblDaily[TransfersIn],tblDaily[EntryDate],DATE(2026,10,24),tblDaily[WardCode],"BG")=0,"",SUMIFS(tblDaily[TransfersIn],tblDaily[EntryDate],DATE(2026,10,24),tblDaily[WardCode],"BG")),"")</f>
        <v/>
      </c>
      <c r="G381" s="29" t="str">
        <f>IFERROR(IF(SUMIFS(tblDaily[TransfersOut],tblDaily[EntryDate],DATE(2026,10,24),tblDaily[WardCode],"BG")=0,"",SUMIFS(tblDaily[TransfersOut],tblDaily[EntryDate],DATE(2026,10,24),tblDaily[WardCode],"BG")),"")</f>
        <v/>
      </c>
      <c r="H381" s="29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IFERROR(IF(SUMIFS(tblDaily[Admissions],tblDaily[EntryDate],DATE(2026,10,25),tblDaily[WardCode],"BG")=0,"",SUMIFS(tblDaily[Admissions],tblDaily[EntryDate],DATE(2026,10,25),tblDaily[WardCode],"BG")),"")</f>
        <v/>
      </c>
      <c r="C382" s="29" t="str">
        <f>IFERROR(IF(SUMIFS(tblDaily[Discharges],tblDaily[EntryDate],DATE(2026,10,25),tblDaily[WardCode],"BG")=0,"",SUMIFS(tblDaily[Discharges],tblDaily[EntryDate],DATE(2026,10,25),tblDaily[WardCode],"BG")),"")</f>
        <v/>
      </c>
      <c r="D382" s="29" t="str">
        <f>IFERROR(IF(SUMIFS(tblDaily[Deaths],tblDaily[EntryDate],DATE(2026,10,25),tblDaily[WardCode],"BG")=0,"",SUMIFS(tblDaily[Deaths],tblDaily[EntryDate],DATE(2026,10,25),tblDaily[WardCode],"BG")),"")</f>
        <v/>
      </c>
      <c r="E382" s="29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29" t="str">
        <f>IFERROR(IF(SUMIFS(tblDaily[TransfersIn],tblDaily[EntryDate],DATE(2026,10,25),tblDaily[WardCode],"BG")=0,"",SUMIFS(tblDaily[TransfersIn],tblDaily[EntryDate],DATE(2026,10,25),tblDaily[WardCode],"BG")),"")</f>
        <v/>
      </c>
      <c r="G382" s="29" t="str">
        <f>IFERROR(IF(SUMIFS(tblDaily[TransfersOut],tblDaily[EntryDate],DATE(2026,10,25),tblDaily[WardCode],"BG")=0,"",SUMIFS(tblDaily[TransfersOut],tblDaily[EntryDate],DATE(2026,10,25),tblDaily[WardCode],"BG")),"")</f>
        <v/>
      </c>
      <c r="H382" s="29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IFERROR(IF(SUMIFS(tblDaily[Admissions],tblDaily[EntryDate],DATE(2026,10,26),tblDaily[WardCode],"BG")=0,"",SUMIFS(tblDaily[Admissions],tblDaily[EntryDate],DATE(2026,10,26),tblDaily[WardCode],"BG")),"")</f>
        <v/>
      </c>
      <c r="C383" s="29" t="str">
        <f>IFERROR(IF(SUMIFS(tblDaily[Discharges],tblDaily[EntryDate],DATE(2026,10,26),tblDaily[WardCode],"BG")=0,"",SUMIFS(tblDaily[Discharges],tblDaily[EntryDate],DATE(2026,10,26),tblDaily[WardCode],"BG")),"")</f>
        <v/>
      </c>
      <c r="D383" s="29" t="str">
        <f>IFERROR(IF(SUMIFS(tblDaily[Deaths],tblDaily[EntryDate],DATE(2026,10,26),tblDaily[WardCode],"BG")=0,"",SUMIFS(tblDaily[Deaths],tblDaily[EntryDate],DATE(2026,10,26),tblDaily[WardCode],"BG")),"")</f>
        <v/>
      </c>
      <c r="E383" s="29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29" t="str">
        <f>IFERROR(IF(SUMIFS(tblDaily[TransfersIn],tblDaily[EntryDate],DATE(2026,10,26),tblDaily[WardCode],"BG")=0,"",SUMIFS(tblDaily[TransfersIn],tblDaily[EntryDate],DATE(2026,10,26),tblDaily[WardCode],"BG")),"")</f>
        <v/>
      </c>
      <c r="G383" s="29" t="str">
        <f>IFERROR(IF(SUMIFS(tblDaily[TransfersOut],tblDaily[EntryDate],DATE(2026,10,26),tblDaily[WardCode],"BG")=0,"",SUMIFS(tblDaily[TransfersOut],tblDaily[EntryDate],DATE(2026,10,26),tblDaily[WardCode],"BG")),"")</f>
        <v/>
      </c>
      <c r="H383" s="29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IFERROR(IF(SUMIFS(tblDaily[Admissions],tblDaily[EntryDate],DATE(2026,10,27),tblDaily[WardCode],"BG")=0,"",SUMIFS(tblDaily[Admissions],tblDaily[EntryDate],DATE(2026,10,27),tblDaily[WardCode],"BG")),"")</f>
        <v/>
      </c>
      <c r="C384" s="29" t="str">
        <f>IFERROR(IF(SUMIFS(tblDaily[Discharges],tblDaily[EntryDate],DATE(2026,10,27),tblDaily[WardCode],"BG")=0,"",SUMIFS(tblDaily[Discharges],tblDaily[EntryDate],DATE(2026,10,27),tblDaily[WardCode],"BG")),"")</f>
        <v/>
      </c>
      <c r="D384" s="29" t="str">
        <f>IFERROR(IF(SUMIFS(tblDaily[Deaths],tblDaily[EntryDate],DATE(2026,10,27),tblDaily[WardCode],"BG")=0,"",SUMIFS(tblDaily[Deaths],tblDaily[EntryDate],DATE(2026,10,27),tblDaily[WardCode],"BG")),"")</f>
        <v/>
      </c>
      <c r="E384" s="29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29" t="str">
        <f>IFERROR(IF(SUMIFS(tblDaily[TransfersIn],tblDaily[EntryDate],DATE(2026,10,27),tblDaily[WardCode],"BG")=0,"",SUMIFS(tblDaily[TransfersIn],tblDaily[EntryDate],DATE(2026,10,27),tblDaily[WardCode],"BG")),"")</f>
        <v/>
      </c>
      <c r="G384" s="29" t="str">
        <f>IFERROR(IF(SUMIFS(tblDaily[TransfersOut],tblDaily[EntryDate],DATE(2026,10,27),tblDaily[WardCode],"BG")=0,"",SUMIFS(tblDaily[TransfersOut],tblDaily[EntryDate],DATE(2026,10,27),tblDaily[WardCode],"BG")),"")</f>
        <v/>
      </c>
      <c r="H384" s="29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IFERROR(IF(SUMIFS(tblDaily[Admissions],tblDaily[EntryDate],DATE(2026,10,28),tblDaily[WardCode],"BG")=0,"",SUMIFS(tblDaily[Admissions],tblDaily[EntryDate],DATE(2026,10,28),tblDaily[WardCode],"BG")),"")</f>
        <v/>
      </c>
      <c r="C385" s="29" t="str">
        <f>IFERROR(IF(SUMIFS(tblDaily[Discharges],tblDaily[EntryDate],DATE(2026,10,28),tblDaily[WardCode],"BG")=0,"",SUMIFS(tblDaily[Discharges],tblDaily[EntryDate],DATE(2026,10,28),tblDaily[WardCode],"BG")),"")</f>
        <v/>
      </c>
      <c r="D385" s="29" t="str">
        <f>IFERROR(IF(SUMIFS(tblDaily[Deaths],tblDaily[EntryDate],DATE(2026,10,28),tblDaily[WardCode],"BG")=0,"",SUMIFS(tblDaily[Deaths],tblDaily[EntryDate],DATE(2026,10,28),tblDaily[WardCode],"BG")),"")</f>
        <v/>
      </c>
      <c r="E385" s="29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29" t="str">
        <f>IFERROR(IF(SUMIFS(tblDaily[TransfersIn],tblDaily[EntryDate],DATE(2026,10,28),tblDaily[WardCode],"BG")=0,"",SUMIFS(tblDaily[TransfersIn],tblDaily[EntryDate],DATE(2026,10,28),tblDaily[WardCode],"BG")),"")</f>
        <v/>
      </c>
      <c r="G385" s="29" t="str">
        <f>IFERROR(IF(SUMIFS(tblDaily[TransfersOut],tblDaily[EntryDate],DATE(2026,10,28),tblDaily[WardCode],"BG")=0,"",SUMIFS(tblDaily[TransfersOut],tblDaily[EntryDate],DATE(2026,10,28),tblDaily[WardCode],"BG")),"")</f>
        <v/>
      </c>
      <c r="H385" s="29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IFERROR(IF(SUMIFS(tblDaily[Admissions],tblDaily[EntryDate],DATE(2026,10,29),tblDaily[WardCode],"BG")=0,"",SUMIFS(tblDaily[Admissions],tblDaily[EntryDate],DATE(2026,10,29),tblDaily[WardCode],"BG")),"")</f>
        <v/>
      </c>
      <c r="C386" s="29" t="str">
        <f>IFERROR(IF(SUMIFS(tblDaily[Discharges],tblDaily[EntryDate],DATE(2026,10,29),tblDaily[WardCode],"BG")=0,"",SUMIFS(tblDaily[Discharges],tblDaily[EntryDate],DATE(2026,10,29),tblDaily[WardCode],"BG")),"")</f>
        <v/>
      </c>
      <c r="D386" s="29" t="str">
        <f>IFERROR(IF(SUMIFS(tblDaily[Deaths],tblDaily[EntryDate],DATE(2026,10,29),tblDaily[WardCode],"BG")=0,"",SUMIFS(tblDaily[Deaths],tblDaily[EntryDate],DATE(2026,10,29),tblDaily[WardCode],"BG")),"")</f>
        <v/>
      </c>
      <c r="E386" s="29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29" t="str">
        <f>IFERROR(IF(SUMIFS(tblDaily[TransfersIn],tblDaily[EntryDate],DATE(2026,10,29),tblDaily[WardCode],"BG")=0,"",SUMIFS(tblDaily[TransfersIn],tblDaily[EntryDate],DATE(2026,10,29),tblDaily[WardCode],"BG")),"")</f>
        <v/>
      </c>
      <c r="G386" s="29" t="str">
        <f>IFERROR(IF(SUMIFS(tblDaily[TransfersOut],tblDaily[EntryDate],DATE(2026,10,29),tblDaily[WardCode],"BG")=0,"",SUMIFS(tblDaily[TransfersOut],tblDaily[EntryDate],DATE(2026,10,29),tblDaily[WardCode],"BG")),"")</f>
        <v/>
      </c>
      <c r="H386" s="29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IFERROR(IF(SUMIFS(tblDaily[Admissions],tblDaily[EntryDate],DATE(2026,10,30),tblDaily[WardCode],"BG")=0,"",SUMIFS(tblDaily[Admissions],tblDaily[EntryDate],DATE(2026,10,30),tblDaily[WardCode],"BG")),"")</f>
        <v/>
      </c>
      <c r="C387" s="29" t="str">
        <f>IFERROR(IF(SUMIFS(tblDaily[Discharges],tblDaily[EntryDate],DATE(2026,10,30),tblDaily[WardCode],"BG")=0,"",SUMIFS(tblDaily[Discharges],tblDaily[EntryDate],DATE(2026,10,30),tblDaily[WardCode],"BG")),"")</f>
        <v/>
      </c>
      <c r="D387" s="29" t="str">
        <f>IFERROR(IF(SUMIFS(tblDaily[Deaths],tblDaily[EntryDate],DATE(2026,10,30),tblDaily[WardCode],"BG")=0,"",SUMIFS(tblDaily[Deaths],tblDaily[EntryDate],DATE(2026,10,30),tblDaily[WardCode],"BG")),"")</f>
        <v/>
      </c>
      <c r="E387" s="29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29" t="str">
        <f>IFERROR(IF(SUMIFS(tblDaily[TransfersIn],tblDaily[EntryDate],DATE(2026,10,30),tblDaily[WardCode],"BG")=0,"",SUMIFS(tblDaily[TransfersIn],tblDaily[EntryDate],DATE(2026,10,30),tblDaily[WardCode],"BG")),"")</f>
        <v/>
      </c>
      <c r="G387" s="29" t="str">
        <f>IFERROR(IF(SUMIFS(tblDaily[TransfersOut],tblDaily[EntryDate],DATE(2026,10,30),tblDaily[WardCode],"BG")=0,"",SUMIFS(tblDaily[TransfersOut],tblDaily[EntryDate],DATE(2026,10,30),tblDaily[WardCode],"BG")),"")</f>
        <v/>
      </c>
      <c r="H387" s="29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IFERROR(IF(SUMIFS(tblDaily[Admissions],tblDaily[EntryDate],DATE(2026,10,31),tblDaily[WardCode],"BG")=0,"",SUMIFS(tblDaily[Admissions],tblDaily[EntryDate],DATE(2026,10,31),tblDaily[WardCode],"BG")),"")</f>
        <v/>
      </c>
      <c r="C388" s="29" t="str">
        <f>IFERROR(IF(SUMIFS(tblDaily[Discharges],tblDaily[EntryDate],DATE(2026,10,31),tblDaily[WardCode],"BG")=0,"",SUMIFS(tblDaily[Discharges],tblDaily[EntryDate],DATE(2026,10,31),tblDaily[WardCode],"BG")),"")</f>
        <v/>
      </c>
      <c r="D388" s="29" t="str">
        <f>IFERROR(IF(SUMIFS(tblDaily[Deaths],tblDaily[EntryDate],DATE(2026,10,31),tblDaily[WardCode],"BG")=0,"",SUMIFS(tblDaily[Deaths],tblDaily[EntryDate],DATE(2026,10,31),tblDaily[WardCode],"BG")),"")</f>
        <v/>
      </c>
      <c r="E388" s="29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29" t="str">
        <f>IFERROR(IF(SUMIFS(tblDaily[TransfersIn],tblDaily[EntryDate],DATE(2026,10,31),tblDaily[WardCode],"BG")=0,"",SUMIFS(tblDaily[TransfersIn],tblDaily[EntryDate],DATE(2026,10,31),tblDaily[WardCode],"BG")),"")</f>
        <v/>
      </c>
      <c r="G388" s="29" t="str">
        <f>IFERROR(IF(SUMIFS(tblDaily[TransfersOut],tblDaily[EntryDate],DATE(2026,10,31),tblDaily[WardCode],"BG")=0,"",SUMIFS(tblDaily[TransfersOut],tblDaily[EntryDate],DATE(2026,10,31),tblDaily[WardCode],"BG")),"")</f>
        <v/>
      </c>
      <c r="H388" s="29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30" t="s">
        <v>115</v>
      </c>
      <c r="B389" s="30">
        <f>SUMIFS(tblDaily[Admissions],tblDaily[Month],10,tblDaily[WardCode],"BG") - SUMIFS(tblDaily[DeathsUnder24Hrs],tblDaily[Month],10,tblDaily[WardCode],"BG")</f>
        <v>0</v>
      </c>
      <c r="C389" s="30">
        <f>SUMIFS(tblDaily[Discharges],tblDaily[Month],10,tblDaily[WardCode],"BG")</f>
        <v>0</v>
      </c>
      <c r="D389" s="30">
        <f>SUMIFS(tblDaily[Deaths],tblDaily[Month],10,tblDaily[WardCode],"BG")</f>
        <v>0</v>
      </c>
      <c r="E389" s="30">
        <f>SUMIFS(tblDaily[DeathsUnder24Hrs],tblDaily[Month],10,tblDaily[WardCode],"BG")</f>
        <v>0</v>
      </c>
      <c r="F389" s="30">
        <f>SUMIFS(tblDaily[TransfersIn],tblDaily[Month],10,tblDaily[WardCode],"BG")</f>
        <v>0</v>
      </c>
      <c r="G389" s="30">
        <f>SUMIFS(tblDaily[TransfersOut],tblDaily[Month],10,tblDaily[WardCode],"BG")</f>
        <v>0</v>
      </c>
      <c r="H389" s="30">
        <f>SUMIFS(tblDaily[Remaining],tblDaily[Month],10,tblDaily[WardCode],"BG")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119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IFERROR(SUMIFS(tblDaily[Remaining],tblDaily[EntryDate],DATE(2026,10,31),tblDaily[WardCode],"BG"),0)</f>
        <v>0</v>
      </c>
    </row>
    <row r="395" spans="1:8" x14ac:dyDescent="0.25">
      <c r="A395" s="24" t="s">
        <v>109</v>
      </c>
      <c r="H395" s="27">
        <f>IFERROR(INDEX(tblWardConfig[BedComplement],MATCH("BG",tblWardConfig[WardCode],0)),0)</f>
        <v>14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IFERROR(IF(SUMIFS(tblDaily[Admissions],tblDaily[EntryDate],DATE(2026,11,1),tblDaily[WardCode],"BG")=0,"",SUMIFS(tblDaily[Admissions],tblDaily[EntryDate],DATE(2026,11,1),tblDaily[WardCode],"BG")),"")</f>
        <v/>
      </c>
      <c r="C397" s="29" t="str">
        <f>IFERROR(IF(SUMIFS(tblDaily[Discharges],tblDaily[EntryDate],DATE(2026,11,1),tblDaily[WardCode],"BG")=0,"",SUMIFS(tblDaily[Discharges],tblDaily[EntryDate],DATE(2026,11,1),tblDaily[WardCode],"BG")),"")</f>
        <v/>
      </c>
      <c r="D397" s="29" t="str">
        <f>IFERROR(IF(SUMIFS(tblDaily[Deaths],tblDaily[EntryDate],DATE(2026,11,1),tblDaily[WardCode],"BG")=0,"",SUMIFS(tblDaily[Deaths],tblDaily[EntryDate],DATE(2026,11,1),tblDaily[WardCode],"BG")),"")</f>
        <v/>
      </c>
      <c r="E397" s="29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29" t="str">
        <f>IFERROR(IF(SUMIFS(tblDaily[TransfersIn],tblDaily[EntryDate],DATE(2026,11,1),tblDaily[WardCode],"BG")=0,"",SUMIFS(tblDaily[TransfersIn],tblDaily[EntryDate],DATE(2026,11,1),tblDaily[WardCode],"BG")),"")</f>
        <v/>
      </c>
      <c r="G397" s="29" t="str">
        <f>IFERROR(IF(SUMIFS(tblDaily[TransfersOut],tblDaily[EntryDate],DATE(2026,11,1),tblDaily[WardCode],"BG")=0,"",SUMIFS(tblDaily[TransfersOut],tblDaily[EntryDate],DATE(2026,11,1),tblDaily[WardCode],"BG")),"")</f>
        <v/>
      </c>
      <c r="H397" s="29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IFERROR(IF(SUMIFS(tblDaily[Admissions],tblDaily[EntryDate],DATE(2026,11,2),tblDaily[WardCode],"BG")=0,"",SUMIFS(tblDaily[Admissions],tblDaily[EntryDate],DATE(2026,11,2),tblDaily[WardCode],"BG")),"")</f>
        <v/>
      </c>
      <c r="C398" s="29" t="str">
        <f>IFERROR(IF(SUMIFS(tblDaily[Discharges],tblDaily[EntryDate],DATE(2026,11,2),tblDaily[WardCode],"BG")=0,"",SUMIFS(tblDaily[Discharges],tblDaily[EntryDate],DATE(2026,11,2),tblDaily[WardCode],"BG")),"")</f>
        <v/>
      </c>
      <c r="D398" s="29" t="str">
        <f>IFERROR(IF(SUMIFS(tblDaily[Deaths],tblDaily[EntryDate],DATE(2026,11,2),tblDaily[WardCode],"BG")=0,"",SUMIFS(tblDaily[Deaths],tblDaily[EntryDate],DATE(2026,11,2),tblDaily[WardCode],"BG")),"")</f>
        <v/>
      </c>
      <c r="E398" s="29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29" t="str">
        <f>IFERROR(IF(SUMIFS(tblDaily[TransfersIn],tblDaily[EntryDate],DATE(2026,11,2),tblDaily[WardCode],"BG")=0,"",SUMIFS(tblDaily[TransfersIn],tblDaily[EntryDate],DATE(2026,11,2),tblDaily[WardCode],"BG")),"")</f>
        <v/>
      </c>
      <c r="G398" s="29" t="str">
        <f>IFERROR(IF(SUMIFS(tblDaily[TransfersOut],tblDaily[EntryDate],DATE(2026,11,2),tblDaily[WardCode],"BG")=0,"",SUMIFS(tblDaily[TransfersOut],tblDaily[EntryDate],DATE(2026,11,2),tblDaily[WardCode],"BG")),"")</f>
        <v/>
      </c>
      <c r="H398" s="29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IFERROR(IF(SUMIFS(tblDaily[Admissions],tblDaily[EntryDate],DATE(2026,11,3),tblDaily[WardCode],"BG")=0,"",SUMIFS(tblDaily[Admissions],tblDaily[EntryDate],DATE(2026,11,3),tblDaily[WardCode],"BG")),"")</f>
        <v/>
      </c>
      <c r="C399" s="29" t="str">
        <f>IFERROR(IF(SUMIFS(tblDaily[Discharges],tblDaily[EntryDate],DATE(2026,11,3),tblDaily[WardCode],"BG")=0,"",SUMIFS(tblDaily[Discharges],tblDaily[EntryDate],DATE(2026,11,3),tblDaily[WardCode],"BG")),"")</f>
        <v/>
      </c>
      <c r="D399" s="29" t="str">
        <f>IFERROR(IF(SUMIFS(tblDaily[Deaths],tblDaily[EntryDate],DATE(2026,11,3),tblDaily[WardCode],"BG")=0,"",SUMIFS(tblDaily[Deaths],tblDaily[EntryDate],DATE(2026,11,3),tblDaily[WardCode],"BG")),"")</f>
        <v/>
      </c>
      <c r="E399" s="29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29" t="str">
        <f>IFERROR(IF(SUMIFS(tblDaily[TransfersIn],tblDaily[EntryDate],DATE(2026,11,3),tblDaily[WardCode],"BG")=0,"",SUMIFS(tblDaily[TransfersIn],tblDaily[EntryDate],DATE(2026,11,3),tblDaily[WardCode],"BG")),"")</f>
        <v/>
      </c>
      <c r="G399" s="29" t="str">
        <f>IFERROR(IF(SUMIFS(tblDaily[TransfersOut],tblDaily[EntryDate],DATE(2026,11,3),tblDaily[WardCode],"BG")=0,"",SUMIFS(tblDaily[TransfersOut],tblDaily[EntryDate],DATE(2026,11,3),tblDaily[WardCode],"BG")),"")</f>
        <v/>
      </c>
      <c r="H399" s="29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IFERROR(IF(SUMIFS(tblDaily[Admissions],tblDaily[EntryDate],DATE(2026,11,4),tblDaily[WardCode],"BG")=0,"",SUMIFS(tblDaily[Admissions],tblDaily[EntryDate],DATE(2026,11,4),tblDaily[WardCode],"BG")),"")</f>
        <v/>
      </c>
      <c r="C400" s="29" t="str">
        <f>IFERROR(IF(SUMIFS(tblDaily[Discharges],tblDaily[EntryDate],DATE(2026,11,4),tblDaily[WardCode],"BG")=0,"",SUMIFS(tblDaily[Discharges],tblDaily[EntryDate],DATE(2026,11,4),tblDaily[WardCode],"BG")),"")</f>
        <v/>
      </c>
      <c r="D400" s="29" t="str">
        <f>IFERROR(IF(SUMIFS(tblDaily[Deaths],tblDaily[EntryDate],DATE(2026,11,4),tblDaily[WardCode],"BG")=0,"",SUMIFS(tblDaily[Deaths],tblDaily[EntryDate],DATE(2026,11,4),tblDaily[WardCode],"BG")),"")</f>
        <v/>
      </c>
      <c r="E400" s="29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29" t="str">
        <f>IFERROR(IF(SUMIFS(tblDaily[TransfersIn],tblDaily[EntryDate],DATE(2026,11,4),tblDaily[WardCode],"BG")=0,"",SUMIFS(tblDaily[TransfersIn],tblDaily[EntryDate],DATE(2026,11,4),tblDaily[WardCode],"BG")),"")</f>
        <v/>
      </c>
      <c r="G400" s="29" t="str">
        <f>IFERROR(IF(SUMIFS(tblDaily[TransfersOut],tblDaily[EntryDate],DATE(2026,11,4),tblDaily[WardCode],"BG")=0,"",SUMIFS(tblDaily[TransfersOut],tblDaily[EntryDate],DATE(2026,11,4),tblDaily[WardCode],"BG")),"")</f>
        <v/>
      </c>
      <c r="H400" s="29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IFERROR(IF(SUMIFS(tblDaily[Admissions],tblDaily[EntryDate],DATE(2026,11,5),tblDaily[WardCode],"BG")=0,"",SUMIFS(tblDaily[Admissions],tblDaily[EntryDate],DATE(2026,11,5),tblDaily[WardCode],"BG")),"")</f>
        <v/>
      </c>
      <c r="C401" s="29" t="str">
        <f>IFERROR(IF(SUMIFS(tblDaily[Discharges],tblDaily[EntryDate],DATE(2026,11,5),tblDaily[WardCode],"BG")=0,"",SUMIFS(tblDaily[Discharges],tblDaily[EntryDate],DATE(2026,11,5),tblDaily[WardCode],"BG")),"")</f>
        <v/>
      </c>
      <c r="D401" s="29" t="str">
        <f>IFERROR(IF(SUMIFS(tblDaily[Deaths],tblDaily[EntryDate],DATE(2026,11,5),tblDaily[WardCode],"BG")=0,"",SUMIFS(tblDaily[Deaths],tblDaily[EntryDate],DATE(2026,11,5),tblDaily[WardCode],"BG")),"")</f>
        <v/>
      </c>
      <c r="E401" s="29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29" t="str">
        <f>IFERROR(IF(SUMIFS(tblDaily[TransfersIn],tblDaily[EntryDate],DATE(2026,11,5),tblDaily[WardCode],"BG")=0,"",SUMIFS(tblDaily[TransfersIn],tblDaily[EntryDate],DATE(2026,11,5),tblDaily[WardCode],"BG")),"")</f>
        <v/>
      </c>
      <c r="G401" s="29" t="str">
        <f>IFERROR(IF(SUMIFS(tblDaily[TransfersOut],tblDaily[EntryDate],DATE(2026,11,5),tblDaily[WardCode],"BG")=0,"",SUMIFS(tblDaily[TransfersOut],tblDaily[EntryDate],DATE(2026,11,5),tblDaily[WardCode],"BG")),"")</f>
        <v/>
      </c>
      <c r="H401" s="29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IFERROR(IF(SUMIFS(tblDaily[Admissions],tblDaily[EntryDate],DATE(2026,11,6),tblDaily[WardCode],"BG")=0,"",SUMIFS(tblDaily[Admissions],tblDaily[EntryDate],DATE(2026,11,6),tblDaily[WardCode],"BG")),"")</f>
        <v/>
      </c>
      <c r="C402" s="29" t="str">
        <f>IFERROR(IF(SUMIFS(tblDaily[Discharges],tblDaily[EntryDate],DATE(2026,11,6),tblDaily[WardCode],"BG")=0,"",SUMIFS(tblDaily[Discharges],tblDaily[EntryDate],DATE(2026,11,6),tblDaily[WardCode],"BG")),"")</f>
        <v/>
      </c>
      <c r="D402" s="29" t="str">
        <f>IFERROR(IF(SUMIFS(tblDaily[Deaths],tblDaily[EntryDate],DATE(2026,11,6),tblDaily[WardCode],"BG")=0,"",SUMIFS(tblDaily[Deaths],tblDaily[EntryDate],DATE(2026,11,6),tblDaily[WardCode],"BG")),"")</f>
        <v/>
      </c>
      <c r="E402" s="29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29" t="str">
        <f>IFERROR(IF(SUMIFS(tblDaily[TransfersIn],tblDaily[EntryDate],DATE(2026,11,6),tblDaily[WardCode],"BG")=0,"",SUMIFS(tblDaily[TransfersIn],tblDaily[EntryDate],DATE(2026,11,6),tblDaily[WardCode],"BG")),"")</f>
        <v/>
      </c>
      <c r="G402" s="29" t="str">
        <f>IFERROR(IF(SUMIFS(tblDaily[TransfersOut],tblDaily[EntryDate],DATE(2026,11,6),tblDaily[WardCode],"BG")=0,"",SUMIFS(tblDaily[TransfersOut],tblDaily[EntryDate],DATE(2026,11,6),tblDaily[WardCode],"BG")),"")</f>
        <v/>
      </c>
      <c r="H402" s="29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IFERROR(IF(SUMIFS(tblDaily[Admissions],tblDaily[EntryDate],DATE(2026,11,7),tblDaily[WardCode],"BG")=0,"",SUMIFS(tblDaily[Admissions],tblDaily[EntryDate],DATE(2026,11,7),tblDaily[WardCode],"BG")),"")</f>
        <v/>
      </c>
      <c r="C403" s="29" t="str">
        <f>IFERROR(IF(SUMIFS(tblDaily[Discharges],tblDaily[EntryDate],DATE(2026,11,7),tblDaily[WardCode],"BG")=0,"",SUMIFS(tblDaily[Discharges],tblDaily[EntryDate],DATE(2026,11,7),tblDaily[WardCode],"BG")),"")</f>
        <v/>
      </c>
      <c r="D403" s="29" t="str">
        <f>IFERROR(IF(SUMIFS(tblDaily[Deaths],tblDaily[EntryDate],DATE(2026,11,7),tblDaily[WardCode],"BG")=0,"",SUMIFS(tblDaily[Deaths],tblDaily[EntryDate],DATE(2026,11,7),tblDaily[WardCode],"BG")),"")</f>
        <v/>
      </c>
      <c r="E403" s="29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29" t="str">
        <f>IFERROR(IF(SUMIFS(tblDaily[TransfersIn],tblDaily[EntryDate],DATE(2026,11,7),tblDaily[WardCode],"BG")=0,"",SUMIFS(tblDaily[TransfersIn],tblDaily[EntryDate],DATE(2026,11,7),tblDaily[WardCode],"BG")),"")</f>
        <v/>
      </c>
      <c r="G403" s="29" t="str">
        <f>IFERROR(IF(SUMIFS(tblDaily[TransfersOut],tblDaily[EntryDate],DATE(2026,11,7),tblDaily[WardCode],"BG")=0,"",SUMIFS(tblDaily[TransfersOut],tblDaily[EntryDate],DATE(2026,11,7),tblDaily[WardCode],"BG")),"")</f>
        <v/>
      </c>
      <c r="H403" s="29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IFERROR(IF(SUMIFS(tblDaily[Admissions],tblDaily[EntryDate],DATE(2026,11,8),tblDaily[WardCode],"BG")=0,"",SUMIFS(tblDaily[Admissions],tblDaily[EntryDate],DATE(2026,11,8),tblDaily[WardCode],"BG")),"")</f>
        <v/>
      </c>
      <c r="C404" s="29" t="str">
        <f>IFERROR(IF(SUMIFS(tblDaily[Discharges],tblDaily[EntryDate],DATE(2026,11,8),tblDaily[WardCode],"BG")=0,"",SUMIFS(tblDaily[Discharges],tblDaily[EntryDate],DATE(2026,11,8),tblDaily[WardCode],"BG")),"")</f>
        <v/>
      </c>
      <c r="D404" s="29" t="str">
        <f>IFERROR(IF(SUMIFS(tblDaily[Deaths],tblDaily[EntryDate],DATE(2026,11,8),tblDaily[WardCode],"BG")=0,"",SUMIFS(tblDaily[Deaths],tblDaily[EntryDate],DATE(2026,11,8),tblDaily[WardCode],"BG")),"")</f>
        <v/>
      </c>
      <c r="E404" s="29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29" t="str">
        <f>IFERROR(IF(SUMIFS(tblDaily[TransfersIn],tblDaily[EntryDate],DATE(2026,11,8),tblDaily[WardCode],"BG")=0,"",SUMIFS(tblDaily[TransfersIn],tblDaily[EntryDate],DATE(2026,11,8),tblDaily[WardCode],"BG")),"")</f>
        <v/>
      </c>
      <c r="G404" s="29" t="str">
        <f>IFERROR(IF(SUMIFS(tblDaily[TransfersOut],tblDaily[EntryDate],DATE(2026,11,8),tblDaily[WardCode],"BG")=0,"",SUMIFS(tblDaily[TransfersOut],tblDaily[EntryDate],DATE(2026,11,8),tblDaily[WardCode],"BG")),"")</f>
        <v/>
      </c>
      <c r="H404" s="29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IFERROR(IF(SUMIFS(tblDaily[Admissions],tblDaily[EntryDate],DATE(2026,11,9),tblDaily[WardCode],"BG")=0,"",SUMIFS(tblDaily[Admissions],tblDaily[EntryDate],DATE(2026,11,9),tblDaily[WardCode],"BG")),"")</f>
        <v/>
      </c>
      <c r="C405" s="29" t="str">
        <f>IFERROR(IF(SUMIFS(tblDaily[Discharges],tblDaily[EntryDate],DATE(2026,11,9),tblDaily[WardCode],"BG")=0,"",SUMIFS(tblDaily[Discharges],tblDaily[EntryDate],DATE(2026,11,9),tblDaily[WardCode],"BG")),"")</f>
        <v/>
      </c>
      <c r="D405" s="29" t="str">
        <f>IFERROR(IF(SUMIFS(tblDaily[Deaths],tblDaily[EntryDate],DATE(2026,11,9),tblDaily[WardCode],"BG")=0,"",SUMIFS(tblDaily[Deaths],tblDaily[EntryDate],DATE(2026,11,9),tblDaily[WardCode],"BG")),"")</f>
        <v/>
      </c>
      <c r="E405" s="29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29" t="str">
        <f>IFERROR(IF(SUMIFS(tblDaily[TransfersIn],tblDaily[EntryDate],DATE(2026,11,9),tblDaily[WardCode],"BG")=0,"",SUMIFS(tblDaily[TransfersIn],tblDaily[EntryDate],DATE(2026,11,9),tblDaily[WardCode],"BG")),"")</f>
        <v/>
      </c>
      <c r="G405" s="29" t="str">
        <f>IFERROR(IF(SUMIFS(tblDaily[TransfersOut],tblDaily[EntryDate],DATE(2026,11,9),tblDaily[WardCode],"BG")=0,"",SUMIFS(tblDaily[TransfersOut],tblDaily[EntryDate],DATE(2026,11,9),tblDaily[WardCode],"BG")),"")</f>
        <v/>
      </c>
      <c r="H405" s="29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IFERROR(IF(SUMIFS(tblDaily[Admissions],tblDaily[EntryDate],DATE(2026,11,10),tblDaily[WardCode],"BG")=0,"",SUMIFS(tblDaily[Admissions],tblDaily[EntryDate],DATE(2026,11,10),tblDaily[WardCode],"BG")),"")</f>
        <v/>
      </c>
      <c r="C406" s="29" t="str">
        <f>IFERROR(IF(SUMIFS(tblDaily[Discharges],tblDaily[EntryDate],DATE(2026,11,10),tblDaily[WardCode],"BG")=0,"",SUMIFS(tblDaily[Discharges],tblDaily[EntryDate],DATE(2026,11,10),tblDaily[WardCode],"BG")),"")</f>
        <v/>
      </c>
      <c r="D406" s="29" t="str">
        <f>IFERROR(IF(SUMIFS(tblDaily[Deaths],tblDaily[EntryDate],DATE(2026,11,10),tblDaily[WardCode],"BG")=0,"",SUMIFS(tblDaily[Deaths],tblDaily[EntryDate],DATE(2026,11,10),tblDaily[WardCode],"BG")),"")</f>
        <v/>
      </c>
      <c r="E406" s="29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29" t="str">
        <f>IFERROR(IF(SUMIFS(tblDaily[TransfersIn],tblDaily[EntryDate],DATE(2026,11,10),tblDaily[WardCode],"BG")=0,"",SUMIFS(tblDaily[TransfersIn],tblDaily[EntryDate],DATE(2026,11,10),tblDaily[WardCode],"BG")),"")</f>
        <v/>
      </c>
      <c r="G406" s="29" t="str">
        <f>IFERROR(IF(SUMIFS(tblDaily[TransfersOut],tblDaily[EntryDate],DATE(2026,11,10),tblDaily[WardCode],"BG")=0,"",SUMIFS(tblDaily[TransfersOut],tblDaily[EntryDate],DATE(2026,11,10),tblDaily[WardCode],"BG")),"")</f>
        <v/>
      </c>
      <c r="H406" s="29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IFERROR(IF(SUMIFS(tblDaily[Admissions],tblDaily[EntryDate],DATE(2026,11,11),tblDaily[WardCode],"BG")=0,"",SUMIFS(tblDaily[Admissions],tblDaily[EntryDate],DATE(2026,11,11),tblDaily[WardCode],"BG")),"")</f>
        <v/>
      </c>
      <c r="C407" s="29" t="str">
        <f>IFERROR(IF(SUMIFS(tblDaily[Discharges],tblDaily[EntryDate],DATE(2026,11,11),tblDaily[WardCode],"BG")=0,"",SUMIFS(tblDaily[Discharges],tblDaily[EntryDate],DATE(2026,11,11),tblDaily[WardCode],"BG")),"")</f>
        <v/>
      </c>
      <c r="D407" s="29" t="str">
        <f>IFERROR(IF(SUMIFS(tblDaily[Deaths],tblDaily[EntryDate],DATE(2026,11,11),tblDaily[WardCode],"BG")=0,"",SUMIFS(tblDaily[Deaths],tblDaily[EntryDate],DATE(2026,11,11),tblDaily[WardCode],"BG")),"")</f>
        <v/>
      </c>
      <c r="E407" s="29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29" t="str">
        <f>IFERROR(IF(SUMIFS(tblDaily[TransfersIn],tblDaily[EntryDate],DATE(2026,11,11),tblDaily[WardCode],"BG")=0,"",SUMIFS(tblDaily[TransfersIn],tblDaily[EntryDate],DATE(2026,11,11),tblDaily[WardCode],"BG")),"")</f>
        <v/>
      </c>
      <c r="G407" s="29" t="str">
        <f>IFERROR(IF(SUMIFS(tblDaily[TransfersOut],tblDaily[EntryDate],DATE(2026,11,11),tblDaily[WardCode],"BG")=0,"",SUMIFS(tblDaily[TransfersOut],tblDaily[EntryDate],DATE(2026,11,11),tblDaily[WardCode],"BG")),"")</f>
        <v/>
      </c>
      <c r="H407" s="29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IFERROR(IF(SUMIFS(tblDaily[Admissions],tblDaily[EntryDate],DATE(2026,11,12),tblDaily[WardCode],"BG")=0,"",SUMIFS(tblDaily[Admissions],tblDaily[EntryDate],DATE(2026,11,12),tblDaily[WardCode],"BG")),"")</f>
        <v/>
      </c>
      <c r="C408" s="29" t="str">
        <f>IFERROR(IF(SUMIFS(tblDaily[Discharges],tblDaily[EntryDate],DATE(2026,11,12),tblDaily[WardCode],"BG")=0,"",SUMIFS(tblDaily[Discharges],tblDaily[EntryDate],DATE(2026,11,12),tblDaily[WardCode],"BG")),"")</f>
        <v/>
      </c>
      <c r="D408" s="29" t="str">
        <f>IFERROR(IF(SUMIFS(tblDaily[Deaths],tblDaily[EntryDate],DATE(2026,11,12),tblDaily[WardCode],"BG")=0,"",SUMIFS(tblDaily[Deaths],tblDaily[EntryDate],DATE(2026,11,12),tblDaily[WardCode],"BG")),"")</f>
        <v/>
      </c>
      <c r="E408" s="29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29" t="str">
        <f>IFERROR(IF(SUMIFS(tblDaily[TransfersIn],tblDaily[EntryDate],DATE(2026,11,12),tblDaily[WardCode],"BG")=0,"",SUMIFS(tblDaily[TransfersIn],tblDaily[EntryDate],DATE(2026,11,12),tblDaily[WardCode],"BG")),"")</f>
        <v/>
      </c>
      <c r="G408" s="29" t="str">
        <f>IFERROR(IF(SUMIFS(tblDaily[TransfersOut],tblDaily[EntryDate],DATE(2026,11,12),tblDaily[WardCode],"BG")=0,"",SUMIFS(tblDaily[TransfersOut],tblDaily[EntryDate],DATE(2026,11,12),tblDaily[WardCode],"BG")),"")</f>
        <v/>
      </c>
      <c r="H408" s="29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IFERROR(IF(SUMIFS(tblDaily[Admissions],tblDaily[EntryDate],DATE(2026,11,13),tblDaily[WardCode],"BG")=0,"",SUMIFS(tblDaily[Admissions],tblDaily[EntryDate],DATE(2026,11,13),tblDaily[WardCode],"BG")),"")</f>
        <v/>
      </c>
      <c r="C409" s="29" t="str">
        <f>IFERROR(IF(SUMIFS(tblDaily[Discharges],tblDaily[EntryDate],DATE(2026,11,13),tblDaily[WardCode],"BG")=0,"",SUMIFS(tblDaily[Discharges],tblDaily[EntryDate],DATE(2026,11,13),tblDaily[WardCode],"BG")),"")</f>
        <v/>
      </c>
      <c r="D409" s="29" t="str">
        <f>IFERROR(IF(SUMIFS(tblDaily[Deaths],tblDaily[EntryDate],DATE(2026,11,13),tblDaily[WardCode],"BG")=0,"",SUMIFS(tblDaily[Deaths],tblDaily[EntryDate],DATE(2026,11,13),tblDaily[WardCode],"BG")),"")</f>
        <v/>
      </c>
      <c r="E409" s="29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29" t="str">
        <f>IFERROR(IF(SUMIFS(tblDaily[TransfersIn],tblDaily[EntryDate],DATE(2026,11,13),tblDaily[WardCode],"BG")=0,"",SUMIFS(tblDaily[TransfersIn],tblDaily[EntryDate],DATE(2026,11,13),tblDaily[WardCode],"BG")),"")</f>
        <v/>
      </c>
      <c r="G409" s="29" t="str">
        <f>IFERROR(IF(SUMIFS(tblDaily[TransfersOut],tblDaily[EntryDate],DATE(2026,11,13),tblDaily[WardCode],"BG")=0,"",SUMIFS(tblDaily[TransfersOut],tblDaily[EntryDate],DATE(2026,11,13),tblDaily[WardCode],"BG")),"")</f>
        <v/>
      </c>
      <c r="H409" s="29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IFERROR(IF(SUMIFS(tblDaily[Admissions],tblDaily[EntryDate],DATE(2026,11,14),tblDaily[WardCode],"BG")=0,"",SUMIFS(tblDaily[Admissions],tblDaily[EntryDate],DATE(2026,11,14),tblDaily[WardCode],"BG")),"")</f>
        <v/>
      </c>
      <c r="C410" s="29" t="str">
        <f>IFERROR(IF(SUMIFS(tblDaily[Discharges],tblDaily[EntryDate],DATE(2026,11,14),tblDaily[WardCode],"BG")=0,"",SUMIFS(tblDaily[Discharges],tblDaily[EntryDate],DATE(2026,11,14),tblDaily[WardCode],"BG")),"")</f>
        <v/>
      </c>
      <c r="D410" s="29" t="str">
        <f>IFERROR(IF(SUMIFS(tblDaily[Deaths],tblDaily[EntryDate],DATE(2026,11,14),tblDaily[WardCode],"BG")=0,"",SUMIFS(tblDaily[Deaths],tblDaily[EntryDate],DATE(2026,11,14),tblDaily[WardCode],"BG")),"")</f>
        <v/>
      </c>
      <c r="E410" s="29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29" t="str">
        <f>IFERROR(IF(SUMIFS(tblDaily[TransfersIn],tblDaily[EntryDate],DATE(2026,11,14),tblDaily[WardCode],"BG")=0,"",SUMIFS(tblDaily[TransfersIn],tblDaily[EntryDate],DATE(2026,11,14),tblDaily[WardCode],"BG")),"")</f>
        <v/>
      </c>
      <c r="G410" s="29" t="str">
        <f>IFERROR(IF(SUMIFS(tblDaily[TransfersOut],tblDaily[EntryDate],DATE(2026,11,14),tblDaily[WardCode],"BG")=0,"",SUMIFS(tblDaily[TransfersOut],tblDaily[EntryDate],DATE(2026,11,14),tblDaily[WardCode],"BG")),"")</f>
        <v/>
      </c>
      <c r="H410" s="29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IFERROR(IF(SUMIFS(tblDaily[Admissions],tblDaily[EntryDate],DATE(2026,11,15),tblDaily[WardCode],"BG")=0,"",SUMIFS(tblDaily[Admissions],tblDaily[EntryDate],DATE(2026,11,15),tblDaily[WardCode],"BG")),"")</f>
        <v/>
      </c>
      <c r="C411" s="29" t="str">
        <f>IFERROR(IF(SUMIFS(tblDaily[Discharges],tblDaily[EntryDate],DATE(2026,11,15),tblDaily[WardCode],"BG")=0,"",SUMIFS(tblDaily[Discharges],tblDaily[EntryDate],DATE(2026,11,15),tblDaily[WardCode],"BG")),"")</f>
        <v/>
      </c>
      <c r="D411" s="29" t="str">
        <f>IFERROR(IF(SUMIFS(tblDaily[Deaths],tblDaily[EntryDate],DATE(2026,11,15),tblDaily[WardCode],"BG")=0,"",SUMIFS(tblDaily[Deaths],tblDaily[EntryDate],DATE(2026,11,15),tblDaily[WardCode],"BG")),"")</f>
        <v/>
      </c>
      <c r="E411" s="29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29" t="str">
        <f>IFERROR(IF(SUMIFS(tblDaily[TransfersIn],tblDaily[EntryDate],DATE(2026,11,15),tblDaily[WardCode],"BG")=0,"",SUMIFS(tblDaily[TransfersIn],tblDaily[EntryDate],DATE(2026,11,15),tblDaily[WardCode],"BG")),"")</f>
        <v/>
      </c>
      <c r="G411" s="29" t="str">
        <f>IFERROR(IF(SUMIFS(tblDaily[TransfersOut],tblDaily[EntryDate],DATE(2026,11,15),tblDaily[WardCode],"BG")=0,"",SUMIFS(tblDaily[TransfersOut],tblDaily[EntryDate],DATE(2026,11,15),tblDaily[WardCode],"BG")),"")</f>
        <v/>
      </c>
      <c r="H411" s="29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IFERROR(IF(SUMIFS(tblDaily[Admissions],tblDaily[EntryDate],DATE(2026,11,16),tblDaily[WardCode],"BG")=0,"",SUMIFS(tblDaily[Admissions],tblDaily[EntryDate],DATE(2026,11,16),tblDaily[WardCode],"BG")),"")</f>
        <v/>
      </c>
      <c r="C412" s="29" t="str">
        <f>IFERROR(IF(SUMIFS(tblDaily[Discharges],tblDaily[EntryDate],DATE(2026,11,16),tblDaily[WardCode],"BG")=0,"",SUMIFS(tblDaily[Discharges],tblDaily[EntryDate],DATE(2026,11,16),tblDaily[WardCode],"BG")),"")</f>
        <v/>
      </c>
      <c r="D412" s="29" t="str">
        <f>IFERROR(IF(SUMIFS(tblDaily[Deaths],tblDaily[EntryDate],DATE(2026,11,16),tblDaily[WardCode],"BG")=0,"",SUMIFS(tblDaily[Deaths],tblDaily[EntryDate],DATE(2026,11,16),tblDaily[WardCode],"BG")),"")</f>
        <v/>
      </c>
      <c r="E412" s="29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29" t="str">
        <f>IFERROR(IF(SUMIFS(tblDaily[TransfersIn],tblDaily[EntryDate],DATE(2026,11,16),tblDaily[WardCode],"BG")=0,"",SUMIFS(tblDaily[TransfersIn],tblDaily[EntryDate],DATE(2026,11,16),tblDaily[WardCode],"BG")),"")</f>
        <v/>
      </c>
      <c r="G412" s="29" t="str">
        <f>IFERROR(IF(SUMIFS(tblDaily[TransfersOut],tblDaily[EntryDate],DATE(2026,11,16),tblDaily[WardCode],"BG")=0,"",SUMIFS(tblDaily[TransfersOut],tblDaily[EntryDate],DATE(2026,11,16),tblDaily[WardCode],"BG")),"")</f>
        <v/>
      </c>
      <c r="H412" s="29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IFERROR(IF(SUMIFS(tblDaily[Admissions],tblDaily[EntryDate],DATE(2026,11,17),tblDaily[WardCode],"BG")=0,"",SUMIFS(tblDaily[Admissions],tblDaily[EntryDate],DATE(2026,11,17),tblDaily[WardCode],"BG")),"")</f>
        <v/>
      </c>
      <c r="C413" s="29" t="str">
        <f>IFERROR(IF(SUMIFS(tblDaily[Discharges],tblDaily[EntryDate],DATE(2026,11,17),tblDaily[WardCode],"BG")=0,"",SUMIFS(tblDaily[Discharges],tblDaily[EntryDate],DATE(2026,11,17),tblDaily[WardCode],"BG")),"")</f>
        <v/>
      </c>
      <c r="D413" s="29" t="str">
        <f>IFERROR(IF(SUMIFS(tblDaily[Deaths],tblDaily[EntryDate],DATE(2026,11,17),tblDaily[WardCode],"BG")=0,"",SUMIFS(tblDaily[Deaths],tblDaily[EntryDate],DATE(2026,11,17),tblDaily[WardCode],"BG")),"")</f>
        <v/>
      </c>
      <c r="E413" s="29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29" t="str">
        <f>IFERROR(IF(SUMIFS(tblDaily[TransfersIn],tblDaily[EntryDate],DATE(2026,11,17),tblDaily[WardCode],"BG")=0,"",SUMIFS(tblDaily[TransfersIn],tblDaily[EntryDate],DATE(2026,11,17),tblDaily[WardCode],"BG")),"")</f>
        <v/>
      </c>
      <c r="G413" s="29" t="str">
        <f>IFERROR(IF(SUMIFS(tblDaily[TransfersOut],tblDaily[EntryDate],DATE(2026,11,17),tblDaily[WardCode],"BG")=0,"",SUMIFS(tblDaily[TransfersOut],tblDaily[EntryDate],DATE(2026,11,17),tblDaily[WardCode],"BG")),"")</f>
        <v/>
      </c>
      <c r="H413" s="29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IFERROR(IF(SUMIFS(tblDaily[Admissions],tblDaily[EntryDate],DATE(2026,11,18),tblDaily[WardCode],"BG")=0,"",SUMIFS(tblDaily[Admissions],tblDaily[EntryDate],DATE(2026,11,18),tblDaily[WardCode],"BG")),"")</f>
        <v/>
      </c>
      <c r="C414" s="29" t="str">
        <f>IFERROR(IF(SUMIFS(tblDaily[Discharges],tblDaily[EntryDate],DATE(2026,11,18),tblDaily[WardCode],"BG")=0,"",SUMIFS(tblDaily[Discharges],tblDaily[EntryDate],DATE(2026,11,18),tblDaily[WardCode],"BG")),"")</f>
        <v/>
      </c>
      <c r="D414" s="29" t="str">
        <f>IFERROR(IF(SUMIFS(tblDaily[Deaths],tblDaily[EntryDate],DATE(2026,11,18),tblDaily[WardCode],"BG")=0,"",SUMIFS(tblDaily[Deaths],tblDaily[EntryDate],DATE(2026,11,18),tblDaily[WardCode],"BG")),"")</f>
        <v/>
      </c>
      <c r="E414" s="29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29" t="str">
        <f>IFERROR(IF(SUMIFS(tblDaily[TransfersIn],tblDaily[EntryDate],DATE(2026,11,18),tblDaily[WardCode],"BG")=0,"",SUMIFS(tblDaily[TransfersIn],tblDaily[EntryDate],DATE(2026,11,18),tblDaily[WardCode],"BG")),"")</f>
        <v/>
      </c>
      <c r="G414" s="29" t="str">
        <f>IFERROR(IF(SUMIFS(tblDaily[TransfersOut],tblDaily[EntryDate],DATE(2026,11,18),tblDaily[WardCode],"BG")=0,"",SUMIFS(tblDaily[TransfersOut],tblDaily[EntryDate],DATE(2026,11,18),tblDaily[WardCode],"BG")),"")</f>
        <v/>
      </c>
      <c r="H414" s="29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IFERROR(IF(SUMIFS(tblDaily[Admissions],tblDaily[EntryDate],DATE(2026,11,19),tblDaily[WardCode],"BG")=0,"",SUMIFS(tblDaily[Admissions],tblDaily[EntryDate],DATE(2026,11,19),tblDaily[WardCode],"BG")),"")</f>
        <v/>
      </c>
      <c r="C415" s="29" t="str">
        <f>IFERROR(IF(SUMIFS(tblDaily[Discharges],tblDaily[EntryDate],DATE(2026,11,19),tblDaily[WardCode],"BG")=0,"",SUMIFS(tblDaily[Discharges],tblDaily[EntryDate],DATE(2026,11,19),tblDaily[WardCode],"BG")),"")</f>
        <v/>
      </c>
      <c r="D415" s="29" t="str">
        <f>IFERROR(IF(SUMIFS(tblDaily[Deaths],tblDaily[EntryDate],DATE(2026,11,19),tblDaily[WardCode],"BG")=0,"",SUMIFS(tblDaily[Deaths],tblDaily[EntryDate],DATE(2026,11,19),tblDaily[WardCode],"BG")),"")</f>
        <v/>
      </c>
      <c r="E415" s="29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29" t="str">
        <f>IFERROR(IF(SUMIFS(tblDaily[TransfersIn],tblDaily[EntryDate],DATE(2026,11,19),tblDaily[WardCode],"BG")=0,"",SUMIFS(tblDaily[TransfersIn],tblDaily[EntryDate],DATE(2026,11,19),tblDaily[WardCode],"BG")),"")</f>
        <v/>
      </c>
      <c r="G415" s="29" t="str">
        <f>IFERROR(IF(SUMIFS(tblDaily[TransfersOut],tblDaily[EntryDate],DATE(2026,11,19),tblDaily[WardCode],"BG")=0,"",SUMIFS(tblDaily[TransfersOut],tblDaily[EntryDate],DATE(2026,11,19),tblDaily[WardCode],"BG")),"")</f>
        <v/>
      </c>
      <c r="H415" s="29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IFERROR(IF(SUMIFS(tblDaily[Admissions],tblDaily[EntryDate],DATE(2026,11,20),tblDaily[WardCode],"BG")=0,"",SUMIFS(tblDaily[Admissions],tblDaily[EntryDate],DATE(2026,11,20),tblDaily[WardCode],"BG")),"")</f>
        <v/>
      </c>
      <c r="C416" s="29" t="str">
        <f>IFERROR(IF(SUMIFS(tblDaily[Discharges],tblDaily[EntryDate],DATE(2026,11,20),tblDaily[WardCode],"BG")=0,"",SUMIFS(tblDaily[Discharges],tblDaily[EntryDate],DATE(2026,11,20),tblDaily[WardCode],"BG")),"")</f>
        <v/>
      </c>
      <c r="D416" s="29" t="str">
        <f>IFERROR(IF(SUMIFS(tblDaily[Deaths],tblDaily[EntryDate],DATE(2026,11,20),tblDaily[WardCode],"BG")=0,"",SUMIFS(tblDaily[Deaths],tblDaily[EntryDate],DATE(2026,11,20),tblDaily[WardCode],"BG")),"")</f>
        <v/>
      </c>
      <c r="E416" s="29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29" t="str">
        <f>IFERROR(IF(SUMIFS(tblDaily[TransfersIn],tblDaily[EntryDate],DATE(2026,11,20),tblDaily[WardCode],"BG")=0,"",SUMIFS(tblDaily[TransfersIn],tblDaily[EntryDate],DATE(2026,11,20),tblDaily[WardCode],"BG")),"")</f>
        <v/>
      </c>
      <c r="G416" s="29" t="str">
        <f>IFERROR(IF(SUMIFS(tblDaily[TransfersOut],tblDaily[EntryDate],DATE(2026,11,20),tblDaily[WardCode],"BG")=0,"",SUMIFS(tblDaily[TransfersOut],tblDaily[EntryDate],DATE(2026,11,20),tblDaily[WardCode],"BG")),"")</f>
        <v/>
      </c>
      <c r="H416" s="29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IFERROR(IF(SUMIFS(tblDaily[Admissions],tblDaily[EntryDate],DATE(2026,11,21),tblDaily[WardCode],"BG")=0,"",SUMIFS(tblDaily[Admissions],tblDaily[EntryDate],DATE(2026,11,21),tblDaily[WardCode],"BG")),"")</f>
        <v/>
      </c>
      <c r="C417" s="29" t="str">
        <f>IFERROR(IF(SUMIFS(tblDaily[Discharges],tblDaily[EntryDate],DATE(2026,11,21),tblDaily[WardCode],"BG")=0,"",SUMIFS(tblDaily[Discharges],tblDaily[EntryDate],DATE(2026,11,21),tblDaily[WardCode],"BG")),"")</f>
        <v/>
      </c>
      <c r="D417" s="29" t="str">
        <f>IFERROR(IF(SUMIFS(tblDaily[Deaths],tblDaily[EntryDate],DATE(2026,11,21),tblDaily[WardCode],"BG")=0,"",SUMIFS(tblDaily[Deaths],tblDaily[EntryDate],DATE(2026,11,21),tblDaily[WardCode],"BG")),"")</f>
        <v/>
      </c>
      <c r="E417" s="29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29" t="str">
        <f>IFERROR(IF(SUMIFS(tblDaily[TransfersIn],tblDaily[EntryDate],DATE(2026,11,21),tblDaily[WardCode],"BG")=0,"",SUMIFS(tblDaily[TransfersIn],tblDaily[EntryDate],DATE(2026,11,21),tblDaily[WardCode],"BG")),"")</f>
        <v/>
      </c>
      <c r="G417" s="29" t="str">
        <f>IFERROR(IF(SUMIFS(tblDaily[TransfersOut],tblDaily[EntryDate],DATE(2026,11,21),tblDaily[WardCode],"BG")=0,"",SUMIFS(tblDaily[TransfersOut],tblDaily[EntryDate],DATE(2026,11,21),tblDaily[WardCode],"BG")),"")</f>
        <v/>
      </c>
      <c r="H417" s="29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IFERROR(IF(SUMIFS(tblDaily[Admissions],tblDaily[EntryDate],DATE(2026,11,22),tblDaily[WardCode],"BG")=0,"",SUMIFS(tblDaily[Admissions],tblDaily[EntryDate],DATE(2026,11,22),tblDaily[WardCode],"BG")),"")</f>
        <v/>
      </c>
      <c r="C418" s="29" t="str">
        <f>IFERROR(IF(SUMIFS(tblDaily[Discharges],tblDaily[EntryDate],DATE(2026,11,22),tblDaily[WardCode],"BG")=0,"",SUMIFS(tblDaily[Discharges],tblDaily[EntryDate],DATE(2026,11,22),tblDaily[WardCode],"BG")),"")</f>
        <v/>
      </c>
      <c r="D418" s="29" t="str">
        <f>IFERROR(IF(SUMIFS(tblDaily[Deaths],tblDaily[EntryDate],DATE(2026,11,22),tblDaily[WardCode],"BG")=0,"",SUMIFS(tblDaily[Deaths],tblDaily[EntryDate],DATE(2026,11,22),tblDaily[WardCode],"BG")),"")</f>
        <v/>
      </c>
      <c r="E418" s="29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29" t="str">
        <f>IFERROR(IF(SUMIFS(tblDaily[TransfersIn],tblDaily[EntryDate],DATE(2026,11,22),tblDaily[WardCode],"BG")=0,"",SUMIFS(tblDaily[TransfersIn],tblDaily[EntryDate],DATE(2026,11,22),tblDaily[WardCode],"BG")),"")</f>
        <v/>
      </c>
      <c r="G418" s="29" t="str">
        <f>IFERROR(IF(SUMIFS(tblDaily[TransfersOut],tblDaily[EntryDate],DATE(2026,11,22),tblDaily[WardCode],"BG")=0,"",SUMIFS(tblDaily[TransfersOut],tblDaily[EntryDate],DATE(2026,11,22),tblDaily[WardCode],"BG")),"")</f>
        <v/>
      </c>
      <c r="H418" s="29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IFERROR(IF(SUMIFS(tblDaily[Admissions],tblDaily[EntryDate],DATE(2026,11,23),tblDaily[WardCode],"BG")=0,"",SUMIFS(tblDaily[Admissions],tblDaily[EntryDate],DATE(2026,11,23),tblDaily[WardCode],"BG")),"")</f>
        <v/>
      </c>
      <c r="C419" s="29" t="str">
        <f>IFERROR(IF(SUMIFS(tblDaily[Discharges],tblDaily[EntryDate],DATE(2026,11,23),tblDaily[WardCode],"BG")=0,"",SUMIFS(tblDaily[Discharges],tblDaily[EntryDate],DATE(2026,11,23),tblDaily[WardCode],"BG")),"")</f>
        <v/>
      </c>
      <c r="D419" s="29" t="str">
        <f>IFERROR(IF(SUMIFS(tblDaily[Deaths],tblDaily[EntryDate],DATE(2026,11,23),tblDaily[WardCode],"BG")=0,"",SUMIFS(tblDaily[Deaths],tblDaily[EntryDate],DATE(2026,11,23),tblDaily[WardCode],"BG")),"")</f>
        <v/>
      </c>
      <c r="E419" s="29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29" t="str">
        <f>IFERROR(IF(SUMIFS(tblDaily[TransfersIn],tblDaily[EntryDate],DATE(2026,11,23),tblDaily[WardCode],"BG")=0,"",SUMIFS(tblDaily[TransfersIn],tblDaily[EntryDate],DATE(2026,11,23),tblDaily[WardCode],"BG")),"")</f>
        <v/>
      </c>
      <c r="G419" s="29" t="str">
        <f>IFERROR(IF(SUMIFS(tblDaily[TransfersOut],tblDaily[EntryDate],DATE(2026,11,23),tblDaily[WardCode],"BG")=0,"",SUMIFS(tblDaily[TransfersOut],tblDaily[EntryDate],DATE(2026,11,23),tblDaily[WardCode],"BG")),"")</f>
        <v/>
      </c>
      <c r="H419" s="29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IFERROR(IF(SUMIFS(tblDaily[Admissions],tblDaily[EntryDate],DATE(2026,11,24),tblDaily[WardCode],"BG")=0,"",SUMIFS(tblDaily[Admissions],tblDaily[EntryDate],DATE(2026,11,24),tblDaily[WardCode],"BG")),"")</f>
        <v/>
      </c>
      <c r="C420" s="29" t="str">
        <f>IFERROR(IF(SUMIFS(tblDaily[Discharges],tblDaily[EntryDate],DATE(2026,11,24),tblDaily[WardCode],"BG")=0,"",SUMIFS(tblDaily[Discharges],tblDaily[EntryDate],DATE(2026,11,24),tblDaily[WardCode],"BG")),"")</f>
        <v/>
      </c>
      <c r="D420" s="29" t="str">
        <f>IFERROR(IF(SUMIFS(tblDaily[Deaths],tblDaily[EntryDate],DATE(2026,11,24),tblDaily[WardCode],"BG")=0,"",SUMIFS(tblDaily[Deaths],tblDaily[EntryDate],DATE(2026,11,24),tblDaily[WardCode],"BG")),"")</f>
        <v/>
      </c>
      <c r="E420" s="29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29" t="str">
        <f>IFERROR(IF(SUMIFS(tblDaily[TransfersIn],tblDaily[EntryDate],DATE(2026,11,24),tblDaily[WardCode],"BG")=0,"",SUMIFS(tblDaily[TransfersIn],tblDaily[EntryDate],DATE(2026,11,24),tblDaily[WardCode],"BG")),"")</f>
        <v/>
      </c>
      <c r="G420" s="29" t="str">
        <f>IFERROR(IF(SUMIFS(tblDaily[TransfersOut],tblDaily[EntryDate],DATE(2026,11,24),tblDaily[WardCode],"BG")=0,"",SUMIFS(tblDaily[TransfersOut],tblDaily[EntryDate],DATE(2026,11,24),tblDaily[WardCode],"BG")),"")</f>
        <v/>
      </c>
      <c r="H420" s="29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IFERROR(IF(SUMIFS(tblDaily[Admissions],tblDaily[EntryDate],DATE(2026,11,25),tblDaily[WardCode],"BG")=0,"",SUMIFS(tblDaily[Admissions],tblDaily[EntryDate],DATE(2026,11,25),tblDaily[WardCode],"BG")),"")</f>
        <v/>
      </c>
      <c r="C421" s="29" t="str">
        <f>IFERROR(IF(SUMIFS(tblDaily[Discharges],tblDaily[EntryDate],DATE(2026,11,25),tblDaily[WardCode],"BG")=0,"",SUMIFS(tblDaily[Discharges],tblDaily[EntryDate],DATE(2026,11,25),tblDaily[WardCode],"BG")),"")</f>
        <v/>
      </c>
      <c r="D421" s="29" t="str">
        <f>IFERROR(IF(SUMIFS(tblDaily[Deaths],tblDaily[EntryDate],DATE(2026,11,25),tblDaily[WardCode],"BG")=0,"",SUMIFS(tblDaily[Deaths],tblDaily[EntryDate],DATE(2026,11,25),tblDaily[WardCode],"BG")),"")</f>
        <v/>
      </c>
      <c r="E421" s="29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29" t="str">
        <f>IFERROR(IF(SUMIFS(tblDaily[TransfersIn],tblDaily[EntryDate],DATE(2026,11,25),tblDaily[WardCode],"BG")=0,"",SUMIFS(tblDaily[TransfersIn],tblDaily[EntryDate],DATE(2026,11,25),tblDaily[WardCode],"BG")),"")</f>
        <v/>
      </c>
      <c r="G421" s="29" t="str">
        <f>IFERROR(IF(SUMIFS(tblDaily[TransfersOut],tblDaily[EntryDate],DATE(2026,11,25),tblDaily[WardCode],"BG")=0,"",SUMIFS(tblDaily[TransfersOut],tblDaily[EntryDate],DATE(2026,11,25),tblDaily[WardCode],"BG")),"")</f>
        <v/>
      </c>
      <c r="H421" s="29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IFERROR(IF(SUMIFS(tblDaily[Admissions],tblDaily[EntryDate],DATE(2026,11,26),tblDaily[WardCode],"BG")=0,"",SUMIFS(tblDaily[Admissions],tblDaily[EntryDate],DATE(2026,11,26),tblDaily[WardCode],"BG")),"")</f>
        <v/>
      </c>
      <c r="C422" s="29" t="str">
        <f>IFERROR(IF(SUMIFS(tblDaily[Discharges],tblDaily[EntryDate],DATE(2026,11,26),tblDaily[WardCode],"BG")=0,"",SUMIFS(tblDaily[Discharges],tblDaily[EntryDate],DATE(2026,11,26),tblDaily[WardCode],"BG")),"")</f>
        <v/>
      </c>
      <c r="D422" s="29" t="str">
        <f>IFERROR(IF(SUMIFS(tblDaily[Deaths],tblDaily[EntryDate],DATE(2026,11,26),tblDaily[WardCode],"BG")=0,"",SUMIFS(tblDaily[Deaths],tblDaily[EntryDate],DATE(2026,11,26),tblDaily[WardCode],"BG")),"")</f>
        <v/>
      </c>
      <c r="E422" s="29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29" t="str">
        <f>IFERROR(IF(SUMIFS(tblDaily[TransfersIn],tblDaily[EntryDate],DATE(2026,11,26),tblDaily[WardCode],"BG")=0,"",SUMIFS(tblDaily[TransfersIn],tblDaily[EntryDate],DATE(2026,11,26),tblDaily[WardCode],"BG")),"")</f>
        <v/>
      </c>
      <c r="G422" s="29" t="str">
        <f>IFERROR(IF(SUMIFS(tblDaily[TransfersOut],tblDaily[EntryDate],DATE(2026,11,26),tblDaily[WardCode],"BG")=0,"",SUMIFS(tblDaily[TransfersOut],tblDaily[EntryDate],DATE(2026,11,26),tblDaily[WardCode],"BG")),"")</f>
        <v/>
      </c>
      <c r="H422" s="29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IFERROR(IF(SUMIFS(tblDaily[Admissions],tblDaily[EntryDate],DATE(2026,11,27),tblDaily[WardCode],"BG")=0,"",SUMIFS(tblDaily[Admissions],tblDaily[EntryDate],DATE(2026,11,27),tblDaily[WardCode],"BG")),"")</f>
        <v/>
      </c>
      <c r="C423" s="29" t="str">
        <f>IFERROR(IF(SUMIFS(tblDaily[Discharges],tblDaily[EntryDate],DATE(2026,11,27),tblDaily[WardCode],"BG")=0,"",SUMIFS(tblDaily[Discharges],tblDaily[EntryDate],DATE(2026,11,27),tblDaily[WardCode],"BG")),"")</f>
        <v/>
      </c>
      <c r="D423" s="29" t="str">
        <f>IFERROR(IF(SUMIFS(tblDaily[Deaths],tblDaily[EntryDate],DATE(2026,11,27),tblDaily[WardCode],"BG")=0,"",SUMIFS(tblDaily[Deaths],tblDaily[EntryDate],DATE(2026,11,27),tblDaily[WardCode],"BG")),"")</f>
        <v/>
      </c>
      <c r="E423" s="29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29" t="str">
        <f>IFERROR(IF(SUMIFS(tblDaily[TransfersIn],tblDaily[EntryDate],DATE(2026,11,27),tblDaily[WardCode],"BG")=0,"",SUMIFS(tblDaily[TransfersIn],tblDaily[EntryDate],DATE(2026,11,27),tblDaily[WardCode],"BG")),"")</f>
        <v/>
      </c>
      <c r="G423" s="29" t="str">
        <f>IFERROR(IF(SUMIFS(tblDaily[TransfersOut],tblDaily[EntryDate],DATE(2026,11,27),tblDaily[WardCode],"BG")=0,"",SUMIFS(tblDaily[TransfersOut],tblDaily[EntryDate],DATE(2026,11,27),tblDaily[WardCode],"BG")),"")</f>
        <v/>
      </c>
      <c r="H423" s="29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IFERROR(IF(SUMIFS(tblDaily[Admissions],tblDaily[EntryDate],DATE(2026,11,28),tblDaily[WardCode],"BG")=0,"",SUMIFS(tblDaily[Admissions],tblDaily[EntryDate],DATE(2026,11,28),tblDaily[WardCode],"BG")),"")</f>
        <v/>
      </c>
      <c r="C424" s="29" t="str">
        <f>IFERROR(IF(SUMIFS(tblDaily[Discharges],tblDaily[EntryDate],DATE(2026,11,28),tblDaily[WardCode],"BG")=0,"",SUMIFS(tblDaily[Discharges],tblDaily[EntryDate],DATE(2026,11,28),tblDaily[WardCode],"BG")),"")</f>
        <v/>
      </c>
      <c r="D424" s="29" t="str">
        <f>IFERROR(IF(SUMIFS(tblDaily[Deaths],tblDaily[EntryDate],DATE(2026,11,28),tblDaily[WardCode],"BG")=0,"",SUMIFS(tblDaily[Deaths],tblDaily[EntryDate],DATE(2026,11,28),tblDaily[WardCode],"BG")),"")</f>
        <v/>
      </c>
      <c r="E424" s="29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29" t="str">
        <f>IFERROR(IF(SUMIFS(tblDaily[TransfersIn],tblDaily[EntryDate],DATE(2026,11,28),tblDaily[WardCode],"BG")=0,"",SUMIFS(tblDaily[TransfersIn],tblDaily[EntryDate],DATE(2026,11,28),tblDaily[WardCode],"BG")),"")</f>
        <v/>
      </c>
      <c r="G424" s="29" t="str">
        <f>IFERROR(IF(SUMIFS(tblDaily[TransfersOut],tblDaily[EntryDate],DATE(2026,11,28),tblDaily[WardCode],"BG")=0,"",SUMIFS(tblDaily[TransfersOut],tblDaily[EntryDate],DATE(2026,11,28),tblDaily[WardCode],"BG")),"")</f>
        <v/>
      </c>
      <c r="H424" s="29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IFERROR(IF(SUMIFS(tblDaily[Admissions],tblDaily[EntryDate],DATE(2026,11,29),tblDaily[WardCode],"BG")=0,"",SUMIFS(tblDaily[Admissions],tblDaily[EntryDate],DATE(2026,11,29),tblDaily[WardCode],"BG")),"")</f>
        <v/>
      </c>
      <c r="C425" s="29" t="str">
        <f>IFERROR(IF(SUMIFS(tblDaily[Discharges],tblDaily[EntryDate],DATE(2026,11,29),tblDaily[WardCode],"BG")=0,"",SUMIFS(tblDaily[Discharges],tblDaily[EntryDate],DATE(2026,11,29),tblDaily[WardCode],"BG")),"")</f>
        <v/>
      </c>
      <c r="D425" s="29" t="str">
        <f>IFERROR(IF(SUMIFS(tblDaily[Deaths],tblDaily[EntryDate],DATE(2026,11,29),tblDaily[WardCode],"BG")=0,"",SUMIFS(tblDaily[Deaths],tblDaily[EntryDate],DATE(2026,11,29),tblDaily[WardCode],"BG")),"")</f>
        <v/>
      </c>
      <c r="E425" s="29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29" t="str">
        <f>IFERROR(IF(SUMIFS(tblDaily[TransfersIn],tblDaily[EntryDate],DATE(2026,11,29),tblDaily[WardCode],"BG")=0,"",SUMIFS(tblDaily[TransfersIn],tblDaily[EntryDate],DATE(2026,11,29),tblDaily[WardCode],"BG")),"")</f>
        <v/>
      </c>
      <c r="G425" s="29" t="str">
        <f>IFERROR(IF(SUMIFS(tblDaily[TransfersOut],tblDaily[EntryDate],DATE(2026,11,29),tblDaily[WardCode],"BG")=0,"",SUMIFS(tblDaily[TransfersOut],tblDaily[EntryDate],DATE(2026,11,29),tblDaily[WardCode],"BG")),"")</f>
        <v/>
      </c>
      <c r="H425" s="29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IFERROR(IF(SUMIFS(tblDaily[Admissions],tblDaily[EntryDate],DATE(2026,11,30),tblDaily[WardCode],"BG")=0,"",SUMIFS(tblDaily[Admissions],tblDaily[EntryDate],DATE(2026,11,30),tblDaily[WardCode],"BG")),"")</f>
        <v/>
      </c>
      <c r="C426" s="29" t="str">
        <f>IFERROR(IF(SUMIFS(tblDaily[Discharges],tblDaily[EntryDate],DATE(2026,11,30),tblDaily[WardCode],"BG")=0,"",SUMIFS(tblDaily[Discharges],tblDaily[EntryDate],DATE(2026,11,30),tblDaily[WardCode],"BG")),"")</f>
        <v/>
      </c>
      <c r="D426" s="29" t="str">
        <f>IFERROR(IF(SUMIFS(tblDaily[Deaths],tblDaily[EntryDate],DATE(2026,11,30),tblDaily[WardCode],"BG")=0,"",SUMIFS(tblDaily[Deaths],tblDaily[EntryDate],DATE(2026,11,30),tblDaily[WardCode],"BG")),"")</f>
        <v/>
      </c>
      <c r="E426" s="29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29" t="str">
        <f>IFERROR(IF(SUMIFS(tblDaily[TransfersIn],tblDaily[EntryDate],DATE(2026,11,30),tblDaily[WardCode],"BG")=0,"",SUMIFS(tblDaily[TransfersIn],tblDaily[EntryDate],DATE(2026,11,30),tblDaily[WardCode],"BG")),"")</f>
        <v/>
      </c>
      <c r="G426" s="29" t="str">
        <f>IFERROR(IF(SUMIFS(tblDaily[TransfersOut],tblDaily[EntryDate],DATE(2026,11,30),tblDaily[WardCode],"BG")=0,"",SUMIFS(tblDaily[TransfersOut],tblDaily[EntryDate],DATE(2026,11,30),tblDaily[WardCode],"BG")),"")</f>
        <v/>
      </c>
      <c r="H426" s="29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SUMIFS(tblDaily[Admissions],tblDaily[Month],11,tblDaily[WardCode],"BG") - SUMIFS(tblDaily[DeathsUnder24Hrs],tblDaily[Month],11,tblDaily[WardCode],"BG")</f>
        <v>0</v>
      </c>
      <c r="C428" s="30">
        <f>SUMIFS(tblDaily[Discharges],tblDaily[Month],11,tblDaily[WardCode],"BG")</f>
        <v>0</v>
      </c>
      <c r="D428" s="30">
        <f>SUMIFS(tblDaily[Deaths],tblDaily[Month],11,tblDaily[WardCode],"BG")</f>
        <v>0</v>
      </c>
      <c r="E428" s="30">
        <f>SUMIFS(tblDaily[DeathsUnder24Hrs],tblDaily[Month],11,tblDaily[WardCode],"BG")</f>
        <v>0</v>
      </c>
      <c r="F428" s="30">
        <f>SUMIFS(tblDaily[TransfersIn],tblDaily[Month],11,tblDaily[WardCode],"BG")</f>
        <v>0</v>
      </c>
      <c r="G428" s="30">
        <f>SUMIFS(tblDaily[TransfersOut],tblDaily[Month],11,tblDaily[WardCode],"BG")</f>
        <v>0</v>
      </c>
      <c r="H428" s="30">
        <f>SUMIFS(tblDaily[Remaining],tblDaily[Month],11,tblDaily[WardCode],"BG")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119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IFERROR(SUMIFS(tblDaily[Remaining],tblDaily[EntryDate],DATE(2026,11,30),tblDaily[WardCode],"BG"),0)</f>
        <v>0</v>
      </c>
    </row>
    <row r="434" spans="1:8" x14ac:dyDescent="0.25">
      <c r="A434" s="24" t="s">
        <v>109</v>
      </c>
      <c r="H434" s="27">
        <f>IFERROR(INDEX(tblWardConfig[BedComplement],MATCH("BG",tblWardConfig[WardCode],0)),0)</f>
        <v>14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IFERROR(IF(SUMIFS(tblDaily[Admissions],tblDaily[EntryDate],DATE(2026,12,1),tblDaily[WardCode],"BG")=0,"",SUMIFS(tblDaily[Admissions],tblDaily[EntryDate],DATE(2026,12,1),tblDaily[WardCode],"BG")),"")</f>
        <v/>
      </c>
      <c r="C436" s="29" t="str">
        <f>IFERROR(IF(SUMIFS(tblDaily[Discharges],tblDaily[EntryDate],DATE(2026,12,1),tblDaily[WardCode],"BG")=0,"",SUMIFS(tblDaily[Discharges],tblDaily[EntryDate],DATE(2026,12,1),tblDaily[WardCode],"BG")),"")</f>
        <v/>
      </c>
      <c r="D436" s="29" t="str">
        <f>IFERROR(IF(SUMIFS(tblDaily[Deaths],tblDaily[EntryDate],DATE(2026,12,1),tblDaily[WardCode],"BG")=0,"",SUMIFS(tblDaily[Deaths],tblDaily[EntryDate],DATE(2026,12,1),tblDaily[WardCode],"BG")),"")</f>
        <v/>
      </c>
      <c r="E436" s="29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29" t="str">
        <f>IFERROR(IF(SUMIFS(tblDaily[TransfersIn],tblDaily[EntryDate],DATE(2026,12,1),tblDaily[WardCode],"BG")=0,"",SUMIFS(tblDaily[TransfersIn],tblDaily[EntryDate],DATE(2026,12,1),tblDaily[WardCode],"BG")),"")</f>
        <v/>
      </c>
      <c r="G436" s="29" t="str">
        <f>IFERROR(IF(SUMIFS(tblDaily[TransfersOut],tblDaily[EntryDate],DATE(2026,12,1),tblDaily[WardCode],"BG")=0,"",SUMIFS(tblDaily[TransfersOut],tblDaily[EntryDate],DATE(2026,12,1),tblDaily[WardCode],"BG")),"")</f>
        <v/>
      </c>
      <c r="H436" s="29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IFERROR(IF(SUMIFS(tblDaily[Admissions],tblDaily[EntryDate],DATE(2026,12,2),tblDaily[WardCode],"BG")=0,"",SUMIFS(tblDaily[Admissions],tblDaily[EntryDate],DATE(2026,12,2),tblDaily[WardCode],"BG")),"")</f>
        <v/>
      </c>
      <c r="C437" s="29" t="str">
        <f>IFERROR(IF(SUMIFS(tblDaily[Discharges],tblDaily[EntryDate],DATE(2026,12,2),tblDaily[WardCode],"BG")=0,"",SUMIFS(tblDaily[Discharges],tblDaily[EntryDate],DATE(2026,12,2),tblDaily[WardCode],"BG")),"")</f>
        <v/>
      </c>
      <c r="D437" s="29" t="str">
        <f>IFERROR(IF(SUMIFS(tblDaily[Deaths],tblDaily[EntryDate],DATE(2026,12,2),tblDaily[WardCode],"BG")=0,"",SUMIFS(tblDaily[Deaths],tblDaily[EntryDate],DATE(2026,12,2),tblDaily[WardCode],"BG")),"")</f>
        <v/>
      </c>
      <c r="E437" s="29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29" t="str">
        <f>IFERROR(IF(SUMIFS(tblDaily[TransfersIn],tblDaily[EntryDate],DATE(2026,12,2),tblDaily[WardCode],"BG")=0,"",SUMIFS(tblDaily[TransfersIn],tblDaily[EntryDate],DATE(2026,12,2),tblDaily[WardCode],"BG")),"")</f>
        <v/>
      </c>
      <c r="G437" s="29" t="str">
        <f>IFERROR(IF(SUMIFS(tblDaily[TransfersOut],tblDaily[EntryDate],DATE(2026,12,2),tblDaily[WardCode],"BG")=0,"",SUMIFS(tblDaily[TransfersOut],tblDaily[EntryDate],DATE(2026,12,2),tblDaily[WardCode],"BG")),"")</f>
        <v/>
      </c>
      <c r="H437" s="29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IFERROR(IF(SUMIFS(tblDaily[Admissions],tblDaily[EntryDate],DATE(2026,12,3),tblDaily[WardCode],"BG")=0,"",SUMIFS(tblDaily[Admissions],tblDaily[EntryDate],DATE(2026,12,3),tblDaily[WardCode],"BG")),"")</f>
        <v/>
      </c>
      <c r="C438" s="29" t="str">
        <f>IFERROR(IF(SUMIFS(tblDaily[Discharges],tblDaily[EntryDate],DATE(2026,12,3),tblDaily[WardCode],"BG")=0,"",SUMIFS(tblDaily[Discharges],tblDaily[EntryDate],DATE(2026,12,3),tblDaily[WardCode],"BG")),"")</f>
        <v/>
      </c>
      <c r="D438" s="29" t="str">
        <f>IFERROR(IF(SUMIFS(tblDaily[Deaths],tblDaily[EntryDate],DATE(2026,12,3),tblDaily[WardCode],"BG")=0,"",SUMIFS(tblDaily[Deaths],tblDaily[EntryDate],DATE(2026,12,3),tblDaily[WardCode],"BG")),"")</f>
        <v/>
      </c>
      <c r="E438" s="29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29" t="str">
        <f>IFERROR(IF(SUMIFS(tblDaily[TransfersIn],tblDaily[EntryDate],DATE(2026,12,3),tblDaily[WardCode],"BG")=0,"",SUMIFS(tblDaily[TransfersIn],tblDaily[EntryDate],DATE(2026,12,3),tblDaily[WardCode],"BG")),"")</f>
        <v/>
      </c>
      <c r="G438" s="29" t="str">
        <f>IFERROR(IF(SUMIFS(tblDaily[TransfersOut],tblDaily[EntryDate],DATE(2026,12,3),tblDaily[WardCode],"BG")=0,"",SUMIFS(tblDaily[TransfersOut],tblDaily[EntryDate],DATE(2026,12,3),tblDaily[WardCode],"BG")),"")</f>
        <v/>
      </c>
      <c r="H438" s="29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IFERROR(IF(SUMIFS(tblDaily[Admissions],tblDaily[EntryDate],DATE(2026,12,4),tblDaily[WardCode],"BG")=0,"",SUMIFS(tblDaily[Admissions],tblDaily[EntryDate],DATE(2026,12,4),tblDaily[WardCode],"BG")),"")</f>
        <v/>
      </c>
      <c r="C439" s="29" t="str">
        <f>IFERROR(IF(SUMIFS(tblDaily[Discharges],tblDaily[EntryDate],DATE(2026,12,4),tblDaily[WardCode],"BG")=0,"",SUMIFS(tblDaily[Discharges],tblDaily[EntryDate],DATE(2026,12,4),tblDaily[WardCode],"BG")),"")</f>
        <v/>
      </c>
      <c r="D439" s="29" t="str">
        <f>IFERROR(IF(SUMIFS(tblDaily[Deaths],tblDaily[EntryDate],DATE(2026,12,4),tblDaily[WardCode],"BG")=0,"",SUMIFS(tblDaily[Deaths],tblDaily[EntryDate],DATE(2026,12,4),tblDaily[WardCode],"BG")),"")</f>
        <v/>
      </c>
      <c r="E439" s="29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29" t="str">
        <f>IFERROR(IF(SUMIFS(tblDaily[TransfersIn],tblDaily[EntryDate],DATE(2026,12,4),tblDaily[WardCode],"BG")=0,"",SUMIFS(tblDaily[TransfersIn],tblDaily[EntryDate],DATE(2026,12,4),tblDaily[WardCode],"BG")),"")</f>
        <v/>
      </c>
      <c r="G439" s="29" t="str">
        <f>IFERROR(IF(SUMIFS(tblDaily[TransfersOut],tblDaily[EntryDate],DATE(2026,12,4),tblDaily[WardCode],"BG")=0,"",SUMIFS(tblDaily[TransfersOut],tblDaily[EntryDate],DATE(2026,12,4),tblDaily[WardCode],"BG")),"")</f>
        <v/>
      </c>
      <c r="H439" s="29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IFERROR(IF(SUMIFS(tblDaily[Admissions],tblDaily[EntryDate],DATE(2026,12,5),tblDaily[WardCode],"BG")=0,"",SUMIFS(tblDaily[Admissions],tblDaily[EntryDate],DATE(2026,12,5),tblDaily[WardCode],"BG")),"")</f>
        <v/>
      </c>
      <c r="C440" s="29" t="str">
        <f>IFERROR(IF(SUMIFS(tblDaily[Discharges],tblDaily[EntryDate],DATE(2026,12,5),tblDaily[WardCode],"BG")=0,"",SUMIFS(tblDaily[Discharges],tblDaily[EntryDate],DATE(2026,12,5),tblDaily[WardCode],"BG")),"")</f>
        <v/>
      </c>
      <c r="D440" s="29" t="str">
        <f>IFERROR(IF(SUMIFS(tblDaily[Deaths],tblDaily[EntryDate],DATE(2026,12,5),tblDaily[WardCode],"BG")=0,"",SUMIFS(tblDaily[Deaths],tblDaily[EntryDate],DATE(2026,12,5),tblDaily[WardCode],"BG")),"")</f>
        <v/>
      </c>
      <c r="E440" s="29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29" t="str">
        <f>IFERROR(IF(SUMIFS(tblDaily[TransfersIn],tblDaily[EntryDate],DATE(2026,12,5),tblDaily[WardCode],"BG")=0,"",SUMIFS(tblDaily[TransfersIn],tblDaily[EntryDate],DATE(2026,12,5),tblDaily[WardCode],"BG")),"")</f>
        <v/>
      </c>
      <c r="G440" s="29" t="str">
        <f>IFERROR(IF(SUMIFS(tblDaily[TransfersOut],tblDaily[EntryDate],DATE(2026,12,5),tblDaily[WardCode],"BG")=0,"",SUMIFS(tblDaily[TransfersOut],tblDaily[EntryDate],DATE(2026,12,5),tblDaily[WardCode],"BG")),"")</f>
        <v/>
      </c>
      <c r="H440" s="29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IFERROR(IF(SUMIFS(tblDaily[Admissions],tblDaily[EntryDate],DATE(2026,12,6),tblDaily[WardCode],"BG")=0,"",SUMIFS(tblDaily[Admissions],tblDaily[EntryDate],DATE(2026,12,6),tblDaily[WardCode],"BG")),"")</f>
        <v/>
      </c>
      <c r="C441" s="29" t="str">
        <f>IFERROR(IF(SUMIFS(tblDaily[Discharges],tblDaily[EntryDate],DATE(2026,12,6),tblDaily[WardCode],"BG")=0,"",SUMIFS(tblDaily[Discharges],tblDaily[EntryDate],DATE(2026,12,6),tblDaily[WardCode],"BG")),"")</f>
        <v/>
      </c>
      <c r="D441" s="29" t="str">
        <f>IFERROR(IF(SUMIFS(tblDaily[Deaths],tblDaily[EntryDate],DATE(2026,12,6),tblDaily[WardCode],"BG")=0,"",SUMIFS(tblDaily[Deaths],tblDaily[EntryDate],DATE(2026,12,6),tblDaily[WardCode],"BG")),"")</f>
        <v/>
      </c>
      <c r="E441" s="29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29" t="str">
        <f>IFERROR(IF(SUMIFS(tblDaily[TransfersIn],tblDaily[EntryDate],DATE(2026,12,6),tblDaily[WardCode],"BG")=0,"",SUMIFS(tblDaily[TransfersIn],tblDaily[EntryDate],DATE(2026,12,6),tblDaily[WardCode],"BG")),"")</f>
        <v/>
      </c>
      <c r="G441" s="29" t="str">
        <f>IFERROR(IF(SUMIFS(tblDaily[TransfersOut],tblDaily[EntryDate],DATE(2026,12,6),tblDaily[WardCode],"BG")=0,"",SUMIFS(tblDaily[TransfersOut],tblDaily[EntryDate],DATE(2026,12,6),tblDaily[WardCode],"BG")),"")</f>
        <v/>
      </c>
      <c r="H441" s="29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IFERROR(IF(SUMIFS(tblDaily[Admissions],tblDaily[EntryDate],DATE(2026,12,7),tblDaily[WardCode],"BG")=0,"",SUMIFS(tblDaily[Admissions],tblDaily[EntryDate],DATE(2026,12,7),tblDaily[WardCode],"BG")),"")</f>
        <v/>
      </c>
      <c r="C442" s="29" t="str">
        <f>IFERROR(IF(SUMIFS(tblDaily[Discharges],tblDaily[EntryDate],DATE(2026,12,7),tblDaily[WardCode],"BG")=0,"",SUMIFS(tblDaily[Discharges],tblDaily[EntryDate],DATE(2026,12,7),tblDaily[WardCode],"BG")),"")</f>
        <v/>
      </c>
      <c r="D442" s="29" t="str">
        <f>IFERROR(IF(SUMIFS(tblDaily[Deaths],tblDaily[EntryDate],DATE(2026,12,7),tblDaily[WardCode],"BG")=0,"",SUMIFS(tblDaily[Deaths],tblDaily[EntryDate],DATE(2026,12,7),tblDaily[WardCode],"BG")),"")</f>
        <v/>
      </c>
      <c r="E442" s="29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29" t="str">
        <f>IFERROR(IF(SUMIFS(tblDaily[TransfersIn],tblDaily[EntryDate],DATE(2026,12,7),tblDaily[WardCode],"BG")=0,"",SUMIFS(tblDaily[TransfersIn],tblDaily[EntryDate],DATE(2026,12,7),tblDaily[WardCode],"BG")),"")</f>
        <v/>
      </c>
      <c r="G442" s="29" t="str">
        <f>IFERROR(IF(SUMIFS(tblDaily[TransfersOut],tblDaily[EntryDate],DATE(2026,12,7),tblDaily[WardCode],"BG")=0,"",SUMIFS(tblDaily[TransfersOut],tblDaily[EntryDate],DATE(2026,12,7),tblDaily[WardCode],"BG")),"")</f>
        <v/>
      </c>
      <c r="H442" s="29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IFERROR(IF(SUMIFS(tblDaily[Admissions],tblDaily[EntryDate],DATE(2026,12,8),tblDaily[WardCode],"BG")=0,"",SUMIFS(tblDaily[Admissions],tblDaily[EntryDate],DATE(2026,12,8),tblDaily[WardCode],"BG")),"")</f>
        <v/>
      </c>
      <c r="C443" s="29" t="str">
        <f>IFERROR(IF(SUMIFS(tblDaily[Discharges],tblDaily[EntryDate],DATE(2026,12,8),tblDaily[WardCode],"BG")=0,"",SUMIFS(tblDaily[Discharges],tblDaily[EntryDate],DATE(2026,12,8),tblDaily[WardCode],"BG")),"")</f>
        <v/>
      </c>
      <c r="D443" s="29" t="str">
        <f>IFERROR(IF(SUMIFS(tblDaily[Deaths],tblDaily[EntryDate],DATE(2026,12,8),tblDaily[WardCode],"BG")=0,"",SUMIFS(tblDaily[Deaths],tblDaily[EntryDate],DATE(2026,12,8),tblDaily[WardCode],"BG")),"")</f>
        <v/>
      </c>
      <c r="E443" s="29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29" t="str">
        <f>IFERROR(IF(SUMIFS(tblDaily[TransfersIn],tblDaily[EntryDate],DATE(2026,12,8),tblDaily[WardCode],"BG")=0,"",SUMIFS(tblDaily[TransfersIn],tblDaily[EntryDate],DATE(2026,12,8),tblDaily[WardCode],"BG")),"")</f>
        <v/>
      </c>
      <c r="G443" s="29" t="str">
        <f>IFERROR(IF(SUMIFS(tblDaily[TransfersOut],tblDaily[EntryDate],DATE(2026,12,8),tblDaily[WardCode],"BG")=0,"",SUMIFS(tblDaily[TransfersOut],tblDaily[EntryDate],DATE(2026,12,8),tblDaily[WardCode],"BG")),"")</f>
        <v/>
      </c>
      <c r="H443" s="29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IFERROR(IF(SUMIFS(tblDaily[Admissions],tblDaily[EntryDate],DATE(2026,12,9),tblDaily[WardCode],"BG")=0,"",SUMIFS(tblDaily[Admissions],tblDaily[EntryDate],DATE(2026,12,9),tblDaily[WardCode],"BG")),"")</f>
        <v/>
      </c>
      <c r="C444" s="29" t="str">
        <f>IFERROR(IF(SUMIFS(tblDaily[Discharges],tblDaily[EntryDate],DATE(2026,12,9),tblDaily[WardCode],"BG")=0,"",SUMIFS(tblDaily[Discharges],tblDaily[EntryDate],DATE(2026,12,9),tblDaily[WardCode],"BG")),"")</f>
        <v/>
      </c>
      <c r="D444" s="29" t="str">
        <f>IFERROR(IF(SUMIFS(tblDaily[Deaths],tblDaily[EntryDate],DATE(2026,12,9),tblDaily[WardCode],"BG")=0,"",SUMIFS(tblDaily[Deaths],tblDaily[EntryDate],DATE(2026,12,9),tblDaily[WardCode],"BG")),"")</f>
        <v/>
      </c>
      <c r="E444" s="29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29" t="str">
        <f>IFERROR(IF(SUMIFS(tblDaily[TransfersIn],tblDaily[EntryDate],DATE(2026,12,9),tblDaily[WardCode],"BG")=0,"",SUMIFS(tblDaily[TransfersIn],tblDaily[EntryDate],DATE(2026,12,9),tblDaily[WardCode],"BG")),"")</f>
        <v/>
      </c>
      <c r="G444" s="29" t="str">
        <f>IFERROR(IF(SUMIFS(tblDaily[TransfersOut],tblDaily[EntryDate],DATE(2026,12,9),tblDaily[WardCode],"BG")=0,"",SUMIFS(tblDaily[TransfersOut],tblDaily[EntryDate],DATE(2026,12,9),tblDaily[WardCode],"BG")),"")</f>
        <v/>
      </c>
      <c r="H444" s="29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IFERROR(IF(SUMIFS(tblDaily[Admissions],tblDaily[EntryDate],DATE(2026,12,10),tblDaily[WardCode],"BG")=0,"",SUMIFS(tblDaily[Admissions],tblDaily[EntryDate],DATE(2026,12,10),tblDaily[WardCode],"BG")),"")</f>
        <v/>
      </c>
      <c r="C445" s="29" t="str">
        <f>IFERROR(IF(SUMIFS(tblDaily[Discharges],tblDaily[EntryDate],DATE(2026,12,10),tblDaily[WardCode],"BG")=0,"",SUMIFS(tblDaily[Discharges],tblDaily[EntryDate],DATE(2026,12,10),tblDaily[WardCode],"BG")),"")</f>
        <v/>
      </c>
      <c r="D445" s="29" t="str">
        <f>IFERROR(IF(SUMIFS(tblDaily[Deaths],tblDaily[EntryDate],DATE(2026,12,10),tblDaily[WardCode],"BG")=0,"",SUMIFS(tblDaily[Deaths],tblDaily[EntryDate],DATE(2026,12,10),tblDaily[WardCode],"BG")),"")</f>
        <v/>
      </c>
      <c r="E445" s="29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29" t="str">
        <f>IFERROR(IF(SUMIFS(tblDaily[TransfersIn],tblDaily[EntryDate],DATE(2026,12,10),tblDaily[WardCode],"BG")=0,"",SUMIFS(tblDaily[TransfersIn],tblDaily[EntryDate],DATE(2026,12,10),tblDaily[WardCode],"BG")),"")</f>
        <v/>
      </c>
      <c r="G445" s="29" t="str">
        <f>IFERROR(IF(SUMIFS(tblDaily[TransfersOut],tblDaily[EntryDate],DATE(2026,12,10),tblDaily[WardCode],"BG")=0,"",SUMIFS(tblDaily[TransfersOut],tblDaily[EntryDate],DATE(2026,12,10),tblDaily[WardCode],"BG")),"")</f>
        <v/>
      </c>
      <c r="H445" s="29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IFERROR(IF(SUMIFS(tblDaily[Admissions],tblDaily[EntryDate],DATE(2026,12,11),tblDaily[WardCode],"BG")=0,"",SUMIFS(tblDaily[Admissions],tblDaily[EntryDate],DATE(2026,12,11),tblDaily[WardCode],"BG")),"")</f>
        <v/>
      </c>
      <c r="C446" s="29" t="str">
        <f>IFERROR(IF(SUMIFS(tblDaily[Discharges],tblDaily[EntryDate],DATE(2026,12,11),tblDaily[WardCode],"BG")=0,"",SUMIFS(tblDaily[Discharges],tblDaily[EntryDate],DATE(2026,12,11),tblDaily[WardCode],"BG")),"")</f>
        <v/>
      </c>
      <c r="D446" s="29" t="str">
        <f>IFERROR(IF(SUMIFS(tblDaily[Deaths],tblDaily[EntryDate],DATE(2026,12,11),tblDaily[WardCode],"BG")=0,"",SUMIFS(tblDaily[Deaths],tblDaily[EntryDate],DATE(2026,12,11),tblDaily[WardCode],"BG")),"")</f>
        <v/>
      </c>
      <c r="E446" s="29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29" t="str">
        <f>IFERROR(IF(SUMIFS(tblDaily[TransfersIn],tblDaily[EntryDate],DATE(2026,12,11),tblDaily[WardCode],"BG")=0,"",SUMIFS(tblDaily[TransfersIn],tblDaily[EntryDate],DATE(2026,12,11),tblDaily[WardCode],"BG")),"")</f>
        <v/>
      </c>
      <c r="G446" s="29" t="str">
        <f>IFERROR(IF(SUMIFS(tblDaily[TransfersOut],tblDaily[EntryDate],DATE(2026,12,11),tblDaily[WardCode],"BG")=0,"",SUMIFS(tblDaily[TransfersOut],tblDaily[EntryDate],DATE(2026,12,11),tblDaily[WardCode],"BG")),"")</f>
        <v/>
      </c>
      <c r="H446" s="29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IFERROR(IF(SUMIFS(tblDaily[Admissions],tblDaily[EntryDate],DATE(2026,12,12),tblDaily[WardCode],"BG")=0,"",SUMIFS(tblDaily[Admissions],tblDaily[EntryDate],DATE(2026,12,12),tblDaily[WardCode],"BG")),"")</f>
        <v/>
      </c>
      <c r="C447" s="29" t="str">
        <f>IFERROR(IF(SUMIFS(tblDaily[Discharges],tblDaily[EntryDate],DATE(2026,12,12),tblDaily[WardCode],"BG")=0,"",SUMIFS(tblDaily[Discharges],tblDaily[EntryDate],DATE(2026,12,12),tblDaily[WardCode],"BG")),"")</f>
        <v/>
      </c>
      <c r="D447" s="29" t="str">
        <f>IFERROR(IF(SUMIFS(tblDaily[Deaths],tblDaily[EntryDate],DATE(2026,12,12),tblDaily[WardCode],"BG")=0,"",SUMIFS(tblDaily[Deaths],tblDaily[EntryDate],DATE(2026,12,12),tblDaily[WardCode],"BG")),"")</f>
        <v/>
      </c>
      <c r="E447" s="29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29" t="str">
        <f>IFERROR(IF(SUMIFS(tblDaily[TransfersIn],tblDaily[EntryDate],DATE(2026,12,12),tblDaily[WardCode],"BG")=0,"",SUMIFS(tblDaily[TransfersIn],tblDaily[EntryDate],DATE(2026,12,12),tblDaily[WardCode],"BG")),"")</f>
        <v/>
      </c>
      <c r="G447" s="29" t="str">
        <f>IFERROR(IF(SUMIFS(tblDaily[TransfersOut],tblDaily[EntryDate],DATE(2026,12,12),tblDaily[WardCode],"BG")=0,"",SUMIFS(tblDaily[TransfersOut],tblDaily[EntryDate],DATE(2026,12,12),tblDaily[WardCode],"BG")),"")</f>
        <v/>
      </c>
      <c r="H447" s="29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IFERROR(IF(SUMIFS(tblDaily[Admissions],tblDaily[EntryDate],DATE(2026,12,13),tblDaily[WardCode],"BG")=0,"",SUMIFS(tblDaily[Admissions],tblDaily[EntryDate],DATE(2026,12,13),tblDaily[WardCode],"BG")),"")</f>
        <v/>
      </c>
      <c r="C448" s="29" t="str">
        <f>IFERROR(IF(SUMIFS(tblDaily[Discharges],tblDaily[EntryDate],DATE(2026,12,13),tblDaily[WardCode],"BG")=0,"",SUMIFS(tblDaily[Discharges],tblDaily[EntryDate],DATE(2026,12,13),tblDaily[WardCode],"BG")),"")</f>
        <v/>
      </c>
      <c r="D448" s="29" t="str">
        <f>IFERROR(IF(SUMIFS(tblDaily[Deaths],tblDaily[EntryDate],DATE(2026,12,13),tblDaily[WardCode],"BG")=0,"",SUMIFS(tblDaily[Deaths],tblDaily[EntryDate],DATE(2026,12,13),tblDaily[WardCode],"BG")),"")</f>
        <v/>
      </c>
      <c r="E448" s="29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29" t="str">
        <f>IFERROR(IF(SUMIFS(tblDaily[TransfersIn],tblDaily[EntryDate],DATE(2026,12,13),tblDaily[WardCode],"BG")=0,"",SUMIFS(tblDaily[TransfersIn],tblDaily[EntryDate],DATE(2026,12,13),tblDaily[WardCode],"BG")),"")</f>
        <v/>
      </c>
      <c r="G448" s="29" t="str">
        <f>IFERROR(IF(SUMIFS(tblDaily[TransfersOut],tblDaily[EntryDate],DATE(2026,12,13),tblDaily[WardCode],"BG")=0,"",SUMIFS(tblDaily[TransfersOut],tblDaily[EntryDate],DATE(2026,12,13),tblDaily[WardCode],"BG")),"")</f>
        <v/>
      </c>
      <c r="H448" s="29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IFERROR(IF(SUMIFS(tblDaily[Admissions],tblDaily[EntryDate],DATE(2026,12,14),tblDaily[WardCode],"BG")=0,"",SUMIFS(tblDaily[Admissions],tblDaily[EntryDate],DATE(2026,12,14),tblDaily[WardCode],"BG")),"")</f>
        <v/>
      </c>
      <c r="C449" s="29" t="str">
        <f>IFERROR(IF(SUMIFS(tblDaily[Discharges],tblDaily[EntryDate],DATE(2026,12,14),tblDaily[WardCode],"BG")=0,"",SUMIFS(tblDaily[Discharges],tblDaily[EntryDate],DATE(2026,12,14),tblDaily[WardCode],"BG")),"")</f>
        <v/>
      </c>
      <c r="D449" s="29" t="str">
        <f>IFERROR(IF(SUMIFS(tblDaily[Deaths],tblDaily[EntryDate],DATE(2026,12,14),tblDaily[WardCode],"BG")=0,"",SUMIFS(tblDaily[Deaths],tblDaily[EntryDate],DATE(2026,12,14),tblDaily[WardCode],"BG")),"")</f>
        <v/>
      </c>
      <c r="E449" s="29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29" t="str">
        <f>IFERROR(IF(SUMIFS(tblDaily[TransfersIn],tblDaily[EntryDate],DATE(2026,12,14),tblDaily[WardCode],"BG")=0,"",SUMIFS(tblDaily[TransfersIn],tblDaily[EntryDate],DATE(2026,12,14),tblDaily[WardCode],"BG")),"")</f>
        <v/>
      </c>
      <c r="G449" s="29" t="str">
        <f>IFERROR(IF(SUMIFS(tblDaily[TransfersOut],tblDaily[EntryDate],DATE(2026,12,14),tblDaily[WardCode],"BG")=0,"",SUMIFS(tblDaily[TransfersOut],tblDaily[EntryDate],DATE(2026,12,14),tblDaily[WardCode],"BG")),"")</f>
        <v/>
      </c>
      <c r="H449" s="29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IFERROR(IF(SUMIFS(tblDaily[Admissions],tblDaily[EntryDate],DATE(2026,12,15),tblDaily[WardCode],"BG")=0,"",SUMIFS(tblDaily[Admissions],tblDaily[EntryDate],DATE(2026,12,15),tblDaily[WardCode],"BG")),"")</f>
        <v/>
      </c>
      <c r="C450" s="29" t="str">
        <f>IFERROR(IF(SUMIFS(tblDaily[Discharges],tblDaily[EntryDate],DATE(2026,12,15),tblDaily[WardCode],"BG")=0,"",SUMIFS(tblDaily[Discharges],tblDaily[EntryDate],DATE(2026,12,15),tblDaily[WardCode],"BG")),"")</f>
        <v/>
      </c>
      <c r="D450" s="29" t="str">
        <f>IFERROR(IF(SUMIFS(tblDaily[Deaths],tblDaily[EntryDate],DATE(2026,12,15),tblDaily[WardCode],"BG")=0,"",SUMIFS(tblDaily[Deaths],tblDaily[EntryDate],DATE(2026,12,15),tblDaily[WardCode],"BG")),"")</f>
        <v/>
      </c>
      <c r="E450" s="29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29" t="str">
        <f>IFERROR(IF(SUMIFS(tblDaily[TransfersIn],tblDaily[EntryDate],DATE(2026,12,15),tblDaily[WardCode],"BG")=0,"",SUMIFS(tblDaily[TransfersIn],tblDaily[EntryDate],DATE(2026,12,15),tblDaily[WardCode],"BG")),"")</f>
        <v/>
      </c>
      <c r="G450" s="29" t="str">
        <f>IFERROR(IF(SUMIFS(tblDaily[TransfersOut],tblDaily[EntryDate],DATE(2026,12,15),tblDaily[WardCode],"BG")=0,"",SUMIFS(tblDaily[TransfersOut],tblDaily[EntryDate],DATE(2026,12,15),tblDaily[WardCode],"BG")),"")</f>
        <v/>
      </c>
      <c r="H450" s="29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IFERROR(IF(SUMIFS(tblDaily[Admissions],tblDaily[EntryDate],DATE(2026,12,16),tblDaily[WardCode],"BG")=0,"",SUMIFS(tblDaily[Admissions],tblDaily[EntryDate],DATE(2026,12,16),tblDaily[WardCode],"BG")),"")</f>
        <v/>
      </c>
      <c r="C451" s="29" t="str">
        <f>IFERROR(IF(SUMIFS(tblDaily[Discharges],tblDaily[EntryDate],DATE(2026,12,16),tblDaily[WardCode],"BG")=0,"",SUMIFS(tblDaily[Discharges],tblDaily[EntryDate],DATE(2026,12,16),tblDaily[WardCode],"BG")),"")</f>
        <v/>
      </c>
      <c r="D451" s="29" t="str">
        <f>IFERROR(IF(SUMIFS(tblDaily[Deaths],tblDaily[EntryDate],DATE(2026,12,16),tblDaily[WardCode],"BG")=0,"",SUMIFS(tblDaily[Deaths],tblDaily[EntryDate],DATE(2026,12,16),tblDaily[WardCode],"BG")),"")</f>
        <v/>
      </c>
      <c r="E451" s="29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29" t="str">
        <f>IFERROR(IF(SUMIFS(tblDaily[TransfersIn],tblDaily[EntryDate],DATE(2026,12,16),tblDaily[WardCode],"BG")=0,"",SUMIFS(tblDaily[TransfersIn],tblDaily[EntryDate],DATE(2026,12,16),tblDaily[WardCode],"BG")),"")</f>
        <v/>
      </c>
      <c r="G451" s="29" t="str">
        <f>IFERROR(IF(SUMIFS(tblDaily[TransfersOut],tblDaily[EntryDate],DATE(2026,12,16),tblDaily[WardCode],"BG")=0,"",SUMIFS(tblDaily[TransfersOut],tblDaily[EntryDate],DATE(2026,12,16),tblDaily[WardCode],"BG")),"")</f>
        <v/>
      </c>
      <c r="H451" s="29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IFERROR(IF(SUMIFS(tblDaily[Admissions],tblDaily[EntryDate],DATE(2026,12,17),tblDaily[WardCode],"BG")=0,"",SUMIFS(tblDaily[Admissions],tblDaily[EntryDate],DATE(2026,12,17),tblDaily[WardCode],"BG")),"")</f>
        <v/>
      </c>
      <c r="C452" s="29" t="str">
        <f>IFERROR(IF(SUMIFS(tblDaily[Discharges],tblDaily[EntryDate],DATE(2026,12,17),tblDaily[WardCode],"BG")=0,"",SUMIFS(tblDaily[Discharges],tblDaily[EntryDate],DATE(2026,12,17),tblDaily[WardCode],"BG")),"")</f>
        <v/>
      </c>
      <c r="D452" s="29" t="str">
        <f>IFERROR(IF(SUMIFS(tblDaily[Deaths],tblDaily[EntryDate],DATE(2026,12,17),tblDaily[WardCode],"BG")=0,"",SUMIFS(tblDaily[Deaths],tblDaily[EntryDate],DATE(2026,12,17),tblDaily[WardCode],"BG")),"")</f>
        <v/>
      </c>
      <c r="E452" s="29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29" t="str">
        <f>IFERROR(IF(SUMIFS(tblDaily[TransfersIn],tblDaily[EntryDate],DATE(2026,12,17),tblDaily[WardCode],"BG")=0,"",SUMIFS(tblDaily[TransfersIn],tblDaily[EntryDate],DATE(2026,12,17),tblDaily[WardCode],"BG")),"")</f>
        <v/>
      </c>
      <c r="G452" s="29" t="str">
        <f>IFERROR(IF(SUMIFS(tblDaily[TransfersOut],tblDaily[EntryDate],DATE(2026,12,17),tblDaily[WardCode],"BG")=0,"",SUMIFS(tblDaily[TransfersOut],tblDaily[EntryDate],DATE(2026,12,17),tblDaily[WardCode],"BG")),"")</f>
        <v/>
      </c>
      <c r="H452" s="29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IFERROR(IF(SUMIFS(tblDaily[Admissions],tblDaily[EntryDate],DATE(2026,12,18),tblDaily[WardCode],"BG")=0,"",SUMIFS(tblDaily[Admissions],tblDaily[EntryDate],DATE(2026,12,18),tblDaily[WardCode],"BG")),"")</f>
        <v/>
      </c>
      <c r="C453" s="29" t="str">
        <f>IFERROR(IF(SUMIFS(tblDaily[Discharges],tblDaily[EntryDate],DATE(2026,12,18),tblDaily[WardCode],"BG")=0,"",SUMIFS(tblDaily[Discharges],tblDaily[EntryDate],DATE(2026,12,18),tblDaily[WardCode],"BG")),"")</f>
        <v/>
      </c>
      <c r="D453" s="29" t="str">
        <f>IFERROR(IF(SUMIFS(tblDaily[Deaths],tblDaily[EntryDate],DATE(2026,12,18),tblDaily[WardCode],"BG")=0,"",SUMIFS(tblDaily[Deaths],tblDaily[EntryDate],DATE(2026,12,18),tblDaily[WardCode],"BG")),"")</f>
        <v/>
      </c>
      <c r="E453" s="29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29" t="str">
        <f>IFERROR(IF(SUMIFS(tblDaily[TransfersIn],tblDaily[EntryDate],DATE(2026,12,18),tblDaily[WardCode],"BG")=0,"",SUMIFS(tblDaily[TransfersIn],tblDaily[EntryDate],DATE(2026,12,18),tblDaily[WardCode],"BG")),"")</f>
        <v/>
      </c>
      <c r="G453" s="29" t="str">
        <f>IFERROR(IF(SUMIFS(tblDaily[TransfersOut],tblDaily[EntryDate],DATE(2026,12,18),tblDaily[WardCode],"BG")=0,"",SUMIFS(tblDaily[TransfersOut],tblDaily[EntryDate],DATE(2026,12,18),tblDaily[WardCode],"BG")),"")</f>
        <v/>
      </c>
      <c r="H453" s="29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IFERROR(IF(SUMIFS(tblDaily[Admissions],tblDaily[EntryDate],DATE(2026,12,19),tblDaily[WardCode],"BG")=0,"",SUMIFS(tblDaily[Admissions],tblDaily[EntryDate],DATE(2026,12,19),tblDaily[WardCode],"BG")),"")</f>
        <v/>
      </c>
      <c r="C454" s="29" t="str">
        <f>IFERROR(IF(SUMIFS(tblDaily[Discharges],tblDaily[EntryDate],DATE(2026,12,19),tblDaily[WardCode],"BG")=0,"",SUMIFS(tblDaily[Discharges],tblDaily[EntryDate],DATE(2026,12,19),tblDaily[WardCode],"BG")),"")</f>
        <v/>
      </c>
      <c r="D454" s="29" t="str">
        <f>IFERROR(IF(SUMIFS(tblDaily[Deaths],tblDaily[EntryDate],DATE(2026,12,19),tblDaily[WardCode],"BG")=0,"",SUMIFS(tblDaily[Deaths],tblDaily[EntryDate],DATE(2026,12,19),tblDaily[WardCode],"BG")),"")</f>
        <v/>
      </c>
      <c r="E454" s="29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29" t="str">
        <f>IFERROR(IF(SUMIFS(tblDaily[TransfersIn],tblDaily[EntryDate],DATE(2026,12,19),tblDaily[WardCode],"BG")=0,"",SUMIFS(tblDaily[TransfersIn],tblDaily[EntryDate],DATE(2026,12,19),tblDaily[WardCode],"BG")),"")</f>
        <v/>
      </c>
      <c r="G454" s="29" t="str">
        <f>IFERROR(IF(SUMIFS(tblDaily[TransfersOut],tblDaily[EntryDate],DATE(2026,12,19),tblDaily[WardCode],"BG")=0,"",SUMIFS(tblDaily[TransfersOut],tblDaily[EntryDate],DATE(2026,12,19),tblDaily[WardCode],"BG")),"")</f>
        <v/>
      </c>
      <c r="H454" s="29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IFERROR(IF(SUMIFS(tblDaily[Admissions],tblDaily[EntryDate],DATE(2026,12,20),tblDaily[WardCode],"BG")=0,"",SUMIFS(tblDaily[Admissions],tblDaily[EntryDate],DATE(2026,12,20),tblDaily[WardCode],"BG")),"")</f>
        <v/>
      </c>
      <c r="C455" s="29" t="str">
        <f>IFERROR(IF(SUMIFS(tblDaily[Discharges],tblDaily[EntryDate],DATE(2026,12,20),tblDaily[WardCode],"BG")=0,"",SUMIFS(tblDaily[Discharges],tblDaily[EntryDate],DATE(2026,12,20),tblDaily[WardCode],"BG")),"")</f>
        <v/>
      </c>
      <c r="D455" s="29" t="str">
        <f>IFERROR(IF(SUMIFS(tblDaily[Deaths],tblDaily[EntryDate],DATE(2026,12,20),tblDaily[WardCode],"BG")=0,"",SUMIFS(tblDaily[Deaths],tblDaily[EntryDate],DATE(2026,12,20),tblDaily[WardCode],"BG")),"")</f>
        <v/>
      </c>
      <c r="E455" s="29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29" t="str">
        <f>IFERROR(IF(SUMIFS(tblDaily[TransfersIn],tblDaily[EntryDate],DATE(2026,12,20),tblDaily[WardCode],"BG")=0,"",SUMIFS(tblDaily[TransfersIn],tblDaily[EntryDate],DATE(2026,12,20),tblDaily[WardCode],"BG")),"")</f>
        <v/>
      </c>
      <c r="G455" s="29" t="str">
        <f>IFERROR(IF(SUMIFS(tblDaily[TransfersOut],tblDaily[EntryDate],DATE(2026,12,20),tblDaily[WardCode],"BG")=0,"",SUMIFS(tblDaily[TransfersOut],tblDaily[EntryDate],DATE(2026,12,20),tblDaily[WardCode],"BG")),"")</f>
        <v/>
      </c>
      <c r="H455" s="29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IFERROR(IF(SUMIFS(tblDaily[Admissions],tblDaily[EntryDate],DATE(2026,12,21),tblDaily[WardCode],"BG")=0,"",SUMIFS(tblDaily[Admissions],tblDaily[EntryDate],DATE(2026,12,21),tblDaily[WardCode],"BG")),"")</f>
        <v/>
      </c>
      <c r="C456" s="29" t="str">
        <f>IFERROR(IF(SUMIFS(tblDaily[Discharges],tblDaily[EntryDate],DATE(2026,12,21),tblDaily[WardCode],"BG")=0,"",SUMIFS(tblDaily[Discharges],tblDaily[EntryDate],DATE(2026,12,21),tblDaily[WardCode],"BG")),"")</f>
        <v/>
      </c>
      <c r="D456" s="29" t="str">
        <f>IFERROR(IF(SUMIFS(tblDaily[Deaths],tblDaily[EntryDate],DATE(2026,12,21),tblDaily[WardCode],"BG")=0,"",SUMIFS(tblDaily[Deaths],tblDaily[EntryDate],DATE(2026,12,21),tblDaily[WardCode],"BG")),"")</f>
        <v/>
      </c>
      <c r="E456" s="29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29" t="str">
        <f>IFERROR(IF(SUMIFS(tblDaily[TransfersIn],tblDaily[EntryDate],DATE(2026,12,21),tblDaily[WardCode],"BG")=0,"",SUMIFS(tblDaily[TransfersIn],tblDaily[EntryDate],DATE(2026,12,21),tblDaily[WardCode],"BG")),"")</f>
        <v/>
      </c>
      <c r="G456" s="29" t="str">
        <f>IFERROR(IF(SUMIFS(tblDaily[TransfersOut],tblDaily[EntryDate],DATE(2026,12,21),tblDaily[WardCode],"BG")=0,"",SUMIFS(tblDaily[TransfersOut],tblDaily[EntryDate],DATE(2026,12,21),tblDaily[WardCode],"BG")),"")</f>
        <v/>
      </c>
      <c r="H456" s="29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IFERROR(IF(SUMIFS(tblDaily[Admissions],tblDaily[EntryDate],DATE(2026,12,22),tblDaily[WardCode],"BG")=0,"",SUMIFS(tblDaily[Admissions],tblDaily[EntryDate],DATE(2026,12,22),tblDaily[WardCode],"BG")),"")</f>
        <v/>
      </c>
      <c r="C457" s="29" t="str">
        <f>IFERROR(IF(SUMIFS(tblDaily[Discharges],tblDaily[EntryDate],DATE(2026,12,22),tblDaily[WardCode],"BG")=0,"",SUMIFS(tblDaily[Discharges],tblDaily[EntryDate],DATE(2026,12,22),tblDaily[WardCode],"BG")),"")</f>
        <v/>
      </c>
      <c r="D457" s="29" t="str">
        <f>IFERROR(IF(SUMIFS(tblDaily[Deaths],tblDaily[EntryDate],DATE(2026,12,22),tblDaily[WardCode],"BG")=0,"",SUMIFS(tblDaily[Deaths],tblDaily[EntryDate],DATE(2026,12,22),tblDaily[WardCode],"BG")),"")</f>
        <v/>
      </c>
      <c r="E457" s="29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29" t="str">
        <f>IFERROR(IF(SUMIFS(tblDaily[TransfersIn],tblDaily[EntryDate],DATE(2026,12,22),tblDaily[WardCode],"BG")=0,"",SUMIFS(tblDaily[TransfersIn],tblDaily[EntryDate],DATE(2026,12,22),tblDaily[WardCode],"BG")),"")</f>
        <v/>
      </c>
      <c r="G457" s="29" t="str">
        <f>IFERROR(IF(SUMIFS(tblDaily[TransfersOut],tblDaily[EntryDate],DATE(2026,12,22),tblDaily[WardCode],"BG")=0,"",SUMIFS(tblDaily[TransfersOut],tblDaily[EntryDate],DATE(2026,12,22),tblDaily[WardCode],"BG")),"")</f>
        <v/>
      </c>
      <c r="H457" s="29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IFERROR(IF(SUMIFS(tblDaily[Admissions],tblDaily[EntryDate],DATE(2026,12,23),tblDaily[WardCode],"BG")=0,"",SUMIFS(tblDaily[Admissions],tblDaily[EntryDate],DATE(2026,12,23),tblDaily[WardCode],"BG")),"")</f>
        <v/>
      </c>
      <c r="C458" s="29" t="str">
        <f>IFERROR(IF(SUMIFS(tblDaily[Discharges],tblDaily[EntryDate],DATE(2026,12,23),tblDaily[WardCode],"BG")=0,"",SUMIFS(tblDaily[Discharges],tblDaily[EntryDate],DATE(2026,12,23),tblDaily[WardCode],"BG")),"")</f>
        <v/>
      </c>
      <c r="D458" s="29" t="str">
        <f>IFERROR(IF(SUMIFS(tblDaily[Deaths],tblDaily[EntryDate],DATE(2026,12,23),tblDaily[WardCode],"BG")=0,"",SUMIFS(tblDaily[Deaths],tblDaily[EntryDate],DATE(2026,12,23),tblDaily[WardCode],"BG")),"")</f>
        <v/>
      </c>
      <c r="E458" s="29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29" t="str">
        <f>IFERROR(IF(SUMIFS(tblDaily[TransfersIn],tblDaily[EntryDate],DATE(2026,12,23),tblDaily[WardCode],"BG")=0,"",SUMIFS(tblDaily[TransfersIn],tblDaily[EntryDate],DATE(2026,12,23),tblDaily[WardCode],"BG")),"")</f>
        <v/>
      </c>
      <c r="G458" s="29" t="str">
        <f>IFERROR(IF(SUMIFS(tblDaily[TransfersOut],tblDaily[EntryDate],DATE(2026,12,23),tblDaily[WardCode],"BG")=0,"",SUMIFS(tblDaily[TransfersOut],tblDaily[EntryDate],DATE(2026,12,23),tblDaily[WardCode],"BG")),"")</f>
        <v/>
      </c>
      <c r="H458" s="29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IFERROR(IF(SUMIFS(tblDaily[Admissions],tblDaily[EntryDate],DATE(2026,12,24),tblDaily[WardCode],"BG")=0,"",SUMIFS(tblDaily[Admissions],tblDaily[EntryDate],DATE(2026,12,24),tblDaily[WardCode],"BG")),"")</f>
        <v/>
      </c>
      <c r="C459" s="29" t="str">
        <f>IFERROR(IF(SUMIFS(tblDaily[Discharges],tblDaily[EntryDate],DATE(2026,12,24),tblDaily[WardCode],"BG")=0,"",SUMIFS(tblDaily[Discharges],tblDaily[EntryDate],DATE(2026,12,24),tblDaily[WardCode],"BG")),"")</f>
        <v/>
      </c>
      <c r="D459" s="29" t="str">
        <f>IFERROR(IF(SUMIFS(tblDaily[Deaths],tblDaily[EntryDate],DATE(2026,12,24),tblDaily[WardCode],"BG")=0,"",SUMIFS(tblDaily[Deaths],tblDaily[EntryDate],DATE(2026,12,24),tblDaily[WardCode],"BG")),"")</f>
        <v/>
      </c>
      <c r="E459" s="29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29" t="str">
        <f>IFERROR(IF(SUMIFS(tblDaily[TransfersIn],tblDaily[EntryDate],DATE(2026,12,24),tblDaily[WardCode],"BG")=0,"",SUMIFS(tblDaily[TransfersIn],tblDaily[EntryDate],DATE(2026,12,24),tblDaily[WardCode],"BG")),"")</f>
        <v/>
      </c>
      <c r="G459" s="29" t="str">
        <f>IFERROR(IF(SUMIFS(tblDaily[TransfersOut],tblDaily[EntryDate],DATE(2026,12,24),tblDaily[WardCode],"BG")=0,"",SUMIFS(tblDaily[TransfersOut],tblDaily[EntryDate],DATE(2026,12,24),tblDaily[WardCode],"BG")),"")</f>
        <v/>
      </c>
      <c r="H459" s="29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IFERROR(IF(SUMIFS(tblDaily[Admissions],tblDaily[EntryDate],DATE(2026,12,25),tblDaily[WardCode],"BG")=0,"",SUMIFS(tblDaily[Admissions],tblDaily[EntryDate],DATE(2026,12,25),tblDaily[WardCode],"BG")),"")</f>
        <v/>
      </c>
      <c r="C460" s="29" t="str">
        <f>IFERROR(IF(SUMIFS(tblDaily[Discharges],tblDaily[EntryDate],DATE(2026,12,25),tblDaily[WardCode],"BG")=0,"",SUMIFS(tblDaily[Discharges],tblDaily[EntryDate],DATE(2026,12,25),tblDaily[WardCode],"BG")),"")</f>
        <v/>
      </c>
      <c r="D460" s="29" t="str">
        <f>IFERROR(IF(SUMIFS(tblDaily[Deaths],tblDaily[EntryDate],DATE(2026,12,25),tblDaily[WardCode],"BG")=0,"",SUMIFS(tblDaily[Deaths],tblDaily[EntryDate],DATE(2026,12,25),tblDaily[WardCode],"BG")),"")</f>
        <v/>
      </c>
      <c r="E460" s="29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29" t="str">
        <f>IFERROR(IF(SUMIFS(tblDaily[TransfersIn],tblDaily[EntryDate],DATE(2026,12,25),tblDaily[WardCode],"BG")=0,"",SUMIFS(tblDaily[TransfersIn],tblDaily[EntryDate],DATE(2026,12,25),tblDaily[WardCode],"BG")),"")</f>
        <v/>
      </c>
      <c r="G460" s="29" t="str">
        <f>IFERROR(IF(SUMIFS(tblDaily[TransfersOut],tblDaily[EntryDate],DATE(2026,12,25),tblDaily[WardCode],"BG")=0,"",SUMIFS(tblDaily[TransfersOut],tblDaily[EntryDate],DATE(2026,12,25),tblDaily[WardCode],"BG")),"")</f>
        <v/>
      </c>
      <c r="H460" s="29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IFERROR(IF(SUMIFS(tblDaily[Admissions],tblDaily[EntryDate],DATE(2026,12,26),tblDaily[WardCode],"BG")=0,"",SUMIFS(tblDaily[Admissions],tblDaily[EntryDate],DATE(2026,12,26),tblDaily[WardCode],"BG")),"")</f>
        <v/>
      </c>
      <c r="C461" s="29" t="str">
        <f>IFERROR(IF(SUMIFS(tblDaily[Discharges],tblDaily[EntryDate],DATE(2026,12,26),tblDaily[WardCode],"BG")=0,"",SUMIFS(tblDaily[Discharges],tblDaily[EntryDate],DATE(2026,12,26),tblDaily[WardCode],"BG")),"")</f>
        <v/>
      </c>
      <c r="D461" s="29" t="str">
        <f>IFERROR(IF(SUMIFS(tblDaily[Deaths],tblDaily[EntryDate],DATE(2026,12,26),tblDaily[WardCode],"BG")=0,"",SUMIFS(tblDaily[Deaths],tblDaily[EntryDate],DATE(2026,12,26),tblDaily[WardCode],"BG")),"")</f>
        <v/>
      </c>
      <c r="E461" s="29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29" t="str">
        <f>IFERROR(IF(SUMIFS(tblDaily[TransfersIn],tblDaily[EntryDate],DATE(2026,12,26),tblDaily[WardCode],"BG")=0,"",SUMIFS(tblDaily[TransfersIn],tblDaily[EntryDate],DATE(2026,12,26),tblDaily[WardCode],"BG")),"")</f>
        <v/>
      </c>
      <c r="G461" s="29" t="str">
        <f>IFERROR(IF(SUMIFS(tblDaily[TransfersOut],tblDaily[EntryDate],DATE(2026,12,26),tblDaily[WardCode],"BG")=0,"",SUMIFS(tblDaily[TransfersOut],tblDaily[EntryDate],DATE(2026,12,26),tblDaily[WardCode],"BG")),"")</f>
        <v/>
      </c>
      <c r="H461" s="29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IFERROR(IF(SUMIFS(tblDaily[Admissions],tblDaily[EntryDate],DATE(2026,12,27),tblDaily[WardCode],"BG")=0,"",SUMIFS(tblDaily[Admissions],tblDaily[EntryDate],DATE(2026,12,27),tblDaily[WardCode],"BG")),"")</f>
        <v/>
      </c>
      <c r="C462" s="29" t="str">
        <f>IFERROR(IF(SUMIFS(tblDaily[Discharges],tblDaily[EntryDate],DATE(2026,12,27),tblDaily[WardCode],"BG")=0,"",SUMIFS(tblDaily[Discharges],tblDaily[EntryDate],DATE(2026,12,27),tblDaily[WardCode],"BG")),"")</f>
        <v/>
      </c>
      <c r="D462" s="29" t="str">
        <f>IFERROR(IF(SUMIFS(tblDaily[Deaths],tblDaily[EntryDate],DATE(2026,12,27),tblDaily[WardCode],"BG")=0,"",SUMIFS(tblDaily[Deaths],tblDaily[EntryDate],DATE(2026,12,27),tblDaily[WardCode],"BG")),"")</f>
        <v/>
      </c>
      <c r="E462" s="29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29" t="str">
        <f>IFERROR(IF(SUMIFS(tblDaily[TransfersIn],tblDaily[EntryDate],DATE(2026,12,27),tblDaily[WardCode],"BG")=0,"",SUMIFS(tblDaily[TransfersIn],tblDaily[EntryDate],DATE(2026,12,27),tblDaily[WardCode],"BG")),"")</f>
        <v/>
      </c>
      <c r="G462" s="29" t="str">
        <f>IFERROR(IF(SUMIFS(tblDaily[TransfersOut],tblDaily[EntryDate],DATE(2026,12,27),tblDaily[WardCode],"BG")=0,"",SUMIFS(tblDaily[TransfersOut],tblDaily[EntryDate],DATE(2026,12,27),tblDaily[WardCode],"BG")),"")</f>
        <v/>
      </c>
      <c r="H462" s="29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IFERROR(IF(SUMIFS(tblDaily[Admissions],tblDaily[EntryDate],DATE(2026,12,28),tblDaily[WardCode],"BG")=0,"",SUMIFS(tblDaily[Admissions],tblDaily[EntryDate],DATE(2026,12,28),tblDaily[WardCode],"BG")),"")</f>
        <v/>
      </c>
      <c r="C463" s="29" t="str">
        <f>IFERROR(IF(SUMIFS(tblDaily[Discharges],tblDaily[EntryDate],DATE(2026,12,28),tblDaily[WardCode],"BG")=0,"",SUMIFS(tblDaily[Discharges],tblDaily[EntryDate],DATE(2026,12,28),tblDaily[WardCode],"BG")),"")</f>
        <v/>
      </c>
      <c r="D463" s="29" t="str">
        <f>IFERROR(IF(SUMIFS(tblDaily[Deaths],tblDaily[EntryDate],DATE(2026,12,28),tblDaily[WardCode],"BG")=0,"",SUMIFS(tblDaily[Deaths],tblDaily[EntryDate],DATE(2026,12,28),tblDaily[WardCode],"BG")),"")</f>
        <v/>
      </c>
      <c r="E463" s="29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29" t="str">
        <f>IFERROR(IF(SUMIFS(tblDaily[TransfersIn],tblDaily[EntryDate],DATE(2026,12,28),tblDaily[WardCode],"BG")=0,"",SUMIFS(tblDaily[TransfersIn],tblDaily[EntryDate],DATE(2026,12,28),tblDaily[WardCode],"BG")),"")</f>
        <v/>
      </c>
      <c r="G463" s="29" t="str">
        <f>IFERROR(IF(SUMIFS(tblDaily[TransfersOut],tblDaily[EntryDate],DATE(2026,12,28),tblDaily[WardCode],"BG")=0,"",SUMIFS(tblDaily[TransfersOut],tblDaily[EntryDate],DATE(2026,12,28),tblDaily[WardCode],"BG")),"")</f>
        <v/>
      </c>
      <c r="H463" s="29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IFERROR(IF(SUMIFS(tblDaily[Admissions],tblDaily[EntryDate],DATE(2026,12,29),tblDaily[WardCode],"BG")=0,"",SUMIFS(tblDaily[Admissions],tblDaily[EntryDate],DATE(2026,12,29),tblDaily[WardCode],"BG")),"")</f>
        <v/>
      </c>
      <c r="C464" s="29" t="str">
        <f>IFERROR(IF(SUMIFS(tblDaily[Discharges],tblDaily[EntryDate],DATE(2026,12,29),tblDaily[WardCode],"BG")=0,"",SUMIFS(tblDaily[Discharges],tblDaily[EntryDate],DATE(2026,12,29),tblDaily[WardCode],"BG")),"")</f>
        <v/>
      </c>
      <c r="D464" s="29" t="str">
        <f>IFERROR(IF(SUMIFS(tblDaily[Deaths],tblDaily[EntryDate],DATE(2026,12,29),tblDaily[WardCode],"BG")=0,"",SUMIFS(tblDaily[Deaths],tblDaily[EntryDate],DATE(2026,12,29),tblDaily[WardCode],"BG")),"")</f>
        <v/>
      </c>
      <c r="E464" s="29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29" t="str">
        <f>IFERROR(IF(SUMIFS(tblDaily[TransfersIn],tblDaily[EntryDate],DATE(2026,12,29),tblDaily[WardCode],"BG")=0,"",SUMIFS(tblDaily[TransfersIn],tblDaily[EntryDate],DATE(2026,12,29),tblDaily[WardCode],"BG")),"")</f>
        <v/>
      </c>
      <c r="G464" s="29" t="str">
        <f>IFERROR(IF(SUMIFS(tblDaily[TransfersOut],tblDaily[EntryDate],DATE(2026,12,29),tblDaily[WardCode],"BG")=0,"",SUMIFS(tblDaily[TransfersOut],tblDaily[EntryDate],DATE(2026,12,29),tblDaily[WardCode],"BG")),"")</f>
        <v/>
      </c>
      <c r="H464" s="29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IFERROR(IF(SUMIFS(tblDaily[Admissions],tblDaily[EntryDate],DATE(2026,12,30),tblDaily[WardCode],"BG")=0,"",SUMIFS(tblDaily[Admissions],tblDaily[EntryDate],DATE(2026,12,30),tblDaily[WardCode],"BG")),"")</f>
        <v/>
      </c>
      <c r="C465" s="29" t="str">
        <f>IFERROR(IF(SUMIFS(tblDaily[Discharges],tblDaily[EntryDate],DATE(2026,12,30),tblDaily[WardCode],"BG")=0,"",SUMIFS(tblDaily[Discharges],tblDaily[EntryDate],DATE(2026,12,30),tblDaily[WardCode],"BG")),"")</f>
        <v/>
      </c>
      <c r="D465" s="29" t="str">
        <f>IFERROR(IF(SUMIFS(tblDaily[Deaths],tblDaily[EntryDate],DATE(2026,12,30),tblDaily[WardCode],"BG")=0,"",SUMIFS(tblDaily[Deaths],tblDaily[EntryDate],DATE(2026,12,30),tblDaily[WardCode],"BG")),"")</f>
        <v/>
      </c>
      <c r="E465" s="29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29" t="str">
        <f>IFERROR(IF(SUMIFS(tblDaily[TransfersIn],tblDaily[EntryDate],DATE(2026,12,30),tblDaily[WardCode],"BG")=0,"",SUMIFS(tblDaily[TransfersIn],tblDaily[EntryDate],DATE(2026,12,30),tblDaily[WardCode],"BG")),"")</f>
        <v/>
      </c>
      <c r="G465" s="29" t="str">
        <f>IFERROR(IF(SUMIFS(tblDaily[TransfersOut],tblDaily[EntryDate],DATE(2026,12,30),tblDaily[WardCode],"BG")=0,"",SUMIFS(tblDaily[TransfersOut],tblDaily[EntryDate],DATE(2026,12,30),tblDaily[WardCode],"BG")),"")</f>
        <v/>
      </c>
      <c r="H465" s="29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IFERROR(IF(SUMIFS(tblDaily[Admissions],tblDaily[EntryDate],DATE(2026,12,31),tblDaily[WardCode],"BG")=0,"",SUMIFS(tblDaily[Admissions],tblDaily[EntryDate],DATE(2026,12,31),tblDaily[WardCode],"BG")),"")</f>
        <v/>
      </c>
      <c r="C466" s="29" t="str">
        <f>IFERROR(IF(SUMIFS(tblDaily[Discharges],tblDaily[EntryDate],DATE(2026,12,31),tblDaily[WardCode],"BG")=0,"",SUMIFS(tblDaily[Discharges],tblDaily[EntryDate],DATE(2026,12,31),tblDaily[WardCode],"BG")),"")</f>
        <v/>
      </c>
      <c r="D466" s="29" t="str">
        <f>IFERROR(IF(SUMIFS(tblDaily[Deaths],tblDaily[EntryDate],DATE(2026,12,31),tblDaily[WardCode],"BG")=0,"",SUMIFS(tblDaily[Deaths],tblDaily[EntryDate],DATE(2026,12,31),tblDaily[WardCode],"BG")),"")</f>
        <v/>
      </c>
      <c r="E466" s="29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29" t="str">
        <f>IFERROR(IF(SUMIFS(tblDaily[TransfersIn],tblDaily[EntryDate],DATE(2026,12,31),tblDaily[WardCode],"BG")=0,"",SUMIFS(tblDaily[TransfersIn],tblDaily[EntryDate],DATE(2026,12,31),tblDaily[WardCode],"BG")),"")</f>
        <v/>
      </c>
      <c r="G466" s="29" t="str">
        <f>IFERROR(IF(SUMIFS(tblDaily[TransfersOut],tblDaily[EntryDate],DATE(2026,12,31),tblDaily[WardCode],"BG")=0,"",SUMIFS(tblDaily[TransfersOut],tblDaily[EntryDate],DATE(2026,12,31),tblDaily[WardCode],"BG")),"")</f>
        <v/>
      </c>
      <c r="H466" s="29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30" t="s">
        <v>115</v>
      </c>
      <c r="B467" s="30">
        <f>SUMIFS(tblDaily[Admissions],tblDaily[Month],12,tblDaily[WardCode],"BG") - SUMIFS(tblDaily[DeathsUnder24Hrs],tblDaily[Month],12,tblDaily[WardCode],"BG")</f>
        <v>0</v>
      </c>
      <c r="C467" s="30">
        <f>SUMIFS(tblDaily[Discharges],tblDaily[Month],12,tblDaily[WardCode],"BG")</f>
        <v>0</v>
      </c>
      <c r="D467" s="30">
        <f>SUMIFS(tblDaily[Deaths],tblDaily[Month],12,tblDaily[WardCode],"BG")</f>
        <v>0</v>
      </c>
      <c r="E467" s="30">
        <f>SUMIFS(tblDaily[DeathsUnder24Hrs],tblDaily[Month],12,tblDaily[WardCode],"BG")</f>
        <v>0</v>
      </c>
      <c r="F467" s="30">
        <f>SUMIFS(tblDaily[TransfersIn],tblDaily[Month],12,tblDaily[WardCode],"BG")</f>
        <v>0</v>
      </c>
      <c r="G467" s="30">
        <f>SUMIFS(tblDaily[TransfersOut],tblDaily[Month],12,tblDaily[WardCode],"BG")</f>
        <v>0</v>
      </c>
      <c r="H467" s="30">
        <f>SUMIFS(tblDaily[Remaining],tblDaily[Month],12,tblDaily[WardCode],"BG")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120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IFERROR(INDEX(tblWardConfig[PrevYearRemaining],MATCH("BH",tblWardConfig[WardCode],0)),0)</f>
        <v>12</v>
      </c>
    </row>
    <row r="5" spans="1:8" x14ac:dyDescent="0.25">
      <c r="A5" s="24" t="s">
        <v>109</v>
      </c>
      <c r="H5" s="27">
        <f>IFERROR(INDEX(tblWardConfig[BedComplement],MATCH("BH",tblWardConfig[WardCode],0)),0)</f>
        <v>22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>
        <f>IFERROR(IF(SUMIFS(tblDaily[Admissions],tblDaily[EntryDate],DATE(2026,1,1),tblDaily[WardCode],"BH")=0,"",SUMIFS(tblDaily[Admissions],tblDaily[EntryDate],DATE(2026,1,1),tblDaily[WardCode],"BH")),"")</f>
        <v>3</v>
      </c>
      <c r="C7" s="29">
        <f>IFERROR(IF(SUMIFS(tblDaily[Discharges],tblDaily[EntryDate],DATE(2026,1,1),tblDaily[WardCode],"BH")=0,"",SUMIFS(tblDaily[Discharges],tblDaily[EntryDate],DATE(2026,1,1),tblDaily[WardCode],"BH")),"")</f>
        <v>2</v>
      </c>
      <c r="D7" s="29" t="str">
        <f>IFERROR(IF(SUMIFS(tblDaily[Deaths],tblDaily[EntryDate],DATE(2026,1,1),tblDaily[WardCode],"BH")=0,"",SUMIFS(tblDaily[Deaths],tblDaily[EntryDate],DATE(2026,1,1),tblDaily[WardCode],"BH")),"")</f>
        <v/>
      </c>
      <c r="E7" s="29" t="str">
        <f>IFERROR(IF(SUMIFS(tblDaily[DeathsUnder24Hrs],tblDaily[EntryDate],DATE(2026,1,1),tblDaily[WardCode],"BH")=0,"",SUMIFS(tblDaily[DeathsUnder24Hrs],tblDaily[EntryDate],DATE(2026,1,1),tblDaily[WardCode],"BH")),"")</f>
        <v/>
      </c>
      <c r="F7" s="29">
        <f>IFERROR(IF(SUMIFS(tblDaily[TransfersIn],tblDaily[EntryDate],DATE(2026,1,1),tblDaily[WardCode],"BH")=0,"",SUMIFS(tblDaily[TransfersIn],tblDaily[EntryDate],DATE(2026,1,1),tblDaily[WardCode],"BH")),"")</f>
        <v>1</v>
      </c>
      <c r="G7" s="29" t="str">
        <f>IFERROR(IF(SUMIFS(tblDaily[TransfersOut],tblDaily[EntryDate],DATE(2026,1,1),tblDaily[WardCode],"BH")=0,"",SUMIFS(tblDaily[TransfersOut],tblDaily[EntryDate],DATE(2026,1,1),tblDaily[WardCode],"BH")),"")</f>
        <v/>
      </c>
      <c r="H7" s="29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29">
        <v>2</v>
      </c>
      <c r="B8" s="29">
        <f>IFERROR(IF(SUMIFS(tblDaily[Admissions],tblDaily[EntryDate],DATE(2026,1,2),tblDaily[WardCode],"BH")=0,"",SUMIFS(tblDaily[Admissions],tblDaily[EntryDate],DATE(2026,1,2),tblDaily[WardCode],"BH")),"")</f>
        <v>5</v>
      </c>
      <c r="C8" s="29">
        <f>IFERROR(IF(SUMIFS(tblDaily[Discharges],tblDaily[EntryDate],DATE(2026,1,2),tblDaily[WardCode],"BH")=0,"",SUMIFS(tblDaily[Discharges],tblDaily[EntryDate],DATE(2026,1,2),tblDaily[WardCode],"BH")),"")</f>
        <v>4</v>
      </c>
      <c r="D8" s="29" t="str">
        <f>IFERROR(IF(SUMIFS(tblDaily[Deaths],tblDaily[EntryDate],DATE(2026,1,2),tblDaily[WardCode],"BH")=0,"",SUMIFS(tblDaily[Deaths],tblDaily[EntryDate],DATE(2026,1,2),tblDaily[WardCode],"BH")),"")</f>
        <v/>
      </c>
      <c r="E8" s="29" t="str">
        <f>IFERROR(IF(SUMIFS(tblDaily[DeathsUnder24Hrs],tblDaily[EntryDate],DATE(2026,1,2),tblDaily[WardCode],"BH")=0,"",SUMIFS(tblDaily[DeathsUnder24Hrs],tblDaily[EntryDate],DATE(2026,1,2),tblDaily[WardCode],"BH")),"")</f>
        <v/>
      </c>
      <c r="F8" s="29" t="str">
        <f>IFERROR(IF(SUMIFS(tblDaily[TransfersIn],tblDaily[EntryDate],DATE(2026,1,2),tblDaily[WardCode],"BH")=0,"",SUMIFS(tblDaily[TransfersIn],tblDaily[EntryDate],DATE(2026,1,2),tblDaily[WardCode],"BH")),"")</f>
        <v/>
      </c>
      <c r="G8" s="29">
        <f>IFERROR(IF(SUMIFS(tblDaily[TransfersOut],tblDaily[EntryDate],DATE(2026,1,2),tblDaily[WardCode],"BH")=0,"",SUMIFS(tblDaily[TransfersOut],tblDaily[EntryDate],DATE(2026,1,2),tblDaily[WardCode],"BH")),"")</f>
        <v>2</v>
      </c>
      <c r="H8" s="29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29">
        <v>3</v>
      </c>
      <c r="B9" s="29">
        <f>IFERROR(IF(SUMIFS(tblDaily[Admissions],tblDaily[EntryDate],DATE(2026,1,3),tblDaily[WardCode],"BH")=0,"",SUMIFS(tblDaily[Admissions],tblDaily[EntryDate],DATE(2026,1,3),tblDaily[WardCode],"BH")),"")</f>
        <v>3</v>
      </c>
      <c r="C9" s="29">
        <f>IFERROR(IF(SUMIFS(tblDaily[Discharges],tblDaily[EntryDate],DATE(2026,1,3),tblDaily[WardCode],"BH")=0,"",SUMIFS(tblDaily[Discharges],tblDaily[EntryDate],DATE(2026,1,3),tblDaily[WardCode],"BH")),"")</f>
        <v>1</v>
      </c>
      <c r="D9" s="29" t="str">
        <f>IFERROR(IF(SUMIFS(tblDaily[Deaths],tblDaily[EntryDate],DATE(2026,1,3),tblDaily[WardCode],"BH")=0,"",SUMIFS(tblDaily[Deaths],tblDaily[EntryDate],DATE(2026,1,3),tblDaily[WardCode],"BH")),"")</f>
        <v/>
      </c>
      <c r="E9" s="29" t="str">
        <f>IFERROR(IF(SUMIFS(tblDaily[DeathsUnder24Hrs],tblDaily[EntryDate],DATE(2026,1,3),tblDaily[WardCode],"BH")=0,"",SUMIFS(tblDaily[DeathsUnder24Hrs],tblDaily[EntryDate],DATE(2026,1,3),tblDaily[WardCode],"BH")),"")</f>
        <v/>
      </c>
      <c r="F9" s="29">
        <f>IFERROR(IF(SUMIFS(tblDaily[TransfersIn],tblDaily[EntryDate],DATE(2026,1,3),tblDaily[WardCode],"BH")=0,"",SUMIFS(tblDaily[TransfersIn],tblDaily[EntryDate],DATE(2026,1,3),tblDaily[WardCode],"BH")),"")</f>
        <v>1</v>
      </c>
      <c r="G9" s="29">
        <f>IFERROR(IF(SUMIFS(tblDaily[TransfersOut],tblDaily[EntryDate],DATE(2026,1,3),tblDaily[WardCode],"BH")=0,"",SUMIFS(tblDaily[TransfersOut],tblDaily[EntryDate],DATE(2026,1,3),tblDaily[WardCode],"BH")),"")</f>
        <v>2</v>
      </c>
      <c r="H9" s="29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29">
        <v>4</v>
      </c>
      <c r="B10" s="29">
        <f>IFERROR(IF(SUMIFS(tblDaily[Admissions],tblDaily[EntryDate],DATE(2026,1,4),tblDaily[WardCode],"BH")=0,"",SUMIFS(tblDaily[Admissions],tblDaily[EntryDate],DATE(2026,1,4),tblDaily[WardCode],"BH")),"")</f>
        <v>1</v>
      </c>
      <c r="C10" s="29">
        <f>IFERROR(IF(SUMIFS(tblDaily[Discharges],tblDaily[EntryDate],DATE(2026,1,4),tblDaily[WardCode],"BH")=0,"",SUMIFS(tblDaily[Discharges],tblDaily[EntryDate],DATE(2026,1,4),tblDaily[WardCode],"BH")),"")</f>
        <v>4</v>
      </c>
      <c r="D10" s="29" t="str">
        <f>IFERROR(IF(SUMIFS(tblDaily[Deaths],tblDaily[EntryDate],DATE(2026,1,4),tblDaily[WardCode],"BH")=0,"",SUMIFS(tblDaily[Deaths],tblDaily[EntryDate],DATE(2026,1,4),tblDaily[WardCode],"BH")),"")</f>
        <v/>
      </c>
      <c r="E10" s="29" t="str">
        <f>IFERROR(IF(SUMIFS(tblDaily[DeathsUnder24Hrs],tblDaily[EntryDate],DATE(2026,1,4),tblDaily[WardCode],"BH")=0,"",SUMIFS(tblDaily[DeathsUnder24Hrs],tblDaily[EntryDate],DATE(2026,1,4),tblDaily[WardCode],"BH")),"")</f>
        <v/>
      </c>
      <c r="F10" s="29" t="str">
        <f>IFERROR(IF(SUMIFS(tblDaily[TransfersIn],tblDaily[EntryDate],DATE(2026,1,4),tblDaily[WardCode],"BH")=0,"",SUMIFS(tblDaily[TransfersIn],tblDaily[EntryDate],DATE(2026,1,4),tblDaily[WardCode],"BH")),"")</f>
        <v/>
      </c>
      <c r="G10" s="29">
        <f>IFERROR(IF(SUMIFS(tblDaily[TransfersOut],tblDaily[EntryDate],DATE(2026,1,4),tblDaily[WardCode],"BH")=0,"",SUMIFS(tblDaily[TransfersOut],tblDaily[EntryDate],DATE(2026,1,4),tblDaily[WardCode],"BH")),"")</f>
        <v>1</v>
      </c>
      <c r="H10" s="29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29">
        <v>5</v>
      </c>
      <c r="B11" s="29">
        <f>IFERROR(IF(SUMIFS(tblDaily[Admissions],tblDaily[EntryDate],DATE(2026,1,5),tblDaily[WardCode],"BH")=0,"",SUMIFS(tblDaily[Admissions],tblDaily[EntryDate],DATE(2026,1,5),tblDaily[WardCode],"BH")),"")</f>
        <v>5</v>
      </c>
      <c r="C11" s="29">
        <f>IFERROR(IF(SUMIFS(tblDaily[Discharges],tblDaily[EntryDate],DATE(2026,1,5),tblDaily[WardCode],"BH")=0,"",SUMIFS(tblDaily[Discharges],tblDaily[EntryDate],DATE(2026,1,5),tblDaily[WardCode],"BH")),"")</f>
        <v>1</v>
      </c>
      <c r="D11" s="29" t="str">
        <f>IFERROR(IF(SUMIFS(tblDaily[Deaths],tblDaily[EntryDate],DATE(2026,1,5),tblDaily[WardCode],"BH")=0,"",SUMIFS(tblDaily[Deaths],tblDaily[EntryDate],DATE(2026,1,5),tblDaily[WardCode],"BH")),"")</f>
        <v/>
      </c>
      <c r="E11" s="29" t="str">
        <f>IFERROR(IF(SUMIFS(tblDaily[DeathsUnder24Hrs],tblDaily[EntryDate],DATE(2026,1,5),tblDaily[WardCode],"BH")=0,"",SUMIFS(tblDaily[DeathsUnder24Hrs],tblDaily[EntryDate],DATE(2026,1,5),tblDaily[WardCode],"BH")),"")</f>
        <v/>
      </c>
      <c r="F11" s="29">
        <f>IFERROR(IF(SUMIFS(tblDaily[TransfersIn],tblDaily[EntryDate],DATE(2026,1,5),tblDaily[WardCode],"BH")=0,"",SUMIFS(tblDaily[TransfersIn],tblDaily[EntryDate],DATE(2026,1,5),tblDaily[WardCode],"BH")),"")</f>
        <v>1</v>
      </c>
      <c r="G11" s="29">
        <f>IFERROR(IF(SUMIFS(tblDaily[TransfersOut],tblDaily[EntryDate],DATE(2026,1,5),tblDaily[WardCode],"BH")=0,"",SUMIFS(tblDaily[TransfersOut],tblDaily[EntryDate],DATE(2026,1,5),tblDaily[WardCode],"BH")),"")</f>
        <v>1</v>
      </c>
      <c r="H11" s="29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29">
        <v>6</v>
      </c>
      <c r="B12" s="29">
        <f>IFERROR(IF(SUMIFS(tblDaily[Admissions],tblDaily[EntryDate],DATE(2026,1,6),tblDaily[WardCode],"BH")=0,"",SUMIFS(tblDaily[Admissions],tblDaily[EntryDate],DATE(2026,1,6),tblDaily[WardCode],"BH")),"")</f>
        <v>2</v>
      </c>
      <c r="C12" s="29" t="str">
        <f>IFERROR(IF(SUMIFS(tblDaily[Discharges],tblDaily[EntryDate],DATE(2026,1,6),tblDaily[WardCode],"BH")=0,"",SUMIFS(tblDaily[Discharges],tblDaily[EntryDate],DATE(2026,1,6),tblDaily[WardCode],"BH")),"")</f>
        <v/>
      </c>
      <c r="D12" s="29" t="str">
        <f>IFERROR(IF(SUMIFS(tblDaily[Deaths],tblDaily[EntryDate],DATE(2026,1,6),tblDaily[WardCode],"BH")=0,"",SUMIFS(tblDaily[Deaths],tblDaily[EntryDate],DATE(2026,1,6),tblDaily[WardCode],"BH")),"")</f>
        <v/>
      </c>
      <c r="E12" s="29" t="str">
        <f>IFERROR(IF(SUMIFS(tblDaily[DeathsUnder24Hrs],tblDaily[EntryDate],DATE(2026,1,6),tblDaily[WardCode],"BH")=0,"",SUMIFS(tblDaily[DeathsUnder24Hrs],tblDaily[EntryDate],DATE(2026,1,6),tblDaily[WardCode],"BH")),"")</f>
        <v/>
      </c>
      <c r="F12" s="29">
        <f>IFERROR(IF(SUMIFS(tblDaily[TransfersIn],tblDaily[EntryDate],DATE(2026,1,6),tblDaily[WardCode],"BH")=0,"",SUMIFS(tblDaily[TransfersIn],tblDaily[EntryDate],DATE(2026,1,6),tblDaily[WardCode],"BH")),"")</f>
        <v>2</v>
      </c>
      <c r="G12" s="29" t="str">
        <f>IFERROR(IF(SUMIFS(tblDaily[TransfersOut],tblDaily[EntryDate],DATE(2026,1,6),tblDaily[WardCode],"BH")=0,"",SUMIFS(tblDaily[TransfersOut],tblDaily[EntryDate],DATE(2026,1,6),tblDaily[WardCode],"BH")),"")</f>
        <v/>
      </c>
      <c r="H12" s="29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29">
        <v>7</v>
      </c>
      <c r="B13" s="29">
        <f>IFERROR(IF(SUMIFS(tblDaily[Admissions],tblDaily[EntryDate],DATE(2026,1,7),tblDaily[WardCode],"BH")=0,"",SUMIFS(tblDaily[Admissions],tblDaily[EntryDate],DATE(2026,1,7),tblDaily[WardCode],"BH")),"")</f>
        <v>3</v>
      </c>
      <c r="C13" s="29">
        <f>IFERROR(IF(SUMIFS(tblDaily[Discharges],tblDaily[EntryDate],DATE(2026,1,7),tblDaily[WardCode],"BH")=0,"",SUMIFS(tblDaily[Discharges],tblDaily[EntryDate],DATE(2026,1,7),tblDaily[WardCode],"BH")),"")</f>
        <v>1</v>
      </c>
      <c r="D13" s="29" t="str">
        <f>IFERROR(IF(SUMIFS(tblDaily[Deaths],tblDaily[EntryDate],DATE(2026,1,7),tblDaily[WardCode],"BH")=0,"",SUMIFS(tblDaily[Deaths],tblDaily[EntryDate],DATE(2026,1,7),tblDaily[WardCode],"BH")),"")</f>
        <v/>
      </c>
      <c r="E13" s="29" t="str">
        <f>IFERROR(IF(SUMIFS(tblDaily[DeathsUnder24Hrs],tblDaily[EntryDate],DATE(2026,1,7),tblDaily[WardCode],"BH")=0,"",SUMIFS(tblDaily[DeathsUnder24Hrs],tblDaily[EntryDate],DATE(2026,1,7),tblDaily[WardCode],"BH")),"")</f>
        <v/>
      </c>
      <c r="F13" s="29">
        <f>IFERROR(IF(SUMIFS(tblDaily[TransfersIn],tblDaily[EntryDate],DATE(2026,1,7),tblDaily[WardCode],"BH")=0,"",SUMIFS(tblDaily[TransfersIn],tblDaily[EntryDate],DATE(2026,1,7),tblDaily[WardCode],"BH")),"")</f>
        <v>1</v>
      </c>
      <c r="G13" s="29">
        <f>IFERROR(IF(SUMIFS(tblDaily[TransfersOut],tblDaily[EntryDate],DATE(2026,1,7),tblDaily[WardCode],"BH")=0,"",SUMIFS(tblDaily[TransfersOut],tblDaily[EntryDate],DATE(2026,1,7),tblDaily[WardCode],"BH")),"")</f>
        <v>1</v>
      </c>
      <c r="H13" s="29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29">
        <v>8</v>
      </c>
      <c r="B14" s="29">
        <f>IFERROR(IF(SUMIFS(tblDaily[Admissions],tblDaily[EntryDate],DATE(2026,1,8),tblDaily[WardCode],"BH")=0,"",SUMIFS(tblDaily[Admissions],tblDaily[EntryDate],DATE(2026,1,8),tblDaily[WardCode],"BH")),"")</f>
        <v>2</v>
      </c>
      <c r="C14" s="29">
        <f>IFERROR(IF(SUMIFS(tblDaily[Discharges],tblDaily[EntryDate],DATE(2026,1,8),tblDaily[WardCode],"BH")=0,"",SUMIFS(tblDaily[Discharges],tblDaily[EntryDate],DATE(2026,1,8),tblDaily[WardCode],"BH")),"")</f>
        <v>4</v>
      </c>
      <c r="D14" s="29" t="str">
        <f>IFERROR(IF(SUMIFS(tblDaily[Deaths],tblDaily[EntryDate],DATE(2026,1,8),tblDaily[WardCode],"BH")=0,"",SUMIFS(tblDaily[Deaths],tblDaily[EntryDate],DATE(2026,1,8),tblDaily[WardCode],"BH")),"")</f>
        <v/>
      </c>
      <c r="E14" s="29" t="str">
        <f>IFERROR(IF(SUMIFS(tblDaily[DeathsUnder24Hrs],tblDaily[EntryDate],DATE(2026,1,8),tblDaily[WardCode],"BH")=0,"",SUMIFS(tblDaily[DeathsUnder24Hrs],tblDaily[EntryDate],DATE(2026,1,8),tblDaily[WardCode],"BH")),"")</f>
        <v/>
      </c>
      <c r="F14" s="29">
        <f>IFERROR(IF(SUMIFS(tblDaily[TransfersIn],tblDaily[EntryDate],DATE(2026,1,8),tblDaily[WardCode],"BH")=0,"",SUMIFS(tblDaily[TransfersIn],tblDaily[EntryDate],DATE(2026,1,8),tblDaily[WardCode],"BH")),"")</f>
        <v>1</v>
      </c>
      <c r="G14" s="29" t="str">
        <f>IFERROR(IF(SUMIFS(tblDaily[TransfersOut],tblDaily[EntryDate],DATE(2026,1,8),tblDaily[WardCode],"BH")=0,"",SUMIFS(tblDaily[TransfersOut],tblDaily[EntryDate],DATE(2026,1,8),tblDaily[WardCode],"BH")),"")</f>
        <v/>
      </c>
      <c r="H14" s="29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29">
        <v>9</v>
      </c>
      <c r="B15" s="29">
        <f>IFERROR(IF(SUMIFS(tblDaily[Admissions],tblDaily[EntryDate],DATE(2026,1,9),tblDaily[WardCode],"BH")=0,"",SUMIFS(tblDaily[Admissions],tblDaily[EntryDate],DATE(2026,1,9),tblDaily[WardCode],"BH")),"")</f>
        <v>1</v>
      </c>
      <c r="C15" s="29">
        <f>IFERROR(IF(SUMIFS(tblDaily[Discharges],tblDaily[EntryDate],DATE(2026,1,9),tblDaily[WardCode],"BH")=0,"",SUMIFS(tblDaily[Discharges],tblDaily[EntryDate],DATE(2026,1,9),tblDaily[WardCode],"BH")),"")</f>
        <v>3</v>
      </c>
      <c r="D15" s="29" t="str">
        <f>IFERROR(IF(SUMIFS(tblDaily[Deaths],tblDaily[EntryDate],DATE(2026,1,9),tblDaily[WardCode],"BH")=0,"",SUMIFS(tblDaily[Deaths],tblDaily[EntryDate],DATE(2026,1,9),tblDaily[WardCode],"BH")),"")</f>
        <v/>
      </c>
      <c r="E15" s="29" t="str">
        <f>IFERROR(IF(SUMIFS(tblDaily[DeathsUnder24Hrs],tblDaily[EntryDate],DATE(2026,1,9),tblDaily[WardCode],"BH")=0,"",SUMIFS(tblDaily[DeathsUnder24Hrs],tblDaily[EntryDate],DATE(2026,1,9),tblDaily[WardCode],"BH")),"")</f>
        <v/>
      </c>
      <c r="F15" s="29">
        <f>IFERROR(IF(SUMIFS(tblDaily[TransfersIn],tblDaily[EntryDate],DATE(2026,1,9),tblDaily[WardCode],"BH")=0,"",SUMIFS(tblDaily[TransfersIn],tblDaily[EntryDate],DATE(2026,1,9),tblDaily[WardCode],"BH")),"")</f>
        <v>2</v>
      </c>
      <c r="G15" s="29">
        <f>IFERROR(IF(SUMIFS(tblDaily[TransfersOut],tblDaily[EntryDate],DATE(2026,1,9),tblDaily[WardCode],"BH")=0,"",SUMIFS(tblDaily[TransfersOut],tblDaily[EntryDate],DATE(2026,1,9),tblDaily[WardCode],"BH")),"")</f>
        <v>1</v>
      </c>
      <c r="H15" s="29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29">
        <v>10</v>
      </c>
      <c r="B16" s="29">
        <f>IFERROR(IF(SUMIFS(tblDaily[Admissions],tblDaily[EntryDate],DATE(2026,1,10),tblDaily[WardCode],"BH")=0,"",SUMIFS(tblDaily[Admissions],tblDaily[EntryDate],DATE(2026,1,10),tblDaily[WardCode],"BH")),"")</f>
        <v>4</v>
      </c>
      <c r="C16" s="29">
        <f>IFERROR(IF(SUMIFS(tblDaily[Discharges],tblDaily[EntryDate],DATE(2026,1,10),tblDaily[WardCode],"BH")=0,"",SUMIFS(tblDaily[Discharges],tblDaily[EntryDate],DATE(2026,1,10),tblDaily[WardCode],"BH")),"")</f>
        <v>3</v>
      </c>
      <c r="D16" s="29" t="str">
        <f>IFERROR(IF(SUMIFS(tblDaily[Deaths],tblDaily[EntryDate],DATE(2026,1,10),tblDaily[WardCode],"BH")=0,"",SUMIFS(tblDaily[Deaths],tblDaily[EntryDate],DATE(2026,1,10),tblDaily[WardCode],"BH")),"")</f>
        <v/>
      </c>
      <c r="E16" s="29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29">
        <f>IFERROR(IF(SUMIFS(tblDaily[TransfersIn],tblDaily[EntryDate],DATE(2026,1,10),tblDaily[WardCode],"BH")=0,"",SUMIFS(tblDaily[TransfersIn],tblDaily[EntryDate],DATE(2026,1,10),tblDaily[WardCode],"BH")),"")</f>
        <v>1</v>
      </c>
      <c r="G16" s="29" t="str">
        <f>IFERROR(IF(SUMIFS(tblDaily[TransfersOut],tblDaily[EntryDate],DATE(2026,1,10),tblDaily[WardCode],"BH")=0,"",SUMIFS(tblDaily[TransfersOut],tblDaily[EntryDate],DATE(2026,1,10),tblDaily[WardCode],"BH")),"")</f>
        <v/>
      </c>
      <c r="H16" s="29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29">
        <v>11</v>
      </c>
      <c r="B17" s="29">
        <f>IFERROR(IF(SUMIFS(tblDaily[Admissions],tblDaily[EntryDate],DATE(2026,1,11),tblDaily[WardCode],"BH")=0,"",SUMIFS(tblDaily[Admissions],tblDaily[EntryDate],DATE(2026,1,11),tblDaily[WardCode],"BH")),"")</f>
        <v>3</v>
      </c>
      <c r="C17" s="29">
        <f>IFERROR(IF(SUMIFS(tblDaily[Discharges],tblDaily[EntryDate],DATE(2026,1,11),tblDaily[WardCode],"BH")=0,"",SUMIFS(tblDaily[Discharges],tblDaily[EntryDate],DATE(2026,1,11),tblDaily[WardCode],"BH")),"")</f>
        <v>2</v>
      </c>
      <c r="D17" s="29" t="str">
        <f>IFERROR(IF(SUMIFS(tblDaily[Deaths],tblDaily[EntryDate],DATE(2026,1,11),tblDaily[WardCode],"BH")=0,"",SUMIFS(tblDaily[Deaths],tblDaily[EntryDate],DATE(2026,1,11),tblDaily[WardCode],"BH")),"")</f>
        <v/>
      </c>
      <c r="E17" s="29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29">
        <f>IFERROR(IF(SUMIFS(tblDaily[TransfersIn],tblDaily[EntryDate],DATE(2026,1,11),tblDaily[WardCode],"BH")=0,"",SUMIFS(tblDaily[TransfersIn],tblDaily[EntryDate],DATE(2026,1,11),tblDaily[WardCode],"BH")),"")</f>
        <v>1</v>
      </c>
      <c r="G17" s="29">
        <f>IFERROR(IF(SUMIFS(tblDaily[TransfersOut],tblDaily[EntryDate],DATE(2026,1,11),tblDaily[WardCode],"BH")=0,"",SUMIFS(tblDaily[TransfersOut],tblDaily[EntryDate],DATE(2026,1,11),tblDaily[WardCode],"BH")),"")</f>
        <v>4</v>
      </c>
      <c r="H17" s="29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29">
        <v>12</v>
      </c>
      <c r="B18" s="29">
        <f>IFERROR(IF(SUMIFS(tblDaily[Admissions],tblDaily[EntryDate],DATE(2026,1,12),tblDaily[WardCode],"BH")=0,"",SUMIFS(tblDaily[Admissions],tblDaily[EntryDate],DATE(2026,1,12),tblDaily[WardCode],"BH")),"")</f>
        <v>3</v>
      </c>
      <c r="C18" s="29">
        <f>IFERROR(IF(SUMIFS(tblDaily[Discharges],tblDaily[EntryDate],DATE(2026,1,12),tblDaily[WardCode],"BH")=0,"",SUMIFS(tblDaily[Discharges],tblDaily[EntryDate],DATE(2026,1,12),tblDaily[WardCode],"BH")),"")</f>
        <v>3</v>
      </c>
      <c r="D18" s="29" t="str">
        <f>IFERROR(IF(SUMIFS(tblDaily[Deaths],tblDaily[EntryDate],DATE(2026,1,12),tblDaily[WardCode],"BH")=0,"",SUMIFS(tblDaily[Deaths],tblDaily[EntryDate],DATE(2026,1,12),tblDaily[WardCode],"BH")),"")</f>
        <v/>
      </c>
      <c r="E18" s="29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29">
        <f>IFERROR(IF(SUMIFS(tblDaily[TransfersIn],tblDaily[EntryDate],DATE(2026,1,12),tblDaily[WardCode],"BH")=0,"",SUMIFS(tblDaily[TransfersIn],tblDaily[EntryDate],DATE(2026,1,12),tblDaily[WardCode],"BH")),"")</f>
        <v>3</v>
      </c>
      <c r="G18" s="29">
        <f>IFERROR(IF(SUMIFS(tblDaily[TransfersOut],tblDaily[EntryDate],DATE(2026,1,12),tblDaily[WardCode],"BH")=0,"",SUMIFS(tblDaily[TransfersOut],tblDaily[EntryDate],DATE(2026,1,12),tblDaily[WardCode],"BH")),"")</f>
        <v>2</v>
      </c>
      <c r="H18" s="29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29">
        <v>13</v>
      </c>
      <c r="B19" s="29">
        <f>IFERROR(IF(SUMIFS(tblDaily[Admissions],tblDaily[EntryDate],DATE(2026,1,13),tblDaily[WardCode],"BH")=0,"",SUMIFS(tblDaily[Admissions],tblDaily[EntryDate],DATE(2026,1,13),tblDaily[WardCode],"BH")),"")</f>
        <v>4</v>
      </c>
      <c r="C19" s="29">
        <f>IFERROR(IF(SUMIFS(tblDaily[Discharges],tblDaily[EntryDate],DATE(2026,1,13),tblDaily[WardCode],"BH")=0,"",SUMIFS(tblDaily[Discharges],tblDaily[EntryDate],DATE(2026,1,13),tblDaily[WardCode],"BH")),"")</f>
        <v>4</v>
      </c>
      <c r="D19" s="29" t="str">
        <f>IFERROR(IF(SUMIFS(tblDaily[Deaths],tblDaily[EntryDate],DATE(2026,1,13),tblDaily[WardCode],"BH")=0,"",SUMIFS(tblDaily[Deaths],tblDaily[EntryDate],DATE(2026,1,13),tblDaily[WardCode],"BH")),"")</f>
        <v/>
      </c>
      <c r="E19" s="29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29" t="str">
        <f>IFERROR(IF(SUMIFS(tblDaily[TransfersIn],tblDaily[EntryDate],DATE(2026,1,13),tblDaily[WardCode],"BH")=0,"",SUMIFS(tblDaily[TransfersIn],tblDaily[EntryDate],DATE(2026,1,13),tblDaily[WardCode],"BH")),"")</f>
        <v/>
      </c>
      <c r="G19" s="29">
        <f>IFERROR(IF(SUMIFS(tblDaily[TransfersOut],tblDaily[EntryDate],DATE(2026,1,13),tblDaily[WardCode],"BH")=0,"",SUMIFS(tblDaily[TransfersOut],tblDaily[EntryDate],DATE(2026,1,13),tblDaily[WardCode],"BH")),"")</f>
        <v>2</v>
      </c>
      <c r="H19" s="29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29">
        <v>14</v>
      </c>
      <c r="B20" s="29">
        <f>IFERROR(IF(SUMIFS(tblDaily[Admissions],tblDaily[EntryDate],DATE(2026,1,14),tblDaily[WardCode],"BH")=0,"",SUMIFS(tblDaily[Admissions],tblDaily[EntryDate],DATE(2026,1,14),tblDaily[WardCode],"BH")),"")</f>
        <v>1</v>
      </c>
      <c r="C20" s="29">
        <f>IFERROR(IF(SUMIFS(tblDaily[Discharges],tblDaily[EntryDate],DATE(2026,1,14),tblDaily[WardCode],"BH")=0,"",SUMIFS(tblDaily[Discharges],tblDaily[EntryDate],DATE(2026,1,14),tblDaily[WardCode],"BH")),"")</f>
        <v>8</v>
      </c>
      <c r="D20" s="29" t="str">
        <f>IFERROR(IF(SUMIFS(tblDaily[Deaths],tblDaily[EntryDate],DATE(2026,1,14),tblDaily[WardCode],"BH")=0,"",SUMIFS(tblDaily[Deaths],tblDaily[EntryDate],DATE(2026,1,14),tblDaily[WardCode],"BH")),"")</f>
        <v/>
      </c>
      <c r="E20" s="29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29">
        <f>IFERROR(IF(SUMIFS(tblDaily[TransfersIn],tblDaily[EntryDate],DATE(2026,1,14),tblDaily[WardCode],"BH")=0,"",SUMIFS(tblDaily[TransfersIn],tblDaily[EntryDate],DATE(2026,1,14),tblDaily[WardCode],"BH")),"")</f>
        <v>2</v>
      </c>
      <c r="G20" s="29">
        <f>IFERROR(IF(SUMIFS(tblDaily[TransfersOut],tblDaily[EntryDate],DATE(2026,1,14),tblDaily[WardCode],"BH")=0,"",SUMIFS(tblDaily[TransfersOut],tblDaily[EntryDate],DATE(2026,1,14),tblDaily[WardCode],"BH")),"")</f>
        <v>1</v>
      </c>
      <c r="H20" s="29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29">
        <v>15</v>
      </c>
      <c r="B21" s="29">
        <f>IFERROR(IF(SUMIFS(tblDaily[Admissions],tblDaily[EntryDate],DATE(2026,1,15),tblDaily[WardCode],"BH")=0,"",SUMIFS(tblDaily[Admissions],tblDaily[EntryDate],DATE(2026,1,15),tblDaily[WardCode],"BH")),"")</f>
        <v>2</v>
      </c>
      <c r="C21" s="29">
        <f>IFERROR(IF(SUMIFS(tblDaily[Discharges],tblDaily[EntryDate],DATE(2026,1,15),tblDaily[WardCode],"BH")=0,"",SUMIFS(tblDaily[Discharges],tblDaily[EntryDate],DATE(2026,1,15),tblDaily[WardCode],"BH")),"")</f>
        <v>3</v>
      </c>
      <c r="D21" s="29" t="str">
        <f>IFERROR(IF(SUMIFS(tblDaily[Deaths],tblDaily[EntryDate],DATE(2026,1,15),tblDaily[WardCode],"BH")=0,"",SUMIFS(tblDaily[Deaths],tblDaily[EntryDate],DATE(2026,1,15),tblDaily[WardCode],"BH")),"")</f>
        <v/>
      </c>
      <c r="E21" s="29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29">
        <f>IFERROR(IF(SUMIFS(tblDaily[TransfersIn],tblDaily[EntryDate],DATE(2026,1,15),tblDaily[WardCode],"BH")=0,"",SUMIFS(tblDaily[TransfersIn],tblDaily[EntryDate],DATE(2026,1,15),tblDaily[WardCode],"BH")),"")</f>
        <v>1</v>
      </c>
      <c r="G21" s="29" t="str">
        <f>IFERROR(IF(SUMIFS(tblDaily[TransfersOut],tblDaily[EntryDate],DATE(2026,1,15),tblDaily[WardCode],"BH")=0,"",SUMIFS(tblDaily[TransfersOut],tblDaily[EntryDate],DATE(2026,1,15),tblDaily[WardCode],"BH")),"")</f>
        <v/>
      </c>
      <c r="H21" s="29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29">
        <v>16</v>
      </c>
      <c r="B22" s="29">
        <f>IFERROR(IF(SUMIFS(tblDaily[Admissions],tblDaily[EntryDate],DATE(2026,1,16),tblDaily[WardCode],"BH")=0,"",SUMIFS(tblDaily[Admissions],tblDaily[EntryDate],DATE(2026,1,16),tblDaily[WardCode],"BH")),"")</f>
        <v>1</v>
      </c>
      <c r="C22" s="29">
        <f>IFERROR(IF(SUMIFS(tblDaily[Discharges],tblDaily[EntryDate],DATE(2026,1,16),tblDaily[WardCode],"BH")=0,"",SUMIFS(tblDaily[Discharges],tblDaily[EntryDate],DATE(2026,1,16),tblDaily[WardCode],"BH")),"")</f>
        <v>1</v>
      </c>
      <c r="D22" s="29" t="str">
        <f>IFERROR(IF(SUMIFS(tblDaily[Deaths],tblDaily[EntryDate],DATE(2026,1,16),tblDaily[WardCode],"BH")=0,"",SUMIFS(tblDaily[Deaths],tblDaily[EntryDate],DATE(2026,1,16),tblDaily[WardCode],"BH")),"")</f>
        <v/>
      </c>
      <c r="E22" s="29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29" t="str">
        <f>IFERROR(IF(SUMIFS(tblDaily[TransfersIn],tblDaily[EntryDate],DATE(2026,1,16),tblDaily[WardCode],"BH")=0,"",SUMIFS(tblDaily[TransfersIn],tblDaily[EntryDate],DATE(2026,1,16),tblDaily[WardCode],"BH")),"")</f>
        <v/>
      </c>
      <c r="G22" s="29" t="str">
        <f>IFERROR(IF(SUMIFS(tblDaily[TransfersOut],tblDaily[EntryDate],DATE(2026,1,16),tblDaily[WardCode],"BH")=0,"",SUMIFS(tblDaily[TransfersOut],tblDaily[EntryDate],DATE(2026,1,16),tblDaily[WardCode],"BH")),"")</f>
        <v/>
      </c>
      <c r="H22" s="29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29">
        <v>17</v>
      </c>
      <c r="B23" s="29">
        <f>IFERROR(IF(SUMIFS(tblDaily[Admissions],tblDaily[EntryDate],DATE(2026,1,17),tblDaily[WardCode],"BH")=0,"",SUMIFS(tblDaily[Admissions],tblDaily[EntryDate],DATE(2026,1,17),tblDaily[WardCode],"BH")),"")</f>
        <v>2</v>
      </c>
      <c r="C23" s="29">
        <f>IFERROR(IF(SUMIFS(tblDaily[Discharges],tblDaily[EntryDate],DATE(2026,1,17),tblDaily[WardCode],"BH")=0,"",SUMIFS(tblDaily[Discharges],tblDaily[EntryDate],DATE(2026,1,17),tblDaily[WardCode],"BH")),"")</f>
        <v>6</v>
      </c>
      <c r="D23" s="29" t="str">
        <f>IFERROR(IF(SUMIFS(tblDaily[Deaths],tblDaily[EntryDate],DATE(2026,1,17),tblDaily[WardCode],"BH")=0,"",SUMIFS(tblDaily[Deaths],tblDaily[EntryDate],DATE(2026,1,17),tblDaily[WardCode],"BH")),"")</f>
        <v/>
      </c>
      <c r="E23" s="29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29">
        <f>IFERROR(IF(SUMIFS(tblDaily[TransfersIn],tblDaily[EntryDate],DATE(2026,1,17),tblDaily[WardCode],"BH")=0,"",SUMIFS(tblDaily[TransfersIn],tblDaily[EntryDate],DATE(2026,1,17),tblDaily[WardCode],"BH")),"")</f>
        <v>1</v>
      </c>
      <c r="G23" s="29" t="str">
        <f>IFERROR(IF(SUMIFS(tblDaily[TransfersOut],tblDaily[EntryDate],DATE(2026,1,17),tblDaily[WardCode],"BH")=0,"",SUMIFS(tblDaily[TransfersOut],tblDaily[EntryDate],DATE(2026,1,17),tblDaily[WardCode],"BH")),"")</f>
        <v/>
      </c>
      <c r="H23" s="29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29">
        <v>18</v>
      </c>
      <c r="B24" s="29">
        <f>IFERROR(IF(SUMIFS(tblDaily[Admissions],tblDaily[EntryDate],DATE(2026,1,18),tblDaily[WardCode],"BH")=0,"",SUMIFS(tblDaily[Admissions],tblDaily[EntryDate],DATE(2026,1,18),tblDaily[WardCode],"BH")),"")</f>
        <v>2</v>
      </c>
      <c r="C24" s="29">
        <f>IFERROR(IF(SUMIFS(tblDaily[Discharges],tblDaily[EntryDate],DATE(2026,1,18),tblDaily[WardCode],"BH")=0,"",SUMIFS(tblDaily[Discharges],tblDaily[EntryDate],DATE(2026,1,18),tblDaily[WardCode],"BH")),"")</f>
        <v>1</v>
      </c>
      <c r="D24" s="29" t="str">
        <f>IFERROR(IF(SUMIFS(tblDaily[Deaths],tblDaily[EntryDate],DATE(2026,1,18),tblDaily[WardCode],"BH")=0,"",SUMIFS(tblDaily[Deaths],tblDaily[EntryDate],DATE(2026,1,18),tblDaily[WardCode],"BH")),"")</f>
        <v/>
      </c>
      <c r="E24" s="29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29" t="str">
        <f>IFERROR(IF(SUMIFS(tblDaily[TransfersIn],tblDaily[EntryDate],DATE(2026,1,18),tblDaily[WardCode],"BH")=0,"",SUMIFS(tblDaily[TransfersIn],tblDaily[EntryDate],DATE(2026,1,18),tblDaily[WardCode],"BH")),"")</f>
        <v/>
      </c>
      <c r="G24" s="29">
        <f>IFERROR(IF(SUMIFS(tblDaily[TransfersOut],tblDaily[EntryDate],DATE(2026,1,18),tblDaily[WardCode],"BH")=0,"",SUMIFS(tblDaily[TransfersOut],tblDaily[EntryDate],DATE(2026,1,18),tblDaily[WardCode],"BH")),"")</f>
        <v>1</v>
      </c>
      <c r="H24" s="29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29">
        <v>19</v>
      </c>
      <c r="B25" s="29">
        <f>IFERROR(IF(SUMIFS(tblDaily[Admissions],tblDaily[EntryDate],DATE(2026,1,19),tblDaily[WardCode],"BH")=0,"",SUMIFS(tblDaily[Admissions],tblDaily[EntryDate],DATE(2026,1,19),tblDaily[WardCode],"BH")),"")</f>
        <v>3</v>
      </c>
      <c r="C25" s="29">
        <f>IFERROR(IF(SUMIFS(tblDaily[Discharges],tblDaily[EntryDate],DATE(2026,1,19),tblDaily[WardCode],"BH")=0,"",SUMIFS(tblDaily[Discharges],tblDaily[EntryDate],DATE(2026,1,19),tblDaily[WardCode],"BH")),"")</f>
        <v>3</v>
      </c>
      <c r="D25" s="29" t="str">
        <f>IFERROR(IF(SUMIFS(tblDaily[Deaths],tblDaily[EntryDate],DATE(2026,1,19),tblDaily[WardCode],"BH")=0,"",SUMIFS(tblDaily[Deaths],tblDaily[EntryDate],DATE(2026,1,19),tblDaily[WardCode],"BH")),"")</f>
        <v/>
      </c>
      <c r="E25" s="29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29" t="str">
        <f>IFERROR(IF(SUMIFS(tblDaily[TransfersIn],tblDaily[EntryDate],DATE(2026,1,19),tblDaily[WardCode],"BH")=0,"",SUMIFS(tblDaily[TransfersIn],tblDaily[EntryDate],DATE(2026,1,19),tblDaily[WardCode],"BH")),"")</f>
        <v/>
      </c>
      <c r="G25" s="29" t="str">
        <f>IFERROR(IF(SUMIFS(tblDaily[TransfersOut],tblDaily[EntryDate],DATE(2026,1,19),tblDaily[WardCode],"BH")=0,"",SUMIFS(tblDaily[TransfersOut],tblDaily[EntryDate],DATE(2026,1,19),tblDaily[WardCode],"BH")),"")</f>
        <v/>
      </c>
      <c r="H25" s="29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29">
        <v>20</v>
      </c>
      <c r="B26" s="29">
        <f>IFERROR(IF(SUMIFS(tblDaily[Admissions],tblDaily[EntryDate],DATE(2026,1,20),tblDaily[WardCode],"BH")=0,"",SUMIFS(tblDaily[Admissions],tblDaily[EntryDate],DATE(2026,1,20),tblDaily[WardCode],"BH")),"")</f>
        <v>2</v>
      </c>
      <c r="C26" s="29">
        <f>IFERROR(IF(SUMIFS(tblDaily[Discharges],tblDaily[EntryDate],DATE(2026,1,20),tblDaily[WardCode],"BH")=0,"",SUMIFS(tblDaily[Discharges],tblDaily[EntryDate],DATE(2026,1,20),tblDaily[WardCode],"BH")),"")</f>
        <v>2</v>
      </c>
      <c r="D26" s="29" t="str">
        <f>IFERROR(IF(SUMIFS(tblDaily[Deaths],tblDaily[EntryDate],DATE(2026,1,20),tblDaily[WardCode],"BH")=0,"",SUMIFS(tblDaily[Deaths],tblDaily[EntryDate],DATE(2026,1,20),tblDaily[WardCode],"BH")),"")</f>
        <v/>
      </c>
      <c r="E26" s="29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29" t="str">
        <f>IFERROR(IF(SUMIFS(tblDaily[TransfersIn],tblDaily[EntryDate],DATE(2026,1,20),tblDaily[WardCode],"BH")=0,"",SUMIFS(tblDaily[TransfersIn],tblDaily[EntryDate],DATE(2026,1,20),tblDaily[WardCode],"BH")),"")</f>
        <v/>
      </c>
      <c r="G26" s="29">
        <f>IFERROR(IF(SUMIFS(tblDaily[TransfersOut],tblDaily[EntryDate],DATE(2026,1,20),tblDaily[WardCode],"BH")=0,"",SUMIFS(tblDaily[TransfersOut],tblDaily[EntryDate],DATE(2026,1,20),tblDaily[WardCode],"BH")),"")</f>
        <v>1</v>
      </c>
      <c r="H26" s="29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29">
        <v>21</v>
      </c>
      <c r="B27" s="29">
        <f>IFERROR(IF(SUMIFS(tblDaily[Admissions],tblDaily[EntryDate],DATE(2026,1,21),tblDaily[WardCode],"BH")=0,"",SUMIFS(tblDaily[Admissions],tblDaily[EntryDate],DATE(2026,1,21),tblDaily[WardCode],"BH")),"")</f>
        <v>1</v>
      </c>
      <c r="C27" s="29">
        <f>IFERROR(IF(SUMIFS(tblDaily[Discharges],tblDaily[EntryDate],DATE(2026,1,21),tblDaily[WardCode],"BH")=0,"",SUMIFS(tblDaily[Discharges],tblDaily[EntryDate],DATE(2026,1,21),tblDaily[WardCode],"BH")),"")</f>
        <v>2</v>
      </c>
      <c r="D27" s="29" t="str">
        <f>IFERROR(IF(SUMIFS(tblDaily[Deaths],tblDaily[EntryDate],DATE(2026,1,21),tblDaily[WardCode],"BH")=0,"",SUMIFS(tblDaily[Deaths],tblDaily[EntryDate],DATE(2026,1,21),tblDaily[WardCode],"BH")),"")</f>
        <v/>
      </c>
      <c r="E27" s="29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29" t="str">
        <f>IFERROR(IF(SUMIFS(tblDaily[TransfersIn],tblDaily[EntryDate],DATE(2026,1,21),tblDaily[WardCode],"BH")=0,"",SUMIFS(tblDaily[TransfersIn],tblDaily[EntryDate],DATE(2026,1,21),tblDaily[WardCode],"BH")),"")</f>
        <v/>
      </c>
      <c r="G27" s="29">
        <f>IFERROR(IF(SUMIFS(tblDaily[TransfersOut],tblDaily[EntryDate],DATE(2026,1,21),tblDaily[WardCode],"BH")=0,"",SUMIFS(tblDaily[TransfersOut],tblDaily[EntryDate],DATE(2026,1,21),tblDaily[WardCode],"BH")),"")</f>
        <v>1</v>
      </c>
      <c r="H27" s="29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29">
        <v>22</v>
      </c>
      <c r="B28" s="29">
        <f>IFERROR(IF(SUMIFS(tblDaily[Admissions],tblDaily[EntryDate],DATE(2026,1,22),tblDaily[WardCode],"BH")=0,"",SUMIFS(tblDaily[Admissions],tblDaily[EntryDate],DATE(2026,1,22),tblDaily[WardCode],"BH")),"")</f>
        <v>2</v>
      </c>
      <c r="C28" s="29">
        <f>IFERROR(IF(SUMIFS(tblDaily[Discharges],tblDaily[EntryDate],DATE(2026,1,22),tblDaily[WardCode],"BH")=0,"",SUMIFS(tblDaily[Discharges],tblDaily[EntryDate],DATE(2026,1,22),tblDaily[WardCode],"BH")),"")</f>
        <v>4</v>
      </c>
      <c r="D28" s="29" t="str">
        <f>IFERROR(IF(SUMIFS(tblDaily[Deaths],tblDaily[EntryDate],DATE(2026,1,22),tblDaily[WardCode],"BH")=0,"",SUMIFS(tblDaily[Deaths],tblDaily[EntryDate],DATE(2026,1,22),tblDaily[WardCode],"BH")),"")</f>
        <v/>
      </c>
      <c r="E28" s="29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29">
        <f>IFERROR(IF(SUMIFS(tblDaily[TransfersIn],tblDaily[EntryDate],DATE(2026,1,22),tblDaily[WardCode],"BH")=0,"",SUMIFS(tblDaily[TransfersIn],tblDaily[EntryDate],DATE(2026,1,22),tblDaily[WardCode],"BH")),"")</f>
        <v>3</v>
      </c>
      <c r="G28" s="29" t="str">
        <f>IFERROR(IF(SUMIFS(tblDaily[TransfersOut],tblDaily[EntryDate],DATE(2026,1,22),tblDaily[WardCode],"BH")=0,"",SUMIFS(tblDaily[TransfersOut],tblDaily[EntryDate],DATE(2026,1,22),tblDaily[WardCode],"BH")),"")</f>
        <v/>
      </c>
      <c r="H28" s="29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29">
        <v>23</v>
      </c>
      <c r="B29" s="29">
        <f>IFERROR(IF(SUMIFS(tblDaily[Admissions],tblDaily[EntryDate],DATE(2026,1,23),tblDaily[WardCode],"BH")=0,"",SUMIFS(tblDaily[Admissions],tblDaily[EntryDate],DATE(2026,1,23),tblDaily[WardCode],"BH")),"")</f>
        <v>2</v>
      </c>
      <c r="C29" s="29">
        <f>IFERROR(IF(SUMIFS(tblDaily[Discharges],tblDaily[EntryDate],DATE(2026,1,23),tblDaily[WardCode],"BH")=0,"",SUMIFS(tblDaily[Discharges],tblDaily[EntryDate],DATE(2026,1,23),tblDaily[WardCode],"BH")),"")</f>
        <v>3</v>
      </c>
      <c r="D29" s="29" t="str">
        <f>IFERROR(IF(SUMIFS(tblDaily[Deaths],tblDaily[EntryDate],DATE(2026,1,23),tblDaily[WardCode],"BH")=0,"",SUMIFS(tblDaily[Deaths],tblDaily[EntryDate],DATE(2026,1,23),tblDaily[WardCode],"BH")),"")</f>
        <v/>
      </c>
      <c r="E29" s="29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29">
        <f>IFERROR(IF(SUMIFS(tblDaily[TransfersIn],tblDaily[EntryDate],DATE(2026,1,23),tblDaily[WardCode],"BH")=0,"",SUMIFS(tblDaily[TransfersIn],tblDaily[EntryDate],DATE(2026,1,23),tblDaily[WardCode],"BH")),"")</f>
        <v>1</v>
      </c>
      <c r="G29" s="29" t="str">
        <f>IFERROR(IF(SUMIFS(tblDaily[TransfersOut],tblDaily[EntryDate],DATE(2026,1,23),tblDaily[WardCode],"BH")=0,"",SUMIFS(tblDaily[TransfersOut],tblDaily[EntryDate],DATE(2026,1,23),tblDaily[WardCode],"BH")),"")</f>
        <v/>
      </c>
      <c r="H29" s="29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29">
        <v>24</v>
      </c>
      <c r="B30" s="29">
        <f>IFERROR(IF(SUMIFS(tblDaily[Admissions],tblDaily[EntryDate],DATE(2026,1,24),tblDaily[WardCode],"BH")=0,"",SUMIFS(tblDaily[Admissions],tblDaily[EntryDate],DATE(2026,1,24),tblDaily[WardCode],"BH")),"")</f>
        <v>1</v>
      </c>
      <c r="C30" s="29">
        <f>IFERROR(IF(SUMIFS(tblDaily[Discharges],tblDaily[EntryDate],DATE(2026,1,24),tblDaily[WardCode],"BH")=0,"",SUMIFS(tblDaily[Discharges],tblDaily[EntryDate],DATE(2026,1,24),tblDaily[WardCode],"BH")),"")</f>
        <v>2</v>
      </c>
      <c r="D30" s="29" t="str">
        <f>IFERROR(IF(SUMIFS(tblDaily[Deaths],tblDaily[EntryDate],DATE(2026,1,24),tblDaily[WardCode],"BH")=0,"",SUMIFS(tblDaily[Deaths],tblDaily[EntryDate],DATE(2026,1,24),tblDaily[WardCode],"BH")),"")</f>
        <v/>
      </c>
      <c r="E30" s="29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29">
        <f>IFERROR(IF(SUMIFS(tblDaily[TransfersIn],tblDaily[EntryDate],DATE(2026,1,24),tblDaily[WardCode],"BH")=0,"",SUMIFS(tblDaily[TransfersIn],tblDaily[EntryDate],DATE(2026,1,24),tblDaily[WardCode],"BH")),"")</f>
        <v>1</v>
      </c>
      <c r="G30" s="29" t="str">
        <f>IFERROR(IF(SUMIFS(tblDaily[TransfersOut],tblDaily[EntryDate],DATE(2026,1,24),tblDaily[WardCode],"BH")=0,"",SUMIFS(tblDaily[TransfersOut],tblDaily[EntryDate],DATE(2026,1,24),tblDaily[WardCode],"BH")),"")</f>
        <v/>
      </c>
      <c r="H30" s="29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IFERROR(IF(SUMIFS(tblDaily[Admissions],tblDaily[EntryDate],DATE(2026,1,25),tblDaily[WardCode],"BH")=0,"",SUMIFS(tblDaily[Admissions],tblDaily[EntryDate],DATE(2026,1,25),tblDaily[WardCode],"BH")),"")</f>
        <v>1</v>
      </c>
      <c r="C31" s="29">
        <f>IFERROR(IF(SUMIFS(tblDaily[Discharges],tblDaily[EntryDate],DATE(2026,1,25),tblDaily[WardCode],"BH")=0,"",SUMIFS(tblDaily[Discharges],tblDaily[EntryDate],DATE(2026,1,25),tblDaily[WardCode],"BH")),"")</f>
        <v>2</v>
      </c>
      <c r="D31" s="29" t="str">
        <f>IFERROR(IF(SUMIFS(tblDaily[Deaths],tblDaily[EntryDate],DATE(2026,1,25),tblDaily[WardCode],"BH")=0,"",SUMIFS(tblDaily[Deaths],tblDaily[EntryDate],DATE(2026,1,25),tblDaily[WardCode],"BH")),"")</f>
        <v/>
      </c>
      <c r="E31" s="29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29" t="str">
        <f>IFERROR(IF(SUMIFS(tblDaily[TransfersIn],tblDaily[EntryDate],DATE(2026,1,25),tblDaily[WardCode],"BH")=0,"",SUMIFS(tblDaily[TransfersIn],tblDaily[EntryDate],DATE(2026,1,25),tblDaily[WardCode],"BH")),"")</f>
        <v/>
      </c>
      <c r="G31" s="29">
        <f>IFERROR(IF(SUMIFS(tblDaily[TransfersOut],tblDaily[EntryDate],DATE(2026,1,25),tblDaily[WardCode],"BH")=0,"",SUMIFS(tblDaily[TransfersOut],tblDaily[EntryDate],DATE(2026,1,25),tblDaily[WardCode],"BH")),"")</f>
        <v>2</v>
      </c>
      <c r="H31" s="29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29">
        <v>26</v>
      </c>
      <c r="B32" s="29">
        <f>IFERROR(IF(SUMIFS(tblDaily[Admissions],tblDaily[EntryDate],DATE(2026,1,26),tblDaily[WardCode],"BH")=0,"",SUMIFS(tblDaily[Admissions],tblDaily[EntryDate],DATE(2026,1,26),tblDaily[WardCode],"BH")),"")</f>
        <v>3</v>
      </c>
      <c r="C32" s="29" t="str">
        <f>IFERROR(IF(SUMIFS(tblDaily[Discharges],tblDaily[EntryDate],DATE(2026,1,26),tblDaily[WardCode],"BH")=0,"",SUMIFS(tblDaily[Discharges],tblDaily[EntryDate],DATE(2026,1,26),tblDaily[WardCode],"BH")),"")</f>
        <v/>
      </c>
      <c r="D32" s="29" t="str">
        <f>IFERROR(IF(SUMIFS(tblDaily[Deaths],tblDaily[EntryDate],DATE(2026,1,26),tblDaily[WardCode],"BH")=0,"",SUMIFS(tblDaily[Deaths],tblDaily[EntryDate],DATE(2026,1,26),tblDaily[WardCode],"BH")),"")</f>
        <v/>
      </c>
      <c r="E32" s="29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29" t="str">
        <f>IFERROR(IF(SUMIFS(tblDaily[TransfersIn],tblDaily[EntryDate],DATE(2026,1,26),tblDaily[WardCode],"BH")=0,"",SUMIFS(tblDaily[TransfersIn],tblDaily[EntryDate],DATE(2026,1,26),tblDaily[WardCode],"BH")),"")</f>
        <v/>
      </c>
      <c r="G32" s="29" t="str">
        <f>IFERROR(IF(SUMIFS(tblDaily[TransfersOut],tblDaily[EntryDate],DATE(2026,1,26),tblDaily[WardCode],"BH")=0,"",SUMIFS(tblDaily[TransfersOut],tblDaily[EntryDate],DATE(2026,1,26),tblDaily[WardCode],"BH")),"")</f>
        <v/>
      </c>
      <c r="H32" s="29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29">
        <v>27</v>
      </c>
      <c r="B33" s="29">
        <f>IFERROR(IF(SUMIFS(tblDaily[Admissions],tblDaily[EntryDate],DATE(2026,1,27),tblDaily[WardCode],"BH")=0,"",SUMIFS(tblDaily[Admissions],tblDaily[EntryDate],DATE(2026,1,27),tblDaily[WardCode],"BH")),"")</f>
        <v>5</v>
      </c>
      <c r="C33" s="29">
        <f>IFERROR(IF(SUMIFS(tblDaily[Discharges],tblDaily[EntryDate],DATE(2026,1,27),tblDaily[WardCode],"BH")=0,"",SUMIFS(tblDaily[Discharges],tblDaily[EntryDate],DATE(2026,1,27),tblDaily[WardCode],"BH")),"")</f>
        <v>1</v>
      </c>
      <c r="D33" s="29" t="str">
        <f>IFERROR(IF(SUMIFS(tblDaily[Deaths],tblDaily[EntryDate],DATE(2026,1,27),tblDaily[WardCode],"BH")=0,"",SUMIFS(tblDaily[Deaths],tblDaily[EntryDate],DATE(2026,1,27),tblDaily[WardCode],"BH")),"")</f>
        <v/>
      </c>
      <c r="E33" s="29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29">
        <f>IFERROR(IF(SUMIFS(tblDaily[TransfersIn],tblDaily[EntryDate],DATE(2026,1,27),tblDaily[WardCode],"BH")=0,"",SUMIFS(tblDaily[TransfersIn],tblDaily[EntryDate],DATE(2026,1,27),tblDaily[WardCode],"BH")),"")</f>
        <v>1</v>
      </c>
      <c r="G33" s="29">
        <f>IFERROR(IF(SUMIFS(tblDaily[TransfersOut],tblDaily[EntryDate],DATE(2026,1,27),tblDaily[WardCode],"BH")=0,"",SUMIFS(tblDaily[TransfersOut],tblDaily[EntryDate],DATE(2026,1,27),tblDaily[WardCode],"BH")),"")</f>
        <v>1</v>
      </c>
      <c r="H33" s="29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IFERROR(IF(SUMIFS(tblDaily[Admissions],tblDaily[EntryDate],DATE(2026,1,28),tblDaily[WardCode],"BH")=0,"",SUMIFS(tblDaily[Admissions],tblDaily[EntryDate],DATE(2026,1,28),tblDaily[WardCode],"BH")),"")</f>
        <v>3</v>
      </c>
      <c r="C34" s="29">
        <f>IFERROR(IF(SUMIFS(tblDaily[Discharges],tblDaily[EntryDate],DATE(2026,1,28),tblDaily[WardCode],"BH")=0,"",SUMIFS(tblDaily[Discharges],tblDaily[EntryDate],DATE(2026,1,28),tblDaily[WardCode],"BH")),"")</f>
        <v>1</v>
      </c>
      <c r="D34" s="29" t="str">
        <f>IFERROR(IF(SUMIFS(tblDaily[Deaths],tblDaily[EntryDate],DATE(2026,1,28),tblDaily[WardCode],"BH")=0,"",SUMIFS(tblDaily[Deaths],tblDaily[EntryDate],DATE(2026,1,28),tblDaily[WardCode],"BH")),"")</f>
        <v/>
      </c>
      <c r="E34" s="29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29">
        <f>IFERROR(IF(SUMIFS(tblDaily[TransfersIn],tblDaily[EntryDate],DATE(2026,1,28),tblDaily[WardCode],"BH")=0,"",SUMIFS(tblDaily[TransfersIn],tblDaily[EntryDate],DATE(2026,1,28),tblDaily[WardCode],"BH")),"")</f>
        <v>2</v>
      </c>
      <c r="G34" s="29" t="str">
        <f>IFERROR(IF(SUMIFS(tblDaily[TransfersOut],tblDaily[EntryDate],DATE(2026,1,28),tblDaily[WardCode],"BH")=0,"",SUMIFS(tblDaily[TransfersOut],tblDaily[EntryDate],DATE(2026,1,28),tblDaily[WardCode],"BH")),"")</f>
        <v/>
      </c>
      <c r="H34" s="29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29">
        <v>29</v>
      </c>
      <c r="B35" s="29">
        <f>IFERROR(IF(SUMIFS(tblDaily[Admissions],tblDaily[EntryDate],DATE(2026,1,29),tblDaily[WardCode],"BH")=0,"",SUMIFS(tblDaily[Admissions],tblDaily[EntryDate],DATE(2026,1,29),tblDaily[WardCode],"BH")),"")</f>
        <v>1</v>
      </c>
      <c r="C35" s="29">
        <f>IFERROR(IF(SUMIFS(tblDaily[Discharges],tblDaily[EntryDate],DATE(2026,1,29),tblDaily[WardCode],"BH")=0,"",SUMIFS(tblDaily[Discharges],tblDaily[EntryDate],DATE(2026,1,29),tblDaily[WardCode],"BH")),"")</f>
        <v>3</v>
      </c>
      <c r="D35" s="29" t="str">
        <f>IFERROR(IF(SUMIFS(tblDaily[Deaths],tblDaily[EntryDate],DATE(2026,1,29),tblDaily[WardCode],"BH")=0,"",SUMIFS(tblDaily[Deaths],tblDaily[EntryDate],DATE(2026,1,29),tblDaily[WardCode],"BH")),"")</f>
        <v/>
      </c>
      <c r="E35" s="29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29">
        <f>IFERROR(IF(SUMIFS(tblDaily[TransfersIn],tblDaily[EntryDate],DATE(2026,1,29),tblDaily[WardCode],"BH")=0,"",SUMIFS(tblDaily[TransfersIn],tblDaily[EntryDate],DATE(2026,1,29),tblDaily[WardCode],"BH")),"")</f>
        <v>2</v>
      </c>
      <c r="G35" s="29">
        <f>IFERROR(IF(SUMIFS(tblDaily[TransfersOut],tblDaily[EntryDate],DATE(2026,1,29),tblDaily[WardCode],"BH")=0,"",SUMIFS(tblDaily[TransfersOut],tblDaily[EntryDate],DATE(2026,1,29),tblDaily[WardCode],"BH")),"")</f>
        <v>1</v>
      </c>
      <c r="H35" s="29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29">
        <v>30</v>
      </c>
      <c r="B36" s="29">
        <f>IFERROR(IF(SUMIFS(tblDaily[Admissions],tblDaily[EntryDate],DATE(2026,1,30),tblDaily[WardCode],"BH")=0,"",SUMIFS(tblDaily[Admissions],tblDaily[EntryDate],DATE(2026,1,30),tblDaily[WardCode],"BH")),"")</f>
        <v>3</v>
      </c>
      <c r="C36" s="29" t="str">
        <f>IFERROR(IF(SUMIFS(tblDaily[Discharges],tblDaily[EntryDate],DATE(2026,1,30),tblDaily[WardCode],"BH")=0,"",SUMIFS(tblDaily[Discharges],tblDaily[EntryDate],DATE(2026,1,30),tblDaily[WardCode],"BH")),"")</f>
        <v/>
      </c>
      <c r="D36" s="29" t="str">
        <f>IFERROR(IF(SUMIFS(tblDaily[Deaths],tblDaily[EntryDate],DATE(2026,1,30),tblDaily[WardCode],"BH")=0,"",SUMIFS(tblDaily[Deaths],tblDaily[EntryDate],DATE(2026,1,30),tblDaily[WardCode],"BH")),"")</f>
        <v/>
      </c>
      <c r="E36" s="29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29" t="str">
        <f>IFERROR(IF(SUMIFS(tblDaily[TransfersIn],tblDaily[EntryDate],DATE(2026,1,30),tblDaily[WardCode],"BH")=0,"",SUMIFS(tblDaily[TransfersIn],tblDaily[EntryDate],DATE(2026,1,30),tblDaily[WardCode],"BH")),"")</f>
        <v/>
      </c>
      <c r="G36" s="29">
        <f>IFERROR(IF(SUMIFS(tblDaily[TransfersOut],tblDaily[EntryDate],DATE(2026,1,30),tblDaily[WardCode],"BH")=0,"",SUMIFS(tblDaily[TransfersOut],tblDaily[EntryDate],DATE(2026,1,30),tblDaily[WardCode],"BH")),"")</f>
        <v>1</v>
      </c>
      <c r="H36" s="29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29">
        <v>31</v>
      </c>
      <c r="B37" s="29" t="str">
        <f>IFERROR(IF(SUMIFS(tblDaily[Admissions],tblDaily[EntryDate],DATE(2026,1,31),tblDaily[WardCode],"BH")=0,"",SUMIFS(tblDaily[Admissions],tblDaily[EntryDate],DATE(2026,1,31),tblDaily[WardCode],"BH")),"")</f>
        <v/>
      </c>
      <c r="C37" s="29">
        <f>IFERROR(IF(SUMIFS(tblDaily[Discharges],tblDaily[EntryDate],DATE(2026,1,31),tblDaily[WardCode],"BH")=0,"",SUMIFS(tblDaily[Discharges],tblDaily[EntryDate],DATE(2026,1,31),tblDaily[WardCode],"BH")),"")</f>
        <v>7</v>
      </c>
      <c r="D37" s="29" t="str">
        <f>IFERROR(IF(SUMIFS(tblDaily[Deaths],tblDaily[EntryDate],DATE(2026,1,31),tblDaily[WardCode],"BH")=0,"",SUMIFS(tblDaily[Deaths],tblDaily[EntryDate],DATE(2026,1,31),tblDaily[WardCode],"BH")),"")</f>
        <v/>
      </c>
      <c r="E37" s="29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29" t="str">
        <f>IFERROR(IF(SUMIFS(tblDaily[TransfersIn],tblDaily[EntryDate],DATE(2026,1,31),tblDaily[WardCode],"BH")=0,"",SUMIFS(tblDaily[TransfersIn],tblDaily[EntryDate],DATE(2026,1,31),tblDaily[WardCode],"BH")),"")</f>
        <v/>
      </c>
      <c r="G37" s="29">
        <f>IFERROR(IF(SUMIFS(tblDaily[TransfersOut],tblDaily[EntryDate],DATE(2026,1,31),tblDaily[WardCode],"BH")=0,"",SUMIFS(tblDaily[TransfersOut],tblDaily[EntryDate],DATE(2026,1,31),tblDaily[WardCode],"BH")),"")</f>
        <v>1</v>
      </c>
      <c r="H37" s="29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30" t="s">
        <v>115</v>
      </c>
      <c r="B38" s="30">
        <f>SUMIFS(tblDaily[Admissions],tblDaily[Month],1,tblDaily[WardCode],"BH") - SUMIFS(tblDaily[DeathsUnder24Hrs],tblDaily[Month],1,tblDaily[WardCode],"BH")</f>
        <v>74</v>
      </c>
      <c r="C38" s="30">
        <f>SUMIFS(tblDaily[Discharges],tblDaily[Month],1,tblDaily[WardCode],"BH")</f>
        <v>81</v>
      </c>
      <c r="D38" s="30">
        <f>SUMIFS(tblDaily[Deaths],tblDaily[Month],1,tblDaily[WardCode],"BH")</f>
        <v>0</v>
      </c>
      <c r="E38" s="30">
        <f>SUMIFS(tblDaily[DeathsUnder24Hrs],tblDaily[Month],1,tblDaily[WardCode],"BH")</f>
        <v>0</v>
      </c>
      <c r="F38" s="30">
        <f>SUMIFS(tblDaily[TransfersIn],tblDaily[Month],1,tblDaily[WardCode],"BH")</f>
        <v>28</v>
      </c>
      <c r="G38" s="30">
        <f>SUMIFS(tblDaily[TransfersOut],tblDaily[Month],1,tblDaily[WardCode],"BH")</f>
        <v>26</v>
      </c>
      <c r="H38" s="30">
        <f>SUMIFS(tblDaily[Remaining],tblDaily[Month],1,tblDaily[WardCode],"BH")</f>
        <v>369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120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IFERROR(SUMIFS(tblDaily[Remaining],tblDaily[EntryDate],DATE(2026,1,31),tblDaily[WardCode],"BH"),0)</f>
        <v>7</v>
      </c>
    </row>
    <row r="44" spans="1:8" x14ac:dyDescent="0.25">
      <c r="A44" s="24" t="s">
        <v>109</v>
      </c>
      <c r="H44" s="27">
        <f>IFERROR(INDEX(tblWardConfig[BedComplement],MATCH("BH",tblWardConfig[WardCode],0)),0)</f>
        <v>22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IFERROR(IF(SUMIFS(tblDaily[Admissions],tblDaily[EntryDate],DATE(2026,2,1),tblDaily[WardCode],"BH")=0,"",SUMIFS(tblDaily[Admissions],tblDaily[EntryDate],DATE(2026,2,1),tblDaily[WardCode],"BH")),"")</f>
        <v/>
      </c>
      <c r="C46" s="29" t="str">
        <f>IFERROR(IF(SUMIFS(tblDaily[Discharges],tblDaily[EntryDate],DATE(2026,2,1),tblDaily[WardCode],"BH")=0,"",SUMIFS(tblDaily[Discharges],tblDaily[EntryDate],DATE(2026,2,1),tblDaily[WardCode],"BH")),"")</f>
        <v/>
      </c>
      <c r="D46" s="29" t="str">
        <f>IFERROR(IF(SUMIFS(tblDaily[Deaths],tblDaily[EntryDate],DATE(2026,2,1),tblDaily[WardCode],"BH")=0,"",SUMIFS(tblDaily[Deaths],tblDaily[EntryDate],DATE(2026,2,1),tblDaily[WardCode],"BH")),"")</f>
        <v/>
      </c>
      <c r="E46" s="29" t="str">
        <f>IFERROR(IF(SUMIFS(tblDaily[DeathsUnder24Hrs],tblDaily[EntryDate],DATE(2026,2,1),tblDaily[WardCode],"BH")=0,"",SUMIFS(tblDaily[DeathsUnder24Hrs],tblDaily[EntryDate],DATE(2026,2,1),tblDaily[WardCode],"BH")),"")</f>
        <v/>
      </c>
      <c r="F46" s="29">
        <f>IFERROR(IF(SUMIFS(tblDaily[TransfersIn],tblDaily[EntryDate],DATE(2026,2,1),tblDaily[WardCode],"BH")=0,"",SUMIFS(tblDaily[TransfersIn],tblDaily[EntryDate],DATE(2026,2,1),tblDaily[WardCode],"BH")),"")</f>
        <v>1</v>
      </c>
      <c r="G46" s="29" t="str">
        <f>IFERROR(IF(SUMIFS(tblDaily[TransfersOut],tblDaily[EntryDate],DATE(2026,2,1),tblDaily[WardCode],"BH")=0,"",SUMIFS(tblDaily[TransfersOut],tblDaily[EntryDate],DATE(2026,2,1),tblDaily[WardCode],"BH")),"")</f>
        <v/>
      </c>
      <c r="H46" s="29">
        <f>IFERROR(IF(SUMIFS(tblDaily[Remaining],tblDaily[EntryDate],DATE(2026,2,1),tblDaily[WardCode],"BH")=0,"",SUMIFS(tblDaily[Remaining],tblDaily[EntryDate],DATE(2026,2,1),tblDaily[WardCode],"BH")),"")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IFERROR(IF(SUMIFS(tblDaily[Admissions],tblDaily[EntryDate],DATE(2026,2,2),tblDaily[WardCode],"BH")=0,"",SUMIFS(tblDaily[Admissions],tblDaily[EntryDate],DATE(2026,2,2),tblDaily[WardCode],"BH")),"")</f>
        <v>3</v>
      </c>
      <c r="C47" s="29">
        <f>IFERROR(IF(SUMIFS(tblDaily[Discharges],tblDaily[EntryDate],DATE(2026,2,2),tblDaily[WardCode],"BH")=0,"",SUMIFS(tblDaily[Discharges],tblDaily[EntryDate],DATE(2026,2,2),tblDaily[WardCode],"BH")),"")</f>
        <v>2</v>
      </c>
      <c r="D47" s="29" t="str">
        <f>IFERROR(IF(SUMIFS(tblDaily[Deaths],tblDaily[EntryDate],DATE(2026,2,2),tblDaily[WardCode],"BH")=0,"",SUMIFS(tblDaily[Deaths],tblDaily[EntryDate],DATE(2026,2,2),tblDaily[WardCode],"BH")),"")</f>
        <v/>
      </c>
      <c r="E47" s="29" t="str">
        <f>IFERROR(IF(SUMIFS(tblDaily[DeathsUnder24Hrs],tblDaily[EntryDate],DATE(2026,2,2),tblDaily[WardCode],"BH")=0,"",SUMIFS(tblDaily[DeathsUnder24Hrs],tblDaily[EntryDate],DATE(2026,2,2),tblDaily[WardCode],"BH")),"")</f>
        <v/>
      </c>
      <c r="F47" s="29">
        <f>IFERROR(IF(SUMIFS(tblDaily[TransfersIn],tblDaily[EntryDate],DATE(2026,2,2),tblDaily[WardCode],"BH")=0,"",SUMIFS(tblDaily[TransfersIn],tblDaily[EntryDate],DATE(2026,2,2),tblDaily[WardCode],"BH")),"")</f>
        <v>1</v>
      </c>
      <c r="G47" s="29" t="str">
        <f>IFERROR(IF(SUMIFS(tblDaily[TransfersOut],tblDaily[EntryDate],DATE(2026,2,2),tblDaily[WardCode],"BH")=0,"",SUMIFS(tblDaily[TransfersOut],tblDaily[EntryDate],DATE(2026,2,2),tblDaily[WardCode],"BH")),"")</f>
        <v/>
      </c>
      <c r="H47" s="29">
        <f>IFERROR(IF(SUMIFS(tblDaily[Remaining],tblDaily[EntryDate],DATE(2026,2,2),tblDaily[WardCode],"BH")=0,"",SUMIFS(tblDaily[Remaining],tblDaily[EntryDate],DATE(2026,2,2),tblDaily[WardCode],"BH")),"")</f>
        <v>10</v>
      </c>
    </row>
    <row r="48" spans="1:8" x14ac:dyDescent="0.25">
      <c r="A48" s="29">
        <v>3</v>
      </c>
      <c r="B48" s="29">
        <f>IFERROR(IF(SUMIFS(tblDaily[Admissions],tblDaily[EntryDate],DATE(2026,2,3),tblDaily[WardCode],"BH")=0,"",SUMIFS(tblDaily[Admissions],tblDaily[EntryDate],DATE(2026,2,3),tblDaily[WardCode],"BH")),"")</f>
        <v>5</v>
      </c>
      <c r="C48" s="29">
        <f>IFERROR(IF(SUMIFS(tblDaily[Discharges],tblDaily[EntryDate],DATE(2026,2,3),tblDaily[WardCode],"BH")=0,"",SUMIFS(tblDaily[Discharges],tblDaily[EntryDate],DATE(2026,2,3),tblDaily[WardCode],"BH")),"")</f>
        <v>2</v>
      </c>
      <c r="D48" s="29" t="str">
        <f>IFERROR(IF(SUMIFS(tblDaily[Deaths],tblDaily[EntryDate],DATE(2026,2,3),tblDaily[WardCode],"BH")=0,"",SUMIFS(tblDaily[Deaths],tblDaily[EntryDate],DATE(2026,2,3),tblDaily[WardCode],"BH")),"")</f>
        <v/>
      </c>
      <c r="E48" s="29" t="str">
        <f>IFERROR(IF(SUMIFS(tblDaily[DeathsUnder24Hrs],tblDaily[EntryDate],DATE(2026,2,3),tblDaily[WardCode],"BH")=0,"",SUMIFS(tblDaily[DeathsUnder24Hrs],tblDaily[EntryDate],DATE(2026,2,3),tblDaily[WardCode],"BH")),"")</f>
        <v/>
      </c>
      <c r="F48" s="29" t="str">
        <f>IFERROR(IF(SUMIFS(tblDaily[TransfersIn],tblDaily[EntryDate],DATE(2026,2,3),tblDaily[WardCode],"BH")=0,"",SUMIFS(tblDaily[TransfersIn],tblDaily[EntryDate],DATE(2026,2,3),tblDaily[WardCode],"BH")),"")</f>
        <v/>
      </c>
      <c r="G48" s="29">
        <f>IFERROR(IF(SUMIFS(tblDaily[TransfersOut],tblDaily[EntryDate],DATE(2026,2,3),tblDaily[WardCode],"BH")=0,"",SUMIFS(tblDaily[TransfersOut],tblDaily[EntryDate],DATE(2026,2,3),tblDaily[WardCode],"BH")),"")</f>
        <v>2</v>
      </c>
      <c r="H48" s="29">
        <f>IFERROR(IF(SUMIFS(tblDaily[Remaining],tblDaily[EntryDate],DATE(2026,2,3),tblDaily[WardCode],"BH")=0,"",SUMIFS(tblDaily[Remaining],tblDaily[EntryDate],DATE(2026,2,3),tblDaily[WardCode],"BH")),"")</f>
        <v>11</v>
      </c>
    </row>
    <row r="49" spans="1:8" x14ac:dyDescent="0.25">
      <c r="A49" s="29">
        <v>4</v>
      </c>
      <c r="B49" s="29">
        <f>IFERROR(IF(SUMIFS(tblDaily[Admissions],tblDaily[EntryDate],DATE(2026,2,4),tblDaily[WardCode],"BH")=0,"",SUMIFS(tblDaily[Admissions],tblDaily[EntryDate],DATE(2026,2,4),tblDaily[WardCode],"BH")),"")</f>
        <v>7</v>
      </c>
      <c r="C49" s="29">
        <f>IFERROR(IF(SUMIFS(tblDaily[Discharges],tblDaily[EntryDate],DATE(2026,2,4),tblDaily[WardCode],"BH")=0,"",SUMIFS(tblDaily[Discharges],tblDaily[EntryDate],DATE(2026,2,4),tblDaily[WardCode],"BH")),"")</f>
        <v>3</v>
      </c>
      <c r="D49" s="29" t="str">
        <f>IFERROR(IF(SUMIFS(tblDaily[Deaths],tblDaily[EntryDate],DATE(2026,2,4),tblDaily[WardCode],"BH")=0,"",SUMIFS(tblDaily[Deaths],tblDaily[EntryDate],DATE(2026,2,4),tblDaily[WardCode],"BH")),"")</f>
        <v/>
      </c>
      <c r="E49" s="29" t="str">
        <f>IFERROR(IF(SUMIFS(tblDaily[DeathsUnder24Hrs],tblDaily[EntryDate],DATE(2026,2,4),tblDaily[WardCode],"BH")=0,"",SUMIFS(tblDaily[DeathsUnder24Hrs],tblDaily[EntryDate],DATE(2026,2,4),tblDaily[WardCode],"BH")),"")</f>
        <v/>
      </c>
      <c r="F49" s="29">
        <f>IFERROR(IF(SUMIFS(tblDaily[TransfersIn],tblDaily[EntryDate],DATE(2026,2,4),tblDaily[WardCode],"BH")=0,"",SUMIFS(tblDaily[TransfersIn],tblDaily[EntryDate],DATE(2026,2,4),tblDaily[WardCode],"BH")),"")</f>
        <v>3</v>
      </c>
      <c r="G49" s="29">
        <f>IFERROR(IF(SUMIFS(tblDaily[TransfersOut],tblDaily[EntryDate],DATE(2026,2,4),tblDaily[WardCode],"BH")=0,"",SUMIFS(tblDaily[TransfersOut],tblDaily[EntryDate],DATE(2026,2,4),tblDaily[WardCode],"BH")),"")</f>
        <v>2</v>
      </c>
      <c r="H49" s="29">
        <f>IFERROR(IF(SUMIFS(tblDaily[Remaining],tblDaily[EntryDate],DATE(2026,2,4),tblDaily[WardCode],"BH")=0,"",SUMIFS(tblDaily[Remaining],tblDaily[EntryDate],DATE(2026,2,4),tblDaily[WardCode],"BH")),"")</f>
        <v>16</v>
      </c>
    </row>
    <row r="50" spans="1:8" x14ac:dyDescent="0.25">
      <c r="A50" s="29">
        <v>5</v>
      </c>
      <c r="B50" s="29">
        <f>IFERROR(IF(SUMIFS(tblDaily[Admissions],tblDaily[EntryDate],DATE(2026,2,5),tblDaily[WardCode],"BH")=0,"",SUMIFS(tblDaily[Admissions],tblDaily[EntryDate],DATE(2026,2,5),tblDaily[WardCode],"BH")),"")</f>
        <v>1</v>
      </c>
      <c r="C50" s="29">
        <f>IFERROR(IF(SUMIFS(tblDaily[Discharges],tblDaily[EntryDate],DATE(2026,2,5),tblDaily[WardCode],"BH")=0,"",SUMIFS(tblDaily[Discharges],tblDaily[EntryDate],DATE(2026,2,5),tblDaily[WardCode],"BH")),"")</f>
        <v>3</v>
      </c>
      <c r="D50" s="29" t="str">
        <f>IFERROR(IF(SUMIFS(tblDaily[Deaths],tblDaily[EntryDate],DATE(2026,2,5),tblDaily[WardCode],"BH")=0,"",SUMIFS(tblDaily[Deaths],tblDaily[EntryDate],DATE(2026,2,5),tblDaily[WardCode],"BH")),"")</f>
        <v/>
      </c>
      <c r="E50" s="29" t="str">
        <f>IFERROR(IF(SUMIFS(tblDaily[DeathsUnder24Hrs],tblDaily[EntryDate],DATE(2026,2,5),tblDaily[WardCode],"BH")=0,"",SUMIFS(tblDaily[DeathsUnder24Hrs],tblDaily[EntryDate],DATE(2026,2,5),tblDaily[WardCode],"BH")),"")</f>
        <v/>
      </c>
      <c r="F50" s="29">
        <f>IFERROR(IF(SUMIFS(tblDaily[TransfersIn],tblDaily[EntryDate],DATE(2026,2,5),tblDaily[WardCode],"BH")=0,"",SUMIFS(tblDaily[TransfersIn],tblDaily[EntryDate],DATE(2026,2,5),tblDaily[WardCode],"BH")),"")</f>
        <v>6</v>
      </c>
      <c r="G50" s="29">
        <f>IFERROR(IF(SUMIFS(tblDaily[TransfersOut],tblDaily[EntryDate],DATE(2026,2,5),tblDaily[WardCode],"BH")=0,"",SUMIFS(tblDaily[TransfersOut],tblDaily[EntryDate],DATE(2026,2,5),tblDaily[WardCode],"BH")),"")</f>
        <v>3</v>
      </c>
      <c r="H50" s="29">
        <f>IFERROR(IF(SUMIFS(tblDaily[Remaining],tblDaily[EntryDate],DATE(2026,2,5),tblDaily[WardCode],"BH")=0,"",SUMIFS(tblDaily[Remaining],tblDaily[EntryDate],DATE(2026,2,5),tblDaily[WardCode],"BH")),"")</f>
        <v>17</v>
      </c>
    </row>
    <row r="51" spans="1:8" x14ac:dyDescent="0.25">
      <c r="A51" s="29">
        <v>6</v>
      </c>
      <c r="B51" s="29">
        <f>IFERROR(IF(SUMIFS(tblDaily[Admissions],tblDaily[EntryDate],DATE(2026,2,6),tblDaily[WardCode],"BH")=0,"",SUMIFS(tblDaily[Admissions],tblDaily[EntryDate],DATE(2026,2,6),tblDaily[WardCode],"BH")),"")</f>
        <v>3</v>
      </c>
      <c r="C51" s="29">
        <f>IFERROR(IF(SUMIFS(tblDaily[Discharges],tblDaily[EntryDate],DATE(2026,2,6),tblDaily[WardCode],"BH")=0,"",SUMIFS(tblDaily[Discharges],tblDaily[EntryDate],DATE(2026,2,6),tblDaily[WardCode],"BH")),"")</f>
        <v>2</v>
      </c>
      <c r="D51" s="29" t="str">
        <f>IFERROR(IF(SUMIFS(tblDaily[Deaths],tblDaily[EntryDate],DATE(2026,2,6),tblDaily[WardCode],"BH")=0,"",SUMIFS(tblDaily[Deaths],tblDaily[EntryDate],DATE(2026,2,6),tblDaily[WardCode],"BH")),"")</f>
        <v/>
      </c>
      <c r="E51" s="29" t="str">
        <f>IFERROR(IF(SUMIFS(tblDaily[DeathsUnder24Hrs],tblDaily[EntryDate],DATE(2026,2,6),tblDaily[WardCode],"BH")=0,"",SUMIFS(tblDaily[DeathsUnder24Hrs],tblDaily[EntryDate],DATE(2026,2,6),tblDaily[WardCode],"BH")),"")</f>
        <v/>
      </c>
      <c r="F51" s="29">
        <f>IFERROR(IF(SUMIFS(tblDaily[TransfersIn],tblDaily[EntryDate],DATE(2026,2,6),tblDaily[WardCode],"BH")=0,"",SUMIFS(tblDaily[TransfersIn],tblDaily[EntryDate],DATE(2026,2,6),tblDaily[WardCode],"BH")),"")</f>
        <v>1</v>
      </c>
      <c r="G51" s="29" t="str">
        <f>IFERROR(IF(SUMIFS(tblDaily[TransfersOut],tblDaily[EntryDate],DATE(2026,2,6),tblDaily[WardCode],"BH")=0,"",SUMIFS(tblDaily[TransfersOut],tblDaily[EntryDate],DATE(2026,2,6),tblDaily[WardCode],"BH")),"")</f>
        <v/>
      </c>
      <c r="H51" s="29">
        <f>IFERROR(IF(SUMIFS(tblDaily[Remaining],tblDaily[EntryDate],DATE(2026,2,6),tblDaily[WardCode],"BH")=0,"",SUMIFS(tblDaily[Remaining],tblDaily[EntryDate],DATE(2026,2,6),tblDaily[WardCode],"BH")),"")</f>
        <v>19</v>
      </c>
    </row>
    <row r="52" spans="1:8" x14ac:dyDescent="0.25">
      <c r="A52" s="29">
        <v>7</v>
      </c>
      <c r="B52" s="29">
        <f>IFERROR(IF(SUMIFS(tblDaily[Admissions],tblDaily[EntryDate],DATE(2026,2,7),tblDaily[WardCode],"BH")=0,"",SUMIFS(tblDaily[Admissions],tblDaily[EntryDate],DATE(2026,2,7),tblDaily[WardCode],"BH")),"")</f>
        <v>2</v>
      </c>
      <c r="C52" s="29">
        <f>IFERROR(IF(SUMIFS(tblDaily[Discharges],tblDaily[EntryDate],DATE(2026,2,7),tblDaily[WardCode],"BH")=0,"",SUMIFS(tblDaily[Discharges],tblDaily[EntryDate],DATE(2026,2,7),tblDaily[WardCode],"BH")),"")</f>
        <v>10</v>
      </c>
      <c r="D52" s="29" t="str">
        <f>IFERROR(IF(SUMIFS(tblDaily[Deaths],tblDaily[EntryDate],DATE(2026,2,7),tblDaily[WardCode],"BH")=0,"",SUMIFS(tblDaily[Deaths],tblDaily[EntryDate],DATE(2026,2,7),tblDaily[WardCode],"BH")),"")</f>
        <v/>
      </c>
      <c r="E52" s="29" t="str">
        <f>IFERROR(IF(SUMIFS(tblDaily[DeathsUnder24Hrs],tblDaily[EntryDate],DATE(2026,2,7),tblDaily[WardCode],"BH")=0,"",SUMIFS(tblDaily[DeathsUnder24Hrs],tblDaily[EntryDate],DATE(2026,2,7),tblDaily[WardCode],"BH")),"")</f>
        <v/>
      </c>
      <c r="F52" s="29">
        <f>IFERROR(IF(SUMIFS(tblDaily[TransfersIn],tblDaily[EntryDate],DATE(2026,2,7),tblDaily[WardCode],"BH")=0,"",SUMIFS(tblDaily[TransfersIn],tblDaily[EntryDate],DATE(2026,2,7),tblDaily[WardCode],"BH")),"")</f>
        <v>4</v>
      </c>
      <c r="G52" s="29" t="str">
        <f>IFERROR(IF(SUMIFS(tblDaily[TransfersOut],tblDaily[EntryDate],DATE(2026,2,7),tblDaily[WardCode],"BH")=0,"",SUMIFS(tblDaily[TransfersOut],tblDaily[EntryDate],DATE(2026,2,7),tblDaily[WardCode],"BH")),"")</f>
        <v/>
      </c>
      <c r="H52" s="29">
        <f>IFERROR(IF(SUMIFS(tblDaily[Remaining],tblDaily[EntryDate],DATE(2026,2,7),tblDaily[WardCode],"BH")=0,"",SUMIFS(tblDaily[Remaining],tblDaily[EntryDate],DATE(2026,2,7),tblDaily[WardCode],"BH")),"")</f>
        <v>15</v>
      </c>
    </row>
    <row r="53" spans="1:8" x14ac:dyDescent="0.25">
      <c r="A53" s="29">
        <v>8</v>
      </c>
      <c r="B53" s="29">
        <f>IFERROR(IF(SUMIFS(tblDaily[Admissions],tblDaily[EntryDate],DATE(2026,2,8),tblDaily[WardCode],"BH")=0,"",SUMIFS(tblDaily[Admissions],tblDaily[EntryDate],DATE(2026,2,8),tblDaily[WardCode],"BH")),"")</f>
        <v>1</v>
      </c>
      <c r="C53" s="29" t="str">
        <f>IFERROR(IF(SUMIFS(tblDaily[Discharges],tblDaily[EntryDate],DATE(2026,2,8),tblDaily[WardCode],"BH")=0,"",SUMIFS(tblDaily[Discharges],tblDaily[EntryDate],DATE(2026,2,8),tblDaily[WardCode],"BH")),"")</f>
        <v/>
      </c>
      <c r="D53" s="29" t="str">
        <f>IFERROR(IF(SUMIFS(tblDaily[Deaths],tblDaily[EntryDate],DATE(2026,2,8),tblDaily[WardCode],"BH")=0,"",SUMIFS(tblDaily[Deaths],tblDaily[EntryDate],DATE(2026,2,8),tblDaily[WardCode],"BH")),"")</f>
        <v/>
      </c>
      <c r="E53" s="29" t="str">
        <f>IFERROR(IF(SUMIFS(tblDaily[DeathsUnder24Hrs],tblDaily[EntryDate],DATE(2026,2,8),tblDaily[WardCode],"BH")=0,"",SUMIFS(tblDaily[DeathsUnder24Hrs],tblDaily[EntryDate],DATE(2026,2,8),tblDaily[WardCode],"BH")),"")</f>
        <v/>
      </c>
      <c r="F53" s="29">
        <f>IFERROR(IF(SUMIFS(tblDaily[TransfersIn],tblDaily[EntryDate],DATE(2026,2,8),tblDaily[WardCode],"BH")=0,"",SUMIFS(tblDaily[TransfersIn],tblDaily[EntryDate],DATE(2026,2,8),tblDaily[WardCode],"BH")),"")</f>
        <v>3</v>
      </c>
      <c r="G53" s="29">
        <f>IFERROR(IF(SUMIFS(tblDaily[TransfersOut],tblDaily[EntryDate],DATE(2026,2,8),tblDaily[WardCode],"BH")=0,"",SUMIFS(tblDaily[TransfersOut],tblDaily[EntryDate],DATE(2026,2,8),tblDaily[WardCode],"BH")),"")</f>
        <v>3</v>
      </c>
      <c r="H53" s="29">
        <f>IFERROR(IF(SUMIFS(tblDaily[Remaining],tblDaily[EntryDate],DATE(2026,2,8),tblDaily[WardCode],"BH")=0,"",SUMIFS(tblDaily[Remaining],tblDaily[EntryDate],DATE(2026,2,8),tblDaily[WardCode],"BH")),"")</f>
        <v>16</v>
      </c>
    </row>
    <row r="54" spans="1:8" x14ac:dyDescent="0.25">
      <c r="A54" s="29">
        <v>9</v>
      </c>
      <c r="B54" s="29">
        <f>IFERROR(IF(SUMIFS(tblDaily[Admissions],tblDaily[EntryDate],DATE(2026,2,9),tblDaily[WardCode],"BH")=0,"",SUMIFS(tblDaily[Admissions],tblDaily[EntryDate],DATE(2026,2,9),tblDaily[WardCode],"BH")),"")</f>
        <v>9</v>
      </c>
      <c r="C54" s="29">
        <f>IFERROR(IF(SUMIFS(tblDaily[Discharges],tblDaily[EntryDate],DATE(2026,2,9),tblDaily[WardCode],"BH")=0,"",SUMIFS(tblDaily[Discharges],tblDaily[EntryDate],DATE(2026,2,9),tblDaily[WardCode],"BH")),"")</f>
        <v>3</v>
      </c>
      <c r="D54" s="29" t="str">
        <f>IFERROR(IF(SUMIFS(tblDaily[Deaths],tblDaily[EntryDate],DATE(2026,2,9),tblDaily[WardCode],"BH")=0,"",SUMIFS(tblDaily[Deaths],tblDaily[EntryDate],DATE(2026,2,9),tblDaily[WardCode],"BH")),"")</f>
        <v/>
      </c>
      <c r="E54" s="29" t="str">
        <f>IFERROR(IF(SUMIFS(tblDaily[DeathsUnder24Hrs],tblDaily[EntryDate],DATE(2026,2,9),tblDaily[WardCode],"BH")=0,"",SUMIFS(tblDaily[DeathsUnder24Hrs],tblDaily[EntryDate],DATE(2026,2,9),tblDaily[WardCode],"BH")),"")</f>
        <v/>
      </c>
      <c r="F54" s="29" t="str">
        <f>IFERROR(IF(SUMIFS(tblDaily[TransfersIn],tblDaily[EntryDate],DATE(2026,2,9),tblDaily[WardCode],"BH")=0,"",SUMIFS(tblDaily[TransfersIn],tblDaily[EntryDate],DATE(2026,2,9),tblDaily[WardCode],"BH")),"")</f>
        <v/>
      </c>
      <c r="G54" s="29">
        <f>IFERROR(IF(SUMIFS(tblDaily[TransfersOut],tblDaily[EntryDate],DATE(2026,2,9),tblDaily[WardCode],"BH")=0,"",SUMIFS(tblDaily[TransfersOut],tblDaily[EntryDate],DATE(2026,2,9),tblDaily[WardCode],"BH")),"")</f>
        <v>3</v>
      </c>
      <c r="H54" s="29">
        <f>IFERROR(IF(SUMIFS(tblDaily[Remaining],tblDaily[EntryDate],DATE(2026,2,9),tblDaily[WardCode],"BH")=0,"",SUMIFS(tblDaily[Remaining],tblDaily[EntryDate],DATE(2026,2,9),tblDaily[WardCode],"BH")),"")</f>
        <v>19</v>
      </c>
    </row>
    <row r="55" spans="1:8" x14ac:dyDescent="0.25">
      <c r="A55" s="29">
        <v>10</v>
      </c>
      <c r="B55" s="29">
        <f>IFERROR(IF(SUMIFS(tblDaily[Admissions],tblDaily[EntryDate],DATE(2026,2,10),tblDaily[WardCode],"BH")=0,"",SUMIFS(tblDaily[Admissions],tblDaily[EntryDate],DATE(2026,2,10),tblDaily[WardCode],"BH")),"")</f>
        <v>3</v>
      </c>
      <c r="C55" s="29">
        <f>IFERROR(IF(SUMIFS(tblDaily[Discharges],tblDaily[EntryDate],DATE(2026,2,10),tblDaily[WardCode],"BH")=0,"",SUMIFS(tblDaily[Discharges],tblDaily[EntryDate],DATE(2026,2,10),tblDaily[WardCode],"BH")),"")</f>
        <v>3</v>
      </c>
      <c r="D55" s="29" t="str">
        <f>IFERROR(IF(SUMIFS(tblDaily[Deaths],tblDaily[EntryDate],DATE(2026,2,10),tblDaily[WardCode],"BH")=0,"",SUMIFS(tblDaily[Deaths],tblDaily[EntryDate],DATE(2026,2,10),tblDaily[WardCode],"BH")),"")</f>
        <v/>
      </c>
      <c r="E55" s="29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29">
        <f>IFERROR(IF(SUMIFS(tblDaily[TransfersIn],tblDaily[EntryDate],DATE(2026,2,10),tblDaily[WardCode],"BH")=0,"",SUMIFS(tblDaily[TransfersIn],tblDaily[EntryDate],DATE(2026,2,10),tblDaily[WardCode],"BH")),"")</f>
        <v>3</v>
      </c>
      <c r="G55" s="29">
        <f>IFERROR(IF(SUMIFS(tblDaily[TransfersOut],tblDaily[EntryDate],DATE(2026,2,10),tblDaily[WardCode],"BH")=0,"",SUMIFS(tblDaily[TransfersOut],tblDaily[EntryDate],DATE(2026,2,10),tblDaily[WardCode],"BH")),"")</f>
        <v>2</v>
      </c>
      <c r="H55" s="29">
        <f>IFERROR(IF(SUMIFS(tblDaily[Remaining],tblDaily[EntryDate],DATE(2026,2,10),tblDaily[WardCode],"BH")=0,"",SUMIFS(tblDaily[Remaining],tblDaily[EntryDate],DATE(2026,2,10),tblDaily[WardCode],"BH")),"")</f>
        <v>20</v>
      </c>
    </row>
    <row r="56" spans="1:8" x14ac:dyDescent="0.25">
      <c r="A56" s="29">
        <v>11</v>
      </c>
      <c r="B56" s="29">
        <f>IFERROR(IF(SUMIFS(tblDaily[Admissions],tblDaily[EntryDate],DATE(2026,2,11),tblDaily[WardCode],"BH")=0,"",SUMIFS(tblDaily[Admissions],tblDaily[EntryDate],DATE(2026,2,11),tblDaily[WardCode],"BH")),"")</f>
        <v>1</v>
      </c>
      <c r="C56" s="29">
        <f>IFERROR(IF(SUMIFS(tblDaily[Discharges],tblDaily[EntryDate],DATE(2026,2,11),tblDaily[WardCode],"BH")=0,"",SUMIFS(tblDaily[Discharges],tblDaily[EntryDate],DATE(2026,2,11),tblDaily[WardCode],"BH")),"")</f>
        <v>2</v>
      </c>
      <c r="D56" s="29" t="str">
        <f>IFERROR(IF(SUMIFS(tblDaily[Deaths],tblDaily[EntryDate],DATE(2026,2,11),tblDaily[WardCode],"BH")=0,"",SUMIFS(tblDaily[Deaths],tblDaily[EntryDate],DATE(2026,2,11),tblDaily[WardCode],"BH")),"")</f>
        <v/>
      </c>
      <c r="E56" s="29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29">
        <f>IFERROR(IF(SUMIFS(tblDaily[TransfersIn],tblDaily[EntryDate],DATE(2026,2,11),tblDaily[WardCode],"BH")=0,"",SUMIFS(tblDaily[TransfersIn],tblDaily[EntryDate],DATE(2026,2,11),tblDaily[WardCode],"BH")),"")</f>
        <v>1</v>
      </c>
      <c r="G56" s="29" t="str">
        <f>IFERROR(IF(SUMIFS(tblDaily[TransfersOut],tblDaily[EntryDate],DATE(2026,2,11),tblDaily[WardCode],"BH")=0,"",SUMIFS(tblDaily[TransfersOut],tblDaily[EntryDate],DATE(2026,2,11),tblDaily[WardCode],"BH")),"")</f>
        <v/>
      </c>
      <c r="H56" s="29">
        <f>IFERROR(IF(SUMIFS(tblDaily[Remaining],tblDaily[EntryDate],DATE(2026,2,11),tblDaily[WardCode],"BH")=0,"",SUMIFS(tblDaily[Remaining],tblDaily[EntryDate],DATE(2026,2,11),tblDaily[WardCode],"BH")),"")</f>
        <v>20</v>
      </c>
    </row>
    <row r="57" spans="1:8" x14ac:dyDescent="0.25">
      <c r="A57" s="29">
        <v>12</v>
      </c>
      <c r="B57" s="29">
        <f>IFERROR(IF(SUMIFS(tblDaily[Admissions],tblDaily[EntryDate],DATE(2026,2,12),tblDaily[WardCode],"BH")=0,"",SUMIFS(tblDaily[Admissions],tblDaily[EntryDate],DATE(2026,2,12),tblDaily[WardCode],"BH")),"")</f>
        <v>2</v>
      </c>
      <c r="C57" s="29">
        <f>IFERROR(IF(SUMIFS(tblDaily[Discharges],tblDaily[EntryDate],DATE(2026,2,12),tblDaily[WardCode],"BH")=0,"",SUMIFS(tblDaily[Discharges],tblDaily[EntryDate],DATE(2026,2,12),tblDaily[WardCode],"BH")),"")</f>
        <v>6</v>
      </c>
      <c r="D57" s="29" t="str">
        <f>IFERROR(IF(SUMIFS(tblDaily[Deaths],tblDaily[EntryDate],DATE(2026,2,12),tblDaily[WardCode],"BH")=0,"",SUMIFS(tblDaily[Deaths],tblDaily[EntryDate],DATE(2026,2,12),tblDaily[WardCode],"BH")),"")</f>
        <v/>
      </c>
      <c r="E57" s="29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29">
        <f>IFERROR(IF(SUMIFS(tblDaily[TransfersIn],tblDaily[EntryDate],DATE(2026,2,12),tblDaily[WardCode],"BH")=0,"",SUMIFS(tblDaily[TransfersIn],tblDaily[EntryDate],DATE(2026,2,12),tblDaily[WardCode],"BH")),"")</f>
        <v>4</v>
      </c>
      <c r="G57" s="29">
        <f>IFERROR(IF(SUMIFS(tblDaily[TransfersOut],tblDaily[EntryDate],DATE(2026,2,12),tblDaily[WardCode],"BH")=0,"",SUMIFS(tblDaily[TransfersOut],tblDaily[EntryDate],DATE(2026,2,12),tblDaily[WardCode],"BH")),"")</f>
        <v>2</v>
      </c>
      <c r="H57" s="29">
        <f>IFERROR(IF(SUMIFS(tblDaily[Remaining],tblDaily[EntryDate],DATE(2026,2,12),tblDaily[WardCode],"BH")=0,"",SUMIFS(tblDaily[Remaining],tblDaily[EntryDate],DATE(2026,2,12),tblDaily[WardCode],"BH")),"")</f>
        <v>18</v>
      </c>
    </row>
    <row r="58" spans="1:8" x14ac:dyDescent="0.25">
      <c r="A58" s="29">
        <v>13</v>
      </c>
      <c r="B58" s="29">
        <f>IFERROR(IF(SUMIFS(tblDaily[Admissions],tblDaily[EntryDate],DATE(2026,2,13),tblDaily[WardCode],"BH")=0,"",SUMIFS(tblDaily[Admissions],tblDaily[EntryDate],DATE(2026,2,13),tblDaily[WardCode],"BH")),"")</f>
        <v>2</v>
      </c>
      <c r="C58" s="29">
        <f>IFERROR(IF(SUMIFS(tblDaily[Discharges],tblDaily[EntryDate],DATE(2026,2,13),tblDaily[WardCode],"BH")=0,"",SUMIFS(tblDaily[Discharges],tblDaily[EntryDate],DATE(2026,2,13),tblDaily[WardCode],"BH")),"")</f>
        <v>3</v>
      </c>
      <c r="D58" s="29" t="str">
        <f>IFERROR(IF(SUMIFS(tblDaily[Deaths],tblDaily[EntryDate],DATE(2026,2,13),tblDaily[WardCode],"BH")=0,"",SUMIFS(tblDaily[Deaths],tblDaily[EntryDate],DATE(2026,2,13),tblDaily[WardCode],"BH")),"")</f>
        <v/>
      </c>
      <c r="E58" s="29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29" t="str">
        <f>IFERROR(IF(SUMIFS(tblDaily[TransfersIn],tblDaily[EntryDate],DATE(2026,2,13),tblDaily[WardCode],"BH")=0,"",SUMIFS(tblDaily[TransfersIn],tblDaily[EntryDate],DATE(2026,2,13),tblDaily[WardCode],"BH")),"")</f>
        <v/>
      </c>
      <c r="G58" s="29" t="str">
        <f>IFERROR(IF(SUMIFS(tblDaily[TransfersOut],tblDaily[EntryDate],DATE(2026,2,13),tblDaily[WardCode],"BH")=0,"",SUMIFS(tblDaily[TransfersOut],tblDaily[EntryDate],DATE(2026,2,13),tblDaily[WardCode],"BH")),"")</f>
        <v/>
      </c>
      <c r="H58" s="29">
        <f>IFERROR(IF(SUMIFS(tblDaily[Remaining],tblDaily[EntryDate],DATE(2026,2,13),tblDaily[WardCode],"BH")=0,"",SUMIFS(tblDaily[Remaining],tblDaily[EntryDate],DATE(2026,2,13),tblDaily[WardCode],"BH")),"")</f>
        <v>17</v>
      </c>
    </row>
    <row r="59" spans="1:8" x14ac:dyDescent="0.25">
      <c r="A59" s="29">
        <v>14</v>
      </c>
      <c r="B59" s="29">
        <f>IFERROR(IF(SUMIFS(tblDaily[Admissions],tblDaily[EntryDate],DATE(2026,2,14),tblDaily[WardCode],"BH")=0,"",SUMIFS(tblDaily[Admissions],tblDaily[EntryDate],DATE(2026,2,14),tblDaily[WardCode],"BH")),"")</f>
        <v>1</v>
      </c>
      <c r="C59" s="29">
        <f>IFERROR(IF(SUMIFS(tblDaily[Discharges],tblDaily[EntryDate],DATE(2026,2,14),tblDaily[WardCode],"BH")=0,"",SUMIFS(tblDaily[Discharges],tblDaily[EntryDate],DATE(2026,2,14),tblDaily[WardCode],"BH")),"")</f>
        <v>3</v>
      </c>
      <c r="D59" s="29" t="str">
        <f>IFERROR(IF(SUMIFS(tblDaily[Deaths],tblDaily[EntryDate],DATE(2026,2,14),tblDaily[WardCode],"BH")=0,"",SUMIFS(tblDaily[Deaths],tblDaily[EntryDate],DATE(2026,2,14),tblDaily[WardCode],"BH")),"")</f>
        <v/>
      </c>
      <c r="E59" s="29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29" t="str">
        <f>IFERROR(IF(SUMIFS(tblDaily[TransfersIn],tblDaily[EntryDate],DATE(2026,2,14),tblDaily[WardCode],"BH")=0,"",SUMIFS(tblDaily[TransfersIn],tblDaily[EntryDate],DATE(2026,2,14),tblDaily[WardCode],"BH")),"")</f>
        <v/>
      </c>
      <c r="G59" s="29">
        <f>IFERROR(IF(SUMIFS(tblDaily[TransfersOut],tblDaily[EntryDate],DATE(2026,2,14),tblDaily[WardCode],"BH")=0,"",SUMIFS(tblDaily[TransfersOut],tblDaily[EntryDate],DATE(2026,2,14),tblDaily[WardCode],"BH")),"")</f>
        <v>1</v>
      </c>
      <c r="H59" s="29">
        <f>IFERROR(IF(SUMIFS(tblDaily[Remaining],tblDaily[EntryDate],DATE(2026,2,14),tblDaily[WardCode],"BH")=0,"",SUMIFS(tblDaily[Remaining],tblDaily[EntryDate],DATE(2026,2,14),tblDaily[WardCode],"BH")),"")</f>
        <v>14</v>
      </c>
    </row>
    <row r="60" spans="1:8" x14ac:dyDescent="0.25">
      <c r="A60" s="29">
        <v>15</v>
      </c>
      <c r="B60" s="29">
        <f>IFERROR(IF(SUMIFS(tblDaily[Admissions],tblDaily[EntryDate],DATE(2026,2,15),tblDaily[WardCode],"BH")=0,"",SUMIFS(tblDaily[Admissions],tblDaily[EntryDate],DATE(2026,2,15),tblDaily[WardCode],"BH")),"")</f>
        <v>2</v>
      </c>
      <c r="C60" s="29">
        <f>IFERROR(IF(SUMIFS(tblDaily[Discharges],tblDaily[EntryDate],DATE(2026,2,15),tblDaily[WardCode],"BH")=0,"",SUMIFS(tblDaily[Discharges],tblDaily[EntryDate],DATE(2026,2,15),tblDaily[WardCode],"BH")),"")</f>
        <v>7</v>
      </c>
      <c r="D60" s="29" t="str">
        <f>IFERROR(IF(SUMIFS(tblDaily[Deaths],tblDaily[EntryDate],DATE(2026,2,15),tblDaily[WardCode],"BH")=0,"",SUMIFS(tblDaily[Deaths],tblDaily[EntryDate],DATE(2026,2,15),tblDaily[WardCode],"BH")),"")</f>
        <v/>
      </c>
      <c r="E60" s="29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29">
        <f>IFERROR(IF(SUMIFS(tblDaily[TransfersIn],tblDaily[EntryDate],DATE(2026,2,15),tblDaily[WardCode],"BH")=0,"",SUMIFS(tblDaily[TransfersIn],tblDaily[EntryDate],DATE(2026,2,15),tblDaily[WardCode],"BH")),"")</f>
        <v>3</v>
      </c>
      <c r="G60" s="29">
        <f>IFERROR(IF(SUMIFS(tblDaily[TransfersOut],tblDaily[EntryDate],DATE(2026,2,15),tblDaily[WardCode],"BH")=0,"",SUMIFS(tblDaily[TransfersOut],tblDaily[EntryDate],DATE(2026,2,15),tblDaily[WardCode],"BH")),"")</f>
        <v>1</v>
      </c>
      <c r="H60" s="29">
        <f>IFERROR(IF(SUMIFS(tblDaily[Remaining],tblDaily[EntryDate],DATE(2026,2,15),tblDaily[WardCode],"BH")=0,"",SUMIFS(tblDaily[Remaining],tblDaily[EntryDate],DATE(2026,2,15),tblDaily[WardCode],"BH")),"")</f>
        <v>11</v>
      </c>
    </row>
    <row r="61" spans="1:8" x14ac:dyDescent="0.25">
      <c r="A61" s="29">
        <v>16</v>
      </c>
      <c r="B61" s="29">
        <f>IFERROR(IF(SUMIFS(tblDaily[Admissions],tblDaily[EntryDate],DATE(2026,2,16),tblDaily[WardCode],"BH")=0,"",SUMIFS(tblDaily[Admissions],tblDaily[EntryDate],DATE(2026,2,16),tblDaily[WardCode],"BH")),"")</f>
        <v>4</v>
      </c>
      <c r="C61" s="29" t="str">
        <f>IFERROR(IF(SUMIFS(tblDaily[Discharges],tblDaily[EntryDate],DATE(2026,2,16),tblDaily[WardCode],"BH")=0,"",SUMIFS(tblDaily[Discharges],tblDaily[EntryDate],DATE(2026,2,16),tblDaily[WardCode],"BH")),"")</f>
        <v/>
      </c>
      <c r="D61" s="29" t="str">
        <f>IFERROR(IF(SUMIFS(tblDaily[Deaths],tblDaily[EntryDate],DATE(2026,2,16),tblDaily[WardCode],"BH")=0,"",SUMIFS(tblDaily[Deaths],tblDaily[EntryDate],DATE(2026,2,16),tblDaily[WardCode],"BH")),"")</f>
        <v/>
      </c>
      <c r="E61" s="29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29">
        <f>IFERROR(IF(SUMIFS(tblDaily[TransfersIn],tblDaily[EntryDate],DATE(2026,2,16),tblDaily[WardCode],"BH")=0,"",SUMIFS(tblDaily[TransfersIn],tblDaily[EntryDate],DATE(2026,2,16),tblDaily[WardCode],"BH")),"")</f>
        <v>1</v>
      </c>
      <c r="G61" s="29">
        <f>IFERROR(IF(SUMIFS(tblDaily[TransfersOut],tblDaily[EntryDate],DATE(2026,2,16),tblDaily[WardCode],"BH")=0,"",SUMIFS(tblDaily[TransfersOut],tblDaily[EntryDate],DATE(2026,2,16),tblDaily[WardCode],"BH")),"")</f>
        <v>2</v>
      </c>
      <c r="H61" s="29">
        <f>IFERROR(IF(SUMIFS(tblDaily[Remaining],tblDaily[EntryDate],DATE(2026,2,16),tblDaily[WardCode],"BH")=0,"",SUMIFS(tblDaily[Remaining],tblDaily[EntryDate],DATE(2026,2,16),tblDaily[WardCode],"BH")),"")</f>
        <v>14</v>
      </c>
    </row>
    <row r="62" spans="1:8" x14ac:dyDescent="0.25">
      <c r="A62" s="29">
        <v>17</v>
      </c>
      <c r="B62" s="29">
        <f>IFERROR(IF(SUMIFS(tblDaily[Admissions],tblDaily[EntryDate],DATE(2026,2,17),tblDaily[WardCode],"BH")=0,"",SUMIFS(tblDaily[Admissions],tblDaily[EntryDate],DATE(2026,2,17),tblDaily[WardCode],"BH")),"")</f>
        <v>2</v>
      </c>
      <c r="C62" s="29">
        <f>IFERROR(IF(SUMIFS(tblDaily[Discharges],tblDaily[EntryDate],DATE(2026,2,17),tblDaily[WardCode],"BH")=0,"",SUMIFS(tblDaily[Discharges],tblDaily[EntryDate],DATE(2026,2,17),tblDaily[WardCode],"BH")),"")</f>
        <v>2</v>
      </c>
      <c r="D62" s="29" t="str">
        <f>IFERROR(IF(SUMIFS(tblDaily[Deaths],tblDaily[EntryDate],DATE(2026,2,17),tblDaily[WardCode],"BH")=0,"",SUMIFS(tblDaily[Deaths],tblDaily[EntryDate],DATE(2026,2,17),tblDaily[WardCode],"BH")),"")</f>
        <v/>
      </c>
      <c r="E62" s="29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29">
        <f>IFERROR(IF(SUMIFS(tblDaily[TransfersIn],tblDaily[EntryDate],DATE(2026,2,17),tblDaily[WardCode],"BH")=0,"",SUMIFS(tblDaily[TransfersIn],tblDaily[EntryDate],DATE(2026,2,17),tblDaily[WardCode],"BH")),"")</f>
        <v>6</v>
      </c>
      <c r="G62" s="29" t="str">
        <f>IFERROR(IF(SUMIFS(tblDaily[TransfersOut],tblDaily[EntryDate],DATE(2026,2,17),tblDaily[WardCode],"BH")=0,"",SUMIFS(tblDaily[TransfersOut],tblDaily[EntryDate],DATE(2026,2,17),tblDaily[WardCode],"BH")),"")</f>
        <v/>
      </c>
      <c r="H62" s="29">
        <f>IFERROR(IF(SUMIFS(tblDaily[Remaining],tblDaily[EntryDate],DATE(2026,2,17),tblDaily[WardCode],"BH")=0,"",SUMIFS(tblDaily[Remaining],tblDaily[EntryDate],DATE(2026,2,17),tblDaily[WardCode],"BH")),"")</f>
        <v>20</v>
      </c>
    </row>
    <row r="63" spans="1:8" x14ac:dyDescent="0.25">
      <c r="A63" s="29">
        <v>18</v>
      </c>
      <c r="B63" s="29">
        <f>IFERROR(IF(SUMIFS(tblDaily[Admissions],tblDaily[EntryDate],DATE(2026,2,18),tblDaily[WardCode],"BH")=0,"",SUMIFS(tblDaily[Admissions],tblDaily[EntryDate],DATE(2026,2,18),tblDaily[WardCode],"BH")),"")</f>
        <v>4</v>
      </c>
      <c r="C63" s="29">
        <f>IFERROR(IF(SUMIFS(tblDaily[Discharges],tblDaily[EntryDate],DATE(2026,2,18),tblDaily[WardCode],"BH")=0,"",SUMIFS(tblDaily[Discharges],tblDaily[EntryDate],DATE(2026,2,18),tblDaily[WardCode],"BH")),"")</f>
        <v>2</v>
      </c>
      <c r="D63" s="29" t="str">
        <f>IFERROR(IF(SUMIFS(tblDaily[Deaths],tblDaily[EntryDate],DATE(2026,2,18),tblDaily[WardCode],"BH")=0,"",SUMIFS(tblDaily[Deaths],tblDaily[EntryDate],DATE(2026,2,18),tblDaily[WardCode],"BH")),"")</f>
        <v/>
      </c>
      <c r="E63" s="29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29" t="str">
        <f>IFERROR(IF(SUMIFS(tblDaily[TransfersIn],tblDaily[EntryDate],DATE(2026,2,18),tblDaily[WardCode],"BH")=0,"",SUMIFS(tblDaily[TransfersIn],tblDaily[EntryDate],DATE(2026,2,18),tblDaily[WardCode],"BH")),"")</f>
        <v/>
      </c>
      <c r="G63" s="29" t="str">
        <f>IFERROR(IF(SUMIFS(tblDaily[TransfersOut],tblDaily[EntryDate],DATE(2026,2,18),tblDaily[WardCode],"BH")=0,"",SUMIFS(tblDaily[TransfersOut],tblDaily[EntryDate],DATE(2026,2,18),tblDaily[WardCode],"BH")),"")</f>
        <v/>
      </c>
      <c r="H63" s="29">
        <f>IFERROR(IF(SUMIFS(tblDaily[Remaining],tblDaily[EntryDate],DATE(2026,2,18),tblDaily[WardCode],"BH")=0,"",SUMIFS(tblDaily[Remaining],tblDaily[EntryDate],DATE(2026,2,18),tblDaily[WardCode],"BH")),"")</f>
        <v>22</v>
      </c>
    </row>
    <row r="64" spans="1:8" x14ac:dyDescent="0.25">
      <c r="A64" s="29">
        <v>19</v>
      </c>
      <c r="B64" s="29">
        <f>IFERROR(IF(SUMIFS(tblDaily[Admissions],tblDaily[EntryDate],DATE(2026,2,19),tblDaily[WardCode],"BH")=0,"",SUMIFS(tblDaily[Admissions],tblDaily[EntryDate],DATE(2026,2,19),tblDaily[WardCode],"BH")),"")</f>
        <v>1</v>
      </c>
      <c r="C64" s="29">
        <f>IFERROR(IF(SUMIFS(tblDaily[Discharges],tblDaily[EntryDate],DATE(2026,2,19),tblDaily[WardCode],"BH")=0,"",SUMIFS(tblDaily[Discharges],tblDaily[EntryDate],DATE(2026,2,19),tblDaily[WardCode],"BH")),"")</f>
        <v>6</v>
      </c>
      <c r="D64" s="29" t="str">
        <f>IFERROR(IF(SUMIFS(tblDaily[Deaths],tblDaily[EntryDate],DATE(2026,2,19),tblDaily[WardCode],"BH")=0,"",SUMIFS(tblDaily[Deaths],tblDaily[EntryDate],DATE(2026,2,19),tblDaily[WardCode],"BH")),"")</f>
        <v/>
      </c>
      <c r="E64" s="29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29">
        <f>IFERROR(IF(SUMIFS(tblDaily[TransfersIn],tblDaily[EntryDate],DATE(2026,2,19),tblDaily[WardCode],"BH")=0,"",SUMIFS(tblDaily[TransfersIn],tblDaily[EntryDate],DATE(2026,2,19),tblDaily[WardCode],"BH")),"")</f>
        <v>1</v>
      </c>
      <c r="G64" s="29" t="str">
        <f>IFERROR(IF(SUMIFS(tblDaily[TransfersOut],tblDaily[EntryDate],DATE(2026,2,19),tblDaily[WardCode],"BH")=0,"",SUMIFS(tblDaily[TransfersOut],tblDaily[EntryDate],DATE(2026,2,19),tblDaily[WardCode],"BH")),"")</f>
        <v/>
      </c>
      <c r="H64" s="29">
        <f>IFERROR(IF(SUMIFS(tblDaily[Remaining],tblDaily[EntryDate],DATE(2026,2,19),tblDaily[WardCode],"BH")=0,"",SUMIFS(tblDaily[Remaining],tblDaily[EntryDate],DATE(2026,2,19),tblDaily[WardCode],"BH")),"")</f>
        <v>18</v>
      </c>
    </row>
    <row r="65" spans="1:8" x14ac:dyDescent="0.25">
      <c r="A65" s="29">
        <v>20</v>
      </c>
      <c r="B65" s="29">
        <f>IFERROR(IF(SUMIFS(tblDaily[Admissions],tblDaily[EntryDate],DATE(2026,2,20),tblDaily[WardCode],"BH")=0,"",SUMIFS(tblDaily[Admissions],tblDaily[EntryDate],DATE(2026,2,20),tblDaily[WardCode],"BH")),"")</f>
        <v>1</v>
      </c>
      <c r="C65" s="29">
        <f>IFERROR(IF(SUMIFS(tblDaily[Discharges],tblDaily[EntryDate],DATE(2026,2,20),tblDaily[WardCode],"BH")=0,"",SUMIFS(tblDaily[Discharges],tblDaily[EntryDate],DATE(2026,2,20),tblDaily[WardCode],"BH")),"")</f>
        <v>6</v>
      </c>
      <c r="D65" s="29" t="str">
        <f>IFERROR(IF(SUMIFS(tblDaily[Deaths],tblDaily[EntryDate],DATE(2026,2,20),tblDaily[WardCode],"BH")=0,"",SUMIFS(tblDaily[Deaths],tblDaily[EntryDate],DATE(2026,2,20),tblDaily[WardCode],"BH")),"")</f>
        <v/>
      </c>
      <c r="E65" s="29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29">
        <f>IFERROR(IF(SUMIFS(tblDaily[TransfersIn],tblDaily[EntryDate],DATE(2026,2,20),tblDaily[WardCode],"BH")=0,"",SUMIFS(tblDaily[TransfersIn],tblDaily[EntryDate],DATE(2026,2,20),tblDaily[WardCode],"BH")),"")</f>
        <v>2</v>
      </c>
      <c r="G65" s="29" t="str">
        <f>IFERROR(IF(SUMIFS(tblDaily[TransfersOut],tblDaily[EntryDate],DATE(2026,2,20),tblDaily[WardCode],"BH")=0,"",SUMIFS(tblDaily[TransfersOut],tblDaily[EntryDate],DATE(2026,2,20),tblDaily[WardCode],"BH")),"")</f>
        <v/>
      </c>
      <c r="H65" s="29">
        <f>IFERROR(IF(SUMIFS(tblDaily[Remaining],tblDaily[EntryDate],DATE(2026,2,20),tblDaily[WardCode],"BH")=0,"",SUMIFS(tblDaily[Remaining],tblDaily[EntryDate],DATE(2026,2,20),tblDaily[WardCode],"BH")),"")</f>
        <v>15</v>
      </c>
    </row>
    <row r="66" spans="1:8" x14ac:dyDescent="0.25">
      <c r="A66" s="29">
        <v>21</v>
      </c>
      <c r="B66" s="29">
        <f>IFERROR(IF(SUMIFS(tblDaily[Admissions],tblDaily[EntryDate],DATE(2026,2,21),tblDaily[WardCode],"BH")=0,"",SUMIFS(tblDaily[Admissions],tblDaily[EntryDate],DATE(2026,2,21),tblDaily[WardCode],"BH")),"")</f>
        <v>1</v>
      </c>
      <c r="C66" s="29">
        <f>IFERROR(IF(SUMIFS(tblDaily[Discharges],tblDaily[EntryDate],DATE(2026,2,21),tblDaily[WardCode],"BH")=0,"",SUMIFS(tblDaily[Discharges],tblDaily[EntryDate],DATE(2026,2,21),tblDaily[WardCode],"BH")),"")</f>
        <v>2</v>
      </c>
      <c r="D66" s="29" t="str">
        <f>IFERROR(IF(SUMIFS(tblDaily[Deaths],tblDaily[EntryDate],DATE(2026,2,21),tblDaily[WardCode],"BH")=0,"",SUMIFS(tblDaily[Deaths],tblDaily[EntryDate],DATE(2026,2,21),tblDaily[WardCode],"BH")),"")</f>
        <v/>
      </c>
      <c r="E66" s="29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29" t="str">
        <f>IFERROR(IF(SUMIFS(tblDaily[TransfersIn],tblDaily[EntryDate],DATE(2026,2,21),tblDaily[WardCode],"BH")=0,"",SUMIFS(tblDaily[TransfersIn],tblDaily[EntryDate],DATE(2026,2,21),tblDaily[WardCode],"BH")),"")</f>
        <v/>
      </c>
      <c r="G66" s="29" t="str">
        <f>IFERROR(IF(SUMIFS(tblDaily[TransfersOut],tblDaily[EntryDate],DATE(2026,2,21),tblDaily[WardCode],"BH")=0,"",SUMIFS(tblDaily[TransfersOut],tblDaily[EntryDate],DATE(2026,2,21),tblDaily[WardCode],"BH")),"")</f>
        <v/>
      </c>
      <c r="H66" s="29">
        <f>IFERROR(IF(SUMIFS(tblDaily[Remaining],tblDaily[EntryDate],DATE(2026,2,21),tblDaily[WardCode],"BH")=0,"",SUMIFS(tblDaily[Remaining],tblDaily[EntryDate],DATE(2026,2,21),tblDaily[WardCode],"BH")),"")</f>
        <v>14</v>
      </c>
    </row>
    <row r="67" spans="1:8" x14ac:dyDescent="0.25">
      <c r="A67" s="29">
        <v>22</v>
      </c>
      <c r="B67" s="29">
        <f>IFERROR(IF(SUMIFS(tblDaily[Admissions],tblDaily[EntryDate],DATE(2026,2,22),tblDaily[WardCode],"BH")=0,"",SUMIFS(tblDaily[Admissions],tblDaily[EntryDate],DATE(2026,2,22),tblDaily[WardCode],"BH")),"")</f>
        <v>1</v>
      </c>
      <c r="C67" s="29">
        <f>IFERROR(IF(SUMIFS(tblDaily[Discharges],tblDaily[EntryDate],DATE(2026,2,22),tblDaily[WardCode],"BH")=0,"",SUMIFS(tblDaily[Discharges],tblDaily[EntryDate],DATE(2026,2,22),tblDaily[WardCode],"BH")),"")</f>
        <v>2</v>
      </c>
      <c r="D67" s="29" t="str">
        <f>IFERROR(IF(SUMIFS(tblDaily[Deaths],tblDaily[EntryDate],DATE(2026,2,22),tblDaily[WardCode],"BH")=0,"",SUMIFS(tblDaily[Deaths],tblDaily[EntryDate],DATE(2026,2,22),tblDaily[WardCode],"BH")),"")</f>
        <v/>
      </c>
      <c r="E67" s="29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29" t="str">
        <f>IFERROR(IF(SUMIFS(tblDaily[TransfersIn],tblDaily[EntryDate],DATE(2026,2,22),tblDaily[WardCode],"BH")=0,"",SUMIFS(tblDaily[TransfersIn],tblDaily[EntryDate],DATE(2026,2,22),tblDaily[WardCode],"BH")),"")</f>
        <v/>
      </c>
      <c r="G67" s="29">
        <f>IFERROR(IF(SUMIFS(tblDaily[TransfersOut],tblDaily[EntryDate],DATE(2026,2,22),tblDaily[WardCode],"BH")=0,"",SUMIFS(tblDaily[TransfersOut],tblDaily[EntryDate],DATE(2026,2,22),tblDaily[WardCode],"BH")),"")</f>
        <v>1</v>
      </c>
      <c r="H67" s="29">
        <f>IFERROR(IF(SUMIFS(tblDaily[Remaining],tblDaily[EntryDate],DATE(2026,2,22),tblDaily[WardCode],"BH")=0,"",SUMIFS(tblDaily[Remaining],tblDaily[EntryDate],DATE(2026,2,22),tblDaily[WardCode],"BH")),"")</f>
        <v>12</v>
      </c>
    </row>
    <row r="68" spans="1:8" x14ac:dyDescent="0.25">
      <c r="A68" s="29">
        <v>23</v>
      </c>
      <c r="B68" s="29">
        <f>IFERROR(IF(SUMIFS(tblDaily[Admissions],tblDaily[EntryDate],DATE(2026,2,23),tblDaily[WardCode],"BH")=0,"",SUMIFS(tblDaily[Admissions],tblDaily[EntryDate],DATE(2026,2,23),tblDaily[WardCode],"BH")),"")</f>
        <v>7</v>
      </c>
      <c r="C68" s="29">
        <f>IFERROR(IF(SUMIFS(tblDaily[Discharges],tblDaily[EntryDate],DATE(2026,2,23),tblDaily[WardCode],"BH")=0,"",SUMIFS(tblDaily[Discharges],tblDaily[EntryDate],DATE(2026,2,23),tblDaily[WardCode],"BH")),"")</f>
        <v>1</v>
      </c>
      <c r="D68" s="29" t="str">
        <f>IFERROR(IF(SUMIFS(tblDaily[Deaths],tblDaily[EntryDate],DATE(2026,2,23),tblDaily[WardCode],"BH")=0,"",SUMIFS(tblDaily[Deaths],tblDaily[EntryDate],DATE(2026,2,23),tblDaily[WardCode],"BH")),"")</f>
        <v/>
      </c>
      <c r="E68" s="29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29">
        <f>IFERROR(IF(SUMIFS(tblDaily[TransfersIn],tblDaily[EntryDate],DATE(2026,2,23),tblDaily[WardCode],"BH")=0,"",SUMIFS(tblDaily[TransfersIn],tblDaily[EntryDate],DATE(2026,2,23),tblDaily[WardCode],"BH")),"")</f>
        <v>1</v>
      </c>
      <c r="G68" s="29">
        <f>IFERROR(IF(SUMIFS(tblDaily[TransfersOut],tblDaily[EntryDate],DATE(2026,2,23),tblDaily[WardCode],"BH")=0,"",SUMIFS(tblDaily[TransfersOut],tblDaily[EntryDate],DATE(2026,2,23),tblDaily[WardCode],"BH")),"")</f>
        <v>2</v>
      </c>
      <c r="H68" s="29">
        <f>IFERROR(IF(SUMIFS(tblDaily[Remaining],tblDaily[EntryDate],DATE(2026,2,23),tblDaily[WardCode],"BH")=0,"",SUMIFS(tblDaily[Remaining],tblDaily[EntryDate],DATE(2026,2,23),tblDaily[WardCode],"BH")),"")</f>
        <v>17</v>
      </c>
    </row>
    <row r="69" spans="1:8" x14ac:dyDescent="0.25">
      <c r="A69" s="29">
        <v>24</v>
      </c>
      <c r="B69" s="29">
        <f>IFERROR(IF(SUMIFS(tblDaily[Admissions],tblDaily[EntryDate],DATE(2026,2,24),tblDaily[WardCode],"BH")=0,"",SUMIFS(tblDaily[Admissions],tblDaily[EntryDate],DATE(2026,2,24),tblDaily[WardCode],"BH")),"")</f>
        <v>4</v>
      </c>
      <c r="C69" s="29">
        <f>IFERROR(IF(SUMIFS(tblDaily[Discharges],tblDaily[EntryDate],DATE(2026,2,24),tblDaily[WardCode],"BH")=0,"",SUMIFS(tblDaily[Discharges],tblDaily[EntryDate],DATE(2026,2,24),tblDaily[WardCode],"BH")),"")</f>
        <v>3</v>
      </c>
      <c r="D69" s="29" t="str">
        <f>IFERROR(IF(SUMIFS(tblDaily[Deaths],tblDaily[EntryDate],DATE(2026,2,24),tblDaily[WardCode],"BH")=0,"",SUMIFS(tblDaily[Deaths],tblDaily[EntryDate],DATE(2026,2,24),tblDaily[WardCode],"BH")),"")</f>
        <v/>
      </c>
      <c r="E69" s="29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29">
        <f>IFERROR(IF(SUMIFS(tblDaily[TransfersIn],tblDaily[EntryDate],DATE(2026,2,24),tblDaily[WardCode],"BH")=0,"",SUMIFS(tblDaily[TransfersIn],tblDaily[EntryDate],DATE(2026,2,24),tblDaily[WardCode],"BH")),"")</f>
        <v>1</v>
      </c>
      <c r="G69" s="29">
        <f>IFERROR(IF(SUMIFS(tblDaily[TransfersOut],tblDaily[EntryDate],DATE(2026,2,24),tblDaily[WardCode],"BH")=0,"",SUMIFS(tblDaily[TransfersOut],tblDaily[EntryDate],DATE(2026,2,24),tblDaily[WardCode],"BH")),"")</f>
        <v>1</v>
      </c>
      <c r="H69" s="29">
        <f>IFERROR(IF(SUMIFS(tblDaily[Remaining],tblDaily[EntryDate],DATE(2026,2,24),tblDaily[WardCode],"BH")=0,"",SUMIFS(tblDaily[Remaining],tblDaily[EntryDate],DATE(2026,2,24),tblDaily[WardCode],"BH")),"")</f>
        <v>18</v>
      </c>
    </row>
    <row r="70" spans="1:8" x14ac:dyDescent="0.25">
      <c r="A70" s="29">
        <v>25</v>
      </c>
      <c r="B70" s="29">
        <f>IFERROR(IF(SUMIFS(tblDaily[Admissions],tblDaily[EntryDate],DATE(2026,2,25),tblDaily[WardCode],"BH")=0,"",SUMIFS(tblDaily[Admissions],tblDaily[EntryDate],DATE(2026,2,25),tblDaily[WardCode],"BH")),"")</f>
        <v>10</v>
      </c>
      <c r="C70" s="29">
        <f>IFERROR(IF(SUMIFS(tblDaily[Discharges],tblDaily[EntryDate],DATE(2026,2,25),tblDaily[WardCode],"BH")=0,"",SUMIFS(tblDaily[Discharges],tblDaily[EntryDate],DATE(2026,2,25),tblDaily[WardCode],"BH")),"")</f>
        <v>3</v>
      </c>
      <c r="D70" s="29" t="str">
        <f>IFERROR(IF(SUMIFS(tblDaily[Deaths],tblDaily[EntryDate],DATE(2026,2,25),tblDaily[WardCode],"BH")=0,"",SUMIFS(tblDaily[Deaths],tblDaily[EntryDate],DATE(2026,2,25),tblDaily[WardCode],"BH")),"")</f>
        <v/>
      </c>
      <c r="E70" s="29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29">
        <f>IFERROR(IF(SUMIFS(tblDaily[TransfersIn],tblDaily[EntryDate],DATE(2026,2,25),tblDaily[WardCode],"BH")=0,"",SUMIFS(tblDaily[TransfersIn],tblDaily[EntryDate],DATE(2026,2,25),tblDaily[WardCode],"BH")),"")</f>
        <v>1</v>
      </c>
      <c r="G70" s="29">
        <f>IFERROR(IF(SUMIFS(tblDaily[TransfersOut],tblDaily[EntryDate],DATE(2026,2,25),tblDaily[WardCode],"BH")=0,"",SUMIFS(tblDaily[TransfersOut],tblDaily[EntryDate],DATE(2026,2,25),tblDaily[WardCode],"BH")),"")</f>
        <v>1</v>
      </c>
      <c r="H70" s="29">
        <f>IFERROR(IF(SUMIFS(tblDaily[Remaining],tblDaily[EntryDate],DATE(2026,2,25),tblDaily[WardCode],"BH")=0,"",SUMIFS(tblDaily[Remaining],tblDaily[EntryDate],DATE(2026,2,25),tblDaily[WardCode],"BH")),"")</f>
        <v>25</v>
      </c>
    </row>
    <row r="71" spans="1:8" x14ac:dyDescent="0.25">
      <c r="A71" s="29">
        <v>26</v>
      </c>
      <c r="B71" s="29">
        <f>IFERROR(IF(SUMIFS(tblDaily[Admissions],tblDaily[EntryDate],DATE(2026,2,26),tblDaily[WardCode],"BH")=0,"",SUMIFS(tblDaily[Admissions],tblDaily[EntryDate],DATE(2026,2,26),tblDaily[WardCode],"BH")),"")</f>
        <v>3</v>
      </c>
      <c r="C71" s="29">
        <f>IFERROR(IF(SUMIFS(tblDaily[Discharges],tblDaily[EntryDate],DATE(2026,2,26),tblDaily[WardCode],"BH")=0,"",SUMIFS(tblDaily[Discharges],tblDaily[EntryDate],DATE(2026,2,26),tblDaily[WardCode],"BH")),"")</f>
        <v>3</v>
      </c>
      <c r="D71" s="29" t="str">
        <f>IFERROR(IF(SUMIFS(tblDaily[Deaths],tblDaily[EntryDate],DATE(2026,2,26),tblDaily[WardCode],"BH")=0,"",SUMIFS(tblDaily[Deaths],tblDaily[EntryDate],DATE(2026,2,26),tblDaily[WardCode],"BH")),"")</f>
        <v/>
      </c>
      <c r="E71" s="29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29" t="str">
        <f>IFERROR(IF(SUMIFS(tblDaily[TransfersIn],tblDaily[EntryDate],DATE(2026,2,26),tblDaily[WardCode],"BH")=0,"",SUMIFS(tblDaily[TransfersIn],tblDaily[EntryDate],DATE(2026,2,26),tblDaily[WardCode],"BH")),"")</f>
        <v/>
      </c>
      <c r="G71" s="29">
        <f>IFERROR(IF(SUMIFS(tblDaily[TransfersOut],tblDaily[EntryDate],DATE(2026,2,26),tblDaily[WardCode],"BH")=0,"",SUMIFS(tblDaily[TransfersOut],tblDaily[EntryDate],DATE(2026,2,26),tblDaily[WardCode],"BH")),"")</f>
        <v>3</v>
      </c>
      <c r="H71" s="29">
        <f>IFERROR(IF(SUMIFS(tblDaily[Remaining],tblDaily[EntryDate],DATE(2026,2,26),tblDaily[WardCode],"BH")=0,"",SUMIFS(tblDaily[Remaining],tblDaily[EntryDate],DATE(2026,2,26),tblDaily[WardCode],"BH")),"")</f>
        <v>22</v>
      </c>
    </row>
    <row r="72" spans="1:8" x14ac:dyDescent="0.25">
      <c r="A72" s="29">
        <v>27</v>
      </c>
      <c r="B72" s="29">
        <f>IFERROR(IF(SUMIFS(tblDaily[Admissions],tblDaily[EntryDate],DATE(2026,2,27),tblDaily[WardCode],"BH")=0,"",SUMIFS(tblDaily[Admissions],tblDaily[EntryDate],DATE(2026,2,27),tblDaily[WardCode],"BH")),"")</f>
        <v>1</v>
      </c>
      <c r="C72" s="29">
        <f>IFERROR(IF(SUMIFS(tblDaily[Discharges],tblDaily[EntryDate],DATE(2026,2,27),tblDaily[WardCode],"BH")=0,"",SUMIFS(tblDaily[Discharges],tblDaily[EntryDate],DATE(2026,2,27),tblDaily[WardCode],"BH")),"")</f>
        <v>2</v>
      </c>
      <c r="D72" s="29" t="str">
        <f>IFERROR(IF(SUMIFS(tblDaily[Deaths],tblDaily[EntryDate],DATE(2026,2,27),tblDaily[WardCode],"BH")=0,"",SUMIFS(tblDaily[Deaths],tblDaily[EntryDate],DATE(2026,2,27),tblDaily[WardCode],"BH")),"")</f>
        <v/>
      </c>
      <c r="E72" s="29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29" t="str">
        <f>IFERROR(IF(SUMIFS(tblDaily[TransfersIn],tblDaily[EntryDate],DATE(2026,2,27),tblDaily[WardCode],"BH")=0,"",SUMIFS(tblDaily[TransfersIn],tblDaily[EntryDate],DATE(2026,2,27),tblDaily[WardCode],"BH")),"")</f>
        <v/>
      </c>
      <c r="G72" s="29" t="str">
        <f>IFERROR(IF(SUMIFS(tblDaily[TransfersOut],tblDaily[EntryDate],DATE(2026,2,27),tblDaily[WardCode],"BH")=0,"",SUMIFS(tblDaily[TransfersOut],tblDaily[EntryDate],DATE(2026,2,27),tblDaily[WardCode],"BH")),"")</f>
        <v/>
      </c>
      <c r="H72" s="29">
        <f>IFERROR(IF(SUMIFS(tblDaily[Remaining],tblDaily[EntryDate],DATE(2026,2,27),tblDaily[WardCode],"BH")=0,"",SUMIFS(tblDaily[Remaining],tblDaily[EntryDate],DATE(2026,2,27),tblDaily[WardCode],"BH")),"")</f>
        <v>21</v>
      </c>
    </row>
    <row r="73" spans="1:8" x14ac:dyDescent="0.25">
      <c r="A73" s="29">
        <v>28</v>
      </c>
      <c r="B73" s="29">
        <f>IFERROR(IF(SUMIFS(tblDaily[Admissions],tblDaily[EntryDate],DATE(2026,2,28),tblDaily[WardCode],"BH")=0,"",SUMIFS(tblDaily[Admissions],tblDaily[EntryDate],DATE(2026,2,28),tblDaily[WardCode],"BH")),"")</f>
        <v>1</v>
      </c>
      <c r="C73" s="29">
        <f>IFERROR(IF(SUMIFS(tblDaily[Discharges],tblDaily[EntryDate],DATE(2026,2,28),tblDaily[WardCode],"BH")=0,"",SUMIFS(tblDaily[Discharges],tblDaily[EntryDate],DATE(2026,2,28),tblDaily[WardCode],"BH")),"")</f>
        <v>6</v>
      </c>
      <c r="D73" s="29" t="str">
        <f>IFERROR(IF(SUMIFS(tblDaily[Deaths],tblDaily[EntryDate],DATE(2026,2,28),tblDaily[WardCode],"BH")=0,"",SUMIFS(tblDaily[Deaths],tblDaily[EntryDate],DATE(2026,2,28),tblDaily[WardCode],"BH")),"")</f>
        <v/>
      </c>
      <c r="E73" s="29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29">
        <f>IFERROR(IF(SUMIFS(tblDaily[TransfersIn],tblDaily[EntryDate],DATE(2026,2,28),tblDaily[WardCode],"BH")=0,"",SUMIFS(tblDaily[TransfersIn],tblDaily[EntryDate],DATE(2026,2,28),tblDaily[WardCode],"BH")),"")</f>
        <v>2</v>
      </c>
      <c r="G73" s="29">
        <f>IFERROR(IF(SUMIFS(tblDaily[TransfersOut],tblDaily[EntryDate],DATE(2026,2,28),tblDaily[WardCode],"BH")=0,"",SUMIFS(tblDaily[TransfersOut],tblDaily[EntryDate],DATE(2026,2,28),tblDaily[WardCode],"BH")),"")</f>
        <v>2</v>
      </c>
      <c r="H73" s="29">
        <f>IFERROR(IF(SUMIFS(tblDaily[Remaining],tblDaily[EntryDate],DATE(2026,2,28),tblDaily[WardCode],"BH")=0,"",SUMIFS(tblDaily[Remaining],tblDaily[EntryDate],DATE(2026,2,28),tblDaily[WardCode],"BH")),"")</f>
        <v>16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SUMIFS(tblDaily[Admissions],tblDaily[Month],2,tblDaily[WardCode],"BH") - SUMIFS(tblDaily[DeathsUnder24Hrs],tblDaily[Month],2,tblDaily[WardCode],"BH")</f>
        <v>82</v>
      </c>
      <c r="C77" s="30">
        <f>SUMIFS(tblDaily[Discharges],tblDaily[Month],2,tblDaily[WardCode],"BH")</f>
        <v>87</v>
      </c>
      <c r="D77" s="30">
        <f>SUMIFS(tblDaily[Deaths],tblDaily[Month],2,tblDaily[WardCode],"BH")</f>
        <v>0</v>
      </c>
      <c r="E77" s="30">
        <f>SUMIFS(tblDaily[DeathsUnder24Hrs],tblDaily[Month],2,tblDaily[WardCode],"BH")</f>
        <v>0</v>
      </c>
      <c r="F77" s="30">
        <f>SUMIFS(tblDaily[TransfersIn],tblDaily[Month],2,tblDaily[WardCode],"BH")</f>
        <v>45</v>
      </c>
      <c r="G77" s="30">
        <f>SUMIFS(tblDaily[TransfersOut],tblDaily[Month],2,tblDaily[WardCode],"BH")</f>
        <v>31</v>
      </c>
      <c r="H77" s="30">
        <f>SUMIFS(tblDaily[Remaining],tblDaily[Month],2,tblDaily[WardCode],"BH")</f>
        <v>465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120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IFERROR(SUMIFS(tblDaily[Remaining],tblDaily[EntryDate],DATE(2026,2,28),tblDaily[WardCode],"BH"),0)</f>
        <v>16</v>
      </c>
    </row>
    <row r="83" spans="1:8" x14ac:dyDescent="0.25">
      <c r="A83" s="24" t="s">
        <v>109</v>
      </c>
      <c r="H83" s="27">
        <f>IFERROR(INDEX(tblWardConfig[BedComplement],MATCH("BH",tblWardConfig[WardCode],0)),0)</f>
        <v>22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>
        <f>IFERROR(IF(SUMIFS(tblDaily[Admissions],tblDaily[EntryDate],DATE(2026,3,1),tblDaily[WardCode],"BH")=0,"",SUMIFS(tblDaily[Admissions],tblDaily[EntryDate],DATE(2026,3,1),tblDaily[WardCode],"BH")),"")</f>
        <v>2</v>
      </c>
      <c r="C85" s="29" t="str">
        <f>IFERROR(IF(SUMIFS(tblDaily[Discharges],tblDaily[EntryDate],DATE(2026,3,1),tblDaily[WardCode],"BH")=0,"",SUMIFS(tblDaily[Discharges],tblDaily[EntryDate],DATE(2026,3,1),tblDaily[WardCode],"BH")),"")</f>
        <v/>
      </c>
      <c r="D85" s="29" t="str">
        <f>IFERROR(IF(SUMIFS(tblDaily[Deaths],tblDaily[EntryDate],DATE(2026,3,1),tblDaily[WardCode],"BH")=0,"",SUMIFS(tblDaily[Deaths],tblDaily[EntryDate],DATE(2026,3,1),tblDaily[WardCode],"BH")),"")</f>
        <v/>
      </c>
      <c r="E85" s="29" t="str">
        <f>IFERROR(IF(SUMIFS(tblDaily[DeathsUnder24Hrs],tblDaily[EntryDate],DATE(2026,3,1),tblDaily[WardCode],"BH")=0,"",SUMIFS(tblDaily[DeathsUnder24Hrs],tblDaily[EntryDate],DATE(2026,3,1),tblDaily[WardCode],"BH")),"")</f>
        <v/>
      </c>
      <c r="F85" s="29">
        <f>IFERROR(IF(SUMIFS(tblDaily[TransfersIn],tblDaily[EntryDate],DATE(2026,3,1),tblDaily[WardCode],"BH")=0,"",SUMIFS(tblDaily[TransfersIn],tblDaily[EntryDate],DATE(2026,3,1),tblDaily[WardCode],"BH")),"")</f>
        <v>3</v>
      </c>
      <c r="G85" s="29" t="str">
        <f>IFERROR(IF(SUMIFS(tblDaily[TransfersOut],tblDaily[EntryDate],DATE(2026,3,1),tblDaily[WardCode],"BH")=0,"",SUMIFS(tblDaily[TransfersOut],tblDaily[EntryDate],DATE(2026,3,1),tblDaily[WardCode],"BH")),"")</f>
        <v/>
      </c>
      <c r="H85" s="29">
        <f>IFERROR(IF(SUMIFS(tblDaily[Remaining],tblDaily[EntryDate],DATE(2026,3,1),tblDaily[WardCode],"BH")=0,"",SUMIFS(tblDaily[Remaining],tblDaily[EntryDate],DATE(2026,3,1),tblDaily[WardCode],"BH")),"")</f>
        <v>21</v>
      </c>
    </row>
    <row r="86" spans="1:8" x14ac:dyDescent="0.25">
      <c r="A86" s="29">
        <v>2</v>
      </c>
      <c r="B86" s="29">
        <f>IFERROR(IF(SUMIFS(tblDaily[Admissions],tblDaily[EntryDate],DATE(2026,3,2),tblDaily[WardCode],"BH")=0,"",SUMIFS(tblDaily[Admissions],tblDaily[EntryDate],DATE(2026,3,2),tblDaily[WardCode],"BH")),"")</f>
        <v>4</v>
      </c>
      <c r="C86" s="29">
        <f>IFERROR(IF(SUMIFS(tblDaily[Discharges],tblDaily[EntryDate],DATE(2026,3,2),tblDaily[WardCode],"BH")=0,"",SUMIFS(tblDaily[Discharges],tblDaily[EntryDate],DATE(2026,3,2),tblDaily[WardCode],"BH")),"")</f>
        <v>2</v>
      </c>
      <c r="D86" s="29" t="str">
        <f>IFERROR(IF(SUMIFS(tblDaily[Deaths],tblDaily[EntryDate],DATE(2026,3,2),tblDaily[WardCode],"BH")=0,"",SUMIFS(tblDaily[Deaths],tblDaily[EntryDate],DATE(2026,3,2),tblDaily[WardCode],"BH")),"")</f>
        <v/>
      </c>
      <c r="E86" s="29" t="str">
        <f>IFERROR(IF(SUMIFS(tblDaily[DeathsUnder24Hrs],tblDaily[EntryDate],DATE(2026,3,2),tblDaily[WardCode],"BH")=0,"",SUMIFS(tblDaily[DeathsUnder24Hrs],tblDaily[EntryDate],DATE(2026,3,2),tblDaily[WardCode],"BH")),"")</f>
        <v/>
      </c>
      <c r="F86" s="29">
        <f>IFERROR(IF(SUMIFS(tblDaily[TransfersIn],tblDaily[EntryDate],DATE(2026,3,2),tblDaily[WardCode],"BH")=0,"",SUMIFS(tblDaily[TransfersIn],tblDaily[EntryDate],DATE(2026,3,2),tblDaily[WardCode],"BH")),"")</f>
        <v>1</v>
      </c>
      <c r="G86" s="29">
        <f>IFERROR(IF(SUMIFS(tblDaily[TransfersOut],tblDaily[EntryDate],DATE(2026,3,2),tblDaily[WardCode],"BH")=0,"",SUMIFS(tblDaily[TransfersOut],tblDaily[EntryDate],DATE(2026,3,2),tblDaily[WardCode],"BH")),"")</f>
        <v>3</v>
      </c>
      <c r="H86" s="29">
        <f>IFERROR(IF(SUMIFS(tblDaily[Remaining],tblDaily[EntryDate],DATE(2026,3,2),tblDaily[WardCode],"BH")=0,"",SUMIFS(tblDaily[Remaining],tblDaily[EntryDate],DATE(2026,3,2),tblDaily[WardCode],"BH")),"")</f>
        <v>21</v>
      </c>
    </row>
    <row r="87" spans="1:8" x14ac:dyDescent="0.25">
      <c r="A87" s="29">
        <v>3</v>
      </c>
      <c r="B87" s="29">
        <f>IFERROR(IF(SUMIFS(tblDaily[Admissions],tblDaily[EntryDate],DATE(2026,3,3),tblDaily[WardCode],"BH")=0,"",SUMIFS(tblDaily[Admissions],tblDaily[EntryDate],DATE(2026,3,3),tblDaily[WardCode],"BH")),"")</f>
        <v>3</v>
      </c>
      <c r="C87" s="29">
        <f>IFERROR(IF(SUMIFS(tblDaily[Discharges],tblDaily[EntryDate],DATE(2026,3,3),tblDaily[WardCode],"BH")=0,"",SUMIFS(tblDaily[Discharges],tblDaily[EntryDate],DATE(2026,3,3),tblDaily[WardCode],"BH")),"")</f>
        <v>1</v>
      </c>
      <c r="D87" s="29" t="str">
        <f>IFERROR(IF(SUMIFS(tblDaily[Deaths],tblDaily[EntryDate],DATE(2026,3,3),tblDaily[WardCode],"BH")=0,"",SUMIFS(tblDaily[Deaths],tblDaily[EntryDate],DATE(2026,3,3),tblDaily[WardCode],"BH")),"")</f>
        <v/>
      </c>
      <c r="E87" s="29" t="str">
        <f>IFERROR(IF(SUMIFS(tblDaily[DeathsUnder24Hrs],tblDaily[EntryDate],DATE(2026,3,3),tblDaily[WardCode],"BH")=0,"",SUMIFS(tblDaily[DeathsUnder24Hrs],tblDaily[EntryDate],DATE(2026,3,3),tblDaily[WardCode],"BH")),"")</f>
        <v/>
      </c>
      <c r="F87" s="29" t="str">
        <f>IFERROR(IF(SUMIFS(tblDaily[TransfersIn],tblDaily[EntryDate],DATE(2026,3,3),tblDaily[WardCode],"BH")=0,"",SUMIFS(tblDaily[TransfersIn],tblDaily[EntryDate],DATE(2026,3,3),tblDaily[WardCode],"BH")),"")</f>
        <v/>
      </c>
      <c r="G87" s="29">
        <f>IFERROR(IF(SUMIFS(tblDaily[TransfersOut],tblDaily[EntryDate],DATE(2026,3,3),tblDaily[WardCode],"BH")=0,"",SUMIFS(tblDaily[TransfersOut],tblDaily[EntryDate],DATE(2026,3,3),tblDaily[WardCode],"BH")),"")</f>
        <v>1</v>
      </c>
      <c r="H87" s="29">
        <f>IFERROR(IF(SUMIFS(tblDaily[Remaining],tblDaily[EntryDate],DATE(2026,3,3),tblDaily[WardCode],"BH")=0,"",SUMIFS(tblDaily[Remaining],tblDaily[EntryDate],DATE(2026,3,3),tblDaily[WardCode],"BH")),"")</f>
        <v>22</v>
      </c>
    </row>
    <row r="88" spans="1:8" x14ac:dyDescent="0.25">
      <c r="A88" s="29">
        <v>4</v>
      </c>
      <c r="B88" s="29">
        <f>IFERROR(IF(SUMIFS(tblDaily[Admissions],tblDaily[EntryDate],DATE(2026,3,4),tblDaily[WardCode],"BH")=0,"",SUMIFS(tblDaily[Admissions],tblDaily[EntryDate],DATE(2026,3,4),tblDaily[WardCode],"BH")),"")</f>
        <v>7</v>
      </c>
      <c r="C88" s="29">
        <f>IFERROR(IF(SUMIFS(tblDaily[Discharges],tblDaily[EntryDate],DATE(2026,3,4),tblDaily[WardCode],"BH")=0,"",SUMIFS(tblDaily[Discharges],tblDaily[EntryDate],DATE(2026,3,4),tblDaily[WardCode],"BH")),"")</f>
        <v>6</v>
      </c>
      <c r="D88" s="29" t="str">
        <f>IFERROR(IF(SUMIFS(tblDaily[Deaths],tblDaily[EntryDate],DATE(2026,3,4),tblDaily[WardCode],"BH")=0,"",SUMIFS(tblDaily[Deaths],tblDaily[EntryDate],DATE(2026,3,4),tblDaily[WardCode],"BH")),"")</f>
        <v/>
      </c>
      <c r="E88" s="29" t="str">
        <f>IFERROR(IF(SUMIFS(tblDaily[DeathsUnder24Hrs],tblDaily[EntryDate],DATE(2026,3,4),tblDaily[WardCode],"BH")=0,"",SUMIFS(tblDaily[DeathsUnder24Hrs],tblDaily[EntryDate],DATE(2026,3,4),tblDaily[WardCode],"BH")),"")</f>
        <v/>
      </c>
      <c r="F88" s="29">
        <f>IFERROR(IF(SUMIFS(tblDaily[TransfersIn],tblDaily[EntryDate],DATE(2026,3,4),tblDaily[WardCode],"BH")=0,"",SUMIFS(tblDaily[TransfersIn],tblDaily[EntryDate],DATE(2026,3,4),tblDaily[WardCode],"BH")),"")</f>
        <v>1</v>
      </c>
      <c r="G88" s="29">
        <f>IFERROR(IF(SUMIFS(tblDaily[TransfersOut],tblDaily[EntryDate],DATE(2026,3,4),tblDaily[WardCode],"BH")=0,"",SUMIFS(tblDaily[TransfersOut],tblDaily[EntryDate],DATE(2026,3,4),tblDaily[WardCode],"BH")),"")</f>
        <v>3</v>
      </c>
      <c r="H88" s="29">
        <f>IFERROR(IF(SUMIFS(tblDaily[Remaining],tblDaily[EntryDate],DATE(2026,3,4),tblDaily[WardCode],"BH")=0,"",SUMIFS(tblDaily[Remaining],tblDaily[EntryDate],DATE(2026,3,4),tblDaily[WardCode],"BH")),"")</f>
        <v>21</v>
      </c>
    </row>
    <row r="89" spans="1:8" x14ac:dyDescent="0.25">
      <c r="A89" s="29">
        <v>5</v>
      </c>
      <c r="B89" s="29">
        <f>IFERROR(IF(SUMIFS(tblDaily[Admissions],tblDaily[EntryDate],DATE(2026,3,5),tblDaily[WardCode],"BH")=0,"",SUMIFS(tblDaily[Admissions],tblDaily[EntryDate],DATE(2026,3,5),tblDaily[WardCode],"BH")),"")</f>
        <v>3</v>
      </c>
      <c r="C89" s="29">
        <f>IFERROR(IF(SUMIFS(tblDaily[Discharges],tblDaily[EntryDate],DATE(2026,3,5),tblDaily[WardCode],"BH")=0,"",SUMIFS(tblDaily[Discharges],tblDaily[EntryDate],DATE(2026,3,5),tblDaily[WardCode],"BH")),"")</f>
        <v>7</v>
      </c>
      <c r="D89" s="29" t="str">
        <f>IFERROR(IF(SUMIFS(tblDaily[Deaths],tblDaily[EntryDate],DATE(2026,3,5),tblDaily[WardCode],"BH")=0,"",SUMIFS(tblDaily[Deaths],tblDaily[EntryDate],DATE(2026,3,5),tblDaily[WardCode],"BH")),"")</f>
        <v/>
      </c>
      <c r="E89" s="29" t="str">
        <f>IFERROR(IF(SUMIFS(tblDaily[DeathsUnder24Hrs],tblDaily[EntryDate],DATE(2026,3,5),tblDaily[WardCode],"BH")=0,"",SUMIFS(tblDaily[DeathsUnder24Hrs],tblDaily[EntryDate],DATE(2026,3,5),tblDaily[WardCode],"BH")),"")</f>
        <v/>
      </c>
      <c r="F89" s="29">
        <f>IFERROR(IF(SUMIFS(tblDaily[TransfersIn],tblDaily[EntryDate],DATE(2026,3,5),tblDaily[WardCode],"BH")=0,"",SUMIFS(tblDaily[TransfersIn],tblDaily[EntryDate],DATE(2026,3,5),tblDaily[WardCode],"BH")),"")</f>
        <v>2</v>
      </c>
      <c r="G89" s="29">
        <f>IFERROR(IF(SUMIFS(tblDaily[TransfersOut],tblDaily[EntryDate],DATE(2026,3,5),tblDaily[WardCode],"BH")=0,"",SUMIFS(tblDaily[TransfersOut],tblDaily[EntryDate],DATE(2026,3,5),tblDaily[WardCode],"BH")),"")</f>
        <v>1</v>
      </c>
      <c r="H89" s="29">
        <f>IFERROR(IF(SUMIFS(tblDaily[Remaining],tblDaily[EntryDate],DATE(2026,3,5),tblDaily[WardCode],"BH")=0,"",SUMIFS(tblDaily[Remaining],tblDaily[EntryDate],DATE(2026,3,5),tblDaily[WardCode],"BH")),"")</f>
        <v>18</v>
      </c>
    </row>
    <row r="90" spans="1:8" x14ac:dyDescent="0.25">
      <c r="A90" s="29">
        <v>6</v>
      </c>
      <c r="B90" s="29">
        <f>IFERROR(IF(SUMIFS(tblDaily[Admissions],tblDaily[EntryDate],DATE(2026,3,6),tblDaily[WardCode],"BH")=0,"",SUMIFS(tblDaily[Admissions],tblDaily[EntryDate],DATE(2026,3,6),tblDaily[WardCode],"BH")),"")</f>
        <v>1</v>
      </c>
      <c r="C90" s="29">
        <f>IFERROR(IF(SUMIFS(tblDaily[Discharges],tblDaily[EntryDate],DATE(2026,3,6),tblDaily[WardCode],"BH")=0,"",SUMIFS(tblDaily[Discharges],tblDaily[EntryDate],DATE(2026,3,6),tblDaily[WardCode],"BH")),"")</f>
        <v>2</v>
      </c>
      <c r="D90" s="29" t="str">
        <f>IFERROR(IF(SUMIFS(tblDaily[Deaths],tblDaily[EntryDate],DATE(2026,3,6),tblDaily[WardCode],"BH")=0,"",SUMIFS(tblDaily[Deaths],tblDaily[EntryDate],DATE(2026,3,6),tblDaily[WardCode],"BH")),"")</f>
        <v/>
      </c>
      <c r="E90" s="29" t="str">
        <f>IFERROR(IF(SUMIFS(tblDaily[DeathsUnder24Hrs],tblDaily[EntryDate],DATE(2026,3,6),tblDaily[WardCode],"BH")=0,"",SUMIFS(tblDaily[DeathsUnder24Hrs],tblDaily[EntryDate],DATE(2026,3,6),tblDaily[WardCode],"BH")),"")</f>
        <v/>
      </c>
      <c r="F90" s="29">
        <f>IFERROR(IF(SUMIFS(tblDaily[TransfersIn],tblDaily[EntryDate],DATE(2026,3,6),tblDaily[WardCode],"BH")=0,"",SUMIFS(tblDaily[TransfersIn],tblDaily[EntryDate],DATE(2026,3,6),tblDaily[WardCode],"BH")),"")</f>
        <v>3</v>
      </c>
      <c r="G90" s="29">
        <f>IFERROR(IF(SUMIFS(tblDaily[TransfersOut],tblDaily[EntryDate],DATE(2026,3,6),tblDaily[WardCode],"BH")=0,"",SUMIFS(tblDaily[TransfersOut],tblDaily[EntryDate],DATE(2026,3,6),tblDaily[WardCode],"BH")),"")</f>
        <v>2</v>
      </c>
      <c r="H90" s="29">
        <f>IFERROR(IF(SUMIFS(tblDaily[Remaining],tblDaily[EntryDate],DATE(2026,3,6),tblDaily[WardCode],"BH")=0,"",SUMIFS(tblDaily[Remaining],tblDaily[EntryDate],DATE(2026,3,6),tblDaily[WardCode],"BH")),"")</f>
        <v>18</v>
      </c>
    </row>
    <row r="91" spans="1:8" x14ac:dyDescent="0.25">
      <c r="A91" s="29">
        <v>7</v>
      </c>
      <c r="B91" s="29">
        <f>IFERROR(IF(SUMIFS(tblDaily[Admissions],tblDaily[EntryDate],DATE(2026,3,7),tblDaily[WardCode],"BH")=0,"",SUMIFS(tblDaily[Admissions],tblDaily[EntryDate],DATE(2026,3,7),tblDaily[WardCode],"BH")),"")</f>
        <v>4</v>
      </c>
      <c r="C91" s="29" t="str">
        <f>IFERROR(IF(SUMIFS(tblDaily[Discharges],tblDaily[EntryDate],DATE(2026,3,7),tblDaily[WardCode],"BH")=0,"",SUMIFS(tblDaily[Discharges],tblDaily[EntryDate],DATE(2026,3,7),tblDaily[WardCode],"BH")),"")</f>
        <v/>
      </c>
      <c r="D91" s="29" t="str">
        <f>IFERROR(IF(SUMIFS(tblDaily[Deaths],tblDaily[EntryDate],DATE(2026,3,7),tblDaily[WardCode],"BH")=0,"",SUMIFS(tblDaily[Deaths],tblDaily[EntryDate],DATE(2026,3,7),tblDaily[WardCode],"BH")),"")</f>
        <v/>
      </c>
      <c r="E91" s="29" t="str">
        <f>IFERROR(IF(SUMIFS(tblDaily[DeathsUnder24Hrs],tblDaily[EntryDate],DATE(2026,3,7),tblDaily[WardCode],"BH")=0,"",SUMIFS(tblDaily[DeathsUnder24Hrs],tblDaily[EntryDate],DATE(2026,3,7),tblDaily[WardCode],"BH")),"")</f>
        <v/>
      </c>
      <c r="F91" s="29">
        <f>IFERROR(IF(SUMIFS(tblDaily[TransfersIn],tblDaily[EntryDate],DATE(2026,3,7),tblDaily[WardCode],"BH")=0,"",SUMIFS(tblDaily[TransfersIn],tblDaily[EntryDate],DATE(2026,3,7),tblDaily[WardCode],"BH")),"")</f>
        <v>2</v>
      </c>
      <c r="G91" s="29">
        <f>IFERROR(IF(SUMIFS(tblDaily[TransfersOut],tblDaily[EntryDate],DATE(2026,3,7),tblDaily[WardCode],"BH")=0,"",SUMIFS(tblDaily[TransfersOut],tblDaily[EntryDate],DATE(2026,3,7),tblDaily[WardCode],"BH")),"")</f>
        <v>2</v>
      </c>
      <c r="H91" s="29">
        <f>IFERROR(IF(SUMIFS(tblDaily[Remaining],tblDaily[EntryDate],DATE(2026,3,7),tblDaily[WardCode],"BH")=0,"",SUMIFS(tblDaily[Remaining],tblDaily[EntryDate],DATE(2026,3,7),tblDaily[WardCode],"BH")),"")</f>
        <v>22</v>
      </c>
    </row>
    <row r="92" spans="1:8" x14ac:dyDescent="0.25">
      <c r="A92" s="29">
        <v>8</v>
      </c>
      <c r="B92" s="29">
        <f>IFERROR(IF(SUMIFS(tblDaily[Admissions],tblDaily[EntryDate],DATE(2026,3,8),tblDaily[WardCode],"BH")=0,"",SUMIFS(tblDaily[Admissions],tblDaily[EntryDate],DATE(2026,3,8),tblDaily[WardCode],"BH")),"")</f>
        <v>1</v>
      </c>
      <c r="C92" s="29">
        <f>IFERROR(IF(SUMIFS(tblDaily[Discharges],tblDaily[EntryDate],DATE(2026,3,8),tblDaily[WardCode],"BH")=0,"",SUMIFS(tblDaily[Discharges],tblDaily[EntryDate],DATE(2026,3,8),tblDaily[WardCode],"BH")),"")</f>
        <v>4</v>
      </c>
      <c r="D92" s="29" t="str">
        <f>IFERROR(IF(SUMIFS(tblDaily[Deaths],tblDaily[EntryDate],DATE(2026,3,8),tblDaily[WardCode],"BH")=0,"",SUMIFS(tblDaily[Deaths],tblDaily[EntryDate],DATE(2026,3,8),tblDaily[WardCode],"BH")),"")</f>
        <v/>
      </c>
      <c r="E92" s="29" t="str">
        <f>IFERROR(IF(SUMIFS(tblDaily[DeathsUnder24Hrs],tblDaily[EntryDate],DATE(2026,3,8),tblDaily[WardCode],"BH")=0,"",SUMIFS(tblDaily[DeathsUnder24Hrs],tblDaily[EntryDate],DATE(2026,3,8),tblDaily[WardCode],"BH")),"")</f>
        <v/>
      </c>
      <c r="F92" s="29">
        <f>IFERROR(IF(SUMIFS(tblDaily[TransfersIn],tblDaily[EntryDate],DATE(2026,3,8),tblDaily[WardCode],"BH")=0,"",SUMIFS(tblDaily[TransfersIn],tblDaily[EntryDate],DATE(2026,3,8),tblDaily[WardCode],"BH")),"")</f>
        <v>3</v>
      </c>
      <c r="G92" s="29">
        <f>IFERROR(IF(SUMIFS(tblDaily[TransfersOut],tblDaily[EntryDate],DATE(2026,3,8),tblDaily[WardCode],"BH")=0,"",SUMIFS(tblDaily[TransfersOut],tblDaily[EntryDate],DATE(2026,3,8),tblDaily[WardCode],"BH")),"")</f>
        <v>2</v>
      </c>
      <c r="H92" s="29">
        <f>IFERROR(IF(SUMIFS(tblDaily[Remaining],tblDaily[EntryDate],DATE(2026,3,8),tblDaily[WardCode],"BH")=0,"",SUMIFS(tblDaily[Remaining],tblDaily[EntryDate],DATE(2026,3,8),tblDaily[WardCode],"BH")),"")</f>
        <v>20</v>
      </c>
    </row>
    <row r="93" spans="1:8" x14ac:dyDescent="0.25">
      <c r="A93" s="29">
        <v>9</v>
      </c>
      <c r="B93" s="29">
        <f>IFERROR(IF(SUMIFS(tblDaily[Admissions],tblDaily[EntryDate],DATE(2026,3,9),tblDaily[WardCode],"BH")=0,"",SUMIFS(tblDaily[Admissions],tblDaily[EntryDate],DATE(2026,3,9),tblDaily[WardCode],"BH")),"")</f>
        <v>1</v>
      </c>
      <c r="C93" s="29">
        <f>IFERROR(IF(SUMIFS(tblDaily[Discharges],tblDaily[EntryDate],DATE(2026,3,9),tblDaily[WardCode],"BH")=0,"",SUMIFS(tblDaily[Discharges],tblDaily[EntryDate],DATE(2026,3,9),tblDaily[WardCode],"BH")),"")</f>
        <v>4</v>
      </c>
      <c r="D93" s="29" t="str">
        <f>IFERROR(IF(SUMIFS(tblDaily[Deaths],tblDaily[EntryDate],DATE(2026,3,9),tblDaily[WardCode],"BH")=0,"",SUMIFS(tblDaily[Deaths],tblDaily[EntryDate],DATE(2026,3,9),tblDaily[WardCode],"BH")),"")</f>
        <v/>
      </c>
      <c r="E93" s="29" t="str">
        <f>IFERROR(IF(SUMIFS(tblDaily[DeathsUnder24Hrs],tblDaily[EntryDate],DATE(2026,3,9),tblDaily[WardCode],"BH")=0,"",SUMIFS(tblDaily[DeathsUnder24Hrs],tblDaily[EntryDate],DATE(2026,3,9),tblDaily[WardCode],"BH")),"")</f>
        <v/>
      </c>
      <c r="F93" s="29">
        <f>IFERROR(IF(SUMIFS(tblDaily[TransfersIn],tblDaily[EntryDate],DATE(2026,3,9),tblDaily[WardCode],"BH")=0,"",SUMIFS(tblDaily[TransfersIn],tblDaily[EntryDate],DATE(2026,3,9),tblDaily[WardCode],"BH")),"")</f>
        <v>1</v>
      </c>
      <c r="G93" s="29" t="str">
        <f>IFERROR(IF(SUMIFS(tblDaily[TransfersOut],tblDaily[EntryDate],DATE(2026,3,9),tblDaily[WardCode],"BH")=0,"",SUMIFS(tblDaily[TransfersOut],tblDaily[EntryDate],DATE(2026,3,9),tblDaily[WardCode],"BH")),"")</f>
        <v/>
      </c>
      <c r="H93" s="29">
        <f>IFERROR(IF(SUMIFS(tblDaily[Remaining],tblDaily[EntryDate],DATE(2026,3,9),tblDaily[WardCode],"BH")=0,"",SUMIFS(tblDaily[Remaining],tblDaily[EntryDate],DATE(2026,3,9),tblDaily[WardCode],"BH")),"")</f>
        <v>18</v>
      </c>
    </row>
    <row r="94" spans="1:8" x14ac:dyDescent="0.25">
      <c r="A94" s="29">
        <v>10</v>
      </c>
      <c r="B94" s="29">
        <f>IFERROR(IF(SUMIFS(tblDaily[Admissions],tblDaily[EntryDate],DATE(2026,3,10),tblDaily[WardCode],"BH")=0,"",SUMIFS(tblDaily[Admissions],tblDaily[EntryDate],DATE(2026,3,10),tblDaily[WardCode],"BH")),"")</f>
        <v>2</v>
      </c>
      <c r="C94" s="29">
        <f>IFERROR(IF(SUMIFS(tblDaily[Discharges],tblDaily[EntryDate],DATE(2026,3,10),tblDaily[WardCode],"BH")=0,"",SUMIFS(tblDaily[Discharges],tblDaily[EntryDate],DATE(2026,3,10),tblDaily[WardCode],"BH")),"")</f>
        <v>2</v>
      </c>
      <c r="D94" s="29" t="str">
        <f>IFERROR(IF(SUMIFS(tblDaily[Deaths],tblDaily[EntryDate],DATE(2026,3,10),tblDaily[WardCode],"BH")=0,"",SUMIFS(tblDaily[Deaths],tblDaily[EntryDate],DATE(2026,3,10),tblDaily[WardCode],"BH")),"")</f>
        <v/>
      </c>
      <c r="E94" s="29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29">
        <f>IFERROR(IF(SUMIFS(tblDaily[TransfersIn],tblDaily[EntryDate],DATE(2026,3,10),tblDaily[WardCode],"BH")=0,"",SUMIFS(tblDaily[TransfersIn],tblDaily[EntryDate],DATE(2026,3,10),tblDaily[WardCode],"BH")),"")</f>
        <v>1</v>
      </c>
      <c r="G94" s="29">
        <f>IFERROR(IF(SUMIFS(tblDaily[TransfersOut],tblDaily[EntryDate],DATE(2026,3,10),tblDaily[WardCode],"BH")=0,"",SUMIFS(tblDaily[TransfersOut],tblDaily[EntryDate],DATE(2026,3,10),tblDaily[WardCode],"BH")),"")</f>
        <v>1</v>
      </c>
      <c r="H94" s="29">
        <f>IFERROR(IF(SUMIFS(tblDaily[Remaining],tblDaily[EntryDate],DATE(2026,3,10),tblDaily[WardCode],"BH")=0,"",SUMIFS(tblDaily[Remaining],tblDaily[EntryDate],DATE(2026,3,10),tblDaily[WardCode],"BH")),"")</f>
        <v>18</v>
      </c>
    </row>
    <row r="95" spans="1:8" x14ac:dyDescent="0.25">
      <c r="A95" s="29">
        <v>11</v>
      </c>
      <c r="B95" s="29">
        <f>IFERROR(IF(SUMIFS(tblDaily[Admissions],tblDaily[EntryDate],DATE(2026,3,11),tblDaily[WardCode],"BH")=0,"",SUMIFS(tblDaily[Admissions],tblDaily[EntryDate],DATE(2026,3,11),tblDaily[WardCode],"BH")),"")</f>
        <v>9</v>
      </c>
      <c r="C95" s="29">
        <f>IFERROR(IF(SUMIFS(tblDaily[Discharges],tblDaily[EntryDate],DATE(2026,3,11),tblDaily[WardCode],"BH")=0,"",SUMIFS(tblDaily[Discharges],tblDaily[EntryDate],DATE(2026,3,11),tblDaily[WardCode],"BH")),"")</f>
        <v>5</v>
      </c>
      <c r="D95" s="29" t="str">
        <f>IFERROR(IF(SUMIFS(tblDaily[Deaths],tblDaily[EntryDate],DATE(2026,3,11),tblDaily[WardCode],"BH")=0,"",SUMIFS(tblDaily[Deaths],tblDaily[EntryDate],DATE(2026,3,11),tblDaily[WardCode],"BH")),"")</f>
        <v/>
      </c>
      <c r="E95" s="29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29">
        <f>IFERROR(IF(SUMIFS(tblDaily[TransfersIn],tblDaily[EntryDate],DATE(2026,3,11),tblDaily[WardCode],"BH")=0,"",SUMIFS(tblDaily[TransfersIn],tblDaily[EntryDate],DATE(2026,3,11),tblDaily[WardCode],"BH")),"")</f>
        <v>1</v>
      </c>
      <c r="G95" s="29">
        <f>IFERROR(IF(SUMIFS(tblDaily[TransfersOut],tblDaily[EntryDate],DATE(2026,3,11),tblDaily[WardCode],"BH")=0,"",SUMIFS(tblDaily[TransfersOut],tblDaily[EntryDate],DATE(2026,3,11),tblDaily[WardCode],"BH")),"")</f>
        <v>2</v>
      </c>
      <c r="H95" s="29">
        <f>IFERROR(IF(SUMIFS(tblDaily[Remaining],tblDaily[EntryDate],DATE(2026,3,11),tblDaily[WardCode],"BH")=0,"",SUMIFS(tblDaily[Remaining],tblDaily[EntryDate],DATE(2026,3,11),tblDaily[WardCode],"BH")),"")</f>
        <v>21</v>
      </c>
    </row>
    <row r="96" spans="1:8" x14ac:dyDescent="0.25">
      <c r="A96" s="29">
        <v>12</v>
      </c>
      <c r="B96" s="29">
        <f>IFERROR(IF(SUMIFS(tblDaily[Admissions],tblDaily[EntryDate],DATE(2026,3,12),tblDaily[WardCode],"BH")=0,"",SUMIFS(tblDaily[Admissions],tblDaily[EntryDate],DATE(2026,3,12),tblDaily[WardCode],"BH")),"")</f>
        <v>1</v>
      </c>
      <c r="C96" s="29">
        <f>IFERROR(IF(SUMIFS(tblDaily[Discharges],tblDaily[EntryDate],DATE(2026,3,12),tblDaily[WardCode],"BH")=0,"",SUMIFS(tblDaily[Discharges],tblDaily[EntryDate],DATE(2026,3,12),tblDaily[WardCode],"BH")),"")</f>
        <v>1</v>
      </c>
      <c r="D96" s="29" t="str">
        <f>IFERROR(IF(SUMIFS(tblDaily[Deaths],tblDaily[EntryDate],DATE(2026,3,12),tblDaily[WardCode],"BH")=0,"",SUMIFS(tblDaily[Deaths],tblDaily[EntryDate],DATE(2026,3,12),tblDaily[WardCode],"BH")),"")</f>
        <v/>
      </c>
      <c r="E96" s="29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29">
        <f>IFERROR(IF(SUMIFS(tblDaily[TransfersIn],tblDaily[EntryDate],DATE(2026,3,12),tblDaily[WardCode],"BH")=0,"",SUMIFS(tblDaily[TransfersIn],tblDaily[EntryDate],DATE(2026,3,12),tblDaily[WardCode],"BH")),"")</f>
        <v>1</v>
      </c>
      <c r="G96" s="29">
        <f>IFERROR(IF(SUMIFS(tblDaily[TransfersOut],tblDaily[EntryDate],DATE(2026,3,12),tblDaily[WardCode],"BH")=0,"",SUMIFS(tblDaily[TransfersOut],tblDaily[EntryDate],DATE(2026,3,12),tblDaily[WardCode],"BH")),"")</f>
        <v>2</v>
      </c>
      <c r="H96" s="29">
        <f>IFERROR(IF(SUMIFS(tblDaily[Remaining],tblDaily[EntryDate],DATE(2026,3,12),tblDaily[WardCode],"BH")=0,"",SUMIFS(tblDaily[Remaining],tblDaily[EntryDate],DATE(2026,3,12),tblDaily[WardCode],"BH")),"")</f>
        <v>20</v>
      </c>
    </row>
    <row r="97" spans="1:8" x14ac:dyDescent="0.25">
      <c r="A97" s="29">
        <v>13</v>
      </c>
      <c r="B97" s="29">
        <f>IFERROR(IF(SUMIFS(tblDaily[Admissions],tblDaily[EntryDate],DATE(2026,3,13),tblDaily[WardCode],"BH")=0,"",SUMIFS(tblDaily[Admissions],tblDaily[EntryDate],DATE(2026,3,13),tblDaily[WardCode],"BH")),"")</f>
        <v>4</v>
      </c>
      <c r="C97" s="29">
        <f>IFERROR(IF(SUMIFS(tblDaily[Discharges],tblDaily[EntryDate],DATE(2026,3,13),tblDaily[WardCode],"BH")=0,"",SUMIFS(tblDaily[Discharges],tblDaily[EntryDate],DATE(2026,3,13),tblDaily[WardCode],"BH")),"")</f>
        <v>4</v>
      </c>
      <c r="D97" s="29" t="str">
        <f>IFERROR(IF(SUMIFS(tblDaily[Deaths],tblDaily[EntryDate],DATE(2026,3,13),tblDaily[WardCode],"BH")=0,"",SUMIFS(tblDaily[Deaths],tblDaily[EntryDate],DATE(2026,3,13),tblDaily[WardCode],"BH")),"")</f>
        <v/>
      </c>
      <c r="E97" s="29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29">
        <f>IFERROR(IF(SUMIFS(tblDaily[TransfersIn],tblDaily[EntryDate],DATE(2026,3,13),tblDaily[WardCode],"BH")=0,"",SUMIFS(tblDaily[TransfersIn],tblDaily[EntryDate],DATE(2026,3,13),tblDaily[WardCode],"BH")),"")</f>
        <v>3</v>
      </c>
      <c r="G97" s="29">
        <f>IFERROR(IF(SUMIFS(tblDaily[TransfersOut],tblDaily[EntryDate],DATE(2026,3,13),tblDaily[WardCode],"BH")=0,"",SUMIFS(tblDaily[TransfersOut],tblDaily[EntryDate],DATE(2026,3,13),tblDaily[WardCode],"BH")),"")</f>
        <v>5</v>
      </c>
      <c r="H97" s="29">
        <f>IFERROR(IF(SUMIFS(tblDaily[Remaining],tblDaily[EntryDate],DATE(2026,3,13),tblDaily[WardCode],"BH")=0,"",SUMIFS(tblDaily[Remaining],tblDaily[EntryDate],DATE(2026,3,13),tblDaily[WardCode],"BH")),"")</f>
        <v>18</v>
      </c>
    </row>
    <row r="98" spans="1:8" x14ac:dyDescent="0.25">
      <c r="A98" s="29">
        <v>14</v>
      </c>
      <c r="B98" s="29">
        <f>IFERROR(IF(SUMIFS(tblDaily[Admissions],tblDaily[EntryDate],DATE(2026,3,14),tblDaily[WardCode],"BH")=0,"",SUMIFS(tblDaily[Admissions],tblDaily[EntryDate],DATE(2026,3,14),tblDaily[WardCode],"BH")),"")</f>
        <v>1</v>
      </c>
      <c r="C98" s="29">
        <f>IFERROR(IF(SUMIFS(tblDaily[Discharges],tblDaily[EntryDate],DATE(2026,3,14),tblDaily[WardCode],"BH")=0,"",SUMIFS(tblDaily[Discharges],tblDaily[EntryDate],DATE(2026,3,14),tblDaily[WardCode],"BH")),"")</f>
        <v>3</v>
      </c>
      <c r="D98" s="29" t="str">
        <f>IFERROR(IF(SUMIFS(tblDaily[Deaths],tblDaily[EntryDate],DATE(2026,3,14),tblDaily[WardCode],"BH")=0,"",SUMIFS(tblDaily[Deaths],tblDaily[EntryDate],DATE(2026,3,14),tblDaily[WardCode],"BH")),"")</f>
        <v/>
      </c>
      <c r="E98" s="29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29">
        <f>IFERROR(IF(SUMIFS(tblDaily[TransfersIn],tblDaily[EntryDate],DATE(2026,3,14),tblDaily[WardCode],"BH")=0,"",SUMIFS(tblDaily[TransfersIn],tblDaily[EntryDate],DATE(2026,3,14),tblDaily[WardCode],"BH")),"")</f>
        <v>1</v>
      </c>
      <c r="G98" s="29">
        <f>IFERROR(IF(SUMIFS(tblDaily[TransfersOut],tblDaily[EntryDate],DATE(2026,3,14),tblDaily[WardCode],"BH")=0,"",SUMIFS(tblDaily[TransfersOut],tblDaily[EntryDate],DATE(2026,3,14),tblDaily[WardCode],"BH")),"")</f>
        <v>2</v>
      </c>
      <c r="H98" s="29">
        <f>IFERROR(IF(SUMIFS(tblDaily[Remaining],tblDaily[EntryDate],DATE(2026,3,14),tblDaily[WardCode],"BH")=0,"",SUMIFS(tblDaily[Remaining],tblDaily[EntryDate],DATE(2026,3,14),tblDaily[WardCode],"BH")),"")</f>
        <v>15</v>
      </c>
    </row>
    <row r="99" spans="1:8" x14ac:dyDescent="0.25">
      <c r="A99" s="29">
        <v>15</v>
      </c>
      <c r="B99" s="29">
        <f>IFERROR(IF(SUMIFS(tblDaily[Admissions],tblDaily[EntryDate],DATE(2026,3,15),tblDaily[WardCode],"BH")=0,"",SUMIFS(tblDaily[Admissions],tblDaily[EntryDate],DATE(2026,3,15),tblDaily[WardCode],"BH")),"")</f>
        <v>2</v>
      </c>
      <c r="C99" s="29">
        <f>IFERROR(IF(SUMIFS(tblDaily[Discharges],tblDaily[EntryDate],DATE(2026,3,15),tblDaily[WardCode],"BH")=0,"",SUMIFS(tblDaily[Discharges],tblDaily[EntryDate],DATE(2026,3,15),tblDaily[WardCode],"BH")),"")</f>
        <v>1</v>
      </c>
      <c r="D99" s="29" t="str">
        <f>IFERROR(IF(SUMIFS(tblDaily[Deaths],tblDaily[EntryDate],DATE(2026,3,15),tblDaily[WardCode],"BH")=0,"",SUMIFS(tblDaily[Deaths],tblDaily[EntryDate],DATE(2026,3,15),tblDaily[WardCode],"BH")),"")</f>
        <v/>
      </c>
      <c r="E99" s="29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29">
        <f>IFERROR(IF(SUMIFS(tblDaily[TransfersIn],tblDaily[EntryDate],DATE(2026,3,15),tblDaily[WardCode],"BH")=0,"",SUMIFS(tblDaily[TransfersIn],tblDaily[EntryDate],DATE(2026,3,15),tblDaily[WardCode],"BH")),"")</f>
        <v>2</v>
      </c>
      <c r="G99" s="29">
        <f>IFERROR(IF(SUMIFS(tblDaily[TransfersOut],tblDaily[EntryDate],DATE(2026,3,15),tblDaily[WardCode],"BH")=0,"",SUMIFS(tblDaily[TransfersOut],tblDaily[EntryDate],DATE(2026,3,15),tblDaily[WardCode],"BH")),"")</f>
        <v>1</v>
      </c>
      <c r="H99" s="29">
        <f>IFERROR(IF(SUMIFS(tblDaily[Remaining],tblDaily[EntryDate],DATE(2026,3,15),tblDaily[WardCode],"BH")=0,"",SUMIFS(tblDaily[Remaining],tblDaily[EntryDate],DATE(2026,3,15),tblDaily[WardCode],"BH")),"")</f>
        <v>17</v>
      </c>
    </row>
    <row r="100" spans="1:8" x14ac:dyDescent="0.25">
      <c r="A100" s="29">
        <v>16</v>
      </c>
      <c r="B100" s="29">
        <f>IFERROR(IF(SUMIFS(tblDaily[Admissions],tblDaily[EntryDate],DATE(2026,3,16),tblDaily[WardCode],"BH")=0,"",SUMIFS(tblDaily[Admissions],tblDaily[EntryDate],DATE(2026,3,16),tblDaily[WardCode],"BH")),"")</f>
        <v>6</v>
      </c>
      <c r="C100" s="29">
        <f>IFERROR(IF(SUMIFS(tblDaily[Discharges],tblDaily[EntryDate],DATE(2026,3,16),tblDaily[WardCode],"BH")=0,"",SUMIFS(tblDaily[Discharges],tblDaily[EntryDate],DATE(2026,3,16),tblDaily[WardCode],"BH")),"")</f>
        <v>4</v>
      </c>
      <c r="D100" s="29" t="str">
        <f>IFERROR(IF(SUMIFS(tblDaily[Deaths],tblDaily[EntryDate],DATE(2026,3,16),tblDaily[WardCode],"BH")=0,"",SUMIFS(tblDaily[Deaths],tblDaily[EntryDate],DATE(2026,3,16),tblDaily[WardCode],"BH")),"")</f>
        <v/>
      </c>
      <c r="E100" s="29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29">
        <f>IFERROR(IF(SUMIFS(tblDaily[TransfersIn],tblDaily[EntryDate],DATE(2026,3,16),tblDaily[WardCode],"BH")=0,"",SUMIFS(tblDaily[TransfersIn],tblDaily[EntryDate],DATE(2026,3,16),tblDaily[WardCode],"BH")),"")</f>
        <v>1</v>
      </c>
      <c r="G100" s="29">
        <f>IFERROR(IF(SUMIFS(tblDaily[TransfersOut],tblDaily[EntryDate],DATE(2026,3,16),tblDaily[WardCode],"BH")=0,"",SUMIFS(tblDaily[TransfersOut],tblDaily[EntryDate],DATE(2026,3,16),tblDaily[WardCode],"BH")),"")</f>
        <v>1</v>
      </c>
      <c r="H100" s="29">
        <f>IFERROR(IF(SUMIFS(tblDaily[Remaining],tblDaily[EntryDate],DATE(2026,3,16),tblDaily[WardCode],"BH")=0,"",SUMIFS(tblDaily[Remaining],tblDaily[EntryDate],DATE(2026,3,16),tblDaily[WardCode],"BH")),"")</f>
        <v>19</v>
      </c>
    </row>
    <row r="101" spans="1:8" x14ac:dyDescent="0.25">
      <c r="A101" s="29">
        <v>17</v>
      </c>
      <c r="B101" s="29">
        <f>IFERROR(IF(SUMIFS(tblDaily[Admissions],tblDaily[EntryDate],DATE(2026,3,17),tblDaily[WardCode],"BH")=0,"",SUMIFS(tblDaily[Admissions],tblDaily[EntryDate],DATE(2026,3,17),tblDaily[WardCode],"BH")),"")</f>
        <v>5</v>
      </c>
      <c r="C101" s="29">
        <f>IFERROR(IF(SUMIFS(tblDaily[Discharges],tblDaily[EntryDate],DATE(2026,3,17),tblDaily[WardCode],"BH")=0,"",SUMIFS(tblDaily[Discharges],tblDaily[EntryDate],DATE(2026,3,17),tblDaily[WardCode],"BH")),"")</f>
        <v>2</v>
      </c>
      <c r="D101" s="29" t="str">
        <f>IFERROR(IF(SUMIFS(tblDaily[Deaths],tblDaily[EntryDate],DATE(2026,3,17),tblDaily[WardCode],"BH")=0,"",SUMIFS(tblDaily[Deaths],tblDaily[EntryDate],DATE(2026,3,17),tblDaily[WardCode],"BH")),"")</f>
        <v/>
      </c>
      <c r="E101" s="29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29" t="str">
        <f>IFERROR(IF(SUMIFS(tblDaily[TransfersIn],tblDaily[EntryDate],DATE(2026,3,17),tblDaily[WardCode],"BH")=0,"",SUMIFS(tblDaily[TransfersIn],tblDaily[EntryDate],DATE(2026,3,17),tblDaily[WardCode],"BH")),"")</f>
        <v/>
      </c>
      <c r="G101" s="29" t="str">
        <f>IFERROR(IF(SUMIFS(tblDaily[TransfersOut],tblDaily[EntryDate],DATE(2026,3,17),tblDaily[WardCode],"BH")=0,"",SUMIFS(tblDaily[TransfersOut],tblDaily[EntryDate],DATE(2026,3,17),tblDaily[WardCode],"BH")),"")</f>
        <v/>
      </c>
      <c r="H101" s="29">
        <f>IFERROR(IF(SUMIFS(tblDaily[Remaining],tblDaily[EntryDate],DATE(2026,3,17),tblDaily[WardCode],"BH")=0,"",SUMIFS(tblDaily[Remaining],tblDaily[EntryDate],DATE(2026,3,17),tblDaily[WardCode],"BH")),"")</f>
        <v>22</v>
      </c>
    </row>
    <row r="102" spans="1:8" x14ac:dyDescent="0.25">
      <c r="A102" s="29">
        <v>18</v>
      </c>
      <c r="B102" s="29">
        <f>IFERROR(IF(SUMIFS(tblDaily[Admissions],tblDaily[EntryDate],DATE(2026,3,18),tblDaily[WardCode],"BH")=0,"",SUMIFS(tblDaily[Admissions],tblDaily[EntryDate],DATE(2026,3,18),tblDaily[WardCode],"BH")),"")</f>
        <v>1</v>
      </c>
      <c r="C102" s="29">
        <f>IFERROR(IF(SUMIFS(tblDaily[Discharges],tblDaily[EntryDate],DATE(2026,3,18),tblDaily[WardCode],"BH")=0,"",SUMIFS(tblDaily[Discharges],tblDaily[EntryDate],DATE(2026,3,18),tblDaily[WardCode],"BH")),"")</f>
        <v>2</v>
      </c>
      <c r="D102" s="29" t="str">
        <f>IFERROR(IF(SUMIFS(tblDaily[Deaths],tblDaily[EntryDate],DATE(2026,3,18),tblDaily[WardCode],"BH")=0,"",SUMIFS(tblDaily[Deaths],tblDaily[EntryDate],DATE(2026,3,18),tblDaily[WardCode],"BH")),"")</f>
        <v/>
      </c>
      <c r="E102" s="29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29">
        <f>IFERROR(IF(SUMIFS(tblDaily[TransfersIn],tblDaily[EntryDate],DATE(2026,3,18),tblDaily[WardCode],"BH")=0,"",SUMIFS(tblDaily[TransfersIn],tblDaily[EntryDate],DATE(2026,3,18),tblDaily[WardCode],"BH")),"")</f>
        <v>1</v>
      </c>
      <c r="G102" s="29" t="str">
        <f>IFERROR(IF(SUMIFS(tblDaily[TransfersOut],tblDaily[EntryDate],DATE(2026,3,18),tblDaily[WardCode],"BH")=0,"",SUMIFS(tblDaily[TransfersOut],tblDaily[EntryDate],DATE(2026,3,18),tblDaily[WardCode],"BH")),"")</f>
        <v/>
      </c>
      <c r="H102" s="29">
        <f>IFERROR(IF(SUMIFS(tblDaily[Remaining],tblDaily[EntryDate],DATE(2026,3,18),tblDaily[WardCode],"BH")=0,"",SUMIFS(tblDaily[Remaining],tblDaily[EntryDate],DATE(2026,3,18),tblDaily[WardCode],"BH")),"")</f>
        <v>22</v>
      </c>
    </row>
    <row r="103" spans="1:8" x14ac:dyDescent="0.25">
      <c r="A103" s="29">
        <v>19</v>
      </c>
      <c r="B103" s="29">
        <f>IFERROR(IF(SUMIFS(tblDaily[Admissions],tblDaily[EntryDate],DATE(2026,3,19),tblDaily[WardCode],"BH")=0,"",SUMIFS(tblDaily[Admissions],tblDaily[EntryDate],DATE(2026,3,19),tblDaily[WardCode],"BH")),"")</f>
        <v>4</v>
      </c>
      <c r="C103" s="29">
        <f>IFERROR(IF(SUMIFS(tblDaily[Discharges],tblDaily[EntryDate],DATE(2026,3,19),tblDaily[WardCode],"BH")=0,"",SUMIFS(tblDaily[Discharges],tblDaily[EntryDate],DATE(2026,3,19),tblDaily[WardCode],"BH")),"")</f>
        <v>7</v>
      </c>
      <c r="D103" s="29" t="str">
        <f>IFERROR(IF(SUMIFS(tblDaily[Deaths],tblDaily[EntryDate],DATE(2026,3,19),tblDaily[WardCode],"BH")=0,"",SUMIFS(tblDaily[Deaths],tblDaily[EntryDate],DATE(2026,3,19),tblDaily[WardCode],"BH")),"")</f>
        <v/>
      </c>
      <c r="E103" s="29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29" t="str">
        <f>IFERROR(IF(SUMIFS(tblDaily[TransfersIn],tblDaily[EntryDate],DATE(2026,3,19),tblDaily[WardCode],"BH")=0,"",SUMIFS(tblDaily[TransfersIn],tblDaily[EntryDate],DATE(2026,3,19),tblDaily[WardCode],"BH")),"")</f>
        <v/>
      </c>
      <c r="G103" s="29">
        <f>IFERROR(IF(SUMIFS(tblDaily[TransfersOut],tblDaily[EntryDate],DATE(2026,3,19),tblDaily[WardCode],"BH")=0,"",SUMIFS(tblDaily[TransfersOut],tblDaily[EntryDate],DATE(2026,3,19),tblDaily[WardCode],"BH")),"")</f>
        <v>2</v>
      </c>
      <c r="H103" s="29">
        <f>IFERROR(IF(SUMIFS(tblDaily[Remaining],tblDaily[EntryDate],DATE(2026,3,19),tblDaily[WardCode],"BH")=0,"",SUMIFS(tblDaily[Remaining],tblDaily[EntryDate],DATE(2026,3,19),tblDaily[WardCode],"BH")),"")</f>
        <v>17</v>
      </c>
    </row>
    <row r="104" spans="1:8" x14ac:dyDescent="0.25">
      <c r="A104" s="29">
        <v>20</v>
      </c>
      <c r="B104" s="29">
        <f>IFERROR(IF(SUMIFS(tblDaily[Admissions],tblDaily[EntryDate],DATE(2026,3,20),tblDaily[WardCode],"BH")=0,"",SUMIFS(tblDaily[Admissions],tblDaily[EntryDate],DATE(2026,3,20),tblDaily[WardCode],"BH")),"")</f>
        <v>4</v>
      </c>
      <c r="C104" s="29" t="str">
        <f>IFERROR(IF(SUMIFS(tblDaily[Discharges],tblDaily[EntryDate],DATE(2026,3,20),tblDaily[WardCode],"BH")=0,"",SUMIFS(tblDaily[Discharges],tblDaily[EntryDate],DATE(2026,3,20),tblDaily[WardCode],"BH")),"")</f>
        <v/>
      </c>
      <c r="D104" s="29" t="str">
        <f>IFERROR(IF(SUMIFS(tblDaily[Deaths],tblDaily[EntryDate],DATE(2026,3,20),tblDaily[WardCode],"BH")=0,"",SUMIFS(tblDaily[Deaths],tblDaily[EntryDate],DATE(2026,3,20),tblDaily[WardCode],"BH")),"")</f>
        <v/>
      </c>
      <c r="E104" s="29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29" t="str">
        <f>IFERROR(IF(SUMIFS(tblDaily[TransfersIn],tblDaily[EntryDate],DATE(2026,3,20),tblDaily[WardCode],"BH")=0,"",SUMIFS(tblDaily[TransfersIn],tblDaily[EntryDate],DATE(2026,3,20),tblDaily[WardCode],"BH")),"")</f>
        <v/>
      </c>
      <c r="G104" s="29">
        <f>IFERROR(IF(SUMIFS(tblDaily[TransfersOut],tblDaily[EntryDate],DATE(2026,3,20),tblDaily[WardCode],"BH")=0,"",SUMIFS(tblDaily[TransfersOut],tblDaily[EntryDate],DATE(2026,3,20),tblDaily[WardCode],"BH")),"")</f>
        <v>1</v>
      </c>
      <c r="H104" s="29">
        <f>IFERROR(IF(SUMIFS(tblDaily[Remaining],tblDaily[EntryDate],DATE(2026,3,20),tblDaily[WardCode],"BH")=0,"",SUMIFS(tblDaily[Remaining],tblDaily[EntryDate],DATE(2026,3,20),tblDaily[WardCode],"BH")),"")</f>
        <v>20</v>
      </c>
    </row>
    <row r="105" spans="1:8" x14ac:dyDescent="0.25">
      <c r="A105" s="29">
        <v>21</v>
      </c>
      <c r="B105" s="29">
        <f>IFERROR(IF(SUMIFS(tblDaily[Admissions],tblDaily[EntryDate],DATE(2026,3,21),tblDaily[WardCode],"BH")=0,"",SUMIFS(tblDaily[Admissions],tblDaily[EntryDate],DATE(2026,3,21),tblDaily[WardCode],"BH")),"")</f>
        <v>2</v>
      </c>
      <c r="C105" s="29">
        <f>IFERROR(IF(SUMIFS(tblDaily[Discharges],tblDaily[EntryDate],DATE(2026,3,21),tblDaily[WardCode],"BH")=0,"",SUMIFS(tblDaily[Discharges],tblDaily[EntryDate],DATE(2026,3,21),tblDaily[WardCode],"BH")),"")</f>
        <v>2</v>
      </c>
      <c r="D105" s="29" t="str">
        <f>IFERROR(IF(SUMIFS(tblDaily[Deaths],tblDaily[EntryDate],DATE(2026,3,21),tblDaily[WardCode],"BH")=0,"",SUMIFS(tblDaily[Deaths],tblDaily[EntryDate],DATE(2026,3,21),tblDaily[WardCode],"BH")),"")</f>
        <v/>
      </c>
      <c r="E105" s="29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29">
        <f>IFERROR(IF(SUMIFS(tblDaily[TransfersIn],tblDaily[EntryDate],DATE(2026,3,21),tblDaily[WardCode],"BH")=0,"",SUMIFS(tblDaily[TransfersIn],tblDaily[EntryDate],DATE(2026,3,21),tblDaily[WardCode],"BH")),"")</f>
        <v>1</v>
      </c>
      <c r="G105" s="29">
        <f>IFERROR(IF(SUMIFS(tblDaily[TransfersOut],tblDaily[EntryDate],DATE(2026,3,21),tblDaily[WardCode],"BH")=0,"",SUMIFS(tblDaily[TransfersOut],tblDaily[EntryDate],DATE(2026,3,21),tblDaily[WardCode],"BH")),"")</f>
        <v>1</v>
      </c>
      <c r="H105" s="29">
        <f>IFERROR(IF(SUMIFS(tblDaily[Remaining],tblDaily[EntryDate],DATE(2026,3,21),tblDaily[WardCode],"BH")=0,"",SUMIFS(tblDaily[Remaining],tblDaily[EntryDate],DATE(2026,3,21),tblDaily[WardCode],"BH")),"")</f>
        <v>20</v>
      </c>
    </row>
    <row r="106" spans="1:8" x14ac:dyDescent="0.25">
      <c r="A106" s="29">
        <v>22</v>
      </c>
      <c r="B106" s="29">
        <f>IFERROR(IF(SUMIFS(tblDaily[Admissions],tblDaily[EntryDate],DATE(2026,3,22),tblDaily[WardCode],"BH")=0,"",SUMIFS(tblDaily[Admissions],tblDaily[EntryDate],DATE(2026,3,22),tblDaily[WardCode],"BH")),"")</f>
        <v>1</v>
      </c>
      <c r="C106" s="29" t="str">
        <f>IFERROR(IF(SUMIFS(tblDaily[Discharges],tblDaily[EntryDate],DATE(2026,3,22),tblDaily[WardCode],"BH")=0,"",SUMIFS(tblDaily[Discharges],tblDaily[EntryDate],DATE(2026,3,22),tblDaily[WardCode],"BH")),"")</f>
        <v/>
      </c>
      <c r="D106" s="29" t="str">
        <f>IFERROR(IF(SUMIFS(tblDaily[Deaths],tblDaily[EntryDate],DATE(2026,3,22),tblDaily[WardCode],"BH")=0,"",SUMIFS(tblDaily[Deaths],tblDaily[EntryDate],DATE(2026,3,22),tblDaily[WardCode],"BH")),"")</f>
        <v/>
      </c>
      <c r="E106" s="29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29" t="str">
        <f>IFERROR(IF(SUMIFS(tblDaily[TransfersIn],tblDaily[EntryDate],DATE(2026,3,22),tblDaily[WardCode],"BH")=0,"",SUMIFS(tblDaily[TransfersIn],tblDaily[EntryDate],DATE(2026,3,22),tblDaily[WardCode],"BH")),"")</f>
        <v/>
      </c>
      <c r="G106" s="29">
        <f>IFERROR(IF(SUMIFS(tblDaily[TransfersOut],tblDaily[EntryDate],DATE(2026,3,22),tblDaily[WardCode],"BH")=0,"",SUMIFS(tblDaily[TransfersOut],tblDaily[EntryDate],DATE(2026,3,22),tblDaily[WardCode],"BH")),"")</f>
        <v>2</v>
      </c>
      <c r="H106" s="29">
        <f>IFERROR(IF(SUMIFS(tblDaily[Remaining],tblDaily[EntryDate],DATE(2026,3,22),tblDaily[WardCode],"BH")=0,"",SUMIFS(tblDaily[Remaining],tblDaily[EntryDate],DATE(2026,3,22),tblDaily[WardCode],"BH")),"")</f>
        <v>19</v>
      </c>
    </row>
    <row r="107" spans="1:8" x14ac:dyDescent="0.25">
      <c r="A107" s="29">
        <v>23</v>
      </c>
      <c r="B107" s="29">
        <f>IFERROR(IF(SUMIFS(tblDaily[Admissions],tblDaily[EntryDate],DATE(2026,3,23),tblDaily[WardCode],"BH")=0,"",SUMIFS(tblDaily[Admissions],tblDaily[EntryDate],DATE(2026,3,23),tblDaily[WardCode],"BH")),"")</f>
        <v>5</v>
      </c>
      <c r="C107" s="29">
        <f>IFERROR(IF(SUMIFS(tblDaily[Discharges],tblDaily[EntryDate],DATE(2026,3,23),tblDaily[WardCode],"BH")=0,"",SUMIFS(tblDaily[Discharges],tblDaily[EntryDate],DATE(2026,3,23),tblDaily[WardCode],"BH")),"")</f>
        <v>5</v>
      </c>
      <c r="D107" s="29" t="str">
        <f>IFERROR(IF(SUMIFS(tblDaily[Deaths],tblDaily[EntryDate],DATE(2026,3,23),tblDaily[WardCode],"BH")=0,"",SUMIFS(tblDaily[Deaths],tblDaily[EntryDate],DATE(2026,3,23),tblDaily[WardCode],"BH")),"")</f>
        <v/>
      </c>
      <c r="E107" s="29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29">
        <f>IFERROR(IF(SUMIFS(tblDaily[TransfersIn],tblDaily[EntryDate],DATE(2026,3,23),tblDaily[WardCode],"BH")=0,"",SUMIFS(tblDaily[TransfersIn],tblDaily[EntryDate],DATE(2026,3,23),tblDaily[WardCode],"BH")),"")</f>
        <v>1</v>
      </c>
      <c r="G107" s="29">
        <f>IFERROR(IF(SUMIFS(tblDaily[TransfersOut],tblDaily[EntryDate],DATE(2026,3,23),tblDaily[WardCode],"BH")=0,"",SUMIFS(tblDaily[TransfersOut],tblDaily[EntryDate],DATE(2026,3,23),tblDaily[WardCode],"BH")),"")</f>
        <v>4</v>
      </c>
      <c r="H107" s="29">
        <f>IFERROR(IF(SUMIFS(tblDaily[Remaining],tblDaily[EntryDate],DATE(2026,3,23),tblDaily[WardCode],"BH")=0,"",SUMIFS(tblDaily[Remaining],tblDaily[EntryDate],DATE(2026,3,23),tblDaily[WardCode],"BH")),"")</f>
        <v>16</v>
      </c>
    </row>
    <row r="108" spans="1:8" x14ac:dyDescent="0.25">
      <c r="A108" s="29">
        <v>24</v>
      </c>
      <c r="B108" s="29">
        <f>IFERROR(IF(SUMIFS(tblDaily[Admissions],tblDaily[EntryDate],DATE(2026,3,24),tblDaily[WardCode],"BH")=0,"",SUMIFS(tblDaily[Admissions],tblDaily[EntryDate],DATE(2026,3,24),tblDaily[WardCode],"BH")),"")</f>
        <v>9</v>
      </c>
      <c r="C108" s="29">
        <f>IFERROR(IF(SUMIFS(tblDaily[Discharges],tblDaily[EntryDate],DATE(2026,3,24),tblDaily[WardCode],"BH")=0,"",SUMIFS(tblDaily[Discharges],tblDaily[EntryDate],DATE(2026,3,24),tblDaily[WardCode],"BH")),"")</f>
        <v>2</v>
      </c>
      <c r="D108" s="29" t="str">
        <f>IFERROR(IF(SUMIFS(tblDaily[Deaths],tblDaily[EntryDate],DATE(2026,3,24),tblDaily[WardCode],"BH")=0,"",SUMIFS(tblDaily[Deaths],tblDaily[EntryDate],DATE(2026,3,24),tblDaily[WardCode],"BH")),"")</f>
        <v/>
      </c>
      <c r="E108" s="29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29">
        <f>IFERROR(IF(SUMIFS(tblDaily[TransfersIn],tblDaily[EntryDate],DATE(2026,3,24),tblDaily[WardCode],"BH")=0,"",SUMIFS(tblDaily[TransfersIn],tblDaily[EntryDate],DATE(2026,3,24),tblDaily[WardCode],"BH")),"")</f>
        <v>1</v>
      </c>
      <c r="G108" s="29">
        <f>IFERROR(IF(SUMIFS(tblDaily[TransfersOut],tblDaily[EntryDate],DATE(2026,3,24),tblDaily[WardCode],"BH")=0,"",SUMIFS(tblDaily[TransfersOut],tblDaily[EntryDate],DATE(2026,3,24),tblDaily[WardCode],"BH")),"")</f>
        <v>3</v>
      </c>
      <c r="H108" s="29">
        <f>IFERROR(IF(SUMIFS(tblDaily[Remaining],tblDaily[EntryDate],DATE(2026,3,24),tblDaily[WardCode],"BH")=0,"",SUMIFS(tblDaily[Remaining],tblDaily[EntryDate],DATE(2026,3,24),tblDaily[WardCode],"BH")),"")</f>
        <v>21</v>
      </c>
    </row>
    <row r="109" spans="1:8" x14ac:dyDescent="0.25">
      <c r="A109" s="29">
        <v>25</v>
      </c>
      <c r="B109" s="29">
        <f>IFERROR(IF(SUMIFS(tblDaily[Admissions],tblDaily[EntryDate],DATE(2026,3,25),tblDaily[WardCode],"BH")=0,"",SUMIFS(tblDaily[Admissions],tblDaily[EntryDate],DATE(2026,3,25),tblDaily[WardCode],"BH")),"")</f>
        <v>4</v>
      </c>
      <c r="C109" s="29" t="str">
        <f>IFERROR(IF(SUMIFS(tblDaily[Discharges],tblDaily[EntryDate],DATE(2026,3,25),tblDaily[WardCode],"BH")=0,"",SUMIFS(tblDaily[Discharges],tblDaily[EntryDate],DATE(2026,3,25),tblDaily[WardCode],"BH")),"")</f>
        <v/>
      </c>
      <c r="D109" s="29" t="str">
        <f>IFERROR(IF(SUMIFS(tblDaily[Deaths],tblDaily[EntryDate],DATE(2026,3,25),tblDaily[WardCode],"BH")=0,"",SUMIFS(tblDaily[Deaths],tblDaily[EntryDate],DATE(2026,3,25),tblDaily[WardCode],"BH")),"")</f>
        <v/>
      </c>
      <c r="E109" s="29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29">
        <f>IFERROR(IF(SUMIFS(tblDaily[TransfersIn],tblDaily[EntryDate],DATE(2026,3,25),tblDaily[WardCode],"BH")=0,"",SUMIFS(tblDaily[TransfersIn],tblDaily[EntryDate],DATE(2026,3,25),tblDaily[WardCode],"BH")),"")</f>
        <v>2</v>
      </c>
      <c r="G109" s="29">
        <f>IFERROR(IF(SUMIFS(tblDaily[TransfersOut],tblDaily[EntryDate],DATE(2026,3,25),tblDaily[WardCode],"BH")=0,"",SUMIFS(tblDaily[TransfersOut],tblDaily[EntryDate],DATE(2026,3,25),tblDaily[WardCode],"BH")),"")</f>
        <v>2</v>
      </c>
      <c r="H109" s="29">
        <f>IFERROR(IF(SUMIFS(tblDaily[Remaining],tblDaily[EntryDate],DATE(2026,3,25),tblDaily[WardCode],"BH")=0,"",SUMIFS(tblDaily[Remaining],tblDaily[EntryDate],DATE(2026,3,25),tblDaily[WardCode],"BH")),"")</f>
        <v>25</v>
      </c>
    </row>
    <row r="110" spans="1:8" x14ac:dyDescent="0.25">
      <c r="A110" s="29">
        <v>26</v>
      </c>
      <c r="B110" s="29">
        <f>IFERROR(IF(SUMIFS(tblDaily[Admissions],tblDaily[EntryDate],DATE(2026,3,26),tblDaily[WardCode],"BH")=0,"",SUMIFS(tblDaily[Admissions],tblDaily[EntryDate],DATE(2026,3,26),tblDaily[WardCode],"BH")),"")</f>
        <v>1</v>
      </c>
      <c r="C110" s="29">
        <f>IFERROR(IF(SUMIFS(tblDaily[Discharges],tblDaily[EntryDate],DATE(2026,3,26),tblDaily[WardCode],"BH")=0,"",SUMIFS(tblDaily[Discharges],tblDaily[EntryDate],DATE(2026,3,26),tblDaily[WardCode],"BH")),"")</f>
        <v>5</v>
      </c>
      <c r="D110" s="29" t="str">
        <f>IFERROR(IF(SUMIFS(tblDaily[Deaths],tblDaily[EntryDate],DATE(2026,3,26),tblDaily[WardCode],"BH")=0,"",SUMIFS(tblDaily[Deaths],tblDaily[EntryDate],DATE(2026,3,26),tblDaily[WardCode],"BH")),"")</f>
        <v/>
      </c>
      <c r="E110" s="29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29">
        <f>IFERROR(IF(SUMIFS(tblDaily[TransfersIn],tblDaily[EntryDate],DATE(2026,3,26),tblDaily[WardCode],"BH")=0,"",SUMIFS(tblDaily[TransfersIn],tblDaily[EntryDate],DATE(2026,3,26),tblDaily[WardCode],"BH")),"")</f>
        <v>4</v>
      </c>
      <c r="G110" s="29">
        <f>IFERROR(IF(SUMIFS(tblDaily[TransfersOut],tblDaily[EntryDate],DATE(2026,3,26),tblDaily[WardCode],"BH")=0,"",SUMIFS(tblDaily[TransfersOut],tblDaily[EntryDate],DATE(2026,3,26),tblDaily[WardCode],"BH")),"")</f>
        <v>1</v>
      </c>
      <c r="H110" s="29">
        <f>IFERROR(IF(SUMIFS(tblDaily[Remaining],tblDaily[EntryDate],DATE(2026,3,26),tblDaily[WardCode],"BH")=0,"",SUMIFS(tblDaily[Remaining],tblDaily[EntryDate],DATE(2026,3,26),tblDaily[WardCode],"BH")),"")</f>
        <v>24</v>
      </c>
    </row>
    <row r="111" spans="1:8" x14ac:dyDescent="0.25">
      <c r="A111" s="29">
        <v>27</v>
      </c>
      <c r="B111" s="29">
        <f>IFERROR(IF(SUMIFS(tblDaily[Admissions],tblDaily[EntryDate],DATE(2026,3,27),tblDaily[WardCode],"BH")=0,"",SUMIFS(tblDaily[Admissions],tblDaily[EntryDate],DATE(2026,3,27),tblDaily[WardCode],"BH")),"")</f>
        <v>4</v>
      </c>
      <c r="C111" s="29">
        <f>IFERROR(IF(SUMIFS(tblDaily[Discharges],tblDaily[EntryDate],DATE(2026,3,27),tblDaily[WardCode],"BH")=0,"",SUMIFS(tblDaily[Discharges],tblDaily[EntryDate],DATE(2026,3,27),tblDaily[WardCode],"BH")),"")</f>
        <v>3</v>
      </c>
      <c r="D111" s="29" t="str">
        <f>IFERROR(IF(SUMIFS(tblDaily[Deaths],tblDaily[EntryDate],DATE(2026,3,27),tblDaily[WardCode],"BH")=0,"",SUMIFS(tblDaily[Deaths],tblDaily[EntryDate],DATE(2026,3,27),tblDaily[WardCode],"BH")),"")</f>
        <v/>
      </c>
      <c r="E111" s="29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29" t="str">
        <f>IFERROR(IF(SUMIFS(tblDaily[TransfersIn],tblDaily[EntryDate],DATE(2026,3,27),tblDaily[WardCode],"BH")=0,"",SUMIFS(tblDaily[TransfersIn],tblDaily[EntryDate],DATE(2026,3,27),tblDaily[WardCode],"BH")),"")</f>
        <v/>
      </c>
      <c r="G111" s="29">
        <f>IFERROR(IF(SUMIFS(tblDaily[TransfersOut],tblDaily[EntryDate],DATE(2026,3,27),tblDaily[WardCode],"BH")=0,"",SUMIFS(tblDaily[TransfersOut],tblDaily[EntryDate],DATE(2026,3,27),tblDaily[WardCode],"BH")),"")</f>
        <v>1</v>
      </c>
      <c r="H111" s="29">
        <f>IFERROR(IF(SUMIFS(tblDaily[Remaining],tblDaily[EntryDate],DATE(2026,3,27),tblDaily[WardCode],"BH")=0,"",SUMIFS(tblDaily[Remaining],tblDaily[EntryDate],DATE(2026,3,27),tblDaily[WardCode],"BH")),"")</f>
        <v>24</v>
      </c>
    </row>
    <row r="112" spans="1:8" x14ac:dyDescent="0.25">
      <c r="A112" s="29">
        <v>28</v>
      </c>
      <c r="B112" s="29">
        <f>IFERROR(IF(SUMIFS(tblDaily[Admissions],tblDaily[EntryDate],DATE(2026,3,28),tblDaily[WardCode],"BH")=0,"",SUMIFS(tblDaily[Admissions],tblDaily[EntryDate],DATE(2026,3,28),tblDaily[WardCode],"BH")),"")</f>
        <v>4</v>
      </c>
      <c r="C112" s="29">
        <f>IFERROR(IF(SUMIFS(tblDaily[Discharges],tblDaily[EntryDate],DATE(2026,3,28),tblDaily[WardCode],"BH")=0,"",SUMIFS(tblDaily[Discharges],tblDaily[EntryDate],DATE(2026,3,28),tblDaily[WardCode],"BH")),"")</f>
        <v>5</v>
      </c>
      <c r="D112" s="29" t="str">
        <f>IFERROR(IF(SUMIFS(tblDaily[Deaths],tblDaily[EntryDate],DATE(2026,3,28),tblDaily[WardCode],"BH")=0,"",SUMIFS(tblDaily[Deaths],tblDaily[EntryDate],DATE(2026,3,28),tblDaily[WardCode],"BH")),"")</f>
        <v/>
      </c>
      <c r="E112" s="29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29">
        <f>IFERROR(IF(SUMIFS(tblDaily[TransfersIn],tblDaily[EntryDate],DATE(2026,3,28),tblDaily[WardCode],"BH")=0,"",SUMIFS(tblDaily[TransfersIn],tblDaily[EntryDate],DATE(2026,3,28),tblDaily[WardCode],"BH")),"")</f>
        <v>1</v>
      </c>
      <c r="G112" s="29">
        <f>IFERROR(IF(SUMIFS(tblDaily[TransfersOut],tblDaily[EntryDate],DATE(2026,3,28),tblDaily[WardCode],"BH")=0,"",SUMIFS(tblDaily[TransfersOut],tblDaily[EntryDate],DATE(2026,3,28),tblDaily[WardCode],"BH")),"")</f>
        <v>2</v>
      </c>
      <c r="H112" s="29">
        <f>IFERROR(IF(SUMIFS(tblDaily[Remaining],tblDaily[EntryDate],DATE(2026,3,28),tblDaily[WardCode],"BH")=0,"",SUMIFS(tblDaily[Remaining],tblDaily[EntryDate],DATE(2026,3,28),tblDaily[WardCode],"BH")),"")</f>
        <v>22</v>
      </c>
    </row>
    <row r="113" spans="1:8" x14ac:dyDescent="0.25">
      <c r="A113" s="29">
        <v>29</v>
      </c>
      <c r="B113" s="29">
        <f>IFERROR(IF(SUMIFS(tblDaily[Admissions],tblDaily[EntryDate],DATE(2026,3,29),tblDaily[WardCode],"BH")=0,"",SUMIFS(tblDaily[Admissions],tblDaily[EntryDate],DATE(2026,3,29),tblDaily[WardCode],"BH")),"")</f>
        <v>2</v>
      </c>
      <c r="C113" s="29">
        <f>IFERROR(IF(SUMIFS(tblDaily[Discharges],tblDaily[EntryDate],DATE(2026,3,29),tblDaily[WardCode],"BH")=0,"",SUMIFS(tblDaily[Discharges],tblDaily[EntryDate],DATE(2026,3,29),tblDaily[WardCode],"BH")),"")</f>
        <v>2</v>
      </c>
      <c r="D113" s="29" t="str">
        <f>IFERROR(IF(SUMIFS(tblDaily[Deaths],tblDaily[EntryDate],DATE(2026,3,29),tblDaily[WardCode],"BH")=0,"",SUMIFS(tblDaily[Deaths],tblDaily[EntryDate],DATE(2026,3,29),tblDaily[WardCode],"BH")),"")</f>
        <v/>
      </c>
      <c r="E113" s="29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29">
        <f>IFERROR(IF(SUMIFS(tblDaily[TransfersIn],tblDaily[EntryDate],DATE(2026,3,29),tblDaily[WardCode],"BH")=0,"",SUMIFS(tblDaily[TransfersIn],tblDaily[EntryDate],DATE(2026,3,29),tblDaily[WardCode],"BH")),"")</f>
        <v>2</v>
      </c>
      <c r="G113" s="29">
        <f>IFERROR(IF(SUMIFS(tblDaily[TransfersOut],tblDaily[EntryDate],DATE(2026,3,29),tblDaily[WardCode],"BH")=0,"",SUMIFS(tblDaily[TransfersOut],tblDaily[EntryDate],DATE(2026,3,29),tblDaily[WardCode],"BH")),"")</f>
        <v>3</v>
      </c>
      <c r="H113" s="29">
        <f>IFERROR(IF(SUMIFS(tblDaily[Remaining],tblDaily[EntryDate],DATE(2026,3,29),tblDaily[WardCode],"BH")=0,"",SUMIFS(tblDaily[Remaining],tblDaily[EntryDate],DATE(2026,3,29),tblDaily[WardCode],"BH")),"")</f>
        <v>21</v>
      </c>
    </row>
    <row r="114" spans="1:8" x14ac:dyDescent="0.25">
      <c r="A114" s="29">
        <v>30</v>
      </c>
      <c r="B114" s="29">
        <f>IFERROR(IF(SUMIFS(tblDaily[Admissions],tblDaily[EntryDate],DATE(2026,3,30),tblDaily[WardCode],"BH")=0,"",SUMIFS(tblDaily[Admissions],tblDaily[EntryDate],DATE(2026,3,30),tblDaily[WardCode],"BH")),"")</f>
        <v>4</v>
      </c>
      <c r="C114" s="29">
        <f>IFERROR(IF(SUMIFS(tblDaily[Discharges],tblDaily[EntryDate],DATE(2026,3,30),tblDaily[WardCode],"BH")=0,"",SUMIFS(tblDaily[Discharges],tblDaily[EntryDate],DATE(2026,3,30),tblDaily[WardCode],"BH")),"")</f>
        <v>1</v>
      </c>
      <c r="D114" s="29" t="str">
        <f>IFERROR(IF(SUMIFS(tblDaily[Deaths],tblDaily[EntryDate],DATE(2026,3,30),tblDaily[WardCode],"BH")=0,"",SUMIFS(tblDaily[Deaths],tblDaily[EntryDate],DATE(2026,3,30),tblDaily[WardCode],"BH")),"")</f>
        <v/>
      </c>
      <c r="E114" s="29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29">
        <f>IFERROR(IF(SUMIFS(tblDaily[TransfersIn],tblDaily[EntryDate],DATE(2026,3,30),tblDaily[WardCode],"BH")=0,"",SUMIFS(tblDaily[TransfersIn],tblDaily[EntryDate],DATE(2026,3,30),tblDaily[WardCode],"BH")),"")</f>
        <v>1</v>
      </c>
      <c r="G114" s="29" t="str">
        <f>IFERROR(IF(SUMIFS(tblDaily[TransfersOut],tblDaily[EntryDate],DATE(2026,3,30),tblDaily[WardCode],"BH")=0,"",SUMIFS(tblDaily[TransfersOut],tblDaily[EntryDate],DATE(2026,3,30),tblDaily[WardCode],"BH")),"")</f>
        <v/>
      </c>
      <c r="H114" s="29">
        <f>IFERROR(IF(SUMIFS(tblDaily[Remaining],tblDaily[EntryDate],DATE(2026,3,30),tblDaily[WardCode],"BH")=0,"",SUMIFS(tblDaily[Remaining],tblDaily[EntryDate],DATE(2026,3,30),tblDaily[WardCode],"BH")),"")</f>
        <v>25</v>
      </c>
    </row>
    <row r="115" spans="1:8" x14ac:dyDescent="0.25">
      <c r="A115" s="29">
        <v>31</v>
      </c>
      <c r="B115" s="29">
        <f>IFERROR(IF(SUMIFS(tblDaily[Admissions],tblDaily[EntryDate],DATE(2026,3,31),tblDaily[WardCode],"BH")=0,"",SUMIFS(tblDaily[Admissions],tblDaily[EntryDate],DATE(2026,3,31),tblDaily[WardCode],"BH")),"")</f>
        <v>5</v>
      </c>
      <c r="C115" s="29">
        <f>IFERROR(IF(SUMIFS(tblDaily[Discharges],tblDaily[EntryDate],DATE(2026,3,31),tblDaily[WardCode],"BH")=0,"",SUMIFS(tblDaily[Discharges],tblDaily[EntryDate],DATE(2026,3,31),tblDaily[WardCode],"BH")),"")</f>
        <v>3</v>
      </c>
      <c r="D115" s="29" t="str">
        <f>IFERROR(IF(SUMIFS(tblDaily[Deaths],tblDaily[EntryDate],DATE(2026,3,31),tblDaily[WardCode],"BH")=0,"",SUMIFS(tblDaily[Deaths],tblDaily[EntryDate],DATE(2026,3,31),tblDaily[WardCode],"BH")),"")</f>
        <v/>
      </c>
      <c r="E115" s="29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29">
        <f>IFERROR(IF(SUMIFS(tblDaily[TransfersIn],tblDaily[EntryDate],DATE(2026,3,31),tblDaily[WardCode],"BH")=0,"",SUMIFS(tblDaily[TransfersIn],tblDaily[EntryDate],DATE(2026,3,31),tblDaily[WardCode],"BH")),"")</f>
        <v>1</v>
      </c>
      <c r="G115" s="29">
        <f>IFERROR(IF(SUMIFS(tblDaily[TransfersOut],tblDaily[EntryDate],DATE(2026,3,31),tblDaily[WardCode],"BH")=0,"",SUMIFS(tblDaily[TransfersOut],tblDaily[EntryDate],DATE(2026,3,31),tblDaily[WardCode],"BH")),"")</f>
        <v>2</v>
      </c>
      <c r="H115" s="29">
        <f>IFERROR(IF(SUMIFS(tblDaily[Remaining],tblDaily[EntryDate],DATE(2026,3,31),tblDaily[WardCode],"BH")=0,"",SUMIFS(tblDaily[Remaining],tblDaily[EntryDate],DATE(2026,3,31),tblDaily[WardCode],"BH")),"")</f>
        <v>26</v>
      </c>
    </row>
    <row r="116" spans="1:8" x14ac:dyDescent="0.25">
      <c r="A116" s="30" t="s">
        <v>115</v>
      </c>
      <c r="B116" s="30">
        <f>SUMIFS(tblDaily[Admissions],tblDaily[Month],3,tblDaily[WardCode],"BH") - SUMIFS(tblDaily[DeathsUnder24Hrs],tblDaily[Month],3,tblDaily[WardCode],"BH")</f>
        <v>106</v>
      </c>
      <c r="C116" s="30">
        <f>SUMIFS(tblDaily[Discharges],tblDaily[Month],3,tblDaily[WardCode],"BH")</f>
        <v>85</v>
      </c>
      <c r="D116" s="30">
        <f>SUMIFS(tblDaily[Deaths],tblDaily[Month],3,tblDaily[WardCode],"BH")</f>
        <v>0</v>
      </c>
      <c r="E116" s="30">
        <f>SUMIFS(tblDaily[DeathsUnder24Hrs],tblDaily[Month],3,tblDaily[WardCode],"BH")</f>
        <v>0</v>
      </c>
      <c r="F116" s="30">
        <f>SUMIFS(tblDaily[TransfersIn],tblDaily[Month],3,tblDaily[WardCode],"BH")</f>
        <v>41</v>
      </c>
      <c r="G116" s="30">
        <f>SUMIFS(tblDaily[TransfersOut],tblDaily[Month],3,tblDaily[WardCode],"BH")</f>
        <v>52</v>
      </c>
      <c r="H116" s="30">
        <f>SUMIFS(tblDaily[Remaining],tblDaily[Month],3,tblDaily[WardCode],"BH")</f>
        <v>633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120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IFERROR(SUMIFS(tblDaily[Remaining],tblDaily[EntryDate],DATE(2026,3,31),tblDaily[WardCode],"BH"),0)</f>
        <v>26</v>
      </c>
    </row>
    <row r="122" spans="1:8" x14ac:dyDescent="0.25">
      <c r="A122" s="24" t="s">
        <v>109</v>
      </c>
      <c r="H122" s="27">
        <f>IFERROR(INDEX(tblWardConfig[BedComplement],MATCH("BH",tblWardConfig[WardCode],0)),0)</f>
        <v>22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IFERROR(IF(SUMIFS(tblDaily[Admissions],tblDaily[EntryDate],DATE(2026,4,1),tblDaily[WardCode],"BH")=0,"",SUMIFS(tblDaily[Admissions],tblDaily[EntryDate],DATE(2026,4,1),tblDaily[WardCode],"BH")),"")</f>
        <v>4</v>
      </c>
      <c r="C124" s="29">
        <f>IFERROR(IF(SUMIFS(tblDaily[Discharges],tblDaily[EntryDate],DATE(2026,4,1),tblDaily[WardCode],"BH")=0,"",SUMIFS(tblDaily[Discharges],tblDaily[EntryDate],DATE(2026,4,1),tblDaily[WardCode],"BH")),"")</f>
        <v>2</v>
      </c>
      <c r="D124" s="29" t="str">
        <f>IFERROR(IF(SUMIFS(tblDaily[Deaths],tblDaily[EntryDate],DATE(2026,4,1),tblDaily[WardCode],"BH")=0,"",SUMIFS(tblDaily[Deaths],tblDaily[EntryDate],DATE(2026,4,1),tblDaily[WardCode],"BH")),"")</f>
        <v/>
      </c>
      <c r="E124" s="29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29">
        <f>IFERROR(IF(SUMIFS(tblDaily[TransfersIn],tblDaily[EntryDate],DATE(2026,4,1),tblDaily[WardCode],"BH")=0,"",SUMIFS(tblDaily[TransfersIn],tblDaily[EntryDate],DATE(2026,4,1),tblDaily[WardCode],"BH")),"")</f>
        <v>1</v>
      </c>
      <c r="G124" s="29">
        <f>IFERROR(IF(SUMIFS(tblDaily[TransfersOut],tblDaily[EntryDate],DATE(2026,4,1),tblDaily[WardCode],"BH")=0,"",SUMIFS(tblDaily[TransfersOut],tblDaily[EntryDate],DATE(2026,4,1),tblDaily[WardCode],"BH")),"")</f>
        <v>1</v>
      </c>
      <c r="H124" s="29">
        <f>IFERROR(IF(SUMIFS(tblDaily[Remaining],tblDaily[EntryDate],DATE(2026,4,1),tblDaily[WardCode],"BH")=0,"",SUMIFS(tblDaily[Remaining],tblDaily[EntryDate],DATE(2026,4,1),tblDaily[WardCode],"BH")),"")</f>
        <v>28</v>
      </c>
    </row>
    <row r="125" spans="1:8" x14ac:dyDescent="0.25">
      <c r="A125" s="29">
        <v>2</v>
      </c>
      <c r="B125" s="29">
        <f>IFERROR(IF(SUMIFS(tblDaily[Admissions],tblDaily[EntryDate],DATE(2026,4,2),tblDaily[WardCode],"BH")=0,"",SUMIFS(tblDaily[Admissions],tblDaily[EntryDate],DATE(2026,4,2),tblDaily[WardCode],"BH")),"")</f>
        <v>4</v>
      </c>
      <c r="C125" s="29">
        <f>IFERROR(IF(SUMIFS(tblDaily[Discharges],tblDaily[EntryDate],DATE(2026,4,2),tblDaily[WardCode],"BH")=0,"",SUMIFS(tblDaily[Discharges],tblDaily[EntryDate],DATE(2026,4,2),tblDaily[WardCode],"BH")),"")</f>
        <v>10</v>
      </c>
      <c r="D125" s="29" t="str">
        <f>IFERROR(IF(SUMIFS(tblDaily[Deaths],tblDaily[EntryDate],DATE(2026,4,2),tblDaily[WardCode],"BH")=0,"",SUMIFS(tblDaily[Deaths],tblDaily[EntryDate],DATE(2026,4,2),tblDaily[WardCode],"BH")),"")</f>
        <v/>
      </c>
      <c r="E125" s="29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29" t="str">
        <f>IFERROR(IF(SUMIFS(tblDaily[TransfersIn],tblDaily[EntryDate],DATE(2026,4,2),tblDaily[WardCode],"BH")=0,"",SUMIFS(tblDaily[TransfersIn],tblDaily[EntryDate],DATE(2026,4,2),tblDaily[WardCode],"BH")),"")</f>
        <v/>
      </c>
      <c r="G125" s="29" t="str">
        <f>IFERROR(IF(SUMIFS(tblDaily[TransfersOut],tblDaily[EntryDate],DATE(2026,4,2),tblDaily[WardCode],"BH")=0,"",SUMIFS(tblDaily[TransfersOut],tblDaily[EntryDate],DATE(2026,4,2),tblDaily[WardCode],"BH")),"")</f>
        <v/>
      </c>
      <c r="H125" s="29">
        <f>IFERROR(IF(SUMIFS(tblDaily[Remaining],tblDaily[EntryDate],DATE(2026,4,2),tblDaily[WardCode],"BH")=0,"",SUMIFS(tblDaily[Remaining],tblDaily[EntryDate],DATE(2026,4,2),tblDaily[WardCode],"BH")),"")</f>
        <v>22</v>
      </c>
    </row>
    <row r="126" spans="1:8" x14ac:dyDescent="0.25">
      <c r="A126" s="29">
        <v>3</v>
      </c>
      <c r="B126" s="29" t="str">
        <f>IFERROR(IF(SUMIFS(tblDaily[Admissions],tblDaily[EntryDate],DATE(2026,4,3),tblDaily[WardCode],"BH")=0,"",SUMIFS(tblDaily[Admissions],tblDaily[EntryDate],DATE(2026,4,3),tblDaily[WardCode],"BH")),"")</f>
        <v/>
      </c>
      <c r="C126" s="29">
        <f>IFERROR(IF(SUMIFS(tblDaily[Discharges],tblDaily[EntryDate],DATE(2026,4,3),tblDaily[WardCode],"BH")=0,"",SUMIFS(tblDaily[Discharges],tblDaily[EntryDate],DATE(2026,4,3),tblDaily[WardCode],"BH")),"")</f>
        <v>3</v>
      </c>
      <c r="D126" s="29" t="str">
        <f>IFERROR(IF(SUMIFS(tblDaily[Deaths],tblDaily[EntryDate],DATE(2026,4,3),tblDaily[WardCode],"BH")=0,"",SUMIFS(tblDaily[Deaths],tblDaily[EntryDate],DATE(2026,4,3),tblDaily[WardCode],"BH")),"")</f>
        <v/>
      </c>
      <c r="E126" s="29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29">
        <f>IFERROR(IF(SUMIFS(tblDaily[TransfersIn],tblDaily[EntryDate],DATE(2026,4,3),tblDaily[WardCode],"BH")=0,"",SUMIFS(tblDaily[TransfersIn],tblDaily[EntryDate],DATE(2026,4,3),tblDaily[WardCode],"BH")),"")</f>
        <v>3</v>
      </c>
      <c r="G126" s="29">
        <f>IFERROR(IF(SUMIFS(tblDaily[TransfersOut],tblDaily[EntryDate],DATE(2026,4,3),tblDaily[WardCode],"BH")=0,"",SUMIFS(tblDaily[TransfersOut],tblDaily[EntryDate],DATE(2026,4,3),tblDaily[WardCode],"BH")),"")</f>
        <v>1</v>
      </c>
      <c r="H126" s="29">
        <f>IFERROR(IF(SUMIFS(tblDaily[Remaining],tblDaily[EntryDate],DATE(2026,4,3),tblDaily[WardCode],"BH")=0,"",SUMIFS(tblDaily[Remaining],tblDaily[EntryDate],DATE(2026,4,3),tblDaily[WardCode],"BH")),"")</f>
        <v>21</v>
      </c>
    </row>
    <row r="127" spans="1:8" x14ac:dyDescent="0.25">
      <c r="A127" s="29">
        <v>4</v>
      </c>
      <c r="B127" s="29">
        <f>IFERROR(IF(SUMIFS(tblDaily[Admissions],tblDaily[EntryDate],DATE(2026,4,4),tblDaily[WardCode],"BH")=0,"",SUMIFS(tblDaily[Admissions],tblDaily[EntryDate],DATE(2026,4,4),tblDaily[WardCode],"BH")),"")</f>
        <v>1</v>
      </c>
      <c r="C127" s="29">
        <f>IFERROR(IF(SUMIFS(tblDaily[Discharges],tblDaily[EntryDate],DATE(2026,4,4),tblDaily[WardCode],"BH")=0,"",SUMIFS(tblDaily[Discharges],tblDaily[EntryDate],DATE(2026,4,4),tblDaily[WardCode],"BH")),"")</f>
        <v>2</v>
      </c>
      <c r="D127" s="29" t="str">
        <f>IFERROR(IF(SUMIFS(tblDaily[Deaths],tblDaily[EntryDate],DATE(2026,4,4),tblDaily[WardCode],"BH")=0,"",SUMIFS(tblDaily[Deaths],tblDaily[EntryDate],DATE(2026,4,4),tblDaily[WardCode],"BH")),"")</f>
        <v/>
      </c>
      <c r="E127" s="29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29" t="str">
        <f>IFERROR(IF(SUMIFS(tblDaily[TransfersIn],tblDaily[EntryDate],DATE(2026,4,4),tblDaily[WardCode],"BH")=0,"",SUMIFS(tblDaily[TransfersIn],tblDaily[EntryDate],DATE(2026,4,4),tblDaily[WardCode],"BH")),"")</f>
        <v/>
      </c>
      <c r="G127" s="29">
        <f>IFERROR(IF(SUMIFS(tblDaily[TransfersOut],tblDaily[EntryDate],DATE(2026,4,4),tblDaily[WardCode],"BH")=0,"",SUMIFS(tblDaily[TransfersOut],tblDaily[EntryDate],DATE(2026,4,4),tblDaily[WardCode],"BH")),"")</f>
        <v>2</v>
      </c>
      <c r="H127" s="29">
        <f>IFERROR(IF(SUMIFS(tblDaily[Remaining],tblDaily[EntryDate],DATE(2026,4,4),tblDaily[WardCode],"BH")=0,"",SUMIFS(tblDaily[Remaining],tblDaily[EntryDate],DATE(2026,4,4),tblDaily[WardCode],"BH")),"")</f>
        <v>18</v>
      </c>
    </row>
    <row r="128" spans="1:8" x14ac:dyDescent="0.25">
      <c r="A128" s="29">
        <v>5</v>
      </c>
      <c r="B128" s="29">
        <f>IFERROR(IF(SUMIFS(tblDaily[Admissions],tblDaily[EntryDate],DATE(2026,4,5),tblDaily[WardCode],"BH")=0,"",SUMIFS(tblDaily[Admissions],tblDaily[EntryDate],DATE(2026,4,5),tblDaily[WardCode],"BH")),"")</f>
        <v>1</v>
      </c>
      <c r="C128" s="29">
        <f>IFERROR(IF(SUMIFS(tblDaily[Discharges],tblDaily[EntryDate],DATE(2026,4,5),tblDaily[WardCode],"BH")=0,"",SUMIFS(tblDaily[Discharges],tblDaily[EntryDate],DATE(2026,4,5),tblDaily[WardCode],"BH")),"")</f>
        <v>3</v>
      </c>
      <c r="D128" s="29" t="str">
        <f>IFERROR(IF(SUMIFS(tblDaily[Deaths],tblDaily[EntryDate],DATE(2026,4,5),tblDaily[WardCode],"BH")=0,"",SUMIFS(tblDaily[Deaths],tblDaily[EntryDate],DATE(2026,4,5),tblDaily[WardCode],"BH")),"")</f>
        <v/>
      </c>
      <c r="E128" s="29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29" t="str">
        <f>IFERROR(IF(SUMIFS(tblDaily[TransfersIn],tblDaily[EntryDate],DATE(2026,4,5),tblDaily[WardCode],"BH")=0,"",SUMIFS(tblDaily[TransfersIn],tblDaily[EntryDate],DATE(2026,4,5),tblDaily[WardCode],"BH")),"")</f>
        <v/>
      </c>
      <c r="G128" s="29" t="str">
        <f>IFERROR(IF(SUMIFS(tblDaily[TransfersOut],tblDaily[EntryDate],DATE(2026,4,5),tblDaily[WardCode],"BH")=0,"",SUMIFS(tblDaily[TransfersOut],tblDaily[EntryDate],DATE(2026,4,5),tblDaily[WardCode],"BH")),"")</f>
        <v/>
      </c>
      <c r="H128" s="29">
        <f>IFERROR(IF(SUMIFS(tblDaily[Remaining],tblDaily[EntryDate],DATE(2026,4,5),tblDaily[WardCode],"BH")=0,"",SUMIFS(tblDaily[Remaining],tblDaily[EntryDate],DATE(2026,4,5),tblDaily[WardCode],"BH")),"")</f>
        <v>16</v>
      </c>
    </row>
    <row r="129" spans="1:8" x14ac:dyDescent="0.25">
      <c r="A129" s="29">
        <v>6</v>
      </c>
      <c r="B129" s="29">
        <f>IFERROR(IF(SUMIFS(tblDaily[Admissions],tblDaily[EntryDate],DATE(2026,4,6),tblDaily[WardCode],"BH")=0,"",SUMIFS(tblDaily[Admissions],tblDaily[EntryDate],DATE(2026,4,6),tblDaily[WardCode],"BH")),"")</f>
        <v>3</v>
      </c>
      <c r="C129" s="29">
        <f>IFERROR(IF(SUMIFS(tblDaily[Discharges],tblDaily[EntryDate],DATE(2026,4,6),tblDaily[WardCode],"BH")=0,"",SUMIFS(tblDaily[Discharges],tblDaily[EntryDate],DATE(2026,4,6),tblDaily[WardCode],"BH")),"")</f>
        <v>2</v>
      </c>
      <c r="D129" s="29" t="str">
        <f>IFERROR(IF(SUMIFS(tblDaily[Deaths],tblDaily[EntryDate],DATE(2026,4,6),tblDaily[WardCode],"BH")=0,"",SUMIFS(tblDaily[Deaths],tblDaily[EntryDate],DATE(2026,4,6),tblDaily[WardCode],"BH")),"")</f>
        <v/>
      </c>
      <c r="E129" s="29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29" t="str">
        <f>IFERROR(IF(SUMIFS(tblDaily[TransfersIn],tblDaily[EntryDate],DATE(2026,4,6),tblDaily[WardCode],"BH")=0,"",SUMIFS(tblDaily[TransfersIn],tblDaily[EntryDate],DATE(2026,4,6),tblDaily[WardCode],"BH")),"")</f>
        <v/>
      </c>
      <c r="G129" s="29">
        <f>IFERROR(IF(SUMIFS(tblDaily[TransfersOut],tblDaily[EntryDate],DATE(2026,4,6),tblDaily[WardCode],"BH")=0,"",SUMIFS(tblDaily[TransfersOut],tblDaily[EntryDate],DATE(2026,4,6),tblDaily[WardCode],"BH")),"")</f>
        <v>4</v>
      </c>
      <c r="H129" s="29">
        <f>IFERROR(IF(SUMIFS(tblDaily[Remaining],tblDaily[EntryDate],DATE(2026,4,6),tblDaily[WardCode],"BH")=0,"",SUMIFS(tblDaily[Remaining],tblDaily[EntryDate],DATE(2026,4,6),tblDaily[WardCode],"BH")),"")</f>
        <v>13</v>
      </c>
    </row>
    <row r="130" spans="1:8" x14ac:dyDescent="0.25">
      <c r="A130" s="29">
        <v>7</v>
      </c>
      <c r="B130" s="29" t="str">
        <f>IFERROR(IF(SUMIFS(tblDaily[Admissions],tblDaily[EntryDate],DATE(2026,4,7),tblDaily[WardCode],"BH")=0,"",SUMIFS(tblDaily[Admissions],tblDaily[EntryDate],DATE(2026,4,7),tblDaily[WardCode],"BH")),"")</f>
        <v/>
      </c>
      <c r="C130" s="29" t="str">
        <f>IFERROR(IF(SUMIFS(tblDaily[Discharges],tblDaily[EntryDate],DATE(2026,4,7),tblDaily[WardCode],"BH")=0,"",SUMIFS(tblDaily[Discharges],tblDaily[EntryDate],DATE(2026,4,7),tblDaily[WardCode],"BH")),"")</f>
        <v/>
      </c>
      <c r="D130" s="29" t="str">
        <f>IFERROR(IF(SUMIFS(tblDaily[Deaths],tblDaily[EntryDate],DATE(2026,4,7),tblDaily[WardCode],"BH")=0,"",SUMIFS(tblDaily[Deaths],tblDaily[EntryDate],DATE(2026,4,7),tblDaily[WardCode],"BH")),"")</f>
        <v/>
      </c>
      <c r="E130" s="29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29" t="str">
        <f>IFERROR(IF(SUMIFS(tblDaily[TransfersIn],tblDaily[EntryDate],DATE(2026,4,7),tblDaily[WardCode],"BH")=0,"",SUMIFS(tblDaily[TransfersIn],tblDaily[EntryDate],DATE(2026,4,7),tblDaily[WardCode],"BH")),"")</f>
        <v/>
      </c>
      <c r="G130" s="29" t="str">
        <f>IFERROR(IF(SUMIFS(tblDaily[TransfersOut],tblDaily[EntryDate],DATE(2026,4,7),tblDaily[WardCode],"BH")=0,"",SUMIFS(tblDaily[TransfersOut],tblDaily[EntryDate],DATE(2026,4,7),tblDaily[WardCode],"BH")),"")</f>
        <v/>
      </c>
      <c r="H130" s="29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IFERROR(IF(SUMIFS(tblDaily[Admissions],tblDaily[EntryDate],DATE(2026,4,8),tblDaily[WardCode],"BH")=0,"",SUMIFS(tblDaily[Admissions],tblDaily[EntryDate],DATE(2026,4,8),tblDaily[WardCode],"BH")),"")</f>
        <v/>
      </c>
      <c r="C131" s="29" t="str">
        <f>IFERROR(IF(SUMIFS(tblDaily[Discharges],tblDaily[EntryDate],DATE(2026,4,8),tblDaily[WardCode],"BH")=0,"",SUMIFS(tblDaily[Discharges],tblDaily[EntryDate],DATE(2026,4,8),tblDaily[WardCode],"BH")),"")</f>
        <v/>
      </c>
      <c r="D131" s="29" t="str">
        <f>IFERROR(IF(SUMIFS(tblDaily[Deaths],tblDaily[EntryDate],DATE(2026,4,8),tblDaily[WardCode],"BH")=0,"",SUMIFS(tblDaily[Deaths],tblDaily[EntryDate],DATE(2026,4,8),tblDaily[WardCode],"BH")),"")</f>
        <v/>
      </c>
      <c r="E131" s="29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29" t="str">
        <f>IFERROR(IF(SUMIFS(tblDaily[TransfersIn],tblDaily[EntryDate],DATE(2026,4,8),tblDaily[WardCode],"BH")=0,"",SUMIFS(tblDaily[TransfersIn],tblDaily[EntryDate],DATE(2026,4,8),tblDaily[WardCode],"BH")),"")</f>
        <v/>
      </c>
      <c r="G131" s="29" t="str">
        <f>IFERROR(IF(SUMIFS(tblDaily[TransfersOut],tblDaily[EntryDate],DATE(2026,4,8),tblDaily[WardCode],"BH")=0,"",SUMIFS(tblDaily[TransfersOut],tblDaily[EntryDate],DATE(2026,4,8),tblDaily[WardCode],"BH")),"")</f>
        <v/>
      </c>
      <c r="H131" s="29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IFERROR(IF(SUMIFS(tblDaily[Admissions],tblDaily[EntryDate],DATE(2026,4,9),tblDaily[WardCode],"BH")=0,"",SUMIFS(tblDaily[Admissions],tblDaily[EntryDate],DATE(2026,4,9),tblDaily[WardCode],"BH")),"")</f>
        <v/>
      </c>
      <c r="C132" s="29" t="str">
        <f>IFERROR(IF(SUMIFS(tblDaily[Discharges],tblDaily[EntryDate],DATE(2026,4,9),tblDaily[WardCode],"BH")=0,"",SUMIFS(tblDaily[Discharges],tblDaily[EntryDate],DATE(2026,4,9),tblDaily[WardCode],"BH")),"")</f>
        <v/>
      </c>
      <c r="D132" s="29" t="str">
        <f>IFERROR(IF(SUMIFS(tblDaily[Deaths],tblDaily[EntryDate],DATE(2026,4,9),tblDaily[WardCode],"BH")=0,"",SUMIFS(tblDaily[Deaths],tblDaily[EntryDate],DATE(2026,4,9),tblDaily[WardCode],"BH")),"")</f>
        <v/>
      </c>
      <c r="E132" s="29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29" t="str">
        <f>IFERROR(IF(SUMIFS(tblDaily[TransfersIn],tblDaily[EntryDate],DATE(2026,4,9),tblDaily[WardCode],"BH")=0,"",SUMIFS(tblDaily[TransfersIn],tblDaily[EntryDate],DATE(2026,4,9),tblDaily[WardCode],"BH")),"")</f>
        <v/>
      </c>
      <c r="G132" s="29" t="str">
        <f>IFERROR(IF(SUMIFS(tblDaily[TransfersOut],tblDaily[EntryDate],DATE(2026,4,9),tblDaily[WardCode],"BH")=0,"",SUMIFS(tblDaily[TransfersOut],tblDaily[EntryDate],DATE(2026,4,9),tblDaily[WardCode],"BH")),"")</f>
        <v/>
      </c>
      <c r="H132" s="29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IFERROR(IF(SUMIFS(tblDaily[Admissions],tblDaily[EntryDate],DATE(2026,4,10),tblDaily[WardCode],"BH")=0,"",SUMIFS(tblDaily[Admissions],tblDaily[EntryDate],DATE(2026,4,10),tblDaily[WardCode],"BH")),"")</f>
        <v/>
      </c>
      <c r="C133" s="29" t="str">
        <f>IFERROR(IF(SUMIFS(tblDaily[Discharges],tblDaily[EntryDate],DATE(2026,4,10),tblDaily[WardCode],"BH")=0,"",SUMIFS(tblDaily[Discharges],tblDaily[EntryDate],DATE(2026,4,10),tblDaily[WardCode],"BH")),"")</f>
        <v/>
      </c>
      <c r="D133" s="29" t="str">
        <f>IFERROR(IF(SUMIFS(tblDaily[Deaths],tblDaily[EntryDate],DATE(2026,4,10),tblDaily[WardCode],"BH")=0,"",SUMIFS(tblDaily[Deaths],tblDaily[EntryDate],DATE(2026,4,10),tblDaily[WardCode],"BH")),"")</f>
        <v/>
      </c>
      <c r="E133" s="29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29" t="str">
        <f>IFERROR(IF(SUMIFS(tblDaily[TransfersIn],tblDaily[EntryDate],DATE(2026,4,10),tblDaily[WardCode],"BH")=0,"",SUMIFS(tblDaily[TransfersIn],tblDaily[EntryDate],DATE(2026,4,10),tblDaily[WardCode],"BH")),"")</f>
        <v/>
      </c>
      <c r="G133" s="29" t="str">
        <f>IFERROR(IF(SUMIFS(tblDaily[TransfersOut],tblDaily[EntryDate],DATE(2026,4,10),tblDaily[WardCode],"BH")=0,"",SUMIFS(tblDaily[TransfersOut],tblDaily[EntryDate],DATE(2026,4,10),tblDaily[WardCode],"BH")),"")</f>
        <v/>
      </c>
      <c r="H133" s="29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IFERROR(IF(SUMIFS(tblDaily[Admissions],tblDaily[EntryDate],DATE(2026,4,11),tblDaily[WardCode],"BH")=0,"",SUMIFS(tblDaily[Admissions],tblDaily[EntryDate],DATE(2026,4,11),tblDaily[WardCode],"BH")),"")</f>
        <v/>
      </c>
      <c r="C134" s="29" t="str">
        <f>IFERROR(IF(SUMIFS(tblDaily[Discharges],tblDaily[EntryDate],DATE(2026,4,11),tblDaily[WardCode],"BH")=0,"",SUMIFS(tblDaily[Discharges],tblDaily[EntryDate],DATE(2026,4,11),tblDaily[WardCode],"BH")),"")</f>
        <v/>
      </c>
      <c r="D134" s="29" t="str">
        <f>IFERROR(IF(SUMIFS(tblDaily[Deaths],tblDaily[EntryDate],DATE(2026,4,11),tblDaily[WardCode],"BH")=0,"",SUMIFS(tblDaily[Deaths],tblDaily[EntryDate],DATE(2026,4,11),tblDaily[WardCode],"BH")),"")</f>
        <v/>
      </c>
      <c r="E134" s="29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29" t="str">
        <f>IFERROR(IF(SUMIFS(tblDaily[TransfersIn],tblDaily[EntryDate],DATE(2026,4,11),tblDaily[WardCode],"BH")=0,"",SUMIFS(tblDaily[TransfersIn],tblDaily[EntryDate],DATE(2026,4,11),tblDaily[WardCode],"BH")),"")</f>
        <v/>
      </c>
      <c r="G134" s="29" t="str">
        <f>IFERROR(IF(SUMIFS(tblDaily[TransfersOut],tblDaily[EntryDate],DATE(2026,4,11),tblDaily[WardCode],"BH")=0,"",SUMIFS(tblDaily[TransfersOut],tblDaily[EntryDate],DATE(2026,4,11),tblDaily[WardCode],"BH")),"")</f>
        <v/>
      </c>
      <c r="H134" s="29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IFERROR(IF(SUMIFS(tblDaily[Admissions],tblDaily[EntryDate],DATE(2026,4,12),tblDaily[WardCode],"BH")=0,"",SUMIFS(tblDaily[Admissions],tblDaily[EntryDate],DATE(2026,4,12),tblDaily[WardCode],"BH")),"")</f>
        <v/>
      </c>
      <c r="C135" s="29" t="str">
        <f>IFERROR(IF(SUMIFS(tblDaily[Discharges],tblDaily[EntryDate],DATE(2026,4,12),tblDaily[WardCode],"BH")=0,"",SUMIFS(tblDaily[Discharges],tblDaily[EntryDate],DATE(2026,4,12),tblDaily[WardCode],"BH")),"")</f>
        <v/>
      </c>
      <c r="D135" s="29" t="str">
        <f>IFERROR(IF(SUMIFS(tblDaily[Deaths],tblDaily[EntryDate],DATE(2026,4,12),tblDaily[WardCode],"BH")=0,"",SUMIFS(tblDaily[Deaths],tblDaily[EntryDate],DATE(2026,4,12),tblDaily[WardCode],"BH")),"")</f>
        <v/>
      </c>
      <c r="E135" s="29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29" t="str">
        <f>IFERROR(IF(SUMIFS(tblDaily[TransfersIn],tblDaily[EntryDate],DATE(2026,4,12),tblDaily[WardCode],"BH")=0,"",SUMIFS(tblDaily[TransfersIn],tblDaily[EntryDate],DATE(2026,4,12),tblDaily[WardCode],"BH")),"")</f>
        <v/>
      </c>
      <c r="G135" s="29" t="str">
        <f>IFERROR(IF(SUMIFS(tblDaily[TransfersOut],tblDaily[EntryDate],DATE(2026,4,12),tblDaily[WardCode],"BH")=0,"",SUMIFS(tblDaily[TransfersOut],tblDaily[EntryDate],DATE(2026,4,12),tblDaily[WardCode],"BH")),"")</f>
        <v/>
      </c>
      <c r="H135" s="29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IFERROR(IF(SUMIFS(tblDaily[Admissions],tblDaily[EntryDate],DATE(2026,4,13),tblDaily[WardCode],"BH")=0,"",SUMIFS(tblDaily[Admissions],tblDaily[EntryDate],DATE(2026,4,13),tblDaily[WardCode],"BH")),"")</f>
        <v/>
      </c>
      <c r="C136" s="29" t="str">
        <f>IFERROR(IF(SUMIFS(tblDaily[Discharges],tblDaily[EntryDate],DATE(2026,4,13),tblDaily[WardCode],"BH")=0,"",SUMIFS(tblDaily[Discharges],tblDaily[EntryDate],DATE(2026,4,13),tblDaily[WardCode],"BH")),"")</f>
        <v/>
      </c>
      <c r="D136" s="29" t="str">
        <f>IFERROR(IF(SUMIFS(tblDaily[Deaths],tblDaily[EntryDate],DATE(2026,4,13),tblDaily[WardCode],"BH")=0,"",SUMIFS(tblDaily[Deaths],tblDaily[EntryDate],DATE(2026,4,13),tblDaily[WardCode],"BH")),"")</f>
        <v/>
      </c>
      <c r="E136" s="29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29" t="str">
        <f>IFERROR(IF(SUMIFS(tblDaily[TransfersIn],tblDaily[EntryDate],DATE(2026,4,13),tblDaily[WardCode],"BH")=0,"",SUMIFS(tblDaily[TransfersIn],tblDaily[EntryDate],DATE(2026,4,13),tblDaily[WardCode],"BH")),"")</f>
        <v/>
      </c>
      <c r="G136" s="29" t="str">
        <f>IFERROR(IF(SUMIFS(tblDaily[TransfersOut],tblDaily[EntryDate],DATE(2026,4,13),tblDaily[WardCode],"BH")=0,"",SUMIFS(tblDaily[TransfersOut],tblDaily[EntryDate],DATE(2026,4,13),tblDaily[WardCode],"BH")),"")</f>
        <v/>
      </c>
      <c r="H136" s="29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IFERROR(IF(SUMIFS(tblDaily[Admissions],tblDaily[EntryDate],DATE(2026,4,14),tblDaily[WardCode],"BH")=0,"",SUMIFS(tblDaily[Admissions],tblDaily[EntryDate],DATE(2026,4,14),tblDaily[WardCode],"BH")),"")</f>
        <v/>
      </c>
      <c r="C137" s="29" t="str">
        <f>IFERROR(IF(SUMIFS(tblDaily[Discharges],tblDaily[EntryDate],DATE(2026,4,14),tblDaily[WardCode],"BH")=0,"",SUMIFS(tblDaily[Discharges],tblDaily[EntryDate],DATE(2026,4,14),tblDaily[WardCode],"BH")),"")</f>
        <v/>
      </c>
      <c r="D137" s="29" t="str">
        <f>IFERROR(IF(SUMIFS(tblDaily[Deaths],tblDaily[EntryDate],DATE(2026,4,14),tblDaily[WardCode],"BH")=0,"",SUMIFS(tblDaily[Deaths],tblDaily[EntryDate],DATE(2026,4,14),tblDaily[WardCode],"BH")),"")</f>
        <v/>
      </c>
      <c r="E137" s="29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29" t="str">
        <f>IFERROR(IF(SUMIFS(tblDaily[TransfersIn],tblDaily[EntryDate],DATE(2026,4,14),tblDaily[WardCode],"BH")=0,"",SUMIFS(tblDaily[TransfersIn],tblDaily[EntryDate],DATE(2026,4,14),tblDaily[WardCode],"BH")),"")</f>
        <v/>
      </c>
      <c r="G137" s="29" t="str">
        <f>IFERROR(IF(SUMIFS(tblDaily[TransfersOut],tblDaily[EntryDate],DATE(2026,4,14),tblDaily[WardCode],"BH")=0,"",SUMIFS(tblDaily[TransfersOut],tblDaily[EntryDate],DATE(2026,4,14),tblDaily[WardCode],"BH")),"")</f>
        <v/>
      </c>
      <c r="H137" s="29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IFERROR(IF(SUMIFS(tblDaily[Admissions],tblDaily[EntryDate],DATE(2026,4,15),tblDaily[WardCode],"BH")=0,"",SUMIFS(tblDaily[Admissions],tblDaily[EntryDate],DATE(2026,4,15),tblDaily[WardCode],"BH")),"")</f>
        <v/>
      </c>
      <c r="C138" s="29" t="str">
        <f>IFERROR(IF(SUMIFS(tblDaily[Discharges],tblDaily[EntryDate],DATE(2026,4,15),tblDaily[WardCode],"BH")=0,"",SUMIFS(tblDaily[Discharges],tblDaily[EntryDate],DATE(2026,4,15),tblDaily[WardCode],"BH")),"")</f>
        <v/>
      </c>
      <c r="D138" s="29" t="str">
        <f>IFERROR(IF(SUMIFS(tblDaily[Deaths],tblDaily[EntryDate],DATE(2026,4,15),tblDaily[WardCode],"BH")=0,"",SUMIFS(tblDaily[Deaths],tblDaily[EntryDate],DATE(2026,4,15),tblDaily[WardCode],"BH")),"")</f>
        <v/>
      </c>
      <c r="E138" s="29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29" t="str">
        <f>IFERROR(IF(SUMIFS(tblDaily[TransfersIn],tblDaily[EntryDate],DATE(2026,4,15),tblDaily[WardCode],"BH")=0,"",SUMIFS(tblDaily[TransfersIn],tblDaily[EntryDate],DATE(2026,4,15),tblDaily[WardCode],"BH")),"")</f>
        <v/>
      </c>
      <c r="G138" s="29" t="str">
        <f>IFERROR(IF(SUMIFS(tblDaily[TransfersOut],tblDaily[EntryDate],DATE(2026,4,15),tblDaily[WardCode],"BH")=0,"",SUMIFS(tblDaily[TransfersOut],tblDaily[EntryDate],DATE(2026,4,15),tblDaily[WardCode],"BH")),"")</f>
        <v/>
      </c>
      <c r="H138" s="29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IFERROR(IF(SUMIFS(tblDaily[Admissions],tblDaily[EntryDate],DATE(2026,4,16),tblDaily[WardCode],"BH")=0,"",SUMIFS(tblDaily[Admissions],tblDaily[EntryDate],DATE(2026,4,16),tblDaily[WardCode],"BH")),"")</f>
        <v/>
      </c>
      <c r="C139" s="29" t="str">
        <f>IFERROR(IF(SUMIFS(tblDaily[Discharges],tblDaily[EntryDate],DATE(2026,4,16),tblDaily[WardCode],"BH")=0,"",SUMIFS(tblDaily[Discharges],tblDaily[EntryDate],DATE(2026,4,16),tblDaily[WardCode],"BH")),"")</f>
        <v/>
      </c>
      <c r="D139" s="29" t="str">
        <f>IFERROR(IF(SUMIFS(tblDaily[Deaths],tblDaily[EntryDate],DATE(2026,4,16),tblDaily[WardCode],"BH")=0,"",SUMIFS(tblDaily[Deaths],tblDaily[EntryDate],DATE(2026,4,16),tblDaily[WardCode],"BH")),"")</f>
        <v/>
      </c>
      <c r="E139" s="29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29" t="str">
        <f>IFERROR(IF(SUMIFS(tblDaily[TransfersIn],tblDaily[EntryDate],DATE(2026,4,16),tblDaily[WardCode],"BH")=0,"",SUMIFS(tblDaily[TransfersIn],tblDaily[EntryDate],DATE(2026,4,16),tblDaily[WardCode],"BH")),"")</f>
        <v/>
      </c>
      <c r="G139" s="29" t="str">
        <f>IFERROR(IF(SUMIFS(tblDaily[TransfersOut],tblDaily[EntryDate],DATE(2026,4,16),tblDaily[WardCode],"BH")=0,"",SUMIFS(tblDaily[TransfersOut],tblDaily[EntryDate],DATE(2026,4,16),tblDaily[WardCode],"BH")),"")</f>
        <v/>
      </c>
      <c r="H139" s="29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IFERROR(IF(SUMIFS(tblDaily[Admissions],tblDaily[EntryDate],DATE(2026,4,17),tblDaily[WardCode],"BH")=0,"",SUMIFS(tblDaily[Admissions],tblDaily[EntryDate],DATE(2026,4,17),tblDaily[WardCode],"BH")),"")</f>
        <v/>
      </c>
      <c r="C140" s="29" t="str">
        <f>IFERROR(IF(SUMIFS(tblDaily[Discharges],tblDaily[EntryDate],DATE(2026,4,17),tblDaily[WardCode],"BH")=0,"",SUMIFS(tblDaily[Discharges],tblDaily[EntryDate],DATE(2026,4,17),tblDaily[WardCode],"BH")),"")</f>
        <v/>
      </c>
      <c r="D140" s="29" t="str">
        <f>IFERROR(IF(SUMIFS(tblDaily[Deaths],tblDaily[EntryDate],DATE(2026,4,17),tblDaily[WardCode],"BH")=0,"",SUMIFS(tblDaily[Deaths],tblDaily[EntryDate],DATE(2026,4,17),tblDaily[WardCode],"BH")),"")</f>
        <v/>
      </c>
      <c r="E140" s="29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29" t="str">
        <f>IFERROR(IF(SUMIFS(tblDaily[TransfersIn],tblDaily[EntryDate],DATE(2026,4,17),tblDaily[WardCode],"BH")=0,"",SUMIFS(tblDaily[TransfersIn],tblDaily[EntryDate],DATE(2026,4,17),tblDaily[WardCode],"BH")),"")</f>
        <v/>
      </c>
      <c r="G140" s="29" t="str">
        <f>IFERROR(IF(SUMIFS(tblDaily[TransfersOut],tblDaily[EntryDate],DATE(2026,4,17),tblDaily[WardCode],"BH")=0,"",SUMIFS(tblDaily[TransfersOut],tblDaily[EntryDate],DATE(2026,4,17),tblDaily[WardCode],"BH")),"")</f>
        <v/>
      </c>
      <c r="H140" s="29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IFERROR(IF(SUMIFS(tblDaily[Admissions],tblDaily[EntryDate],DATE(2026,4,18),tblDaily[WardCode],"BH")=0,"",SUMIFS(tblDaily[Admissions],tblDaily[EntryDate],DATE(2026,4,18),tblDaily[WardCode],"BH")),"")</f>
        <v/>
      </c>
      <c r="C141" s="29" t="str">
        <f>IFERROR(IF(SUMIFS(tblDaily[Discharges],tblDaily[EntryDate],DATE(2026,4,18),tblDaily[WardCode],"BH")=0,"",SUMIFS(tblDaily[Discharges],tblDaily[EntryDate],DATE(2026,4,18),tblDaily[WardCode],"BH")),"")</f>
        <v/>
      </c>
      <c r="D141" s="29" t="str">
        <f>IFERROR(IF(SUMIFS(tblDaily[Deaths],tblDaily[EntryDate],DATE(2026,4,18),tblDaily[WardCode],"BH")=0,"",SUMIFS(tblDaily[Deaths],tblDaily[EntryDate],DATE(2026,4,18),tblDaily[WardCode],"BH")),"")</f>
        <v/>
      </c>
      <c r="E141" s="29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29" t="str">
        <f>IFERROR(IF(SUMIFS(tblDaily[TransfersIn],tblDaily[EntryDate],DATE(2026,4,18),tblDaily[WardCode],"BH")=0,"",SUMIFS(tblDaily[TransfersIn],tblDaily[EntryDate],DATE(2026,4,18),tblDaily[WardCode],"BH")),"")</f>
        <v/>
      </c>
      <c r="G141" s="29" t="str">
        <f>IFERROR(IF(SUMIFS(tblDaily[TransfersOut],tblDaily[EntryDate],DATE(2026,4,18),tblDaily[WardCode],"BH")=0,"",SUMIFS(tblDaily[TransfersOut],tblDaily[EntryDate],DATE(2026,4,18),tblDaily[WardCode],"BH")),"")</f>
        <v/>
      </c>
      <c r="H141" s="29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IFERROR(IF(SUMIFS(tblDaily[Admissions],tblDaily[EntryDate],DATE(2026,4,19),tblDaily[WardCode],"BH")=0,"",SUMIFS(tblDaily[Admissions],tblDaily[EntryDate],DATE(2026,4,19),tblDaily[WardCode],"BH")),"")</f>
        <v/>
      </c>
      <c r="C142" s="29" t="str">
        <f>IFERROR(IF(SUMIFS(tblDaily[Discharges],tblDaily[EntryDate],DATE(2026,4,19),tblDaily[WardCode],"BH")=0,"",SUMIFS(tblDaily[Discharges],tblDaily[EntryDate],DATE(2026,4,19),tblDaily[WardCode],"BH")),"")</f>
        <v/>
      </c>
      <c r="D142" s="29" t="str">
        <f>IFERROR(IF(SUMIFS(tblDaily[Deaths],tblDaily[EntryDate],DATE(2026,4,19),tblDaily[WardCode],"BH")=0,"",SUMIFS(tblDaily[Deaths],tblDaily[EntryDate],DATE(2026,4,19),tblDaily[WardCode],"BH")),"")</f>
        <v/>
      </c>
      <c r="E142" s="29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29" t="str">
        <f>IFERROR(IF(SUMIFS(tblDaily[TransfersIn],tblDaily[EntryDate],DATE(2026,4,19),tblDaily[WardCode],"BH")=0,"",SUMIFS(tblDaily[TransfersIn],tblDaily[EntryDate],DATE(2026,4,19),tblDaily[WardCode],"BH")),"")</f>
        <v/>
      </c>
      <c r="G142" s="29" t="str">
        <f>IFERROR(IF(SUMIFS(tblDaily[TransfersOut],tblDaily[EntryDate],DATE(2026,4,19),tblDaily[WardCode],"BH")=0,"",SUMIFS(tblDaily[TransfersOut],tblDaily[EntryDate],DATE(2026,4,19),tblDaily[WardCode],"BH")),"")</f>
        <v/>
      </c>
      <c r="H142" s="29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IFERROR(IF(SUMIFS(tblDaily[Admissions],tblDaily[EntryDate],DATE(2026,4,20),tblDaily[WardCode],"BH")=0,"",SUMIFS(tblDaily[Admissions],tblDaily[EntryDate],DATE(2026,4,20),tblDaily[WardCode],"BH")),"")</f>
        <v/>
      </c>
      <c r="C143" s="29" t="str">
        <f>IFERROR(IF(SUMIFS(tblDaily[Discharges],tblDaily[EntryDate],DATE(2026,4,20),tblDaily[WardCode],"BH")=0,"",SUMIFS(tblDaily[Discharges],tblDaily[EntryDate],DATE(2026,4,20),tblDaily[WardCode],"BH")),"")</f>
        <v/>
      </c>
      <c r="D143" s="29" t="str">
        <f>IFERROR(IF(SUMIFS(tblDaily[Deaths],tblDaily[EntryDate],DATE(2026,4,20),tblDaily[WardCode],"BH")=0,"",SUMIFS(tblDaily[Deaths],tblDaily[EntryDate],DATE(2026,4,20),tblDaily[WardCode],"BH")),"")</f>
        <v/>
      </c>
      <c r="E143" s="29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29" t="str">
        <f>IFERROR(IF(SUMIFS(tblDaily[TransfersIn],tblDaily[EntryDate],DATE(2026,4,20),tblDaily[WardCode],"BH")=0,"",SUMIFS(tblDaily[TransfersIn],tblDaily[EntryDate],DATE(2026,4,20),tblDaily[WardCode],"BH")),"")</f>
        <v/>
      </c>
      <c r="G143" s="29" t="str">
        <f>IFERROR(IF(SUMIFS(tblDaily[TransfersOut],tblDaily[EntryDate],DATE(2026,4,20),tblDaily[WardCode],"BH")=0,"",SUMIFS(tblDaily[TransfersOut],tblDaily[EntryDate],DATE(2026,4,20),tblDaily[WardCode],"BH")),"")</f>
        <v/>
      </c>
      <c r="H143" s="29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IFERROR(IF(SUMIFS(tblDaily[Admissions],tblDaily[EntryDate],DATE(2026,4,21),tblDaily[WardCode],"BH")=0,"",SUMIFS(tblDaily[Admissions],tblDaily[EntryDate],DATE(2026,4,21),tblDaily[WardCode],"BH")),"")</f>
        <v/>
      </c>
      <c r="C144" s="29" t="str">
        <f>IFERROR(IF(SUMIFS(tblDaily[Discharges],tblDaily[EntryDate],DATE(2026,4,21),tblDaily[WardCode],"BH")=0,"",SUMIFS(tblDaily[Discharges],tblDaily[EntryDate],DATE(2026,4,21),tblDaily[WardCode],"BH")),"")</f>
        <v/>
      </c>
      <c r="D144" s="29" t="str">
        <f>IFERROR(IF(SUMIFS(tblDaily[Deaths],tblDaily[EntryDate],DATE(2026,4,21),tblDaily[WardCode],"BH")=0,"",SUMIFS(tblDaily[Deaths],tblDaily[EntryDate],DATE(2026,4,21),tblDaily[WardCode],"BH")),"")</f>
        <v/>
      </c>
      <c r="E144" s="29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29" t="str">
        <f>IFERROR(IF(SUMIFS(tblDaily[TransfersIn],tblDaily[EntryDate],DATE(2026,4,21),tblDaily[WardCode],"BH")=0,"",SUMIFS(tblDaily[TransfersIn],tblDaily[EntryDate],DATE(2026,4,21),tblDaily[WardCode],"BH")),"")</f>
        <v/>
      </c>
      <c r="G144" s="29" t="str">
        <f>IFERROR(IF(SUMIFS(tblDaily[TransfersOut],tblDaily[EntryDate],DATE(2026,4,21),tblDaily[WardCode],"BH")=0,"",SUMIFS(tblDaily[TransfersOut],tblDaily[EntryDate],DATE(2026,4,21),tblDaily[WardCode],"BH")),"")</f>
        <v/>
      </c>
      <c r="H144" s="29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IFERROR(IF(SUMIFS(tblDaily[Admissions],tblDaily[EntryDate],DATE(2026,4,22),tblDaily[WardCode],"BH")=0,"",SUMIFS(tblDaily[Admissions],tblDaily[EntryDate],DATE(2026,4,22),tblDaily[WardCode],"BH")),"")</f>
        <v/>
      </c>
      <c r="C145" s="29" t="str">
        <f>IFERROR(IF(SUMIFS(tblDaily[Discharges],tblDaily[EntryDate],DATE(2026,4,22),tblDaily[WardCode],"BH")=0,"",SUMIFS(tblDaily[Discharges],tblDaily[EntryDate],DATE(2026,4,22),tblDaily[WardCode],"BH")),"")</f>
        <v/>
      </c>
      <c r="D145" s="29" t="str">
        <f>IFERROR(IF(SUMIFS(tblDaily[Deaths],tblDaily[EntryDate],DATE(2026,4,22),tblDaily[WardCode],"BH")=0,"",SUMIFS(tblDaily[Deaths],tblDaily[EntryDate],DATE(2026,4,22),tblDaily[WardCode],"BH")),"")</f>
        <v/>
      </c>
      <c r="E145" s="29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29" t="str">
        <f>IFERROR(IF(SUMIFS(tblDaily[TransfersIn],tblDaily[EntryDate],DATE(2026,4,22),tblDaily[WardCode],"BH")=0,"",SUMIFS(tblDaily[TransfersIn],tblDaily[EntryDate],DATE(2026,4,22),tblDaily[WardCode],"BH")),"")</f>
        <v/>
      </c>
      <c r="G145" s="29" t="str">
        <f>IFERROR(IF(SUMIFS(tblDaily[TransfersOut],tblDaily[EntryDate],DATE(2026,4,22),tblDaily[WardCode],"BH")=0,"",SUMIFS(tblDaily[TransfersOut],tblDaily[EntryDate],DATE(2026,4,22),tblDaily[WardCode],"BH")),"")</f>
        <v/>
      </c>
      <c r="H145" s="29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IFERROR(IF(SUMIFS(tblDaily[Admissions],tblDaily[EntryDate],DATE(2026,4,23),tblDaily[WardCode],"BH")=0,"",SUMIFS(tblDaily[Admissions],tblDaily[EntryDate],DATE(2026,4,23),tblDaily[WardCode],"BH")),"")</f>
        <v/>
      </c>
      <c r="C146" s="29" t="str">
        <f>IFERROR(IF(SUMIFS(tblDaily[Discharges],tblDaily[EntryDate],DATE(2026,4,23),tblDaily[WardCode],"BH")=0,"",SUMIFS(tblDaily[Discharges],tblDaily[EntryDate],DATE(2026,4,23),tblDaily[WardCode],"BH")),"")</f>
        <v/>
      </c>
      <c r="D146" s="29" t="str">
        <f>IFERROR(IF(SUMIFS(tblDaily[Deaths],tblDaily[EntryDate],DATE(2026,4,23),tblDaily[WardCode],"BH")=0,"",SUMIFS(tblDaily[Deaths],tblDaily[EntryDate],DATE(2026,4,23),tblDaily[WardCode],"BH")),"")</f>
        <v/>
      </c>
      <c r="E146" s="29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29" t="str">
        <f>IFERROR(IF(SUMIFS(tblDaily[TransfersIn],tblDaily[EntryDate],DATE(2026,4,23),tblDaily[WardCode],"BH")=0,"",SUMIFS(tblDaily[TransfersIn],tblDaily[EntryDate],DATE(2026,4,23),tblDaily[WardCode],"BH")),"")</f>
        <v/>
      </c>
      <c r="G146" s="29" t="str">
        <f>IFERROR(IF(SUMIFS(tblDaily[TransfersOut],tblDaily[EntryDate],DATE(2026,4,23),tblDaily[WardCode],"BH")=0,"",SUMIFS(tblDaily[TransfersOut],tblDaily[EntryDate],DATE(2026,4,23),tblDaily[WardCode],"BH")),"")</f>
        <v/>
      </c>
      <c r="H146" s="29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IFERROR(IF(SUMIFS(tblDaily[Admissions],tblDaily[EntryDate],DATE(2026,4,24),tblDaily[WardCode],"BH")=0,"",SUMIFS(tblDaily[Admissions],tblDaily[EntryDate],DATE(2026,4,24),tblDaily[WardCode],"BH")),"")</f>
        <v/>
      </c>
      <c r="C147" s="29" t="str">
        <f>IFERROR(IF(SUMIFS(tblDaily[Discharges],tblDaily[EntryDate],DATE(2026,4,24),tblDaily[WardCode],"BH")=0,"",SUMIFS(tblDaily[Discharges],tblDaily[EntryDate],DATE(2026,4,24),tblDaily[WardCode],"BH")),"")</f>
        <v/>
      </c>
      <c r="D147" s="29" t="str">
        <f>IFERROR(IF(SUMIFS(tblDaily[Deaths],tblDaily[EntryDate],DATE(2026,4,24),tblDaily[WardCode],"BH")=0,"",SUMIFS(tblDaily[Deaths],tblDaily[EntryDate],DATE(2026,4,24),tblDaily[WardCode],"BH")),"")</f>
        <v/>
      </c>
      <c r="E147" s="29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29" t="str">
        <f>IFERROR(IF(SUMIFS(tblDaily[TransfersIn],tblDaily[EntryDate],DATE(2026,4,24),tblDaily[WardCode],"BH")=0,"",SUMIFS(tblDaily[TransfersIn],tblDaily[EntryDate],DATE(2026,4,24),tblDaily[WardCode],"BH")),"")</f>
        <v/>
      </c>
      <c r="G147" s="29" t="str">
        <f>IFERROR(IF(SUMIFS(tblDaily[TransfersOut],tblDaily[EntryDate],DATE(2026,4,24),tblDaily[WardCode],"BH")=0,"",SUMIFS(tblDaily[TransfersOut],tblDaily[EntryDate],DATE(2026,4,24),tblDaily[WardCode],"BH")),"")</f>
        <v/>
      </c>
      <c r="H147" s="29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IFERROR(IF(SUMIFS(tblDaily[Admissions],tblDaily[EntryDate],DATE(2026,4,25),tblDaily[WardCode],"BH")=0,"",SUMIFS(tblDaily[Admissions],tblDaily[EntryDate],DATE(2026,4,25),tblDaily[WardCode],"BH")),"")</f>
        <v/>
      </c>
      <c r="C148" s="29" t="str">
        <f>IFERROR(IF(SUMIFS(tblDaily[Discharges],tblDaily[EntryDate],DATE(2026,4,25),tblDaily[WardCode],"BH")=0,"",SUMIFS(tblDaily[Discharges],tblDaily[EntryDate],DATE(2026,4,25),tblDaily[WardCode],"BH")),"")</f>
        <v/>
      </c>
      <c r="D148" s="29" t="str">
        <f>IFERROR(IF(SUMIFS(tblDaily[Deaths],tblDaily[EntryDate],DATE(2026,4,25),tblDaily[WardCode],"BH")=0,"",SUMIFS(tblDaily[Deaths],tblDaily[EntryDate],DATE(2026,4,25),tblDaily[WardCode],"BH")),"")</f>
        <v/>
      </c>
      <c r="E148" s="29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29" t="str">
        <f>IFERROR(IF(SUMIFS(tblDaily[TransfersIn],tblDaily[EntryDate],DATE(2026,4,25),tblDaily[WardCode],"BH")=0,"",SUMIFS(tblDaily[TransfersIn],tblDaily[EntryDate],DATE(2026,4,25),tblDaily[WardCode],"BH")),"")</f>
        <v/>
      </c>
      <c r="G148" s="29" t="str">
        <f>IFERROR(IF(SUMIFS(tblDaily[TransfersOut],tblDaily[EntryDate],DATE(2026,4,25),tblDaily[WardCode],"BH")=0,"",SUMIFS(tblDaily[TransfersOut],tblDaily[EntryDate],DATE(2026,4,25),tblDaily[WardCode],"BH")),"")</f>
        <v/>
      </c>
      <c r="H148" s="29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IFERROR(IF(SUMIFS(tblDaily[Admissions],tblDaily[EntryDate],DATE(2026,4,26),tblDaily[WardCode],"BH")=0,"",SUMIFS(tblDaily[Admissions],tblDaily[EntryDate],DATE(2026,4,26),tblDaily[WardCode],"BH")),"")</f>
        <v/>
      </c>
      <c r="C149" s="29" t="str">
        <f>IFERROR(IF(SUMIFS(tblDaily[Discharges],tblDaily[EntryDate],DATE(2026,4,26),tblDaily[WardCode],"BH")=0,"",SUMIFS(tblDaily[Discharges],tblDaily[EntryDate],DATE(2026,4,26),tblDaily[WardCode],"BH")),"")</f>
        <v/>
      </c>
      <c r="D149" s="29" t="str">
        <f>IFERROR(IF(SUMIFS(tblDaily[Deaths],tblDaily[EntryDate],DATE(2026,4,26),tblDaily[WardCode],"BH")=0,"",SUMIFS(tblDaily[Deaths],tblDaily[EntryDate],DATE(2026,4,26),tblDaily[WardCode],"BH")),"")</f>
        <v/>
      </c>
      <c r="E149" s="29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29" t="str">
        <f>IFERROR(IF(SUMIFS(tblDaily[TransfersIn],tblDaily[EntryDate],DATE(2026,4,26),tblDaily[WardCode],"BH")=0,"",SUMIFS(tblDaily[TransfersIn],tblDaily[EntryDate],DATE(2026,4,26),tblDaily[WardCode],"BH")),"")</f>
        <v/>
      </c>
      <c r="G149" s="29" t="str">
        <f>IFERROR(IF(SUMIFS(tblDaily[TransfersOut],tblDaily[EntryDate],DATE(2026,4,26),tblDaily[WardCode],"BH")=0,"",SUMIFS(tblDaily[TransfersOut],tblDaily[EntryDate],DATE(2026,4,26),tblDaily[WardCode],"BH")),"")</f>
        <v/>
      </c>
      <c r="H149" s="29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IFERROR(IF(SUMIFS(tblDaily[Admissions],tblDaily[EntryDate],DATE(2026,4,27),tblDaily[WardCode],"BH")=0,"",SUMIFS(tblDaily[Admissions],tblDaily[EntryDate],DATE(2026,4,27),tblDaily[WardCode],"BH")),"")</f>
        <v/>
      </c>
      <c r="C150" s="29" t="str">
        <f>IFERROR(IF(SUMIFS(tblDaily[Discharges],tblDaily[EntryDate],DATE(2026,4,27),tblDaily[WardCode],"BH")=0,"",SUMIFS(tblDaily[Discharges],tblDaily[EntryDate],DATE(2026,4,27),tblDaily[WardCode],"BH")),"")</f>
        <v/>
      </c>
      <c r="D150" s="29" t="str">
        <f>IFERROR(IF(SUMIFS(tblDaily[Deaths],tblDaily[EntryDate],DATE(2026,4,27),tblDaily[WardCode],"BH")=0,"",SUMIFS(tblDaily[Deaths],tblDaily[EntryDate],DATE(2026,4,27),tblDaily[WardCode],"BH")),"")</f>
        <v/>
      </c>
      <c r="E150" s="29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29" t="str">
        <f>IFERROR(IF(SUMIFS(tblDaily[TransfersIn],tblDaily[EntryDate],DATE(2026,4,27),tblDaily[WardCode],"BH")=0,"",SUMIFS(tblDaily[TransfersIn],tblDaily[EntryDate],DATE(2026,4,27),tblDaily[WardCode],"BH")),"")</f>
        <v/>
      </c>
      <c r="G150" s="29" t="str">
        <f>IFERROR(IF(SUMIFS(tblDaily[TransfersOut],tblDaily[EntryDate],DATE(2026,4,27),tblDaily[WardCode],"BH")=0,"",SUMIFS(tblDaily[TransfersOut],tblDaily[EntryDate],DATE(2026,4,27),tblDaily[WardCode],"BH")),"")</f>
        <v/>
      </c>
      <c r="H150" s="29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IFERROR(IF(SUMIFS(tblDaily[Admissions],tblDaily[EntryDate],DATE(2026,4,28),tblDaily[WardCode],"BH")=0,"",SUMIFS(tblDaily[Admissions],tblDaily[EntryDate],DATE(2026,4,28),tblDaily[WardCode],"BH")),"")</f>
        <v/>
      </c>
      <c r="C151" s="29" t="str">
        <f>IFERROR(IF(SUMIFS(tblDaily[Discharges],tblDaily[EntryDate],DATE(2026,4,28),tblDaily[WardCode],"BH")=0,"",SUMIFS(tblDaily[Discharges],tblDaily[EntryDate],DATE(2026,4,28),tblDaily[WardCode],"BH")),"")</f>
        <v/>
      </c>
      <c r="D151" s="29" t="str">
        <f>IFERROR(IF(SUMIFS(tblDaily[Deaths],tblDaily[EntryDate],DATE(2026,4,28),tblDaily[WardCode],"BH")=0,"",SUMIFS(tblDaily[Deaths],tblDaily[EntryDate],DATE(2026,4,28),tblDaily[WardCode],"BH")),"")</f>
        <v/>
      </c>
      <c r="E151" s="29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29" t="str">
        <f>IFERROR(IF(SUMIFS(tblDaily[TransfersIn],tblDaily[EntryDate],DATE(2026,4,28),tblDaily[WardCode],"BH")=0,"",SUMIFS(tblDaily[TransfersIn],tblDaily[EntryDate],DATE(2026,4,28),tblDaily[WardCode],"BH")),"")</f>
        <v/>
      </c>
      <c r="G151" s="29" t="str">
        <f>IFERROR(IF(SUMIFS(tblDaily[TransfersOut],tblDaily[EntryDate],DATE(2026,4,28),tblDaily[WardCode],"BH")=0,"",SUMIFS(tblDaily[TransfersOut],tblDaily[EntryDate],DATE(2026,4,28),tblDaily[WardCode],"BH")),"")</f>
        <v/>
      </c>
      <c r="H151" s="29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IFERROR(IF(SUMIFS(tblDaily[Admissions],tblDaily[EntryDate],DATE(2026,4,29),tblDaily[WardCode],"BH")=0,"",SUMIFS(tblDaily[Admissions],tblDaily[EntryDate],DATE(2026,4,29),tblDaily[WardCode],"BH")),"")</f>
        <v/>
      </c>
      <c r="C152" s="29" t="str">
        <f>IFERROR(IF(SUMIFS(tblDaily[Discharges],tblDaily[EntryDate],DATE(2026,4,29),tblDaily[WardCode],"BH")=0,"",SUMIFS(tblDaily[Discharges],tblDaily[EntryDate],DATE(2026,4,29),tblDaily[WardCode],"BH")),"")</f>
        <v/>
      </c>
      <c r="D152" s="29" t="str">
        <f>IFERROR(IF(SUMIFS(tblDaily[Deaths],tblDaily[EntryDate],DATE(2026,4,29),tblDaily[WardCode],"BH")=0,"",SUMIFS(tblDaily[Deaths],tblDaily[EntryDate],DATE(2026,4,29),tblDaily[WardCode],"BH")),"")</f>
        <v/>
      </c>
      <c r="E152" s="29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29" t="str">
        <f>IFERROR(IF(SUMIFS(tblDaily[TransfersIn],tblDaily[EntryDate],DATE(2026,4,29),tblDaily[WardCode],"BH")=0,"",SUMIFS(tblDaily[TransfersIn],tblDaily[EntryDate],DATE(2026,4,29),tblDaily[WardCode],"BH")),"")</f>
        <v/>
      </c>
      <c r="G152" s="29" t="str">
        <f>IFERROR(IF(SUMIFS(tblDaily[TransfersOut],tblDaily[EntryDate],DATE(2026,4,29),tblDaily[WardCode],"BH")=0,"",SUMIFS(tblDaily[TransfersOut],tblDaily[EntryDate],DATE(2026,4,29),tblDaily[WardCode],"BH")),"")</f>
        <v/>
      </c>
      <c r="H152" s="29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IFERROR(IF(SUMIFS(tblDaily[Admissions],tblDaily[EntryDate],DATE(2026,4,30),tblDaily[WardCode],"BH")=0,"",SUMIFS(tblDaily[Admissions],tblDaily[EntryDate],DATE(2026,4,30),tblDaily[WardCode],"BH")),"")</f>
        <v/>
      </c>
      <c r="C153" s="29" t="str">
        <f>IFERROR(IF(SUMIFS(tblDaily[Discharges],tblDaily[EntryDate],DATE(2026,4,30),tblDaily[WardCode],"BH")=0,"",SUMIFS(tblDaily[Discharges],tblDaily[EntryDate],DATE(2026,4,30),tblDaily[WardCode],"BH")),"")</f>
        <v/>
      </c>
      <c r="D153" s="29" t="str">
        <f>IFERROR(IF(SUMIFS(tblDaily[Deaths],tblDaily[EntryDate],DATE(2026,4,30),tblDaily[WardCode],"BH")=0,"",SUMIFS(tblDaily[Deaths],tblDaily[EntryDate],DATE(2026,4,30),tblDaily[WardCode],"BH")),"")</f>
        <v/>
      </c>
      <c r="E153" s="29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29" t="str">
        <f>IFERROR(IF(SUMIFS(tblDaily[TransfersIn],tblDaily[EntryDate],DATE(2026,4,30),tblDaily[WardCode],"BH")=0,"",SUMIFS(tblDaily[TransfersIn],tblDaily[EntryDate],DATE(2026,4,30),tblDaily[WardCode],"BH")),"")</f>
        <v/>
      </c>
      <c r="G153" s="29" t="str">
        <f>IFERROR(IF(SUMIFS(tblDaily[TransfersOut],tblDaily[EntryDate],DATE(2026,4,30),tblDaily[WardCode],"BH")=0,"",SUMIFS(tblDaily[TransfersOut],tblDaily[EntryDate],DATE(2026,4,30),tblDaily[WardCode],"BH")),"")</f>
        <v/>
      </c>
      <c r="H153" s="29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SUMIFS(tblDaily[Admissions],tblDaily[Month],4,tblDaily[WardCode],"BH") - SUMIFS(tblDaily[DeathsUnder24Hrs],tblDaily[Month],4,tblDaily[WardCode],"BH")</f>
        <v>13</v>
      </c>
      <c r="C155" s="30">
        <f>SUMIFS(tblDaily[Discharges],tblDaily[Month],4,tblDaily[WardCode],"BH")</f>
        <v>22</v>
      </c>
      <c r="D155" s="30">
        <f>SUMIFS(tblDaily[Deaths],tblDaily[Month],4,tblDaily[WardCode],"BH")</f>
        <v>0</v>
      </c>
      <c r="E155" s="30">
        <f>SUMIFS(tblDaily[DeathsUnder24Hrs],tblDaily[Month],4,tblDaily[WardCode],"BH")</f>
        <v>0</v>
      </c>
      <c r="F155" s="30">
        <f>SUMIFS(tblDaily[TransfersIn],tblDaily[Month],4,tblDaily[WardCode],"BH")</f>
        <v>4</v>
      </c>
      <c r="G155" s="30">
        <f>SUMIFS(tblDaily[TransfersOut],tblDaily[Month],4,tblDaily[WardCode],"BH")</f>
        <v>8</v>
      </c>
      <c r="H155" s="30">
        <f>SUMIFS(tblDaily[Remaining],tblDaily[Month],4,tblDaily[WardCode],"BH")</f>
        <v>118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120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IFERROR(SUMIFS(tblDaily[Remaining],tblDaily[EntryDate],DATE(2026,4,30),tblDaily[WardCode],"BH"),0)</f>
        <v>0</v>
      </c>
    </row>
    <row r="161" spans="1:8" x14ac:dyDescent="0.25">
      <c r="A161" s="24" t="s">
        <v>109</v>
      </c>
      <c r="H161" s="27">
        <f>IFERROR(INDEX(tblWardConfig[BedComplement],MATCH("BH",tblWardConfig[WardCode],0)),0)</f>
        <v>22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IFERROR(IF(SUMIFS(tblDaily[Admissions],tblDaily[EntryDate],DATE(2026,5,1),tblDaily[WardCode],"BH")=0,"",SUMIFS(tblDaily[Admissions],tblDaily[EntryDate],DATE(2026,5,1),tblDaily[WardCode],"BH")),"")</f>
        <v/>
      </c>
      <c r="C163" s="29" t="str">
        <f>IFERROR(IF(SUMIFS(tblDaily[Discharges],tblDaily[EntryDate],DATE(2026,5,1),tblDaily[WardCode],"BH")=0,"",SUMIFS(tblDaily[Discharges],tblDaily[EntryDate],DATE(2026,5,1),tblDaily[WardCode],"BH")),"")</f>
        <v/>
      </c>
      <c r="D163" s="29" t="str">
        <f>IFERROR(IF(SUMIFS(tblDaily[Deaths],tblDaily[EntryDate],DATE(2026,5,1),tblDaily[WardCode],"BH")=0,"",SUMIFS(tblDaily[Deaths],tblDaily[EntryDate],DATE(2026,5,1),tblDaily[WardCode],"BH")),"")</f>
        <v/>
      </c>
      <c r="E163" s="29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29" t="str">
        <f>IFERROR(IF(SUMIFS(tblDaily[TransfersIn],tblDaily[EntryDate],DATE(2026,5,1),tblDaily[WardCode],"BH")=0,"",SUMIFS(tblDaily[TransfersIn],tblDaily[EntryDate],DATE(2026,5,1),tblDaily[WardCode],"BH")),"")</f>
        <v/>
      </c>
      <c r="G163" s="29" t="str">
        <f>IFERROR(IF(SUMIFS(tblDaily[TransfersOut],tblDaily[EntryDate],DATE(2026,5,1),tblDaily[WardCode],"BH")=0,"",SUMIFS(tblDaily[TransfersOut],tblDaily[EntryDate],DATE(2026,5,1),tblDaily[WardCode],"BH")),"")</f>
        <v/>
      </c>
      <c r="H163" s="29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IFERROR(IF(SUMIFS(tblDaily[Admissions],tblDaily[EntryDate],DATE(2026,5,2),tblDaily[WardCode],"BH")=0,"",SUMIFS(tblDaily[Admissions],tblDaily[EntryDate],DATE(2026,5,2),tblDaily[WardCode],"BH")),"")</f>
        <v/>
      </c>
      <c r="C164" s="29" t="str">
        <f>IFERROR(IF(SUMIFS(tblDaily[Discharges],tblDaily[EntryDate],DATE(2026,5,2),tblDaily[WardCode],"BH")=0,"",SUMIFS(tblDaily[Discharges],tblDaily[EntryDate],DATE(2026,5,2),tblDaily[WardCode],"BH")),"")</f>
        <v/>
      </c>
      <c r="D164" s="29" t="str">
        <f>IFERROR(IF(SUMIFS(tblDaily[Deaths],tblDaily[EntryDate],DATE(2026,5,2),tblDaily[WardCode],"BH")=0,"",SUMIFS(tblDaily[Deaths],tblDaily[EntryDate],DATE(2026,5,2),tblDaily[WardCode],"BH")),"")</f>
        <v/>
      </c>
      <c r="E164" s="29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29" t="str">
        <f>IFERROR(IF(SUMIFS(tblDaily[TransfersIn],tblDaily[EntryDate],DATE(2026,5,2),tblDaily[WardCode],"BH")=0,"",SUMIFS(tblDaily[TransfersIn],tblDaily[EntryDate],DATE(2026,5,2),tblDaily[WardCode],"BH")),"")</f>
        <v/>
      </c>
      <c r="G164" s="29" t="str">
        <f>IFERROR(IF(SUMIFS(tblDaily[TransfersOut],tblDaily[EntryDate],DATE(2026,5,2),tblDaily[WardCode],"BH")=0,"",SUMIFS(tblDaily[TransfersOut],tblDaily[EntryDate],DATE(2026,5,2),tblDaily[WardCode],"BH")),"")</f>
        <v/>
      </c>
      <c r="H164" s="29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IFERROR(IF(SUMIFS(tblDaily[Admissions],tblDaily[EntryDate],DATE(2026,5,3),tblDaily[WardCode],"BH")=0,"",SUMIFS(tblDaily[Admissions],tblDaily[EntryDate],DATE(2026,5,3),tblDaily[WardCode],"BH")),"")</f>
        <v/>
      </c>
      <c r="C165" s="29" t="str">
        <f>IFERROR(IF(SUMIFS(tblDaily[Discharges],tblDaily[EntryDate],DATE(2026,5,3),tblDaily[WardCode],"BH")=0,"",SUMIFS(tblDaily[Discharges],tblDaily[EntryDate],DATE(2026,5,3),tblDaily[WardCode],"BH")),"")</f>
        <v/>
      </c>
      <c r="D165" s="29" t="str">
        <f>IFERROR(IF(SUMIFS(tblDaily[Deaths],tblDaily[EntryDate],DATE(2026,5,3),tblDaily[WardCode],"BH")=0,"",SUMIFS(tblDaily[Deaths],tblDaily[EntryDate],DATE(2026,5,3),tblDaily[WardCode],"BH")),"")</f>
        <v/>
      </c>
      <c r="E165" s="29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29" t="str">
        <f>IFERROR(IF(SUMIFS(tblDaily[TransfersIn],tblDaily[EntryDate],DATE(2026,5,3),tblDaily[WardCode],"BH")=0,"",SUMIFS(tblDaily[TransfersIn],tblDaily[EntryDate],DATE(2026,5,3),tblDaily[WardCode],"BH")),"")</f>
        <v/>
      </c>
      <c r="G165" s="29" t="str">
        <f>IFERROR(IF(SUMIFS(tblDaily[TransfersOut],tblDaily[EntryDate],DATE(2026,5,3),tblDaily[WardCode],"BH")=0,"",SUMIFS(tblDaily[TransfersOut],tblDaily[EntryDate],DATE(2026,5,3),tblDaily[WardCode],"BH")),"")</f>
        <v/>
      </c>
      <c r="H165" s="29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IFERROR(IF(SUMIFS(tblDaily[Admissions],tblDaily[EntryDate],DATE(2026,5,4),tblDaily[WardCode],"BH")=0,"",SUMIFS(tblDaily[Admissions],tblDaily[EntryDate],DATE(2026,5,4),tblDaily[WardCode],"BH")),"")</f>
        <v/>
      </c>
      <c r="C166" s="29" t="str">
        <f>IFERROR(IF(SUMIFS(tblDaily[Discharges],tblDaily[EntryDate],DATE(2026,5,4),tblDaily[WardCode],"BH")=0,"",SUMIFS(tblDaily[Discharges],tblDaily[EntryDate],DATE(2026,5,4),tblDaily[WardCode],"BH")),"")</f>
        <v/>
      </c>
      <c r="D166" s="29" t="str">
        <f>IFERROR(IF(SUMIFS(tblDaily[Deaths],tblDaily[EntryDate],DATE(2026,5,4),tblDaily[WardCode],"BH")=0,"",SUMIFS(tblDaily[Deaths],tblDaily[EntryDate],DATE(2026,5,4),tblDaily[WardCode],"BH")),"")</f>
        <v/>
      </c>
      <c r="E166" s="29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29" t="str">
        <f>IFERROR(IF(SUMIFS(tblDaily[TransfersIn],tblDaily[EntryDate],DATE(2026,5,4),tblDaily[WardCode],"BH")=0,"",SUMIFS(tblDaily[TransfersIn],tblDaily[EntryDate],DATE(2026,5,4),tblDaily[WardCode],"BH")),"")</f>
        <v/>
      </c>
      <c r="G166" s="29" t="str">
        <f>IFERROR(IF(SUMIFS(tblDaily[TransfersOut],tblDaily[EntryDate],DATE(2026,5,4),tblDaily[WardCode],"BH")=0,"",SUMIFS(tblDaily[TransfersOut],tblDaily[EntryDate],DATE(2026,5,4),tblDaily[WardCode],"BH")),"")</f>
        <v/>
      </c>
      <c r="H166" s="29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IFERROR(IF(SUMIFS(tblDaily[Admissions],tblDaily[EntryDate],DATE(2026,5,5),tblDaily[WardCode],"BH")=0,"",SUMIFS(tblDaily[Admissions],tblDaily[EntryDate],DATE(2026,5,5),tblDaily[WardCode],"BH")),"")</f>
        <v/>
      </c>
      <c r="C167" s="29" t="str">
        <f>IFERROR(IF(SUMIFS(tblDaily[Discharges],tblDaily[EntryDate],DATE(2026,5,5),tblDaily[WardCode],"BH")=0,"",SUMIFS(tblDaily[Discharges],tblDaily[EntryDate],DATE(2026,5,5),tblDaily[WardCode],"BH")),"")</f>
        <v/>
      </c>
      <c r="D167" s="29" t="str">
        <f>IFERROR(IF(SUMIFS(tblDaily[Deaths],tblDaily[EntryDate],DATE(2026,5,5),tblDaily[WardCode],"BH")=0,"",SUMIFS(tblDaily[Deaths],tblDaily[EntryDate],DATE(2026,5,5),tblDaily[WardCode],"BH")),"")</f>
        <v/>
      </c>
      <c r="E167" s="29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29" t="str">
        <f>IFERROR(IF(SUMIFS(tblDaily[TransfersIn],tblDaily[EntryDate],DATE(2026,5,5),tblDaily[WardCode],"BH")=0,"",SUMIFS(tblDaily[TransfersIn],tblDaily[EntryDate],DATE(2026,5,5),tblDaily[WardCode],"BH")),"")</f>
        <v/>
      </c>
      <c r="G167" s="29" t="str">
        <f>IFERROR(IF(SUMIFS(tblDaily[TransfersOut],tblDaily[EntryDate],DATE(2026,5,5),tblDaily[WardCode],"BH")=0,"",SUMIFS(tblDaily[TransfersOut],tblDaily[EntryDate],DATE(2026,5,5),tblDaily[WardCode],"BH")),"")</f>
        <v/>
      </c>
      <c r="H167" s="29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IFERROR(IF(SUMIFS(tblDaily[Admissions],tblDaily[EntryDate],DATE(2026,5,6),tblDaily[WardCode],"BH")=0,"",SUMIFS(tblDaily[Admissions],tblDaily[EntryDate],DATE(2026,5,6),tblDaily[WardCode],"BH")),"")</f>
        <v/>
      </c>
      <c r="C168" s="29" t="str">
        <f>IFERROR(IF(SUMIFS(tblDaily[Discharges],tblDaily[EntryDate],DATE(2026,5,6),tblDaily[WardCode],"BH")=0,"",SUMIFS(tblDaily[Discharges],tblDaily[EntryDate],DATE(2026,5,6),tblDaily[WardCode],"BH")),"")</f>
        <v/>
      </c>
      <c r="D168" s="29" t="str">
        <f>IFERROR(IF(SUMIFS(tblDaily[Deaths],tblDaily[EntryDate],DATE(2026,5,6),tblDaily[WardCode],"BH")=0,"",SUMIFS(tblDaily[Deaths],tblDaily[EntryDate],DATE(2026,5,6),tblDaily[WardCode],"BH")),"")</f>
        <v/>
      </c>
      <c r="E168" s="29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29" t="str">
        <f>IFERROR(IF(SUMIFS(tblDaily[TransfersIn],tblDaily[EntryDate],DATE(2026,5,6),tblDaily[WardCode],"BH")=0,"",SUMIFS(tblDaily[TransfersIn],tblDaily[EntryDate],DATE(2026,5,6),tblDaily[WardCode],"BH")),"")</f>
        <v/>
      </c>
      <c r="G168" s="29" t="str">
        <f>IFERROR(IF(SUMIFS(tblDaily[TransfersOut],tblDaily[EntryDate],DATE(2026,5,6),tblDaily[WardCode],"BH")=0,"",SUMIFS(tblDaily[TransfersOut],tblDaily[EntryDate],DATE(2026,5,6),tblDaily[WardCode],"BH")),"")</f>
        <v/>
      </c>
      <c r="H168" s="29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IFERROR(IF(SUMIFS(tblDaily[Admissions],tblDaily[EntryDate],DATE(2026,5,7),tblDaily[WardCode],"BH")=0,"",SUMIFS(tblDaily[Admissions],tblDaily[EntryDate],DATE(2026,5,7),tblDaily[WardCode],"BH")),"")</f>
        <v/>
      </c>
      <c r="C169" s="29" t="str">
        <f>IFERROR(IF(SUMIFS(tblDaily[Discharges],tblDaily[EntryDate],DATE(2026,5,7),tblDaily[WardCode],"BH")=0,"",SUMIFS(tblDaily[Discharges],tblDaily[EntryDate],DATE(2026,5,7),tblDaily[WardCode],"BH")),"")</f>
        <v/>
      </c>
      <c r="D169" s="29" t="str">
        <f>IFERROR(IF(SUMIFS(tblDaily[Deaths],tblDaily[EntryDate],DATE(2026,5,7),tblDaily[WardCode],"BH")=0,"",SUMIFS(tblDaily[Deaths],tblDaily[EntryDate],DATE(2026,5,7),tblDaily[WardCode],"BH")),"")</f>
        <v/>
      </c>
      <c r="E169" s="29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29" t="str">
        <f>IFERROR(IF(SUMIFS(tblDaily[TransfersIn],tblDaily[EntryDate],DATE(2026,5,7),tblDaily[WardCode],"BH")=0,"",SUMIFS(tblDaily[TransfersIn],tblDaily[EntryDate],DATE(2026,5,7),tblDaily[WardCode],"BH")),"")</f>
        <v/>
      </c>
      <c r="G169" s="29" t="str">
        <f>IFERROR(IF(SUMIFS(tblDaily[TransfersOut],tblDaily[EntryDate],DATE(2026,5,7),tblDaily[WardCode],"BH")=0,"",SUMIFS(tblDaily[TransfersOut],tblDaily[EntryDate],DATE(2026,5,7),tblDaily[WardCode],"BH")),"")</f>
        <v/>
      </c>
      <c r="H169" s="29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IFERROR(IF(SUMIFS(tblDaily[Admissions],tblDaily[EntryDate],DATE(2026,5,8),tblDaily[WardCode],"BH")=0,"",SUMIFS(tblDaily[Admissions],tblDaily[EntryDate],DATE(2026,5,8),tblDaily[WardCode],"BH")),"")</f>
        <v/>
      </c>
      <c r="C170" s="29" t="str">
        <f>IFERROR(IF(SUMIFS(tblDaily[Discharges],tblDaily[EntryDate],DATE(2026,5,8),tblDaily[WardCode],"BH")=0,"",SUMIFS(tblDaily[Discharges],tblDaily[EntryDate],DATE(2026,5,8),tblDaily[WardCode],"BH")),"")</f>
        <v/>
      </c>
      <c r="D170" s="29" t="str">
        <f>IFERROR(IF(SUMIFS(tblDaily[Deaths],tblDaily[EntryDate],DATE(2026,5,8),tblDaily[WardCode],"BH")=0,"",SUMIFS(tblDaily[Deaths],tblDaily[EntryDate],DATE(2026,5,8),tblDaily[WardCode],"BH")),"")</f>
        <v/>
      </c>
      <c r="E170" s="29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29" t="str">
        <f>IFERROR(IF(SUMIFS(tblDaily[TransfersIn],tblDaily[EntryDate],DATE(2026,5,8),tblDaily[WardCode],"BH")=0,"",SUMIFS(tblDaily[TransfersIn],tblDaily[EntryDate],DATE(2026,5,8),tblDaily[WardCode],"BH")),"")</f>
        <v/>
      </c>
      <c r="G170" s="29" t="str">
        <f>IFERROR(IF(SUMIFS(tblDaily[TransfersOut],tblDaily[EntryDate],DATE(2026,5,8),tblDaily[WardCode],"BH")=0,"",SUMIFS(tblDaily[TransfersOut],tblDaily[EntryDate],DATE(2026,5,8),tblDaily[WardCode],"BH")),"")</f>
        <v/>
      </c>
      <c r="H170" s="29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IFERROR(IF(SUMIFS(tblDaily[Admissions],tblDaily[EntryDate],DATE(2026,5,9),tblDaily[WardCode],"BH")=0,"",SUMIFS(tblDaily[Admissions],tblDaily[EntryDate],DATE(2026,5,9),tblDaily[WardCode],"BH")),"")</f>
        <v/>
      </c>
      <c r="C171" s="29" t="str">
        <f>IFERROR(IF(SUMIFS(tblDaily[Discharges],tblDaily[EntryDate],DATE(2026,5,9),tblDaily[WardCode],"BH")=0,"",SUMIFS(tblDaily[Discharges],tblDaily[EntryDate],DATE(2026,5,9),tblDaily[WardCode],"BH")),"")</f>
        <v/>
      </c>
      <c r="D171" s="29" t="str">
        <f>IFERROR(IF(SUMIFS(tblDaily[Deaths],tblDaily[EntryDate],DATE(2026,5,9),tblDaily[WardCode],"BH")=0,"",SUMIFS(tblDaily[Deaths],tblDaily[EntryDate],DATE(2026,5,9),tblDaily[WardCode],"BH")),"")</f>
        <v/>
      </c>
      <c r="E171" s="29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29" t="str">
        <f>IFERROR(IF(SUMIFS(tblDaily[TransfersIn],tblDaily[EntryDate],DATE(2026,5,9),tblDaily[WardCode],"BH")=0,"",SUMIFS(tblDaily[TransfersIn],tblDaily[EntryDate],DATE(2026,5,9),tblDaily[WardCode],"BH")),"")</f>
        <v/>
      </c>
      <c r="G171" s="29" t="str">
        <f>IFERROR(IF(SUMIFS(tblDaily[TransfersOut],tblDaily[EntryDate],DATE(2026,5,9),tblDaily[WardCode],"BH")=0,"",SUMIFS(tblDaily[TransfersOut],tblDaily[EntryDate],DATE(2026,5,9),tblDaily[WardCode],"BH")),"")</f>
        <v/>
      </c>
      <c r="H171" s="29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IFERROR(IF(SUMIFS(tblDaily[Admissions],tblDaily[EntryDate],DATE(2026,5,10),tblDaily[WardCode],"BH")=0,"",SUMIFS(tblDaily[Admissions],tblDaily[EntryDate],DATE(2026,5,10),tblDaily[WardCode],"BH")),"")</f>
        <v/>
      </c>
      <c r="C172" s="29" t="str">
        <f>IFERROR(IF(SUMIFS(tblDaily[Discharges],tblDaily[EntryDate],DATE(2026,5,10),tblDaily[WardCode],"BH")=0,"",SUMIFS(tblDaily[Discharges],tblDaily[EntryDate],DATE(2026,5,10),tblDaily[WardCode],"BH")),"")</f>
        <v/>
      </c>
      <c r="D172" s="29" t="str">
        <f>IFERROR(IF(SUMIFS(tblDaily[Deaths],tblDaily[EntryDate],DATE(2026,5,10),tblDaily[WardCode],"BH")=0,"",SUMIFS(tblDaily[Deaths],tblDaily[EntryDate],DATE(2026,5,10),tblDaily[WardCode],"BH")),"")</f>
        <v/>
      </c>
      <c r="E172" s="29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29" t="str">
        <f>IFERROR(IF(SUMIFS(tblDaily[TransfersIn],tblDaily[EntryDate],DATE(2026,5,10),tblDaily[WardCode],"BH")=0,"",SUMIFS(tblDaily[TransfersIn],tblDaily[EntryDate],DATE(2026,5,10),tblDaily[WardCode],"BH")),"")</f>
        <v/>
      </c>
      <c r="G172" s="29" t="str">
        <f>IFERROR(IF(SUMIFS(tblDaily[TransfersOut],tblDaily[EntryDate],DATE(2026,5,10),tblDaily[WardCode],"BH")=0,"",SUMIFS(tblDaily[TransfersOut],tblDaily[EntryDate],DATE(2026,5,10),tblDaily[WardCode],"BH")),"")</f>
        <v/>
      </c>
      <c r="H172" s="29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IFERROR(IF(SUMIFS(tblDaily[Admissions],tblDaily[EntryDate],DATE(2026,5,11),tblDaily[WardCode],"BH")=0,"",SUMIFS(tblDaily[Admissions],tblDaily[EntryDate],DATE(2026,5,11),tblDaily[WardCode],"BH")),"")</f>
        <v/>
      </c>
      <c r="C173" s="29" t="str">
        <f>IFERROR(IF(SUMIFS(tblDaily[Discharges],tblDaily[EntryDate],DATE(2026,5,11),tblDaily[WardCode],"BH")=0,"",SUMIFS(tblDaily[Discharges],tblDaily[EntryDate],DATE(2026,5,11),tblDaily[WardCode],"BH")),"")</f>
        <v/>
      </c>
      <c r="D173" s="29" t="str">
        <f>IFERROR(IF(SUMIFS(tblDaily[Deaths],tblDaily[EntryDate],DATE(2026,5,11),tblDaily[WardCode],"BH")=0,"",SUMIFS(tblDaily[Deaths],tblDaily[EntryDate],DATE(2026,5,11),tblDaily[WardCode],"BH")),"")</f>
        <v/>
      </c>
      <c r="E173" s="29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29" t="str">
        <f>IFERROR(IF(SUMIFS(tblDaily[TransfersIn],tblDaily[EntryDate],DATE(2026,5,11),tblDaily[WardCode],"BH")=0,"",SUMIFS(tblDaily[TransfersIn],tblDaily[EntryDate],DATE(2026,5,11),tblDaily[WardCode],"BH")),"")</f>
        <v/>
      </c>
      <c r="G173" s="29" t="str">
        <f>IFERROR(IF(SUMIFS(tblDaily[TransfersOut],tblDaily[EntryDate],DATE(2026,5,11),tblDaily[WardCode],"BH")=0,"",SUMIFS(tblDaily[TransfersOut],tblDaily[EntryDate],DATE(2026,5,11),tblDaily[WardCode],"BH")),"")</f>
        <v/>
      </c>
      <c r="H173" s="29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IFERROR(IF(SUMIFS(tblDaily[Admissions],tblDaily[EntryDate],DATE(2026,5,12),tblDaily[WardCode],"BH")=0,"",SUMIFS(tblDaily[Admissions],tblDaily[EntryDate],DATE(2026,5,12),tblDaily[WardCode],"BH")),"")</f>
        <v/>
      </c>
      <c r="C174" s="29" t="str">
        <f>IFERROR(IF(SUMIFS(tblDaily[Discharges],tblDaily[EntryDate],DATE(2026,5,12),tblDaily[WardCode],"BH")=0,"",SUMIFS(tblDaily[Discharges],tblDaily[EntryDate],DATE(2026,5,12),tblDaily[WardCode],"BH")),"")</f>
        <v/>
      </c>
      <c r="D174" s="29" t="str">
        <f>IFERROR(IF(SUMIFS(tblDaily[Deaths],tblDaily[EntryDate],DATE(2026,5,12),tblDaily[WardCode],"BH")=0,"",SUMIFS(tblDaily[Deaths],tblDaily[EntryDate],DATE(2026,5,12),tblDaily[WardCode],"BH")),"")</f>
        <v/>
      </c>
      <c r="E174" s="29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29" t="str">
        <f>IFERROR(IF(SUMIFS(tblDaily[TransfersIn],tblDaily[EntryDate],DATE(2026,5,12),tblDaily[WardCode],"BH")=0,"",SUMIFS(tblDaily[TransfersIn],tblDaily[EntryDate],DATE(2026,5,12),tblDaily[WardCode],"BH")),"")</f>
        <v/>
      </c>
      <c r="G174" s="29" t="str">
        <f>IFERROR(IF(SUMIFS(tblDaily[TransfersOut],tblDaily[EntryDate],DATE(2026,5,12),tblDaily[WardCode],"BH")=0,"",SUMIFS(tblDaily[TransfersOut],tblDaily[EntryDate],DATE(2026,5,12),tblDaily[WardCode],"BH")),"")</f>
        <v/>
      </c>
      <c r="H174" s="29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IFERROR(IF(SUMIFS(tblDaily[Admissions],tblDaily[EntryDate],DATE(2026,5,13),tblDaily[WardCode],"BH")=0,"",SUMIFS(tblDaily[Admissions],tblDaily[EntryDate],DATE(2026,5,13),tblDaily[WardCode],"BH")),"")</f>
        <v/>
      </c>
      <c r="C175" s="29" t="str">
        <f>IFERROR(IF(SUMIFS(tblDaily[Discharges],tblDaily[EntryDate],DATE(2026,5,13),tblDaily[WardCode],"BH")=0,"",SUMIFS(tblDaily[Discharges],tblDaily[EntryDate],DATE(2026,5,13),tblDaily[WardCode],"BH")),"")</f>
        <v/>
      </c>
      <c r="D175" s="29" t="str">
        <f>IFERROR(IF(SUMIFS(tblDaily[Deaths],tblDaily[EntryDate],DATE(2026,5,13),tblDaily[WardCode],"BH")=0,"",SUMIFS(tblDaily[Deaths],tblDaily[EntryDate],DATE(2026,5,13),tblDaily[WardCode],"BH")),"")</f>
        <v/>
      </c>
      <c r="E175" s="29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29" t="str">
        <f>IFERROR(IF(SUMIFS(tblDaily[TransfersIn],tblDaily[EntryDate],DATE(2026,5,13),tblDaily[WardCode],"BH")=0,"",SUMIFS(tblDaily[TransfersIn],tblDaily[EntryDate],DATE(2026,5,13),tblDaily[WardCode],"BH")),"")</f>
        <v/>
      </c>
      <c r="G175" s="29" t="str">
        <f>IFERROR(IF(SUMIFS(tblDaily[TransfersOut],tblDaily[EntryDate],DATE(2026,5,13),tblDaily[WardCode],"BH")=0,"",SUMIFS(tblDaily[TransfersOut],tblDaily[EntryDate],DATE(2026,5,13),tblDaily[WardCode],"BH")),"")</f>
        <v/>
      </c>
      <c r="H175" s="29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IFERROR(IF(SUMIFS(tblDaily[Admissions],tblDaily[EntryDate],DATE(2026,5,14),tblDaily[WardCode],"BH")=0,"",SUMIFS(tblDaily[Admissions],tblDaily[EntryDate],DATE(2026,5,14),tblDaily[WardCode],"BH")),"")</f>
        <v/>
      </c>
      <c r="C176" s="29" t="str">
        <f>IFERROR(IF(SUMIFS(tblDaily[Discharges],tblDaily[EntryDate],DATE(2026,5,14),tblDaily[WardCode],"BH")=0,"",SUMIFS(tblDaily[Discharges],tblDaily[EntryDate],DATE(2026,5,14),tblDaily[WardCode],"BH")),"")</f>
        <v/>
      </c>
      <c r="D176" s="29" t="str">
        <f>IFERROR(IF(SUMIFS(tblDaily[Deaths],tblDaily[EntryDate],DATE(2026,5,14),tblDaily[WardCode],"BH")=0,"",SUMIFS(tblDaily[Deaths],tblDaily[EntryDate],DATE(2026,5,14),tblDaily[WardCode],"BH")),"")</f>
        <v/>
      </c>
      <c r="E176" s="29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29" t="str">
        <f>IFERROR(IF(SUMIFS(tblDaily[TransfersIn],tblDaily[EntryDate],DATE(2026,5,14),tblDaily[WardCode],"BH")=0,"",SUMIFS(tblDaily[TransfersIn],tblDaily[EntryDate],DATE(2026,5,14),tblDaily[WardCode],"BH")),"")</f>
        <v/>
      </c>
      <c r="G176" s="29" t="str">
        <f>IFERROR(IF(SUMIFS(tblDaily[TransfersOut],tblDaily[EntryDate],DATE(2026,5,14),tblDaily[WardCode],"BH")=0,"",SUMIFS(tblDaily[TransfersOut],tblDaily[EntryDate],DATE(2026,5,14),tblDaily[WardCode],"BH")),"")</f>
        <v/>
      </c>
      <c r="H176" s="29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IFERROR(IF(SUMIFS(tblDaily[Admissions],tblDaily[EntryDate],DATE(2026,5,15),tblDaily[WardCode],"BH")=0,"",SUMIFS(tblDaily[Admissions],tblDaily[EntryDate],DATE(2026,5,15),tblDaily[WardCode],"BH")),"")</f>
        <v/>
      </c>
      <c r="C177" s="29" t="str">
        <f>IFERROR(IF(SUMIFS(tblDaily[Discharges],tblDaily[EntryDate],DATE(2026,5,15),tblDaily[WardCode],"BH")=0,"",SUMIFS(tblDaily[Discharges],tblDaily[EntryDate],DATE(2026,5,15),tblDaily[WardCode],"BH")),"")</f>
        <v/>
      </c>
      <c r="D177" s="29" t="str">
        <f>IFERROR(IF(SUMIFS(tblDaily[Deaths],tblDaily[EntryDate],DATE(2026,5,15),tblDaily[WardCode],"BH")=0,"",SUMIFS(tblDaily[Deaths],tblDaily[EntryDate],DATE(2026,5,15),tblDaily[WardCode],"BH")),"")</f>
        <v/>
      </c>
      <c r="E177" s="29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29" t="str">
        <f>IFERROR(IF(SUMIFS(tblDaily[TransfersIn],tblDaily[EntryDate],DATE(2026,5,15),tblDaily[WardCode],"BH")=0,"",SUMIFS(tblDaily[TransfersIn],tblDaily[EntryDate],DATE(2026,5,15),tblDaily[WardCode],"BH")),"")</f>
        <v/>
      </c>
      <c r="G177" s="29" t="str">
        <f>IFERROR(IF(SUMIFS(tblDaily[TransfersOut],tblDaily[EntryDate],DATE(2026,5,15),tblDaily[WardCode],"BH")=0,"",SUMIFS(tblDaily[TransfersOut],tblDaily[EntryDate],DATE(2026,5,15),tblDaily[WardCode],"BH")),"")</f>
        <v/>
      </c>
      <c r="H177" s="29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IFERROR(IF(SUMIFS(tblDaily[Admissions],tblDaily[EntryDate],DATE(2026,5,16),tblDaily[WardCode],"BH")=0,"",SUMIFS(tblDaily[Admissions],tblDaily[EntryDate],DATE(2026,5,16),tblDaily[WardCode],"BH")),"")</f>
        <v/>
      </c>
      <c r="C178" s="29" t="str">
        <f>IFERROR(IF(SUMIFS(tblDaily[Discharges],tblDaily[EntryDate],DATE(2026,5,16),tblDaily[WardCode],"BH")=0,"",SUMIFS(tblDaily[Discharges],tblDaily[EntryDate],DATE(2026,5,16),tblDaily[WardCode],"BH")),"")</f>
        <v/>
      </c>
      <c r="D178" s="29" t="str">
        <f>IFERROR(IF(SUMIFS(tblDaily[Deaths],tblDaily[EntryDate],DATE(2026,5,16),tblDaily[WardCode],"BH")=0,"",SUMIFS(tblDaily[Deaths],tblDaily[EntryDate],DATE(2026,5,16),tblDaily[WardCode],"BH")),"")</f>
        <v/>
      </c>
      <c r="E178" s="29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29" t="str">
        <f>IFERROR(IF(SUMIFS(tblDaily[TransfersIn],tblDaily[EntryDate],DATE(2026,5,16),tblDaily[WardCode],"BH")=0,"",SUMIFS(tblDaily[TransfersIn],tblDaily[EntryDate],DATE(2026,5,16),tblDaily[WardCode],"BH")),"")</f>
        <v/>
      </c>
      <c r="G178" s="29" t="str">
        <f>IFERROR(IF(SUMIFS(tblDaily[TransfersOut],tblDaily[EntryDate],DATE(2026,5,16),tblDaily[WardCode],"BH")=0,"",SUMIFS(tblDaily[TransfersOut],tblDaily[EntryDate],DATE(2026,5,16),tblDaily[WardCode],"BH")),"")</f>
        <v/>
      </c>
      <c r="H178" s="29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IFERROR(IF(SUMIFS(tblDaily[Admissions],tblDaily[EntryDate],DATE(2026,5,17),tblDaily[WardCode],"BH")=0,"",SUMIFS(tblDaily[Admissions],tblDaily[EntryDate],DATE(2026,5,17),tblDaily[WardCode],"BH")),"")</f>
        <v/>
      </c>
      <c r="C179" s="29" t="str">
        <f>IFERROR(IF(SUMIFS(tblDaily[Discharges],tblDaily[EntryDate],DATE(2026,5,17),tblDaily[WardCode],"BH")=0,"",SUMIFS(tblDaily[Discharges],tblDaily[EntryDate],DATE(2026,5,17),tblDaily[WardCode],"BH")),"")</f>
        <v/>
      </c>
      <c r="D179" s="29" t="str">
        <f>IFERROR(IF(SUMIFS(tblDaily[Deaths],tblDaily[EntryDate],DATE(2026,5,17),tblDaily[WardCode],"BH")=0,"",SUMIFS(tblDaily[Deaths],tblDaily[EntryDate],DATE(2026,5,17),tblDaily[WardCode],"BH")),"")</f>
        <v/>
      </c>
      <c r="E179" s="29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29" t="str">
        <f>IFERROR(IF(SUMIFS(tblDaily[TransfersIn],tblDaily[EntryDate],DATE(2026,5,17),tblDaily[WardCode],"BH")=0,"",SUMIFS(tblDaily[TransfersIn],tblDaily[EntryDate],DATE(2026,5,17),tblDaily[WardCode],"BH")),"")</f>
        <v/>
      </c>
      <c r="G179" s="29" t="str">
        <f>IFERROR(IF(SUMIFS(tblDaily[TransfersOut],tblDaily[EntryDate],DATE(2026,5,17),tblDaily[WardCode],"BH")=0,"",SUMIFS(tblDaily[TransfersOut],tblDaily[EntryDate],DATE(2026,5,17),tblDaily[WardCode],"BH")),"")</f>
        <v/>
      </c>
      <c r="H179" s="29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IFERROR(IF(SUMIFS(tblDaily[Admissions],tblDaily[EntryDate],DATE(2026,5,18),tblDaily[WardCode],"BH")=0,"",SUMIFS(tblDaily[Admissions],tblDaily[EntryDate],DATE(2026,5,18),tblDaily[WardCode],"BH")),"")</f>
        <v/>
      </c>
      <c r="C180" s="29" t="str">
        <f>IFERROR(IF(SUMIFS(tblDaily[Discharges],tblDaily[EntryDate],DATE(2026,5,18),tblDaily[WardCode],"BH")=0,"",SUMIFS(tblDaily[Discharges],tblDaily[EntryDate],DATE(2026,5,18),tblDaily[WardCode],"BH")),"")</f>
        <v/>
      </c>
      <c r="D180" s="29" t="str">
        <f>IFERROR(IF(SUMIFS(tblDaily[Deaths],tblDaily[EntryDate],DATE(2026,5,18),tblDaily[WardCode],"BH")=0,"",SUMIFS(tblDaily[Deaths],tblDaily[EntryDate],DATE(2026,5,18),tblDaily[WardCode],"BH")),"")</f>
        <v/>
      </c>
      <c r="E180" s="29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29" t="str">
        <f>IFERROR(IF(SUMIFS(tblDaily[TransfersIn],tblDaily[EntryDate],DATE(2026,5,18),tblDaily[WardCode],"BH")=0,"",SUMIFS(tblDaily[TransfersIn],tblDaily[EntryDate],DATE(2026,5,18),tblDaily[WardCode],"BH")),"")</f>
        <v/>
      </c>
      <c r="G180" s="29" t="str">
        <f>IFERROR(IF(SUMIFS(tblDaily[TransfersOut],tblDaily[EntryDate],DATE(2026,5,18),tblDaily[WardCode],"BH")=0,"",SUMIFS(tblDaily[TransfersOut],tblDaily[EntryDate],DATE(2026,5,18),tblDaily[WardCode],"BH")),"")</f>
        <v/>
      </c>
      <c r="H180" s="29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IFERROR(IF(SUMIFS(tblDaily[Admissions],tblDaily[EntryDate],DATE(2026,5,19),tblDaily[WardCode],"BH")=0,"",SUMIFS(tblDaily[Admissions],tblDaily[EntryDate],DATE(2026,5,19),tblDaily[WardCode],"BH")),"")</f>
        <v/>
      </c>
      <c r="C181" s="29" t="str">
        <f>IFERROR(IF(SUMIFS(tblDaily[Discharges],tblDaily[EntryDate],DATE(2026,5,19),tblDaily[WardCode],"BH")=0,"",SUMIFS(tblDaily[Discharges],tblDaily[EntryDate],DATE(2026,5,19),tblDaily[WardCode],"BH")),"")</f>
        <v/>
      </c>
      <c r="D181" s="29" t="str">
        <f>IFERROR(IF(SUMIFS(tblDaily[Deaths],tblDaily[EntryDate],DATE(2026,5,19),tblDaily[WardCode],"BH")=0,"",SUMIFS(tblDaily[Deaths],tblDaily[EntryDate],DATE(2026,5,19),tblDaily[WardCode],"BH")),"")</f>
        <v/>
      </c>
      <c r="E181" s="29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29" t="str">
        <f>IFERROR(IF(SUMIFS(tblDaily[TransfersIn],tblDaily[EntryDate],DATE(2026,5,19),tblDaily[WardCode],"BH")=0,"",SUMIFS(tblDaily[TransfersIn],tblDaily[EntryDate],DATE(2026,5,19),tblDaily[WardCode],"BH")),"")</f>
        <v/>
      </c>
      <c r="G181" s="29" t="str">
        <f>IFERROR(IF(SUMIFS(tblDaily[TransfersOut],tblDaily[EntryDate],DATE(2026,5,19),tblDaily[WardCode],"BH")=0,"",SUMIFS(tblDaily[TransfersOut],tblDaily[EntryDate],DATE(2026,5,19),tblDaily[WardCode],"BH")),"")</f>
        <v/>
      </c>
      <c r="H181" s="29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IFERROR(IF(SUMIFS(tblDaily[Admissions],tblDaily[EntryDate],DATE(2026,5,20),tblDaily[WardCode],"BH")=0,"",SUMIFS(tblDaily[Admissions],tblDaily[EntryDate],DATE(2026,5,20),tblDaily[WardCode],"BH")),"")</f>
        <v/>
      </c>
      <c r="C182" s="29" t="str">
        <f>IFERROR(IF(SUMIFS(tblDaily[Discharges],tblDaily[EntryDate],DATE(2026,5,20),tblDaily[WardCode],"BH")=0,"",SUMIFS(tblDaily[Discharges],tblDaily[EntryDate],DATE(2026,5,20),tblDaily[WardCode],"BH")),"")</f>
        <v/>
      </c>
      <c r="D182" s="29" t="str">
        <f>IFERROR(IF(SUMIFS(tblDaily[Deaths],tblDaily[EntryDate],DATE(2026,5,20),tblDaily[WardCode],"BH")=0,"",SUMIFS(tblDaily[Deaths],tblDaily[EntryDate],DATE(2026,5,20),tblDaily[WardCode],"BH")),"")</f>
        <v/>
      </c>
      <c r="E182" s="29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29" t="str">
        <f>IFERROR(IF(SUMIFS(tblDaily[TransfersIn],tblDaily[EntryDate],DATE(2026,5,20),tblDaily[WardCode],"BH")=0,"",SUMIFS(tblDaily[TransfersIn],tblDaily[EntryDate],DATE(2026,5,20),tblDaily[WardCode],"BH")),"")</f>
        <v/>
      </c>
      <c r="G182" s="29" t="str">
        <f>IFERROR(IF(SUMIFS(tblDaily[TransfersOut],tblDaily[EntryDate],DATE(2026,5,20),tblDaily[WardCode],"BH")=0,"",SUMIFS(tblDaily[TransfersOut],tblDaily[EntryDate],DATE(2026,5,20),tblDaily[WardCode],"BH")),"")</f>
        <v/>
      </c>
      <c r="H182" s="29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IFERROR(IF(SUMIFS(tblDaily[Admissions],tblDaily[EntryDate],DATE(2026,5,21),tblDaily[WardCode],"BH")=0,"",SUMIFS(tblDaily[Admissions],tblDaily[EntryDate],DATE(2026,5,21),tblDaily[WardCode],"BH")),"")</f>
        <v/>
      </c>
      <c r="C183" s="29" t="str">
        <f>IFERROR(IF(SUMIFS(tblDaily[Discharges],tblDaily[EntryDate],DATE(2026,5,21),tblDaily[WardCode],"BH")=0,"",SUMIFS(tblDaily[Discharges],tblDaily[EntryDate],DATE(2026,5,21),tblDaily[WardCode],"BH")),"")</f>
        <v/>
      </c>
      <c r="D183" s="29" t="str">
        <f>IFERROR(IF(SUMIFS(tblDaily[Deaths],tblDaily[EntryDate],DATE(2026,5,21),tblDaily[WardCode],"BH")=0,"",SUMIFS(tblDaily[Deaths],tblDaily[EntryDate],DATE(2026,5,21),tblDaily[WardCode],"BH")),"")</f>
        <v/>
      </c>
      <c r="E183" s="29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29" t="str">
        <f>IFERROR(IF(SUMIFS(tblDaily[TransfersIn],tblDaily[EntryDate],DATE(2026,5,21),tblDaily[WardCode],"BH")=0,"",SUMIFS(tblDaily[TransfersIn],tblDaily[EntryDate],DATE(2026,5,21),tblDaily[WardCode],"BH")),"")</f>
        <v/>
      </c>
      <c r="G183" s="29" t="str">
        <f>IFERROR(IF(SUMIFS(tblDaily[TransfersOut],tblDaily[EntryDate],DATE(2026,5,21),tblDaily[WardCode],"BH")=0,"",SUMIFS(tblDaily[TransfersOut],tblDaily[EntryDate],DATE(2026,5,21),tblDaily[WardCode],"BH")),"")</f>
        <v/>
      </c>
      <c r="H183" s="29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IFERROR(IF(SUMIFS(tblDaily[Admissions],tblDaily[EntryDate],DATE(2026,5,22),tblDaily[WardCode],"BH")=0,"",SUMIFS(tblDaily[Admissions],tblDaily[EntryDate],DATE(2026,5,22),tblDaily[WardCode],"BH")),"")</f>
        <v/>
      </c>
      <c r="C184" s="29" t="str">
        <f>IFERROR(IF(SUMIFS(tblDaily[Discharges],tblDaily[EntryDate],DATE(2026,5,22),tblDaily[WardCode],"BH")=0,"",SUMIFS(tblDaily[Discharges],tblDaily[EntryDate],DATE(2026,5,22),tblDaily[WardCode],"BH")),"")</f>
        <v/>
      </c>
      <c r="D184" s="29" t="str">
        <f>IFERROR(IF(SUMIFS(tblDaily[Deaths],tblDaily[EntryDate],DATE(2026,5,22),tblDaily[WardCode],"BH")=0,"",SUMIFS(tblDaily[Deaths],tblDaily[EntryDate],DATE(2026,5,22),tblDaily[WardCode],"BH")),"")</f>
        <v/>
      </c>
      <c r="E184" s="29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29" t="str">
        <f>IFERROR(IF(SUMIFS(tblDaily[TransfersIn],tblDaily[EntryDate],DATE(2026,5,22),tblDaily[WardCode],"BH")=0,"",SUMIFS(tblDaily[TransfersIn],tblDaily[EntryDate],DATE(2026,5,22),tblDaily[WardCode],"BH")),"")</f>
        <v/>
      </c>
      <c r="G184" s="29" t="str">
        <f>IFERROR(IF(SUMIFS(tblDaily[TransfersOut],tblDaily[EntryDate],DATE(2026,5,22),tblDaily[WardCode],"BH")=0,"",SUMIFS(tblDaily[TransfersOut],tblDaily[EntryDate],DATE(2026,5,22),tblDaily[WardCode],"BH")),"")</f>
        <v/>
      </c>
      <c r="H184" s="29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IFERROR(IF(SUMIFS(tblDaily[Admissions],tblDaily[EntryDate],DATE(2026,5,23),tblDaily[WardCode],"BH")=0,"",SUMIFS(tblDaily[Admissions],tblDaily[EntryDate],DATE(2026,5,23),tblDaily[WardCode],"BH")),"")</f>
        <v/>
      </c>
      <c r="C185" s="29" t="str">
        <f>IFERROR(IF(SUMIFS(tblDaily[Discharges],tblDaily[EntryDate],DATE(2026,5,23),tblDaily[WardCode],"BH")=0,"",SUMIFS(tblDaily[Discharges],tblDaily[EntryDate],DATE(2026,5,23),tblDaily[WardCode],"BH")),"")</f>
        <v/>
      </c>
      <c r="D185" s="29" t="str">
        <f>IFERROR(IF(SUMIFS(tblDaily[Deaths],tblDaily[EntryDate],DATE(2026,5,23),tblDaily[WardCode],"BH")=0,"",SUMIFS(tblDaily[Deaths],tblDaily[EntryDate],DATE(2026,5,23),tblDaily[WardCode],"BH")),"")</f>
        <v/>
      </c>
      <c r="E185" s="29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29" t="str">
        <f>IFERROR(IF(SUMIFS(tblDaily[TransfersIn],tblDaily[EntryDate],DATE(2026,5,23),tblDaily[WardCode],"BH")=0,"",SUMIFS(tblDaily[TransfersIn],tblDaily[EntryDate],DATE(2026,5,23),tblDaily[WardCode],"BH")),"")</f>
        <v/>
      </c>
      <c r="G185" s="29" t="str">
        <f>IFERROR(IF(SUMIFS(tblDaily[TransfersOut],tblDaily[EntryDate],DATE(2026,5,23),tblDaily[WardCode],"BH")=0,"",SUMIFS(tblDaily[TransfersOut],tblDaily[EntryDate],DATE(2026,5,23),tblDaily[WardCode],"BH")),"")</f>
        <v/>
      </c>
      <c r="H185" s="29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IFERROR(IF(SUMIFS(tblDaily[Admissions],tblDaily[EntryDate],DATE(2026,5,24),tblDaily[WardCode],"BH")=0,"",SUMIFS(tblDaily[Admissions],tblDaily[EntryDate],DATE(2026,5,24),tblDaily[WardCode],"BH")),"")</f>
        <v/>
      </c>
      <c r="C186" s="29" t="str">
        <f>IFERROR(IF(SUMIFS(tblDaily[Discharges],tblDaily[EntryDate],DATE(2026,5,24),tblDaily[WardCode],"BH")=0,"",SUMIFS(tblDaily[Discharges],tblDaily[EntryDate],DATE(2026,5,24),tblDaily[WardCode],"BH")),"")</f>
        <v/>
      </c>
      <c r="D186" s="29" t="str">
        <f>IFERROR(IF(SUMIFS(tblDaily[Deaths],tblDaily[EntryDate],DATE(2026,5,24),tblDaily[WardCode],"BH")=0,"",SUMIFS(tblDaily[Deaths],tblDaily[EntryDate],DATE(2026,5,24),tblDaily[WardCode],"BH")),"")</f>
        <v/>
      </c>
      <c r="E186" s="29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29" t="str">
        <f>IFERROR(IF(SUMIFS(tblDaily[TransfersIn],tblDaily[EntryDate],DATE(2026,5,24),tblDaily[WardCode],"BH")=0,"",SUMIFS(tblDaily[TransfersIn],tblDaily[EntryDate],DATE(2026,5,24),tblDaily[WardCode],"BH")),"")</f>
        <v/>
      </c>
      <c r="G186" s="29" t="str">
        <f>IFERROR(IF(SUMIFS(tblDaily[TransfersOut],tblDaily[EntryDate],DATE(2026,5,24),tblDaily[WardCode],"BH")=0,"",SUMIFS(tblDaily[TransfersOut],tblDaily[EntryDate],DATE(2026,5,24),tblDaily[WardCode],"BH")),"")</f>
        <v/>
      </c>
      <c r="H186" s="29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IFERROR(IF(SUMIFS(tblDaily[Admissions],tblDaily[EntryDate],DATE(2026,5,25),tblDaily[WardCode],"BH")=0,"",SUMIFS(tblDaily[Admissions],tblDaily[EntryDate],DATE(2026,5,25),tblDaily[WardCode],"BH")),"")</f>
        <v/>
      </c>
      <c r="C187" s="29" t="str">
        <f>IFERROR(IF(SUMIFS(tblDaily[Discharges],tblDaily[EntryDate],DATE(2026,5,25),tblDaily[WardCode],"BH")=0,"",SUMIFS(tblDaily[Discharges],tblDaily[EntryDate],DATE(2026,5,25),tblDaily[WardCode],"BH")),"")</f>
        <v/>
      </c>
      <c r="D187" s="29" t="str">
        <f>IFERROR(IF(SUMIFS(tblDaily[Deaths],tblDaily[EntryDate],DATE(2026,5,25),tblDaily[WardCode],"BH")=0,"",SUMIFS(tblDaily[Deaths],tblDaily[EntryDate],DATE(2026,5,25),tblDaily[WardCode],"BH")),"")</f>
        <v/>
      </c>
      <c r="E187" s="29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29" t="str">
        <f>IFERROR(IF(SUMIFS(tblDaily[TransfersIn],tblDaily[EntryDate],DATE(2026,5,25),tblDaily[WardCode],"BH")=0,"",SUMIFS(tblDaily[TransfersIn],tblDaily[EntryDate],DATE(2026,5,25),tblDaily[WardCode],"BH")),"")</f>
        <v/>
      </c>
      <c r="G187" s="29" t="str">
        <f>IFERROR(IF(SUMIFS(tblDaily[TransfersOut],tblDaily[EntryDate],DATE(2026,5,25),tblDaily[WardCode],"BH")=0,"",SUMIFS(tblDaily[TransfersOut],tblDaily[EntryDate],DATE(2026,5,25),tblDaily[WardCode],"BH")),"")</f>
        <v/>
      </c>
      <c r="H187" s="29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IFERROR(IF(SUMIFS(tblDaily[Admissions],tblDaily[EntryDate],DATE(2026,5,26),tblDaily[WardCode],"BH")=0,"",SUMIFS(tblDaily[Admissions],tblDaily[EntryDate],DATE(2026,5,26),tblDaily[WardCode],"BH")),"")</f>
        <v/>
      </c>
      <c r="C188" s="29" t="str">
        <f>IFERROR(IF(SUMIFS(tblDaily[Discharges],tblDaily[EntryDate],DATE(2026,5,26),tblDaily[WardCode],"BH")=0,"",SUMIFS(tblDaily[Discharges],tblDaily[EntryDate],DATE(2026,5,26),tblDaily[WardCode],"BH")),"")</f>
        <v/>
      </c>
      <c r="D188" s="29" t="str">
        <f>IFERROR(IF(SUMIFS(tblDaily[Deaths],tblDaily[EntryDate],DATE(2026,5,26),tblDaily[WardCode],"BH")=0,"",SUMIFS(tblDaily[Deaths],tblDaily[EntryDate],DATE(2026,5,26),tblDaily[WardCode],"BH")),"")</f>
        <v/>
      </c>
      <c r="E188" s="29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29" t="str">
        <f>IFERROR(IF(SUMIFS(tblDaily[TransfersIn],tblDaily[EntryDate],DATE(2026,5,26),tblDaily[WardCode],"BH")=0,"",SUMIFS(tblDaily[TransfersIn],tblDaily[EntryDate],DATE(2026,5,26),tblDaily[WardCode],"BH")),"")</f>
        <v/>
      </c>
      <c r="G188" s="29" t="str">
        <f>IFERROR(IF(SUMIFS(tblDaily[TransfersOut],tblDaily[EntryDate],DATE(2026,5,26),tblDaily[WardCode],"BH")=0,"",SUMIFS(tblDaily[TransfersOut],tblDaily[EntryDate],DATE(2026,5,26),tblDaily[WardCode],"BH")),"")</f>
        <v/>
      </c>
      <c r="H188" s="29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IFERROR(IF(SUMIFS(tblDaily[Admissions],tblDaily[EntryDate],DATE(2026,5,27),tblDaily[WardCode],"BH")=0,"",SUMIFS(tblDaily[Admissions],tblDaily[EntryDate],DATE(2026,5,27),tblDaily[WardCode],"BH")),"")</f>
        <v/>
      </c>
      <c r="C189" s="29" t="str">
        <f>IFERROR(IF(SUMIFS(tblDaily[Discharges],tblDaily[EntryDate],DATE(2026,5,27),tblDaily[WardCode],"BH")=0,"",SUMIFS(tblDaily[Discharges],tblDaily[EntryDate],DATE(2026,5,27),tblDaily[WardCode],"BH")),"")</f>
        <v/>
      </c>
      <c r="D189" s="29" t="str">
        <f>IFERROR(IF(SUMIFS(tblDaily[Deaths],tblDaily[EntryDate],DATE(2026,5,27),tblDaily[WardCode],"BH")=0,"",SUMIFS(tblDaily[Deaths],tblDaily[EntryDate],DATE(2026,5,27),tblDaily[WardCode],"BH")),"")</f>
        <v/>
      </c>
      <c r="E189" s="29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29" t="str">
        <f>IFERROR(IF(SUMIFS(tblDaily[TransfersIn],tblDaily[EntryDate],DATE(2026,5,27),tblDaily[WardCode],"BH")=0,"",SUMIFS(tblDaily[TransfersIn],tblDaily[EntryDate],DATE(2026,5,27),tblDaily[WardCode],"BH")),"")</f>
        <v/>
      </c>
      <c r="G189" s="29" t="str">
        <f>IFERROR(IF(SUMIFS(tblDaily[TransfersOut],tblDaily[EntryDate],DATE(2026,5,27),tblDaily[WardCode],"BH")=0,"",SUMIFS(tblDaily[TransfersOut],tblDaily[EntryDate],DATE(2026,5,27),tblDaily[WardCode],"BH")),"")</f>
        <v/>
      </c>
      <c r="H189" s="29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IFERROR(IF(SUMIFS(tblDaily[Admissions],tblDaily[EntryDate],DATE(2026,5,28),tblDaily[WardCode],"BH")=0,"",SUMIFS(tblDaily[Admissions],tblDaily[EntryDate],DATE(2026,5,28),tblDaily[WardCode],"BH")),"")</f>
        <v/>
      </c>
      <c r="C190" s="29" t="str">
        <f>IFERROR(IF(SUMIFS(tblDaily[Discharges],tblDaily[EntryDate],DATE(2026,5,28),tblDaily[WardCode],"BH")=0,"",SUMIFS(tblDaily[Discharges],tblDaily[EntryDate],DATE(2026,5,28),tblDaily[WardCode],"BH")),"")</f>
        <v/>
      </c>
      <c r="D190" s="29" t="str">
        <f>IFERROR(IF(SUMIFS(tblDaily[Deaths],tblDaily[EntryDate],DATE(2026,5,28),tblDaily[WardCode],"BH")=0,"",SUMIFS(tblDaily[Deaths],tblDaily[EntryDate],DATE(2026,5,28),tblDaily[WardCode],"BH")),"")</f>
        <v/>
      </c>
      <c r="E190" s="29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29" t="str">
        <f>IFERROR(IF(SUMIFS(tblDaily[TransfersIn],tblDaily[EntryDate],DATE(2026,5,28),tblDaily[WardCode],"BH")=0,"",SUMIFS(tblDaily[TransfersIn],tblDaily[EntryDate],DATE(2026,5,28),tblDaily[WardCode],"BH")),"")</f>
        <v/>
      </c>
      <c r="G190" s="29" t="str">
        <f>IFERROR(IF(SUMIFS(tblDaily[TransfersOut],tblDaily[EntryDate],DATE(2026,5,28),tblDaily[WardCode],"BH")=0,"",SUMIFS(tblDaily[TransfersOut],tblDaily[EntryDate],DATE(2026,5,28),tblDaily[WardCode],"BH")),"")</f>
        <v/>
      </c>
      <c r="H190" s="29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IFERROR(IF(SUMIFS(tblDaily[Admissions],tblDaily[EntryDate],DATE(2026,5,29),tblDaily[WardCode],"BH")=0,"",SUMIFS(tblDaily[Admissions],tblDaily[EntryDate],DATE(2026,5,29),tblDaily[WardCode],"BH")),"")</f>
        <v/>
      </c>
      <c r="C191" s="29" t="str">
        <f>IFERROR(IF(SUMIFS(tblDaily[Discharges],tblDaily[EntryDate],DATE(2026,5,29),tblDaily[WardCode],"BH")=0,"",SUMIFS(tblDaily[Discharges],tblDaily[EntryDate],DATE(2026,5,29),tblDaily[WardCode],"BH")),"")</f>
        <v/>
      </c>
      <c r="D191" s="29" t="str">
        <f>IFERROR(IF(SUMIFS(tblDaily[Deaths],tblDaily[EntryDate],DATE(2026,5,29),tblDaily[WardCode],"BH")=0,"",SUMIFS(tblDaily[Deaths],tblDaily[EntryDate],DATE(2026,5,29),tblDaily[WardCode],"BH")),"")</f>
        <v/>
      </c>
      <c r="E191" s="29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29" t="str">
        <f>IFERROR(IF(SUMIFS(tblDaily[TransfersIn],tblDaily[EntryDate],DATE(2026,5,29),tblDaily[WardCode],"BH")=0,"",SUMIFS(tblDaily[TransfersIn],tblDaily[EntryDate],DATE(2026,5,29),tblDaily[WardCode],"BH")),"")</f>
        <v/>
      </c>
      <c r="G191" s="29" t="str">
        <f>IFERROR(IF(SUMIFS(tblDaily[TransfersOut],tblDaily[EntryDate],DATE(2026,5,29),tblDaily[WardCode],"BH")=0,"",SUMIFS(tblDaily[TransfersOut],tblDaily[EntryDate],DATE(2026,5,29),tblDaily[WardCode],"BH")),"")</f>
        <v/>
      </c>
      <c r="H191" s="29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IFERROR(IF(SUMIFS(tblDaily[Admissions],tblDaily[EntryDate],DATE(2026,5,30),tblDaily[WardCode],"BH")=0,"",SUMIFS(tblDaily[Admissions],tblDaily[EntryDate],DATE(2026,5,30),tblDaily[WardCode],"BH")),"")</f>
        <v/>
      </c>
      <c r="C192" s="29" t="str">
        <f>IFERROR(IF(SUMIFS(tblDaily[Discharges],tblDaily[EntryDate],DATE(2026,5,30),tblDaily[WardCode],"BH")=0,"",SUMIFS(tblDaily[Discharges],tblDaily[EntryDate],DATE(2026,5,30),tblDaily[WardCode],"BH")),"")</f>
        <v/>
      </c>
      <c r="D192" s="29" t="str">
        <f>IFERROR(IF(SUMIFS(tblDaily[Deaths],tblDaily[EntryDate],DATE(2026,5,30),tblDaily[WardCode],"BH")=0,"",SUMIFS(tblDaily[Deaths],tblDaily[EntryDate],DATE(2026,5,30),tblDaily[WardCode],"BH")),"")</f>
        <v/>
      </c>
      <c r="E192" s="29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29" t="str">
        <f>IFERROR(IF(SUMIFS(tblDaily[TransfersIn],tblDaily[EntryDate],DATE(2026,5,30),tblDaily[WardCode],"BH")=0,"",SUMIFS(tblDaily[TransfersIn],tblDaily[EntryDate],DATE(2026,5,30),tblDaily[WardCode],"BH")),"")</f>
        <v/>
      </c>
      <c r="G192" s="29" t="str">
        <f>IFERROR(IF(SUMIFS(tblDaily[TransfersOut],tblDaily[EntryDate],DATE(2026,5,30),tblDaily[WardCode],"BH")=0,"",SUMIFS(tblDaily[TransfersOut],tblDaily[EntryDate],DATE(2026,5,30),tblDaily[WardCode],"BH")),"")</f>
        <v/>
      </c>
      <c r="H192" s="29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IFERROR(IF(SUMIFS(tblDaily[Admissions],tblDaily[EntryDate],DATE(2026,5,31),tblDaily[WardCode],"BH")=0,"",SUMIFS(tblDaily[Admissions],tblDaily[EntryDate],DATE(2026,5,31),tblDaily[WardCode],"BH")),"")</f>
        <v/>
      </c>
      <c r="C193" s="29" t="str">
        <f>IFERROR(IF(SUMIFS(tblDaily[Discharges],tblDaily[EntryDate],DATE(2026,5,31),tblDaily[WardCode],"BH")=0,"",SUMIFS(tblDaily[Discharges],tblDaily[EntryDate],DATE(2026,5,31),tblDaily[WardCode],"BH")),"")</f>
        <v/>
      </c>
      <c r="D193" s="29" t="str">
        <f>IFERROR(IF(SUMIFS(tblDaily[Deaths],tblDaily[EntryDate],DATE(2026,5,31),tblDaily[WardCode],"BH")=0,"",SUMIFS(tblDaily[Deaths],tblDaily[EntryDate],DATE(2026,5,31),tblDaily[WardCode],"BH")),"")</f>
        <v/>
      </c>
      <c r="E193" s="29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29" t="str">
        <f>IFERROR(IF(SUMIFS(tblDaily[TransfersIn],tblDaily[EntryDate],DATE(2026,5,31),tblDaily[WardCode],"BH")=0,"",SUMIFS(tblDaily[TransfersIn],tblDaily[EntryDate],DATE(2026,5,31),tblDaily[WardCode],"BH")),"")</f>
        <v/>
      </c>
      <c r="G193" s="29" t="str">
        <f>IFERROR(IF(SUMIFS(tblDaily[TransfersOut],tblDaily[EntryDate],DATE(2026,5,31),tblDaily[WardCode],"BH")=0,"",SUMIFS(tblDaily[TransfersOut],tblDaily[EntryDate],DATE(2026,5,31),tblDaily[WardCode],"BH")),"")</f>
        <v/>
      </c>
      <c r="H193" s="29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30" t="s">
        <v>115</v>
      </c>
      <c r="B194" s="30">
        <f>SUMIFS(tblDaily[Admissions],tblDaily[Month],5,tblDaily[WardCode],"BH") - SUMIFS(tblDaily[DeathsUnder24Hrs],tblDaily[Month],5,tblDaily[WardCode],"BH")</f>
        <v>0</v>
      </c>
      <c r="C194" s="30">
        <f>SUMIFS(tblDaily[Discharges],tblDaily[Month],5,tblDaily[WardCode],"BH")</f>
        <v>0</v>
      </c>
      <c r="D194" s="30">
        <f>SUMIFS(tblDaily[Deaths],tblDaily[Month],5,tblDaily[WardCode],"BH")</f>
        <v>0</v>
      </c>
      <c r="E194" s="30">
        <f>SUMIFS(tblDaily[DeathsUnder24Hrs],tblDaily[Month],5,tblDaily[WardCode],"BH")</f>
        <v>0</v>
      </c>
      <c r="F194" s="30">
        <f>SUMIFS(tblDaily[TransfersIn],tblDaily[Month],5,tblDaily[WardCode],"BH")</f>
        <v>0</v>
      </c>
      <c r="G194" s="30">
        <f>SUMIFS(tblDaily[TransfersOut],tblDaily[Month],5,tblDaily[WardCode],"BH")</f>
        <v>0</v>
      </c>
      <c r="H194" s="30">
        <f>SUMIFS(tblDaily[Remaining],tblDaily[Month],5,tblDaily[WardCode],"BH")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120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IFERROR(SUMIFS(tblDaily[Remaining],tblDaily[EntryDate],DATE(2026,5,31),tblDaily[WardCode],"BH"),0)</f>
        <v>0</v>
      </c>
    </row>
    <row r="200" spans="1:8" x14ac:dyDescent="0.25">
      <c r="A200" s="24" t="s">
        <v>109</v>
      </c>
      <c r="H200" s="27">
        <f>IFERROR(INDEX(tblWardConfig[BedComplement],MATCH("BH",tblWardConfig[WardCode],0)),0)</f>
        <v>22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IFERROR(IF(SUMIFS(tblDaily[Admissions],tblDaily[EntryDate],DATE(2026,6,1),tblDaily[WardCode],"BH")=0,"",SUMIFS(tblDaily[Admissions],tblDaily[EntryDate],DATE(2026,6,1),tblDaily[WardCode],"BH")),"")</f>
        <v/>
      </c>
      <c r="C202" s="29" t="str">
        <f>IFERROR(IF(SUMIFS(tblDaily[Discharges],tblDaily[EntryDate],DATE(2026,6,1),tblDaily[WardCode],"BH")=0,"",SUMIFS(tblDaily[Discharges],tblDaily[EntryDate],DATE(2026,6,1),tblDaily[WardCode],"BH")),"")</f>
        <v/>
      </c>
      <c r="D202" s="29" t="str">
        <f>IFERROR(IF(SUMIFS(tblDaily[Deaths],tblDaily[EntryDate],DATE(2026,6,1),tblDaily[WardCode],"BH")=0,"",SUMIFS(tblDaily[Deaths],tblDaily[EntryDate],DATE(2026,6,1),tblDaily[WardCode],"BH")),"")</f>
        <v/>
      </c>
      <c r="E202" s="29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29" t="str">
        <f>IFERROR(IF(SUMIFS(tblDaily[TransfersIn],tblDaily[EntryDate],DATE(2026,6,1),tblDaily[WardCode],"BH")=0,"",SUMIFS(tblDaily[TransfersIn],tblDaily[EntryDate],DATE(2026,6,1),tblDaily[WardCode],"BH")),"")</f>
        <v/>
      </c>
      <c r="G202" s="29" t="str">
        <f>IFERROR(IF(SUMIFS(tblDaily[TransfersOut],tblDaily[EntryDate],DATE(2026,6,1),tblDaily[WardCode],"BH")=0,"",SUMIFS(tblDaily[TransfersOut],tblDaily[EntryDate],DATE(2026,6,1),tblDaily[WardCode],"BH")),"")</f>
        <v/>
      </c>
      <c r="H202" s="29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IFERROR(IF(SUMIFS(tblDaily[Admissions],tblDaily[EntryDate],DATE(2026,6,2),tblDaily[WardCode],"BH")=0,"",SUMIFS(tblDaily[Admissions],tblDaily[EntryDate],DATE(2026,6,2),tblDaily[WardCode],"BH")),"")</f>
        <v/>
      </c>
      <c r="C203" s="29" t="str">
        <f>IFERROR(IF(SUMIFS(tblDaily[Discharges],tblDaily[EntryDate],DATE(2026,6,2),tblDaily[WardCode],"BH")=0,"",SUMIFS(tblDaily[Discharges],tblDaily[EntryDate],DATE(2026,6,2),tblDaily[WardCode],"BH")),"")</f>
        <v/>
      </c>
      <c r="D203" s="29" t="str">
        <f>IFERROR(IF(SUMIFS(tblDaily[Deaths],tblDaily[EntryDate],DATE(2026,6,2),tblDaily[WardCode],"BH")=0,"",SUMIFS(tblDaily[Deaths],tblDaily[EntryDate],DATE(2026,6,2),tblDaily[WardCode],"BH")),"")</f>
        <v/>
      </c>
      <c r="E203" s="29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29" t="str">
        <f>IFERROR(IF(SUMIFS(tblDaily[TransfersIn],tblDaily[EntryDate],DATE(2026,6,2),tblDaily[WardCode],"BH")=0,"",SUMIFS(tblDaily[TransfersIn],tblDaily[EntryDate],DATE(2026,6,2),tblDaily[WardCode],"BH")),"")</f>
        <v/>
      </c>
      <c r="G203" s="29" t="str">
        <f>IFERROR(IF(SUMIFS(tblDaily[TransfersOut],tblDaily[EntryDate],DATE(2026,6,2),tblDaily[WardCode],"BH")=0,"",SUMIFS(tblDaily[TransfersOut],tblDaily[EntryDate],DATE(2026,6,2),tblDaily[WardCode],"BH")),"")</f>
        <v/>
      </c>
      <c r="H203" s="29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IFERROR(IF(SUMIFS(tblDaily[Admissions],tblDaily[EntryDate],DATE(2026,6,3),tblDaily[WardCode],"BH")=0,"",SUMIFS(tblDaily[Admissions],tblDaily[EntryDate],DATE(2026,6,3),tblDaily[WardCode],"BH")),"")</f>
        <v/>
      </c>
      <c r="C204" s="29" t="str">
        <f>IFERROR(IF(SUMIFS(tblDaily[Discharges],tblDaily[EntryDate],DATE(2026,6,3),tblDaily[WardCode],"BH")=0,"",SUMIFS(tblDaily[Discharges],tblDaily[EntryDate],DATE(2026,6,3),tblDaily[WardCode],"BH")),"")</f>
        <v/>
      </c>
      <c r="D204" s="29" t="str">
        <f>IFERROR(IF(SUMIFS(tblDaily[Deaths],tblDaily[EntryDate],DATE(2026,6,3),tblDaily[WardCode],"BH")=0,"",SUMIFS(tblDaily[Deaths],tblDaily[EntryDate],DATE(2026,6,3),tblDaily[WardCode],"BH")),"")</f>
        <v/>
      </c>
      <c r="E204" s="29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29" t="str">
        <f>IFERROR(IF(SUMIFS(tblDaily[TransfersIn],tblDaily[EntryDate],DATE(2026,6,3),tblDaily[WardCode],"BH")=0,"",SUMIFS(tblDaily[TransfersIn],tblDaily[EntryDate],DATE(2026,6,3),tblDaily[WardCode],"BH")),"")</f>
        <v/>
      </c>
      <c r="G204" s="29" t="str">
        <f>IFERROR(IF(SUMIFS(tblDaily[TransfersOut],tblDaily[EntryDate],DATE(2026,6,3),tblDaily[WardCode],"BH")=0,"",SUMIFS(tblDaily[TransfersOut],tblDaily[EntryDate],DATE(2026,6,3),tblDaily[WardCode],"BH")),"")</f>
        <v/>
      </c>
      <c r="H204" s="29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IFERROR(IF(SUMIFS(tblDaily[Admissions],tblDaily[EntryDate],DATE(2026,6,4),tblDaily[WardCode],"BH")=0,"",SUMIFS(tblDaily[Admissions],tblDaily[EntryDate],DATE(2026,6,4),tblDaily[WardCode],"BH")),"")</f>
        <v/>
      </c>
      <c r="C205" s="29" t="str">
        <f>IFERROR(IF(SUMIFS(tblDaily[Discharges],tblDaily[EntryDate],DATE(2026,6,4),tblDaily[WardCode],"BH")=0,"",SUMIFS(tblDaily[Discharges],tblDaily[EntryDate],DATE(2026,6,4),tblDaily[WardCode],"BH")),"")</f>
        <v/>
      </c>
      <c r="D205" s="29" t="str">
        <f>IFERROR(IF(SUMIFS(tblDaily[Deaths],tblDaily[EntryDate],DATE(2026,6,4),tblDaily[WardCode],"BH")=0,"",SUMIFS(tblDaily[Deaths],tblDaily[EntryDate],DATE(2026,6,4),tblDaily[WardCode],"BH")),"")</f>
        <v/>
      </c>
      <c r="E205" s="29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29" t="str">
        <f>IFERROR(IF(SUMIFS(tblDaily[TransfersIn],tblDaily[EntryDate],DATE(2026,6,4),tblDaily[WardCode],"BH")=0,"",SUMIFS(tblDaily[TransfersIn],tblDaily[EntryDate],DATE(2026,6,4),tblDaily[WardCode],"BH")),"")</f>
        <v/>
      </c>
      <c r="G205" s="29" t="str">
        <f>IFERROR(IF(SUMIFS(tblDaily[TransfersOut],tblDaily[EntryDate],DATE(2026,6,4),tblDaily[WardCode],"BH")=0,"",SUMIFS(tblDaily[TransfersOut],tblDaily[EntryDate],DATE(2026,6,4),tblDaily[WardCode],"BH")),"")</f>
        <v/>
      </c>
      <c r="H205" s="29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IFERROR(IF(SUMIFS(tblDaily[Admissions],tblDaily[EntryDate],DATE(2026,6,5),tblDaily[WardCode],"BH")=0,"",SUMIFS(tblDaily[Admissions],tblDaily[EntryDate],DATE(2026,6,5),tblDaily[WardCode],"BH")),"")</f>
        <v/>
      </c>
      <c r="C206" s="29" t="str">
        <f>IFERROR(IF(SUMIFS(tblDaily[Discharges],tblDaily[EntryDate],DATE(2026,6,5),tblDaily[WardCode],"BH")=0,"",SUMIFS(tblDaily[Discharges],tblDaily[EntryDate],DATE(2026,6,5),tblDaily[WardCode],"BH")),"")</f>
        <v/>
      </c>
      <c r="D206" s="29" t="str">
        <f>IFERROR(IF(SUMIFS(tblDaily[Deaths],tblDaily[EntryDate],DATE(2026,6,5),tblDaily[WardCode],"BH")=0,"",SUMIFS(tblDaily[Deaths],tblDaily[EntryDate],DATE(2026,6,5),tblDaily[WardCode],"BH")),"")</f>
        <v/>
      </c>
      <c r="E206" s="29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29" t="str">
        <f>IFERROR(IF(SUMIFS(tblDaily[TransfersIn],tblDaily[EntryDate],DATE(2026,6,5),tblDaily[WardCode],"BH")=0,"",SUMIFS(tblDaily[TransfersIn],tblDaily[EntryDate],DATE(2026,6,5),tblDaily[WardCode],"BH")),"")</f>
        <v/>
      </c>
      <c r="G206" s="29" t="str">
        <f>IFERROR(IF(SUMIFS(tblDaily[TransfersOut],tblDaily[EntryDate],DATE(2026,6,5),tblDaily[WardCode],"BH")=0,"",SUMIFS(tblDaily[TransfersOut],tblDaily[EntryDate],DATE(2026,6,5),tblDaily[WardCode],"BH")),"")</f>
        <v/>
      </c>
      <c r="H206" s="29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IFERROR(IF(SUMIFS(tblDaily[Admissions],tblDaily[EntryDate],DATE(2026,6,6),tblDaily[WardCode],"BH")=0,"",SUMIFS(tblDaily[Admissions],tblDaily[EntryDate],DATE(2026,6,6),tblDaily[WardCode],"BH")),"")</f>
        <v/>
      </c>
      <c r="C207" s="29" t="str">
        <f>IFERROR(IF(SUMIFS(tblDaily[Discharges],tblDaily[EntryDate],DATE(2026,6,6),tblDaily[WardCode],"BH")=0,"",SUMIFS(tblDaily[Discharges],tblDaily[EntryDate],DATE(2026,6,6),tblDaily[WardCode],"BH")),"")</f>
        <v/>
      </c>
      <c r="D207" s="29" t="str">
        <f>IFERROR(IF(SUMIFS(tblDaily[Deaths],tblDaily[EntryDate],DATE(2026,6,6),tblDaily[WardCode],"BH")=0,"",SUMIFS(tblDaily[Deaths],tblDaily[EntryDate],DATE(2026,6,6),tblDaily[WardCode],"BH")),"")</f>
        <v/>
      </c>
      <c r="E207" s="29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29" t="str">
        <f>IFERROR(IF(SUMIFS(tblDaily[TransfersIn],tblDaily[EntryDate],DATE(2026,6,6),tblDaily[WardCode],"BH")=0,"",SUMIFS(tblDaily[TransfersIn],tblDaily[EntryDate],DATE(2026,6,6),tblDaily[WardCode],"BH")),"")</f>
        <v/>
      </c>
      <c r="G207" s="29" t="str">
        <f>IFERROR(IF(SUMIFS(tblDaily[TransfersOut],tblDaily[EntryDate],DATE(2026,6,6),tblDaily[WardCode],"BH")=0,"",SUMIFS(tblDaily[TransfersOut],tblDaily[EntryDate],DATE(2026,6,6),tblDaily[WardCode],"BH")),"")</f>
        <v/>
      </c>
      <c r="H207" s="29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IFERROR(IF(SUMIFS(tblDaily[Admissions],tblDaily[EntryDate],DATE(2026,6,7),tblDaily[WardCode],"BH")=0,"",SUMIFS(tblDaily[Admissions],tblDaily[EntryDate],DATE(2026,6,7),tblDaily[WardCode],"BH")),"")</f>
        <v/>
      </c>
      <c r="C208" s="29" t="str">
        <f>IFERROR(IF(SUMIFS(tblDaily[Discharges],tblDaily[EntryDate],DATE(2026,6,7),tblDaily[WardCode],"BH")=0,"",SUMIFS(tblDaily[Discharges],tblDaily[EntryDate],DATE(2026,6,7),tblDaily[WardCode],"BH")),"")</f>
        <v/>
      </c>
      <c r="D208" s="29" t="str">
        <f>IFERROR(IF(SUMIFS(tblDaily[Deaths],tblDaily[EntryDate],DATE(2026,6,7),tblDaily[WardCode],"BH")=0,"",SUMIFS(tblDaily[Deaths],tblDaily[EntryDate],DATE(2026,6,7),tblDaily[WardCode],"BH")),"")</f>
        <v/>
      </c>
      <c r="E208" s="29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29" t="str">
        <f>IFERROR(IF(SUMIFS(tblDaily[TransfersIn],tblDaily[EntryDate],DATE(2026,6,7),tblDaily[WardCode],"BH")=0,"",SUMIFS(tblDaily[TransfersIn],tblDaily[EntryDate],DATE(2026,6,7),tblDaily[WardCode],"BH")),"")</f>
        <v/>
      </c>
      <c r="G208" s="29" t="str">
        <f>IFERROR(IF(SUMIFS(tblDaily[TransfersOut],tblDaily[EntryDate],DATE(2026,6,7),tblDaily[WardCode],"BH")=0,"",SUMIFS(tblDaily[TransfersOut],tblDaily[EntryDate],DATE(2026,6,7),tblDaily[WardCode],"BH")),"")</f>
        <v/>
      </c>
      <c r="H208" s="29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IFERROR(IF(SUMIFS(tblDaily[Admissions],tblDaily[EntryDate],DATE(2026,6,8),tblDaily[WardCode],"BH")=0,"",SUMIFS(tblDaily[Admissions],tblDaily[EntryDate],DATE(2026,6,8),tblDaily[WardCode],"BH")),"")</f>
        <v/>
      </c>
      <c r="C209" s="29" t="str">
        <f>IFERROR(IF(SUMIFS(tblDaily[Discharges],tblDaily[EntryDate],DATE(2026,6,8),tblDaily[WardCode],"BH")=0,"",SUMIFS(tblDaily[Discharges],tblDaily[EntryDate],DATE(2026,6,8),tblDaily[WardCode],"BH")),"")</f>
        <v/>
      </c>
      <c r="D209" s="29" t="str">
        <f>IFERROR(IF(SUMIFS(tblDaily[Deaths],tblDaily[EntryDate],DATE(2026,6,8),tblDaily[WardCode],"BH")=0,"",SUMIFS(tblDaily[Deaths],tblDaily[EntryDate],DATE(2026,6,8),tblDaily[WardCode],"BH")),"")</f>
        <v/>
      </c>
      <c r="E209" s="29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29" t="str">
        <f>IFERROR(IF(SUMIFS(tblDaily[TransfersIn],tblDaily[EntryDate],DATE(2026,6,8),tblDaily[WardCode],"BH")=0,"",SUMIFS(tblDaily[TransfersIn],tblDaily[EntryDate],DATE(2026,6,8),tblDaily[WardCode],"BH")),"")</f>
        <v/>
      </c>
      <c r="G209" s="29" t="str">
        <f>IFERROR(IF(SUMIFS(tblDaily[TransfersOut],tblDaily[EntryDate],DATE(2026,6,8),tblDaily[WardCode],"BH")=0,"",SUMIFS(tblDaily[TransfersOut],tblDaily[EntryDate],DATE(2026,6,8),tblDaily[WardCode],"BH")),"")</f>
        <v/>
      </c>
      <c r="H209" s="29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IFERROR(IF(SUMIFS(tblDaily[Admissions],tblDaily[EntryDate],DATE(2026,6,9),tblDaily[WardCode],"BH")=0,"",SUMIFS(tblDaily[Admissions],tblDaily[EntryDate],DATE(2026,6,9),tblDaily[WardCode],"BH")),"")</f>
        <v/>
      </c>
      <c r="C210" s="29" t="str">
        <f>IFERROR(IF(SUMIFS(tblDaily[Discharges],tblDaily[EntryDate],DATE(2026,6,9),tblDaily[WardCode],"BH")=0,"",SUMIFS(tblDaily[Discharges],tblDaily[EntryDate],DATE(2026,6,9),tblDaily[WardCode],"BH")),"")</f>
        <v/>
      </c>
      <c r="D210" s="29" t="str">
        <f>IFERROR(IF(SUMIFS(tblDaily[Deaths],tblDaily[EntryDate],DATE(2026,6,9),tblDaily[WardCode],"BH")=0,"",SUMIFS(tblDaily[Deaths],tblDaily[EntryDate],DATE(2026,6,9),tblDaily[WardCode],"BH")),"")</f>
        <v/>
      </c>
      <c r="E210" s="29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29" t="str">
        <f>IFERROR(IF(SUMIFS(tblDaily[TransfersIn],tblDaily[EntryDate],DATE(2026,6,9),tblDaily[WardCode],"BH")=0,"",SUMIFS(tblDaily[TransfersIn],tblDaily[EntryDate],DATE(2026,6,9),tblDaily[WardCode],"BH")),"")</f>
        <v/>
      </c>
      <c r="G210" s="29" t="str">
        <f>IFERROR(IF(SUMIFS(tblDaily[TransfersOut],tblDaily[EntryDate],DATE(2026,6,9),tblDaily[WardCode],"BH")=0,"",SUMIFS(tblDaily[TransfersOut],tblDaily[EntryDate],DATE(2026,6,9),tblDaily[WardCode],"BH")),"")</f>
        <v/>
      </c>
      <c r="H210" s="29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IFERROR(IF(SUMIFS(tblDaily[Admissions],tblDaily[EntryDate],DATE(2026,6,10),tblDaily[WardCode],"BH")=0,"",SUMIFS(tblDaily[Admissions],tblDaily[EntryDate],DATE(2026,6,10),tblDaily[WardCode],"BH")),"")</f>
        <v/>
      </c>
      <c r="C211" s="29" t="str">
        <f>IFERROR(IF(SUMIFS(tblDaily[Discharges],tblDaily[EntryDate],DATE(2026,6,10),tblDaily[WardCode],"BH")=0,"",SUMIFS(tblDaily[Discharges],tblDaily[EntryDate],DATE(2026,6,10),tblDaily[WardCode],"BH")),"")</f>
        <v/>
      </c>
      <c r="D211" s="29" t="str">
        <f>IFERROR(IF(SUMIFS(tblDaily[Deaths],tblDaily[EntryDate],DATE(2026,6,10),tblDaily[WardCode],"BH")=0,"",SUMIFS(tblDaily[Deaths],tblDaily[EntryDate],DATE(2026,6,10),tblDaily[WardCode],"BH")),"")</f>
        <v/>
      </c>
      <c r="E211" s="29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29" t="str">
        <f>IFERROR(IF(SUMIFS(tblDaily[TransfersIn],tblDaily[EntryDate],DATE(2026,6,10),tblDaily[WardCode],"BH")=0,"",SUMIFS(tblDaily[TransfersIn],tblDaily[EntryDate],DATE(2026,6,10),tblDaily[WardCode],"BH")),"")</f>
        <v/>
      </c>
      <c r="G211" s="29" t="str">
        <f>IFERROR(IF(SUMIFS(tblDaily[TransfersOut],tblDaily[EntryDate],DATE(2026,6,10),tblDaily[WardCode],"BH")=0,"",SUMIFS(tblDaily[TransfersOut],tblDaily[EntryDate],DATE(2026,6,10),tblDaily[WardCode],"BH")),"")</f>
        <v/>
      </c>
      <c r="H211" s="29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IFERROR(IF(SUMIFS(tblDaily[Admissions],tblDaily[EntryDate],DATE(2026,6,11),tblDaily[WardCode],"BH")=0,"",SUMIFS(tblDaily[Admissions],tblDaily[EntryDate],DATE(2026,6,11),tblDaily[WardCode],"BH")),"")</f>
        <v/>
      </c>
      <c r="C212" s="29" t="str">
        <f>IFERROR(IF(SUMIFS(tblDaily[Discharges],tblDaily[EntryDate],DATE(2026,6,11),tblDaily[WardCode],"BH")=0,"",SUMIFS(tblDaily[Discharges],tblDaily[EntryDate],DATE(2026,6,11),tblDaily[WardCode],"BH")),"")</f>
        <v/>
      </c>
      <c r="D212" s="29" t="str">
        <f>IFERROR(IF(SUMIFS(tblDaily[Deaths],tblDaily[EntryDate],DATE(2026,6,11),tblDaily[WardCode],"BH")=0,"",SUMIFS(tblDaily[Deaths],tblDaily[EntryDate],DATE(2026,6,11),tblDaily[WardCode],"BH")),"")</f>
        <v/>
      </c>
      <c r="E212" s="29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29" t="str">
        <f>IFERROR(IF(SUMIFS(tblDaily[TransfersIn],tblDaily[EntryDate],DATE(2026,6,11),tblDaily[WardCode],"BH")=0,"",SUMIFS(tblDaily[TransfersIn],tblDaily[EntryDate],DATE(2026,6,11),tblDaily[WardCode],"BH")),"")</f>
        <v/>
      </c>
      <c r="G212" s="29" t="str">
        <f>IFERROR(IF(SUMIFS(tblDaily[TransfersOut],tblDaily[EntryDate],DATE(2026,6,11),tblDaily[WardCode],"BH")=0,"",SUMIFS(tblDaily[TransfersOut],tblDaily[EntryDate],DATE(2026,6,11),tblDaily[WardCode],"BH")),"")</f>
        <v/>
      </c>
      <c r="H212" s="29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IFERROR(IF(SUMIFS(tblDaily[Admissions],tblDaily[EntryDate],DATE(2026,6,12),tblDaily[WardCode],"BH")=0,"",SUMIFS(tblDaily[Admissions],tblDaily[EntryDate],DATE(2026,6,12),tblDaily[WardCode],"BH")),"")</f>
        <v/>
      </c>
      <c r="C213" s="29" t="str">
        <f>IFERROR(IF(SUMIFS(tblDaily[Discharges],tblDaily[EntryDate],DATE(2026,6,12),tblDaily[WardCode],"BH")=0,"",SUMIFS(tblDaily[Discharges],tblDaily[EntryDate],DATE(2026,6,12),tblDaily[WardCode],"BH")),"")</f>
        <v/>
      </c>
      <c r="D213" s="29" t="str">
        <f>IFERROR(IF(SUMIFS(tblDaily[Deaths],tblDaily[EntryDate],DATE(2026,6,12),tblDaily[WardCode],"BH")=0,"",SUMIFS(tblDaily[Deaths],tblDaily[EntryDate],DATE(2026,6,12),tblDaily[WardCode],"BH")),"")</f>
        <v/>
      </c>
      <c r="E213" s="29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29" t="str">
        <f>IFERROR(IF(SUMIFS(tblDaily[TransfersIn],tblDaily[EntryDate],DATE(2026,6,12),tblDaily[WardCode],"BH")=0,"",SUMIFS(tblDaily[TransfersIn],tblDaily[EntryDate],DATE(2026,6,12),tblDaily[WardCode],"BH")),"")</f>
        <v/>
      </c>
      <c r="G213" s="29" t="str">
        <f>IFERROR(IF(SUMIFS(tblDaily[TransfersOut],tblDaily[EntryDate],DATE(2026,6,12),tblDaily[WardCode],"BH")=0,"",SUMIFS(tblDaily[TransfersOut],tblDaily[EntryDate],DATE(2026,6,12),tblDaily[WardCode],"BH")),"")</f>
        <v/>
      </c>
      <c r="H213" s="29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IFERROR(IF(SUMIFS(tblDaily[Admissions],tblDaily[EntryDate],DATE(2026,6,13),tblDaily[WardCode],"BH")=0,"",SUMIFS(tblDaily[Admissions],tblDaily[EntryDate],DATE(2026,6,13),tblDaily[WardCode],"BH")),"")</f>
        <v/>
      </c>
      <c r="C214" s="29" t="str">
        <f>IFERROR(IF(SUMIFS(tblDaily[Discharges],tblDaily[EntryDate],DATE(2026,6,13),tblDaily[WardCode],"BH")=0,"",SUMIFS(tblDaily[Discharges],tblDaily[EntryDate],DATE(2026,6,13),tblDaily[WardCode],"BH")),"")</f>
        <v/>
      </c>
      <c r="D214" s="29" t="str">
        <f>IFERROR(IF(SUMIFS(tblDaily[Deaths],tblDaily[EntryDate],DATE(2026,6,13),tblDaily[WardCode],"BH")=0,"",SUMIFS(tblDaily[Deaths],tblDaily[EntryDate],DATE(2026,6,13),tblDaily[WardCode],"BH")),"")</f>
        <v/>
      </c>
      <c r="E214" s="29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29" t="str">
        <f>IFERROR(IF(SUMIFS(tblDaily[TransfersIn],tblDaily[EntryDate],DATE(2026,6,13),tblDaily[WardCode],"BH")=0,"",SUMIFS(tblDaily[TransfersIn],tblDaily[EntryDate],DATE(2026,6,13),tblDaily[WardCode],"BH")),"")</f>
        <v/>
      </c>
      <c r="G214" s="29" t="str">
        <f>IFERROR(IF(SUMIFS(tblDaily[TransfersOut],tblDaily[EntryDate],DATE(2026,6,13),tblDaily[WardCode],"BH")=0,"",SUMIFS(tblDaily[TransfersOut],tblDaily[EntryDate],DATE(2026,6,13),tblDaily[WardCode],"BH")),"")</f>
        <v/>
      </c>
      <c r="H214" s="29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IFERROR(IF(SUMIFS(tblDaily[Admissions],tblDaily[EntryDate],DATE(2026,6,14),tblDaily[WardCode],"BH")=0,"",SUMIFS(tblDaily[Admissions],tblDaily[EntryDate],DATE(2026,6,14),tblDaily[WardCode],"BH")),"")</f>
        <v/>
      </c>
      <c r="C215" s="29" t="str">
        <f>IFERROR(IF(SUMIFS(tblDaily[Discharges],tblDaily[EntryDate],DATE(2026,6,14),tblDaily[WardCode],"BH")=0,"",SUMIFS(tblDaily[Discharges],tblDaily[EntryDate],DATE(2026,6,14),tblDaily[WardCode],"BH")),"")</f>
        <v/>
      </c>
      <c r="D215" s="29" t="str">
        <f>IFERROR(IF(SUMIFS(tblDaily[Deaths],tblDaily[EntryDate],DATE(2026,6,14),tblDaily[WardCode],"BH")=0,"",SUMIFS(tblDaily[Deaths],tblDaily[EntryDate],DATE(2026,6,14),tblDaily[WardCode],"BH")),"")</f>
        <v/>
      </c>
      <c r="E215" s="29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29" t="str">
        <f>IFERROR(IF(SUMIFS(tblDaily[TransfersIn],tblDaily[EntryDate],DATE(2026,6,14),tblDaily[WardCode],"BH")=0,"",SUMIFS(tblDaily[TransfersIn],tblDaily[EntryDate],DATE(2026,6,14),tblDaily[WardCode],"BH")),"")</f>
        <v/>
      </c>
      <c r="G215" s="29" t="str">
        <f>IFERROR(IF(SUMIFS(tblDaily[TransfersOut],tblDaily[EntryDate],DATE(2026,6,14),tblDaily[WardCode],"BH")=0,"",SUMIFS(tblDaily[TransfersOut],tblDaily[EntryDate],DATE(2026,6,14),tblDaily[WardCode],"BH")),"")</f>
        <v/>
      </c>
      <c r="H215" s="29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IFERROR(IF(SUMIFS(tblDaily[Admissions],tblDaily[EntryDate],DATE(2026,6,15),tblDaily[WardCode],"BH")=0,"",SUMIFS(tblDaily[Admissions],tblDaily[EntryDate],DATE(2026,6,15),tblDaily[WardCode],"BH")),"")</f>
        <v/>
      </c>
      <c r="C216" s="29" t="str">
        <f>IFERROR(IF(SUMIFS(tblDaily[Discharges],tblDaily[EntryDate],DATE(2026,6,15),tblDaily[WardCode],"BH")=0,"",SUMIFS(tblDaily[Discharges],tblDaily[EntryDate],DATE(2026,6,15),tblDaily[WardCode],"BH")),"")</f>
        <v/>
      </c>
      <c r="D216" s="29" t="str">
        <f>IFERROR(IF(SUMIFS(tblDaily[Deaths],tblDaily[EntryDate],DATE(2026,6,15),tblDaily[WardCode],"BH")=0,"",SUMIFS(tblDaily[Deaths],tblDaily[EntryDate],DATE(2026,6,15),tblDaily[WardCode],"BH")),"")</f>
        <v/>
      </c>
      <c r="E216" s="29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29" t="str">
        <f>IFERROR(IF(SUMIFS(tblDaily[TransfersIn],tblDaily[EntryDate],DATE(2026,6,15),tblDaily[WardCode],"BH")=0,"",SUMIFS(tblDaily[TransfersIn],tblDaily[EntryDate],DATE(2026,6,15),tblDaily[WardCode],"BH")),"")</f>
        <v/>
      </c>
      <c r="G216" s="29" t="str">
        <f>IFERROR(IF(SUMIFS(tblDaily[TransfersOut],tblDaily[EntryDate],DATE(2026,6,15),tblDaily[WardCode],"BH")=0,"",SUMIFS(tblDaily[TransfersOut],tblDaily[EntryDate],DATE(2026,6,15),tblDaily[WardCode],"BH")),"")</f>
        <v/>
      </c>
      <c r="H216" s="29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IFERROR(IF(SUMIFS(tblDaily[Admissions],tblDaily[EntryDate],DATE(2026,6,16),tblDaily[WardCode],"BH")=0,"",SUMIFS(tblDaily[Admissions],tblDaily[EntryDate],DATE(2026,6,16),tblDaily[WardCode],"BH")),"")</f>
        <v/>
      </c>
      <c r="C217" s="29" t="str">
        <f>IFERROR(IF(SUMIFS(tblDaily[Discharges],tblDaily[EntryDate],DATE(2026,6,16),tblDaily[WardCode],"BH")=0,"",SUMIFS(tblDaily[Discharges],tblDaily[EntryDate],DATE(2026,6,16),tblDaily[WardCode],"BH")),"")</f>
        <v/>
      </c>
      <c r="D217" s="29" t="str">
        <f>IFERROR(IF(SUMIFS(tblDaily[Deaths],tblDaily[EntryDate],DATE(2026,6,16),tblDaily[WardCode],"BH")=0,"",SUMIFS(tblDaily[Deaths],tblDaily[EntryDate],DATE(2026,6,16),tblDaily[WardCode],"BH")),"")</f>
        <v/>
      </c>
      <c r="E217" s="29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29" t="str">
        <f>IFERROR(IF(SUMIFS(tblDaily[TransfersIn],tblDaily[EntryDate],DATE(2026,6,16),tblDaily[WardCode],"BH")=0,"",SUMIFS(tblDaily[TransfersIn],tblDaily[EntryDate],DATE(2026,6,16),tblDaily[WardCode],"BH")),"")</f>
        <v/>
      </c>
      <c r="G217" s="29" t="str">
        <f>IFERROR(IF(SUMIFS(tblDaily[TransfersOut],tblDaily[EntryDate],DATE(2026,6,16),tblDaily[WardCode],"BH")=0,"",SUMIFS(tblDaily[TransfersOut],tblDaily[EntryDate],DATE(2026,6,16),tblDaily[WardCode],"BH")),"")</f>
        <v/>
      </c>
      <c r="H217" s="29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IFERROR(IF(SUMIFS(tblDaily[Admissions],tblDaily[EntryDate],DATE(2026,6,17),tblDaily[WardCode],"BH")=0,"",SUMIFS(tblDaily[Admissions],tblDaily[EntryDate],DATE(2026,6,17),tblDaily[WardCode],"BH")),"")</f>
        <v/>
      </c>
      <c r="C218" s="29" t="str">
        <f>IFERROR(IF(SUMIFS(tblDaily[Discharges],tblDaily[EntryDate],DATE(2026,6,17),tblDaily[WardCode],"BH")=0,"",SUMIFS(tblDaily[Discharges],tblDaily[EntryDate],DATE(2026,6,17),tblDaily[WardCode],"BH")),"")</f>
        <v/>
      </c>
      <c r="D218" s="29" t="str">
        <f>IFERROR(IF(SUMIFS(tblDaily[Deaths],tblDaily[EntryDate],DATE(2026,6,17),tblDaily[WardCode],"BH")=0,"",SUMIFS(tblDaily[Deaths],tblDaily[EntryDate],DATE(2026,6,17),tblDaily[WardCode],"BH")),"")</f>
        <v/>
      </c>
      <c r="E218" s="29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29" t="str">
        <f>IFERROR(IF(SUMIFS(tblDaily[TransfersIn],tblDaily[EntryDate],DATE(2026,6,17),tblDaily[WardCode],"BH")=0,"",SUMIFS(tblDaily[TransfersIn],tblDaily[EntryDate],DATE(2026,6,17),tblDaily[WardCode],"BH")),"")</f>
        <v/>
      </c>
      <c r="G218" s="29" t="str">
        <f>IFERROR(IF(SUMIFS(tblDaily[TransfersOut],tblDaily[EntryDate],DATE(2026,6,17),tblDaily[WardCode],"BH")=0,"",SUMIFS(tblDaily[TransfersOut],tblDaily[EntryDate],DATE(2026,6,17),tblDaily[WardCode],"BH")),"")</f>
        <v/>
      </c>
      <c r="H218" s="29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IFERROR(IF(SUMIFS(tblDaily[Admissions],tblDaily[EntryDate],DATE(2026,6,18),tblDaily[WardCode],"BH")=0,"",SUMIFS(tblDaily[Admissions],tblDaily[EntryDate],DATE(2026,6,18),tblDaily[WardCode],"BH")),"")</f>
        <v/>
      </c>
      <c r="C219" s="29" t="str">
        <f>IFERROR(IF(SUMIFS(tblDaily[Discharges],tblDaily[EntryDate],DATE(2026,6,18),tblDaily[WardCode],"BH")=0,"",SUMIFS(tblDaily[Discharges],tblDaily[EntryDate],DATE(2026,6,18),tblDaily[WardCode],"BH")),"")</f>
        <v/>
      </c>
      <c r="D219" s="29" t="str">
        <f>IFERROR(IF(SUMIFS(tblDaily[Deaths],tblDaily[EntryDate],DATE(2026,6,18),tblDaily[WardCode],"BH")=0,"",SUMIFS(tblDaily[Deaths],tblDaily[EntryDate],DATE(2026,6,18),tblDaily[WardCode],"BH")),"")</f>
        <v/>
      </c>
      <c r="E219" s="29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29" t="str">
        <f>IFERROR(IF(SUMIFS(tblDaily[TransfersIn],tblDaily[EntryDate],DATE(2026,6,18),tblDaily[WardCode],"BH")=0,"",SUMIFS(tblDaily[TransfersIn],tblDaily[EntryDate],DATE(2026,6,18),tblDaily[WardCode],"BH")),"")</f>
        <v/>
      </c>
      <c r="G219" s="29" t="str">
        <f>IFERROR(IF(SUMIFS(tblDaily[TransfersOut],tblDaily[EntryDate],DATE(2026,6,18),tblDaily[WardCode],"BH")=0,"",SUMIFS(tblDaily[TransfersOut],tblDaily[EntryDate],DATE(2026,6,18),tblDaily[WardCode],"BH")),"")</f>
        <v/>
      </c>
      <c r="H219" s="29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IFERROR(IF(SUMIFS(tblDaily[Admissions],tblDaily[EntryDate],DATE(2026,6,19),tblDaily[WardCode],"BH")=0,"",SUMIFS(tblDaily[Admissions],tblDaily[EntryDate],DATE(2026,6,19),tblDaily[WardCode],"BH")),"")</f>
        <v/>
      </c>
      <c r="C220" s="29" t="str">
        <f>IFERROR(IF(SUMIFS(tblDaily[Discharges],tblDaily[EntryDate],DATE(2026,6,19),tblDaily[WardCode],"BH")=0,"",SUMIFS(tblDaily[Discharges],tblDaily[EntryDate],DATE(2026,6,19),tblDaily[WardCode],"BH")),"")</f>
        <v/>
      </c>
      <c r="D220" s="29" t="str">
        <f>IFERROR(IF(SUMIFS(tblDaily[Deaths],tblDaily[EntryDate],DATE(2026,6,19),tblDaily[WardCode],"BH")=0,"",SUMIFS(tblDaily[Deaths],tblDaily[EntryDate],DATE(2026,6,19),tblDaily[WardCode],"BH")),"")</f>
        <v/>
      </c>
      <c r="E220" s="29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29" t="str">
        <f>IFERROR(IF(SUMIFS(tblDaily[TransfersIn],tblDaily[EntryDate],DATE(2026,6,19),tblDaily[WardCode],"BH")=0,"",SUMIFS(tblDaily[TransfersIn],tblDaily[EntryDate],DATE(2026,6,19),tblDaily[WardCode],"BH")),"")</f>
        <v/>
      </c>
      <c r="G220" s="29" t="str">
        <f>IFERROR(IF(SUMIFS(tblDaily[TransfersOut],tblDaily[EntryDate],DATE(2026,6,19),tblDaily[WardCode],"BH")=0,"",SUMIFS(tblDaily[TransfersOut],tblDaily[EntryDate],DATE(2026,6,19),tblDaily[WardCode],"BH")),"")</f>
        <v/>
      </c>
      <c r="H220" s="29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IFERROR(IF(SUMIFS(tblDaily[Admissions],tblDaily[EntryDate],DATE(2026,6,20),tblDaily[WardCode],"BH")=0,"",SUMIFS(tblDaily[Admissions],tblDaily[EntryDate],DATE(2026,6,20),tblDaily[WardCode],"BH")),"")</f>
        <v/>
      </c>
      <c r="C221" s="29" t="str">
        <f>IFERROR(IF(SUMIFS(tblDaily[Discharges],tblDaily[EntryDate],DATE(2026,6,20),tblDaily[WardCode],"BH")=0,"",SUMIFS(tblDaily[Discharges],tblDaily[EntryDate],DATE(2026,6,20),tblDaily[WardCode],"BH")),"")</f>
        <v/>
      </c>
      <c r="D221" s="29" t="str">
        <f>IFERROR(IF(SUMIFS(tblDaily[Deaths],tblDaily[EntryDate],DATE(2026,6,20),tblDaily[WardCode],"BH")=0,"",SUMIFS(tblDaily[Deaths],tblDaily[EntryDate],DATE(2026,6,20),tblDaily[WardCode],"BH")),"")</f>
        <v/>
      </c>
      <c r="E221" s="29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29" t="str">
        <f>IFERROR(IF(SUMIFS(tblDaily[TransfersIn],tblDaily[EntryDate],DATE(2026,6,20),tblDaily[WardCode],"BH")=0,"",SUMIFS(tblDaily[TransfersIn],tblDaily[EntryDate],DATE(2026,6,20),tblDaily[WardCode],"BH")),"")</f>
        <v/>
      </c>
      <c r="G221" s="29" t="str">
        <f>IFERROR(IF(SUMIFS(tblDaily[TransfersOut],tblDaily[EntryDate],DATE(2026,6,20),tblDaily[WardCode],"BH")=0,"",SUMIFS(tblDaily[TransfersOut],tblDaily[EntryDate],DATE(2026,6,20),tblDaily[WardCode],"BH")),"")</f>
        <v/>
      </c>
      <c r="H221" s="29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IFERROR(IF(SUMIFS(tblDaily[Admissions],tblDaily[EntryDate],DATE(2026,6,21),tblDaily[WardCode],"BH")=0,"",SUMIFS(tblDaily[Admissions],tblDaily[EntryDate],DATE(2026,6,21),tblDaily[WardCode],"BH")),"")</f>
        <v/>
      </c>
      <c r="C222" s="29" t="str">
        <f>IFERROR(IF(SUMIFS(tblDaily[Discharges],tblDaily[EntryDate],DATE(2026,6,21),tblDaily[WardCode],"BH")=0,"",SUMIFS(tblDaily[Discharges],tblDaily[EntryDate],DATE(2026,6,21),tblDaily[WardCode],"BH")),"")</f>
        <v/>
      </c>
      <c r="D222" s="29" t="str">
        <f>IFERROR(IF(SUMIFS(tblDaily[Deaths],tblDaily[EntryDate],DATE(2026,6,21),tblDaily[WardCode],"BH")=0,"",SUMIFS(tblDaily[Deaths],tblDaily[EntryDate],DATE(2026,6,21),tblDaily[WardCode],"BH")),"")</f>
        <v/>
      </c>
      <c r="E222" s="29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29" t="str">
        <f>IFERROR(IF(SUMIFS(tblDaily[TransfersIn],tblDaily[EntryDate],DATE(2026,6,21),tblDaily[WardCode],"BH")=0,"",SUMIFS(tblDaily[TransfersIn],tblDaily[EntryDate],DATE(2026,6,21),tblDaily[WardCode],"BH")),"")</f>
        <v/>
      </c>
      <c r="G222" s="29" t="str">
        <f>IFERROR(IF(SUMIFS(tblDaily[TransfersOut],tblDaily[EntryDate],DATE(2026,6,21),tblDaily[WardCode],"BH")=0,"",SUMIFS(tblDaily[TransfersOut],tblDaily[EntryDate],DATE(2026,6,21),tblDaily[WardCode],"BH")),"")</f>
        <v/>
      </c>
      <c r="H222" s="29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IFERROR(IF(SUMIFS(tblDaily[Admissions],tblDaily[EntryDate],DATE(2026,6,22),tblDaily[WardCode],"BH")=0,"",SUMIFS(tblDaily[Admissions],tblDaily[EntryDate],DATE(2026,6,22),tblDaily[WardCode],"BH")),"")</f>
        <v/>
      </c>
      <c r="C223" s="29" t="str">
        <f>IFERROR(IF(SUMIFS(tblDaily[Discharges],tblDaily[EntryDate],DATE(2026,6,22),tblDaily[WardCode],"BH")=0,"",SUMIFS(tblDaily[Discharges],tblDaily[EntryDate],DATE(2026,6,22),tblDaily[WardCode],"BH")),"")</f>
        <v/>
      </c>
      <c r="D223" s="29" t="str">
        <f>IFERROR(IF(SUMIFS(tblDaily[Deaths],tblDaily[EntryDate],DATE(2026,6,22),tblDaily[WardCode],"BH")=0,"",SUMIFS(tblDaily[Deaths],tblDaily[EntryDate],DATE(2026,6,22),tblDaily[WardCode],"BH")),"")</f>
        <v/>
      </c>
      <c r="E223" s="29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29" t="str">
        <f>IFERROR(IF(SUMIFS(tblDaily[TransfersIn],tblDaily[EntryDate],DATE(2026,6,22),tblDaily[WardCode],"BH")=0,"",SUMIFS(tblDaily[TransfersIn],tblDaily[EntryDate],DATE(2026,6,22),tblDaily[WardCode],"BH")),"")</f>
        <v/>
      </c>
      <c r="G223" s="29" t="str">
        <f>IFERROR(IF(SUMIFS(tblDaily[TransfersOut],tblDaily[EntryDate],DATE(2026,6,22),tblDaily[WardCode],"BH")=0,"",SUMIFS(tblDaily[TransfersOut],tblDaily[EntryDate],DATE(2026,6,22),tblDaily[WardCode],"BH")),"")</f>
        <v/>
      </c>
      <c r="H223" s="29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IFERROR(IF(SUMIFS(tblDaily[Admissions],tblDaily[EntryDate],DATE(2026,6,23),tblDaily[WardCode],"BH")=0,"",SUMIFS(tblDaily[Admissions],tblDaily[EntryDate],DATE(2026,6,23),tblDaily[WardCode],"BH")),"")</f>
        <v/>
      </c>
      <c r="C224" s="29" t="str">
        <f>IFERROR(IF(SUMIFS(tblDaily[Discharges],tblDaily[EntryDate],DATE(2026,6,23),tblDaily[WardCode],"BH")=0,"",SUMIFS(tblDaily[Discharges],tblDaily[EntryDate],DATE(2026,6,23),tblDaily[WardCode],"BH")),"")</f>
        <v/>
      </c>
      <c r="D224" s="29" t="str">
        <f>IFERROR(IF(SUMIFS(tblDaily[Deaths],tblDaily[EntryDate],DATE(2026,6,23),tblDaily[WardCode],"BH")=0,"",SUMIFS(tblDaily[Deaths],tblDaily[EntryDate],DATE(2026,6,23),tblDaily[WardCode],"BH")),"")</f>
        <v/>
      </c>
      <c r="E224" s="29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29" t="str">
        <f>IFERROR(IF(SUMIFS(tblDaily[TransfersIn],tblDaily[EntryDate],DATE(2026,6,23),tblDaily[WardCode],"BH")=0,"",SUMIFS(tblDaily[TransfersIn],tblDaily[EntryDate],DATE(2026,6,23),tblDaily[WardCode],"BH")),"")</f>
        <v/>
      </c>
      <c r="G224" s="29" t="str">
        <f>IFERROR(IF(SUMIFS(tblDaily[TransfersOut],tblDaily[EntryDate],DATE(2026,6,23),tblDaily[WardCode],"BH")=0,"",SUMIFS(tblDaily[TransfersOut],tblDaily[EntryDate],DATE(2026,6,23),tblDaily[WardCode],"BH")),"")</f>
        <v/>
      </c>
      <c r="H224" s="29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IFERROR(IF(SUMIFS(tblDaily[Admissions],tblDaily[EntryDate],DATE(2026,6,24),tblDaily[WardCode],"BH")=0,"",SUMIFS(tblDaily[Admissions],tblDaily[EntryDate],DATE(2026,6,24),tblDaily[WardCode],"BH")),"")</f>
        <v/>
      </c>
      <c r="C225" s="29" t="str">
        <f>IFERROR(IF(SUMIFS(tblDaily[Discharges],tblDaily[EntryDate],DATE(2026,6,24),tblDaily[WardCode],"BH")=0,"",SUMIFS(tblDaily[Discharges],tblDaily[EntryDate],DATE(2026,6,24),tblDaily[WardCode],"BH")),"")</f>
        <v/>
      </c>
      <c r="D225" s="29" t="str">
        <f>IFERROR(IF(SUMIFS(tblDaily[Deaths],tblDaily[EntryDate],DATE(2026,6,24),tblDaily[WardCode],"BH")=0,"",SUMIFS(tblDaily[Deaths],tblDaily[EntryDate],DATE(2026,6,24),tblDaily[WardCode],"BH")),"")</f>
        <v/>
      </c>
      <c r="E225" s="29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29" t="str">
        <f>IFERROR(IF(SUMIFS(tblDaily[TransfersIn],tblDaily[EntryDate],DATE(2026,6,24),tblDaily[WardCode],"BH")=0,"",SUMIFS(tblDaily[TransfersIn],tblDaily[EntryDate],DATE(2026,6,24),tblDaily[WardCode],"BH")),"")</f>
        <v/>
      </c>
      <c r="G225" s="29" t="str">
        <f>IFERROR(IF(SUMIFS(tblDaily[TransfersOut],tblDaily[EntryDate],DATE(2026,6,24),tblDaily[WardCode],"BH")=0,"",SUMIFS(tblDaily[TransfersOut],tblDaily[EntryDate],DATE(2026,6,24),tblDaily[WardCode],"BH")),"")</f>
        <v/>
      </c>
      <c r="H225" s="29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IFERROR(IF(SUMIFS(tblDaily[Admissions],tblDaily[EntryDate],DATE(2026,6,25),tblDaily[WardCode],"BH")=0,"",SUMIFS(tblDaily[Admissions],tblDaily[EntryDate],DATE(2026,6,25),tblDaily[WardCode],"BH")),"")</f>
        <v/>
      </c>
      <c r="C226" s="29" t="str">
        <f>IFERROR(IF(SUMIFS(tblDaily[Discharges],tblDaily[EntryDate],DATE(2026,6,25),tblDaily[WardCode],"BH")=0,"",SUMIFS(tblDaily[Discharges],tblDaily[EntryDate],DATE(2026,6,25),tblDaily[WardCode],"BH")),"")</f>
        <v/>
      </c>
      <c r="D226" s="29" t="str">
        <f>IFERROR(IF(SUMIFS(tblDaily[Deaths],tblDaily[EntryDate],DATE(2026,6,25),tblDaily[WardCode],"BH")=0,"",SUMIFS(tblDaily[Deaths],tblDaily[EntryDate],DATE(2026,6,25),tblDaily[WardCode],"BH")),"")</f>
        <v/>
      </c>
      <c r="E226" s="29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29" t="str">
        <f>IFERROR(IF(SUMIFS(tblDaily[TransfersIn],tblDaily[EntryDate],DATE(2026,6,25),tblDaily[WardCode],"BH")=0,"",SUMIFS(tblDaily[TransfersIn],tblDaily[EntryDate],DATE(2026,6,25),tblDaily[WardCode],"BH")),"")</f>
        <v/>
      </c>
      <c r="G226" s="29" t="str">
        <f>IFERROR(IF(SUMIFS(tblDaily[TransfersOut],tblDaily[EntryDate],DATE(2026,6,25),tblDaily[WardCode],"BH")=0,"",SUMIFS(tblDaily[TransfersOut],tblDaily[EntryDate],DATE(2026,6,25),tblDaily[WardCode],"BH")),"")</f>
        <v/>
      </c>
      <c r="H226" s="29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IFERROR(IF(SUMIFS(tblDaily[Admissions],tblDaily[EntryDate],DATE(2026,6,26),tblDaily[WardCode],"BH")=0,"",SUMIFS(tblDaily[Admissions],tblDaily[EntryDate],DATE(2026,6,26),tblDaily[WardCode],"BH")),"")</f>
        <v/>
      </c>
      <c r="C227" s="29" t="str">
        <f>IFERROR(IF(SUMIFS(tblDaily[Discharges],tblDaily[EntryDate],DATE(2026,6,26),tblDaily[WardCode],"BH")=0,"",SUMIFS(tblDaily[Discharges],tblDaily[EntryDate],DATE(2026,6,26),tblDaily[WardCode],"BH")),"")</f>
        <v/>
      </c>
      <c r="D227" s="29" t="str">
        <f>IFERROR(IF(SUMIFS(tblDaily[Deaths],tblDaily[EntryDate],DATE(2026,6,26),tblDaily[WardCode],"BH")=0,"",SUMIFS(tblDaily[Deaths],tblDaily[EntryDate],DATE(2026,6,26),tblDaily[WardCode],"BH")),"")</f>
        <v/>
      </c>
      <c r="E227" s="29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29" t="str">
        <f>IFERROR(IF(SUMIFS(tblDaily[TransfersIn],tblDaily[EntryDate],DATE(2026,6,26),tblDaily[WardCode],"BH")=0,"",SUMIFS(tblDaily[TransfersIn],tblDaily[EntryDate],DATE(2026,6,26),tblDaily[WardCode],"BH")),"")</f>
        <v/>
      </c>
      <c r="G227" s="29" t="str">
        <f>IFERROR(IF(SUMIFS(tblDaily[TransfersOut],tblDaily[EntryDate],DATE(2026,6,26),tblDaily[WardCode],"BH")=0,"",SUMIFS(tblDaily[TransfersOut],tblDaily[EntryDate],DATE(2026,6,26),tblDaily[WardCode],"BH")),"")</f>
        <v/>
      </c>
      <c r="H227" s="29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IFERROR(IF(SUMIFS(tblDaily[Admissions],tblDaily[EntryDate],DATE(2026,6,27),tblDaily[WardCode],"BH")=0,"",SUMIFS(tblDaily[Admissions],tblDaily[EntryDate],DATE(2026,6,27),tblDaily[WardCode],"BH")),"")</f>
        <v/>
      </c>
      <c r="C228" s="29" t="str">
        <f>IFERROR(IF(SUMIFS(tblDaily[Discharges],tblDaily[EntryDate],DATE(2026,6,27),tblDaily[WardCode],"BH")=0,"",SUMIFS(tblDaily[Discharges],tblDaily[EntryDate],DATE(2026,6,27),tblDaily[WardCode],"BH")),"")</f>
        <v/>
      </c>
      <c r="D228" s="29" t="str">
        <f>IFERROR(IF(SUMIFS(tblDaily[Deaths],tblDaily[EntryDate],DATE(2026,6,27),tblDaily[WardCode],"BH")=0,"",SUMIFS(tblDaily[Deaths],tblDaily[EntryDate],DATE(2026,6,27),tblDaily[WardCode],"BH")),"")</f>
        <v/>
      </c>
      <c r="E228" s="29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29" t="str">
        <f>IFERROR(IF(SUMIFS(tblDaily[TransfersIn],tblDaily[EntryDate],DATE(2026,6,27),tblDaily[WardCode],"BH")=0,"",SUMIFS(tblDaily[TransfersIn],tblDaily[EntryDate],DATE(2026,6,27),tblDaily[WardCode],"BH")),"")</f>
        <v/>
      </c>
      <c r="G228" s="29" t="str">
        <f>IFERROR(IF(SUMIFS(tblDaily[TransfersOut],tblDaily[EntryDate],DATE(2026,6,27),tblDaily[WardCode],"BH")=0,"",SUMIFS(tblDaily[TransfersOut],tblDaily[EntryDate],DATE(2026,6,27),tblDaily[WardCode],"BH")),"")</f>
        <v/>
      </c>
      <c r="H228" s="29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IFERROR(IF(SUMIFS(tblDaily[Admissions],tblDaily[EntryDate],DATE(2026,6,28),tblDaily[WardCode],"BH")=0,"",SUMIFS(tblDaily[Admissions],tblDaily[EntryDate],DATE(2026,6,28),tblDaily[WardCode],"BH")),"")</f>
        <v/>
      </c>
      <c r="C229" s="29" t="str">
        <f>IFERROR(IF(SUMIFS(tblDaily[Discharges],tblDaily[EntryDate],DATE(2026,6,28),tblDaily[WardCode],"BH")=0,"",SUMIFS(tblDaily[Discharges],tblDaily[EntryDate],DATE(2026,6,28),tblDaily[WardCode],"BH")),"")</f>
        <v/>
      </c>
      <c r="D229" s="29" t="str">
        <f>IFERROR(IF(SUMIFS(tblDaily[Deaths],tblDaily[EntryDate],DATE(2026,6,28),tblDaily[WardCode],"BH")=0,"",SUMIFS(tblDaily[Deaths],tblDaily[EntryDate],DATE(2026,6,28),tblDaily[WardCode],"BH")),"")</f>
        <v/>
      </c>
      <c r="E229" s="29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29" t="str">
        <f>IFERROR(IF(SUMIFS(tblDaily[TransfersIn],tblDaily[EntryDate],DATE(2026,6,28),tblDaily[WardCode],"BH")=0,"",SUMIFS(tblDaily[TransfersIn],tblDaily[EntryDate],DATE(2026,6,28),tblDaily[WardCode],"BH")),"")</f>
        <v/>
      </c>
      <c r="G229" s="29" t="str">
        <f>IFERROR(IF(SUMIFS(tblDaily[TransfersOut],tblDaily[EntryDate],DATE(2026,6,28),tblDaily[WardCode],"BH")=0,"",SUMIFS(tblDaily[TransfersOut],tblDaily[EntryDate],DATE(2026,6,28),tblDaily[WardCode],"BH")),"")</f>
        <v/>
      </c>
      <c r="H229" s="29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IFERROR(IF(SUMIFS(tblDaily[Admissions],tblDaily[EntryDate],DATE(2026,6,29),tblDaily[WardCode],"BH")=0,"",SUMIFS(tblDaily[Admissions],tblDaily[EntryDate],DATE(2026,6,29),tblDaily[WardCode],"BH")),"")</f>
        <v/>
      </c>
      <c r="C230" s="29" t="str">
        <f>IFERROR(IF(SUMIFS(tblDaily[Discharges],tblDaily[EntryDate],DATE(2026,6,29),tblDaily[WardCode],"BH")=0,"",SUMIFS(tblDaily[Discharges],tblDaily[EntryDate],DATE(2026,6,29),tblDaily[WardCode],"BH")),"")</f>
        <v/>
      </c>
      <c r="D230" s="29" t="str">
        <f>IFERROR(IF(SUMIFS(tblDaily[Deaths],tblDaily[EntryDate],DATE(2026,6,29),tblDaily[WardCode],"BH")=0,"",SUMIFS(tblDaily[Deaths],tblDaily[EntryDate],DATE(2026,6,29),tblDaily[WardCode],"BH")),"")</f>
        <v/>
      </c>
      <c r="E230" s="29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29" t="str">
        <f>IFERROR(IF(SUMIFS(tblDaily[TransfersIn],tblDaily[EntryDate],DATE(2026,6,29),tblDaily[WardCode],"BH")=0,"",SUMIFS(tblDaily[TransfersIn],tblDaily[EntryDate],DATE(2026,6,29),tblDaily[WardCode],"BH")),"")</f>
        <v/>
      </c>
      <c r="G230" s="29" t="str">
        <f>IFERROR(IF(SUMIFS(tblDaily[TransfersOut],tblDaily[EntryDate],DATE(2026,6,29),tblDaily[WardCode],"BH")=0,"",SUMIFS(tblDaily[TransfersOut],tblDaily[EntryDate],DATE(2026,6,29),tblDaily[WardCode],"BH")),"")</f>
        <v/>
      </c>
      <c r="H230" s="29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IFERROR(IF(SUMIFS(tblDaily[Admissions],tblDaily[EntryDate],DATE(2026,6,30),tblDaily[WardCode],"BH")=0,"",SUMIFS(tblDaily[Admissions],tblDaily[EntryDate],DATE(2026,6,30),tblDaily[WardCode],"BH")),"")</f>
        <v/>
      </c>
      <c r="C231" s="29" t="str">
        <f>IFERROR(IF(SUMIFS(tblDaily[Discharges],tblDaily[EntryDate],DATE(2026,6,30),tblDaily[WardCode],"BH")=0,"",SUMIFS(tblDaily[Discharges],tblDaily[EntryDate],DATE(2026,6,30),tblDaily[WardCode],"BH")),"")</f>
        <v/>
      </c>
      <c r="D231" s="29" t="str">
        <f>IFERROR(IF(SUMIFS(tblDaily[Deaths],tblDaily[EntryDate],DATE(2026,6,30),tblDaily[WardCode],"BH")=0,"",SUMIFS(tblDaily[Deaths],tblDaily[EntryDate],DATE(2026,6,30),tblDaily[WardCode],"BH")),"")</f>
        <v/>
      </c>
      <c r="E231" s="29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29" t="str">
        <f>IFERROR(IF(SUMIFS(tblDaily[TransfersIn],tblDaily[EntryDate],DATE(2026,6,30),tblDaily[WardCode],"BH")=0,"",SUMIFS(tblDaily[TransfersIn],tblDaily[EntryDate],DATE(2026,6,30),tblDaily[WardCode],"BH")),"")</f>
        <v/>
      </c>
      <c r="G231" s="29" t="str">
        <f>IFERROR(IF(SUMIFS(tblDaily[TransfersOut],tblDaily[EntryDate],DATE(2026,6,30),tblDaily[WardCode],"BH")=0,"",SUMIFS(tblDaily[TransfersOut],tblDaily[EntryDate],DATE(2026,6,30),tblDaily[WardCode],"BH")),"")</f>
        <v/>
      </c>
      <c r="H231" s="29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SUMIFS(tblDaily[Admissions],tblDaily[Month],6,tblDaily[WardCode],"BH") - SUMIFS(tblDaily[DeathsUnder24Hrs],tblDaily[Month],6,tblDaily[WardCode],"BH")</f>
        <v>0</v>
      </c>
      <c r="C233" s="30">
        <f>SUMIFS(tblDaily[Discharges],tblDaily[Month],6,tblDaily[WardCode],"BH")</f>
        <v>0</v>
      </c>
      <c r="D233" s="30">
        <f>SUMIFS(tblDaily[Deaths],tblDaily[Month],6,tblDaily[WardCode],"BH")</f>
        <v>0</v>
      </c>
      <c r="E233" s="30">
        <f>SUMIFS(tblDaily[DeathsUnder24Hrs],tblDaily[Month],6,tblDaily[WardCode],"BH")</f>
        <v>0</v>
      </c>
      <c r="F233" s="30">
        <f>SUMIFS(tblDaily[TransfersIn],tblDaily[Month],6,tblDaily[WardCode],"BH")</f>
        <v>0</v>
      </c>
      <c r="G233" s="30">
        <f>SUMIFS(tblDaily[TransfersOut],tblDaily[Month],6,tblDaily[WardCode],"BH")</f>
        <v>0</v>
      </c>
      <c r="H233" s="30">
        <f>SUMIFS(tblDaily[Remaining],tblDaily[Month],6,tblDaily[WardCode],"BH")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120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IFERROR(SUMIFS(tblDaily[Remaining],tblDaily[EntryDate],DATE(2026,6,30),tblDaily[WardCode],"BH"),0)</f>
        <v>0</v>
      </c>
    </row>
    <row r="239" spans="1:8" x14ac:dyDescent="0.25">
      <c r="A239" s="24" t="s">
        <v>109</v>
      </c>
      <c r="H239" s="27">
        <f>IFERROR(INDEX(tblWardConfig[BedComplement],MATCH("BH",tblWardConfig[WardCode],0)),0)</f>
        <v>22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IFERROR(IF(SUMIFS(tblDaily[Admissions],tblDaily[EntryDate],DATE(2026,7,1),tblDaily[WardCode],"BH")=0,"",SUMIFS(tblDaily[Admissions],tblDaily[EntryDate],DATE(2026,7,1),tblDaily[WardCode],"BH")),"")</f>
        <v/>
      </c>
      <c r="C241" s="29" t="str">
        <f>IFERROR(IF(SUMIFS(tblDaily[Discharges],tblDaily[EntryDate],DATE(2026,7,1),tblDaily[WardCode],"BH")=0,"",SUMIFS(tblDaily[Discharges],tblDaily[EntryDate],DATE(2026,7,1),tblDaily[WardCode],"BH")),"")</f>
        <v/>
      </c>
      <c r="D241" s="29" t="str">
        <f>IFERROR(IF(SUMIFS(tblDaily[Deaths],tblDaily[EntryDate],DATE(2026,7,1),tblDaily[WardCode],"BH")=0,"",SUMIFS(tblDaily[Deaths],tblDaily[EntryDate],DATE(2026,7,1),tblDaily[WardCode],"BH")),"")</f>
        <v/>
      </c>
      <c r="E241" s="29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29" t="str">
        <f>IFERROR(IF(SUMIFS(tblDaily[TransfersIn],tblDaily[EntryDate],DATE(2026,7,1),tblDaily[WardCode],"BH")=0,"",SUMIFS(tblDaily[TransfersIn],tblDaily[EntryDate],DATE(2026,7,1),tblDaily[WardCode],"BH")),"")</f>
        <v/>
      </c>
      <c r="G241" s="29" t="str">
        <f>IFERROR(IF(SUMIFS(tblDaily[TransfersOut],tblDaily[EntryDate],DATE(2026,7,1),tblDaily[WardCode],"BH")=0,"",SUMIFS(tblDaily[TransfersOut],tblDaily[EntryDate],DATE(2026,7,1),tblDaily[WardCode],"BH")),"")</f>
        <v/>
      </c>
      <c r="H241" s="29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IFERROR(IF(SUMIFS(tblDaily[Admissions],tblDaily[EntryDate],DATE(2026,7,2),tblDaily[WardCode],"BH")=0,"",SUMIFS(tblDaily[Admissions],tblDaily[EntryDate],DATE(2026,7,2),tblDaily[WardCode],"BH")),"")</f>
        <v/>
      </c>
      <c r="C242" s="29" t="str">
        <f>IFERROR(IF(SUMIFS(tblDaily[Discharges],tblDaily[EntryDate],DATE(2026,7,2),tblDaily[WardCode],"BH")=0,"",SUMIFS(tblDaily[Discharges],tblDaily[EntryDate],DATE(2026,7,2),tblDaily[WardCode],"BH")),"")</f>
        <v/>
      </c>
      <c r="D242" s="29" t="str">
        <f>IFERROR(IF(SUMIFS(tblDaily[Deaths],tblDaily[EntryDate],DATE(2026,7,2),tblDaily[WardCode],"BH")=0,"",SUMIFS(tblDaily[Deaths],tblDaily[EntryDate],DATE(2026,7,2),tblDaily[WardCode],"BH")),"")</f>
        <v/>
      </c>
      <c r="E242" s="29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29" t="str">
        <f>IFERROR(IF(SUMIFS(tblDaily[TransfersIn],tblDaily[EntryDate],DATE(2026,7,2),tblDaily[WardCode],"BH")=0,"",SUMIFS(tblDaily[TransfersIn],tblDaily[EntryDate],DATE(2026,7,2),tblDaily[WardCode],"BH")),"")</f>
        <v/>
      </c>
      <c r="G242" s="29" t="str">
        <f>IFERROR(IF(SUMIFS(tblDaily[TransfersOut],tblDaily[EntryDate],DATE(2026,7,2),tblDaily[WardCode],"BH")=0,"",SUMIFS(tblDaily[TransfersOut],tblDaily[EntryDate],DATE(2026,7,2),tblDaily[WardCode],"BH")),"")</f>
        <v/>
      </c>
      <c r="H242" s="29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IFERROR(IF(SUMIFS(tblDaily[Admissions],tblDaily[EntryDate],DATE(2026,7,3),tblDaily[WardCode],"BH")=0,"",SUMIFS(tblDaily[Admissions],tblDaily[EntryDate],DATE(2026,7,3),tblDaily[WardCode],"BH")),"")</f>
        <v/>
      </c>
      <c r="C243" s="29" t="str">
        <f>IFERROR(IF(SUMIFS(tblDaily[Discharges],tblDaily[EntryDate],DATE(2026,7,3),tblDaily[WardCode],"BH")=0,"",SUMIFS(tblDaily[Discharges],tblDaily[EntryDate],DATE(2026,7,3),tblDaily[WardCode],"BH")),"")</f>
        <v/>
      </c>
      <c r="D243" s="29" t="str">
        <f>IFERROR(IF(SUMIFS(tblDaily[Deaths],tblDaily[EntryDate],DATE(2026,7,3),tblDaily[WardCode],"BH")=0,"",SUMIFS(tblDaily[Deaths],tblDaily[EntryDate],DATE(2026,7,3),tblDaily[WardCode],"BH")),"")</f>
        <v/>
      </c>
      <c r="E243" s="29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29" t="str">
        <f>IFERROR(IF(SUMIFS(tblDaily[TransfersIn],tblDaily[EntryDate],DATE(2026,7,3),tblDaily[WardCode],"BH")=0,"",SUMIFS(tblDaily[TransfersIn],tblDaily[EntryDate],DATE(2026,7,3),tblDaily[WardCode],"BH")),"")</f>
        <v/>
      </c>
      <c r="G243" s="29" t="str">
        <f>IFERROR(IF(SUMIFS(tblDaily[TransfersOut],tblDaily[EntryDate],DATE(2026,7,3),tblDaily[WardCode],"BH")=0,"",SUMIFS(tblDaily[TransfersOut],tblDaily[EntryDate],DATE(2026,7,3),tblDaily[WardCode],"BH")),"")</f>
        <v/>
      </c>
      <c r="H243" s="29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IFERROR(IF(SUMIFS(tblDaily[Admissions],tblDaily[EntryDate],DATE(2026,7,4),tblDaily[WardCode],"BH")=0,"",SUMIFS(tblDaily[Admissions],tblDaily[EntryDate],DATE(2026,7,4),tblDaily[WardCode],"BH")),"")</f>
        <v/>
      </c>
      <c r="C244" s="29" t="str">
        <f>IFERROR(IF(SUMIFS(tblDaily[Discharges],tblDaily[EntryDate],DATE(2026,7,4),tblDaily[WardCode],"BH")=0,"",SUMIFS(tblDaily[Discharges],tblDaily[EntryDate],DATE(2026,7,4),tblDaily[WardCode],"BH")),"")</f>
        <v/>
      </c>
      <c r="D244" s="29" t="str">
        <f>IFERROR(IF(SUMIFS(tblDaily[Deaths],tblDaily[EntryDate],DATE(2026,7,4),tblDaily[WardCode],"BH")=0,"",SUMIFS(tblDaily[Deaths],tblDaily[EntryDate],DATE(2026,7,4),tblDaily[WardCode],"BH")),"")</f>
        <v/>
      </c>
      <c r="E244" s="29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29" t="str">
        <f>IFERROR(IF(SUMIFS(tblDaily[TransfersIn],tblDaily[EntryDate],DATE(2026,7,4),tblDaily[WardCode],"BH")=0,"",SUMIFS(tblDaily[TransfersIn],tblDaily[EntryDate],DATE(2026,7,4),tblDaily[WardCode],"BH")),"")</f>
        <v/>
      </c>
      <c r="G244" s="29" t="str">
        <f>IFERROR(IF(SUMIFS(tblDaily[TransfersOut],tblDaily[EntryDate],DATE(2026,7,4),tblDaily[WardCode],"BH")=0,"",SUMIFS(tblDaily[TransfersOut],tblDaily[EntryDate],DATE(2026,7,4),tblDaily[WardCode],"BH")),"")</f>
        <v/>
      </c>
      <c r="H244" s="29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IFERROR(IF(SUMIFS(tblDaily[Admissions],tblDaily[EntryDate],DATE(2026,7,5),tblDaily[WardCode],"BH")=0,"",SUMIFS(tblDaily[Admissions],tblDaily[EntryDate],DATE(2026,7,5),tblDaily[WardCode],"BH")),"")</f>
        <v/>
      </c>
      <c r="C245" s="29" t="str">
        <f>IFERROR(IF(SUMIFS(tblDaily[Discharges],tblDaily[EntryDate],DATE(2026,7,5),tblDaily[WardCode],"BH")=0,"",SUMIFS(tblDaily[Discharges],tblDaily[EntryDate],DATE(2026,7,5),tblDaily[WardCode],"BH")),"")</f>
        <v/>
      </c>
      <c r="D245" s="29" t="str">
        <f>IFERROR(IF(SUMIFS(tblDaily[Deaths],tblDaily[EntryDate],DATE(2026,7,5),tblDaily[WardCode],"BH")=0,"",SUMIFS(tblDaily[Deaths],tblDaily[EntryDate],DATE(2026,7,5),tblDaily[WardCode],"BH")),"")</f>
        <v/>
      </c>
      <c r="E245" s="29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29" t="str">
        <f>IFERROR(IF(SUMIFS(tblDaily[TransfersIn],tblDaily[EntryDate],DATE(2026,7,5),tblDaily[WardCode],"BH")=0,"",SUMIFS(tblDaily[TransfersIn],tblDaily[EntryDate],DATE(2026,7,5),tblDaily[WardCode],"BH")),"")</f>
        <v/>
      </c>
      <c r="G245" s="29" t="str">
        <f>IFERROR(IF(SUMIFS(tblDaily[TransfersOut],tblDaily[EntryDate],DATE(2026,7,5),tblDaily[WardCode],"BH")=0,"",SUMIFS(tblDaily[TransfersOut],tblDaily[EntryDate],DATE(2026,7,5),tblDaily[WardCode],"BH")),"")</f>
        <v/>
      </c>
      <c r="H245" s="29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IFERROR(IF(SUMIFS(tblDaily[Admissions],tblDaily[EntryDate],DATE(2026,7,6),tblDaily[WardCode],"BH")=0,"",SUMIFS(tblDaily[Admissions],tblDaily[EntryDate],DATE(2026,7,6),tblDaily[WardCode],"BH")),"")</f>
        <v/>
      </c>
      <c r="C246" s="29" t="str">
        <f>IFERROR(IF(SUMIFS(tblDaily[Discharges],tblDaily[EntryDate],DATE(2026,7,6),tblDaily[WardCode],"BH")=0,"",SUMIFS(tblDaily[Discharges],tblDaily[EntryDate],DATE(2026,7,6),tblDaily[WardCode],"BH")),"")</f>
        <v/>
      </c>
      <c r="D246" s="29" t="str">
        <f>IFERROR(IF(SUMIFS(tblDaily[Deaths],tblDaily[EntryDate],DATE(2026,7,6),tblDaily[WardCode],"BH")=0,"",SUMIFS(tblDaily[Deaths],tblDaily[EntryDate],DATE(2026,7,6),tblDaily[WardCode],"BH")),"")</f>
        <v/>
      </c>
      <c r="E246" s="29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29" t="str">
        <f>IFERROR(IF(SUMIFS(tblDaily[TransfersIn],tblDaily[EntryDate],DATE(2026,7,6),tblDaily[WardCode],"BH")=0,"",SUMIFS(tblDaily[TransfersIn],tblDaily[EntryDate],DATE(2026,7,6),tblDaily[WardCode],"BH")),"")</f>
        <v/>
      </c>
      <c r="G246" s="29" t="str">
        <f>IFERROR(IF(SUMIFS(tblDaily[TransfersOut],tblDaily[EntryDate],DATE(2026,7,6),tblDaily[WardCode],"BH")=0,"",SUMIFS(tblDaily[TransfersOut],tblDaily[EntryDate],DATE(2026,7,6),tblDaily[WardCode],"BH")),"")</f>
        <v/>
      </c>
      <c r="H246" s="29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IFERROR(IF(SUMIFS(tblDaily[Admissions],tblDaily[EntryDate],DATE(2026,7,7),tblDaily[WardCode],"BH")=0,"",SUMIFS(tblDaily[Admissions],tblDaily[EntryDate],DATE(2026,7,7),tblDaily[WardCode],"BH")),"")</f>
        <v/>
      </c>
      <c r="C247" s="29" t="str">
        <f>IFERROR(IF(SUMIFS(tblDaily[Discharges],tblDaily[EntryDate],DATE(2026,7,7),tblDaily[WardCode],"BH")=0,"",SUMIFS(tblDaily[Discharges],tblDaily[EntryDate],DATE(2026,7,7),tblDaily[WardCode],"BH")),"")</f>
        <v/>
      </c>
      <c r="D247" s="29" t="str">
        <f>IFERROR(IF(SUMIFS(tblDaily[Deaths],tblDaily[EntryDate],DATE(2026,7,7),tblDaily[WardCode],"BH")=0,"",SUMIFS(tblDaily[Deaths],tblDaily[EntryDate],DATE(2026,7,7),tblDaily[WardCode],"BH")),"")</f>
        <v/>
      </c>
      <c r="E247" s="29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29" t="str">
        <f>IFERROR(IF(SUMIFS(tblDaily[TransfersIn],tblDaily[EntryDate],DATE(2026,7,7),tblDaily[WardCode],"BH")=0,"",SUMIFS(tblDaily[TransfersIn],tblDaily[EntryDate],DATE(2026,7,7),tblDaily[WardCode],"BH")),"")</f>
        <v/>
      </c>
      <c r="G247" s="29" t="str">
        <f>IFERROR(IF(SUMIFS(tblDaily[TransfersOut],tblDaily[EntryDate],DATE(2026,7,7),tblDaily[WardCode],"BH")=0,"",SUMIFS(tblDaily[TransfersOut],tblDaily[EntryDate],DATE(2026,7,7),tblDaily[WardCode],"BH")),"")</f>
        <v/>
      </c>
      <c r="H247" s="29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IFERROR(IF(SUMIFS(tblDaily[Admissions],tblDaily[EntryDate],DATE(2026,7,8),tblDaily[WardCode],"BH")=0,"",SUMIFS(tblDaily[Admissions],tblDaily[EntryDate],DATE(2026,7,8),tblDaily[WardCode],"BH")),"")</f>
        <v/>
      </c>
      <c r="C248" s="29" t="str">
        <f>IFERROR(IF(SUMIFS(tblDaily[Discharges],tblDaily[EntryDate],DATE(2026,7,8),tblDaily[WardCode],"BH")=0,"",SUMIFS(tblDaily[Discharges],tblDaily[EntryDate],DATE(2026,7,8),tblDaily[WardCode],"BH")),"")</f>
        <v/>
      </c>
      <c r="D248" s="29" t="str">
        <f>IFERROR(IF(SUMIFS(tblDaily[Deaths],tblDaily[EntryDate],DATE(2026,7,8),tblDaily[WardCode],"BH")=0,"",SUMIFS(tblDaily[Deaths],tblDaily[EntryDate],DATE(2026,7,8),tblDaily[WardCode],"BH")),"")</f>
        <v/>
      </c>
      <c r="E248" s="29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29" t="str">
        <f>IFERROR(IF(SUMIFS(tblDaily[TransfersIn],tblDaily[EntryDate],DATE(2026,7,8),tblDaily[WardCode],"BH")=0,"",SUMIFS(tblDaily[TransfersIn],tblDaily[EntryDate],DATE(2026,7,8),tblDaily[WardCode],"BH")),"")</f>
        <v/>
      </c>
      <c r="G248" s="29" t="str">
        <f>IFERROR(IF(SUMIFS(tblDaily[TransfersOut],tblDaily[EntryDate],DATE(2026,7,8),tblDaily[WardCode],"BH")=0,"",SUMIFS(tblDaily[TransfersOut],tblDaily[EntryDate],DATE(2026,7,8),tblDaily[WardCode],"BH")),"")</f>
        <v/>
      </c>
      <c r="H248" s="29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IFERROR(IF(SUMIFS(tblDaily[Admissions],tblDaily[EntryDate],DATE(2026,7,9),tblDaily[WardCode],"BH")=0,"",SUMIFS(tblDaily[Admissions],tblDaily[EntryDate],DATE(2026,7,9),tblDaily[WardCode],"BH")),"")</f>
        <v/>
      </c>
      <c r="C249" s="29" t="str">
        <f>IFERROR(IF(SUMIFS(tblDaily[Discharges],tblDaily[EntryDate],DATE(2026,7,9),tblDaily[WardCode],"BH")=0,"",SUMIFS(tblDaily[Discharges],tblDaily[EntryDate],DATE(2026,7,9),tblDaily[WardCode],"BH")),"")</f>
        <v/>
      </c>
      <c r="D249" s="29" t="str">
        <f>IFERROR(IF(SUMIFS(tblDaily[Deaths],tblDaily[EntryDate],DATE(2026,7,9),tblDaily[WardCode],"BH")=0,"",SUMIFS(tblDaily[Deaths],tblDaily[EntryDate],DATE(2026,7,9),tblDaily[WardCode],"BH")),"")</f>
        <v/>
      </c>
      <c r="E249" s="29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29" t="str">
        <f>IFERROR(IF(SUMIFS(tblDaily[TransfersIn],tblDaily[EntryDate],DATE(2026,7,9),tblDaily[WardCode],"BH")=0,"",SUMIFS(tblDaily[TransfersIn],tblDaily[EntryDate],DATE(2026,7,9),tblDaily[WardCode],"BH")),"")</f>
        <v/>
      </c>
      <c r="G249" s="29" t="str">
        <f>IFERROR(IF(SUMIFS(tblDaily[TransfersOut],tblDaily[EntryDate],DATE(2026,7,9),tblDaily[WardCode],"BH")=0,"",SUMIFS(tblDaily[TransfersOut],tblDaily[EntryDate],DATE(2026,7,9),tblDaily[WardCode],"BH")),"")</f>
        <v/>
      </c>
      <c r="H249" s="29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IFERROR(IF(SUMIFS(tblDaily[Admissions],tblDaily[EntryDate],DATE(2026,7,10),tblDaily[WardCode],"BH")=0,"",SUMIFS(tblDaily[Admissions],tblDaily[EntryDate],DATE(2026,7,10),tblDaily[WardCode],"BH")),"")</f>
        <v/>
      </c>
      <c r="C250" s="29" t="str">
        <f>IFERROR(IF(SUMIFS(tblDaily[Discharges],tblDaily[EntryDate],DATE(2026,7,10),tblDaily[WardCode],"BH")=0,"",SUMIFS(tblDaily[Discharges],tblDaily[EntryDate],DATE(2026,7,10),tblDaily[WardCode],"BH")),"")</f>
        <v/>
      </c>
      <c r="D250" s="29" t="str">
        <f>IFERROR(IF(SUMIFS(tblDaily[Deaths],tblDaily[EntryDate],DATE(2026,7,10),tblDaily[WardCode],"BH")=0,"",SUMIFS(tblDaily[Deaths],tblDaily[EntryDate],DATE(2026,7,10),tblDaily[WardCode],"BH")),"")</f>
        <v/>
      </c>
      <c r="E250" s="29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29" t="str">
        <f>IFERROR(IF(SUMIFS(tblDaily[TransfersIn],tblDaily[EntryDate],DATE(2026,7,10),tblDaily[WardCode],"BH")=0,"",SUMIFS(tblDaily[TransfersIn],tblDaily[EntryDate],DATE(2026,7,10),tblDaily[WardCode],"BH")),"")</f>
        <v/>
      </c>
      <c r="G250" s="29" t="str">
        <f>IFERROR(IF(SUMIFS(tblDaily[TransfersOut],tblDaily[EntryDate],DATE(2026,7,10),tblDaily[WardCode],"BH")=0,"",SUMIFS(tblDaily[TransfersOut],tblDaily[EntryDate],DATE(2026,7,10),tblDaily[WardCode],"BH")),"")</f>
        <v/>
      </c>
      <c r="H250" s="29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IFERROR(IF(SUMIFS(tblDaily[Admissions],tblDaily[EntryDate],DATE(2026,7,11),tblDaily[WardCode],"BH")=0,"",SUMIFS(tblDaily[Admissions],tblDaily[EntryDate],DATE(2026,7,11),tblDaily[WardCode],"BH")),"")</f>
        <v/>
      </c>
      <c r="C251" s="29" t="str">
        <f>IFERROR(IF(SUMIFS(tblDaily[Discharges],tblDaily[EntryDate],DATE(2026,7,11),tblDaily[WardCode],"BH")=0,"",SUMIFS(tblDaily[Discharges],tblDaily[EntryDate],DATE(2026,7,11),tblDaily[WardCode],"BH")),"")</f>
        <v/>
      </c>
      <c r="D251" s="29" t="str">
        <f>IFERROR(IF(SUMIFS(tblDaily[Deaths],tblDaily[EntryDate],DATE(2026,7,11),tblDaily[WardCode],"BH")=0,"",SUMIFS(tblDaily[Deaths],tblDaily[EntryDate],DATE(2026,7,11),tblDaily[WardCode],"BH")),"")</f>
        <v/>
      </c>
      <c r="E251" s="29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29" t="str">
        <f>IFERROR(IF(SUMIFS(tblDaily[TransfersIn],tblDaily[EntryDate],DATE(2026,7,11),tblDaily[WardCode],"BH")=0,"",SUMIFS(tblDaily[TransfersIn],tblDaily[EntryDate],DATE(2026,7,11),tblDaily[WardCode],"BH")),"")</f>
        <v/>
      </c>
      <c r="G251" s="29" t="str">
        <f>IFERROR(IF(SUMIFS(tblDaily[TransfersOut],tblDaily[EntryDate],DATE(2026,7,11),tblDaily[WardCode],"BH")=0,"",SUMIFS(tblDaily[TransfersOut],tblDaily[EntryDate],DATE(2026,7,11),tblDaily[WardCode],"BH")),"")</f>
        <v/>
      </c>
      <c r="H251" s="29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IFERROR(IF(SUMIFS(tblDaily[Admissions],tblDaily[EntryDate],DATE(2026,7,12),tblDaily[WardCode],"BH")=0,"",SUMIFS(tblDaily[Admissions],tblDaily[EntryDate],DATE(2026,7,12),tblDaily[WardCode],"BH")),"")</f>
        <v/>
      </c>
      <c r="C252" s="29" t="str">
        <f>IFERROR(IF(SUMIFS(tblDaily[Discharges],tblDaily[EntryDate],DATE(2026,7,12),tblDaily[WardCode],"BH")=0,"",SUMIFS(tblDaily[Discharges],tblDaily[EntryDate],DATE(2026,7,12),tblDaily[WardCode],"BH")),"")</f>
        <v/>
      </c>
      <c r="D252" s="29" t="str">
        <f>IFERROR(IF(SUMIFS(tblDaily[Deaths],tblDaily[EntryDate],DATE(2026,7,12),tblDaily[WardCode],"BH")=0,"",SUMIFS(tblDaily[Deaths],tblDaily[EntryDate],DATE(2026,7,12),tblDaily[WardCode],"BH")),"")</f>
        <v/>
      </c>
      <c r="E252" s="29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29" t="str">
        <f>IFERROR(IF(SUMIFS(tblDaily[TransfersIn],tblDaily[EntryDate],DATE(2026,7,12),tblDaily[WardCode],"BH")=0,"",SUMIFS(tblDaily[TransfersIn],tblDaily[EntryDate],DATE(2026,7,12),tblDaily[WardCode],"BH")),"")</f>
        <v/>
      </c>
      <c r="G252" s="29" t="str">
        <f>IFERROR(IF(SUMIFS(tblDaily[TransfersOut],tblDaily[EntryDate],DATE(2026,7,12),tblDaily[WardCode],"BH")=0,"",SUMIFS(tblDaily[TransfersOut],tblDaily[EntryDate],DATE(2026,7,12),tblDaily[WardCode],"BH")),"")</f>
        <v/>
      </c>
      <c r="H252" s="29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IFERROR(IF(SUMIFS(tblDaily[Admissions],tblDaily[EntryDate],DATE(2026,7,13),tblDaily[WardCode],"BH")=0,"",SUMIFS(tblDaily[Admissions],tblDaily[EntryDate],DATE(2026,7,13),tblDaily[WardCode],"BH")),"")</f>
        <v/>
      </c>
      <c r="C253" s="29" t="str">
        <f>IFERROR(IF(SUMIFS(tblDaily[Discharges],tblDaily[EntryDate],DATE(2026,7,13),tblDaily[WardCode],"BH")=0,"",SUMIFS(tblDaily[Discharges],tblDaily[EntryDate],DATE(2026,7,13),tblDaily[WardCode],"BH")),"")</f>
        <v/>
      </c>
      <c r="D253" s="29" t="str">
        <f>IFERROR(IF(SUMIFS(tblDaily[Deaths],tblDaily[EntryDate],DATE(2026,7,13),tblDaily[WardCode],"BH")=0,"",SUMIFS(tblDaily[Deaths],tblDaily[EntryDate],DATE(2026,7,13),tblDaily[WardCode],"BH")),"")</f>
        <v/>
      </c>
      <c r="E253" s="29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29" t="str">
        <f>IFERROR(IF(SUMIFS(tblDaily[TransfersIn],tblDaily[EntryDate],DATE(2026,7,13),tblDaily[WardCode],"BH")=0,"",SUMIFS(tblDaily[TransfersIn],tblDaily[EntryDate],DATE(2026,7,13),tblDaily[WardCode],"BH")),"")</f>
        <v/>
      </c>
      <c r="G253" s="29" t="str">
        <f>IFERROR(IF(SUMIFS(tblDaily[TransfersOut],tblDaily[EntryDate],DATE(2026,7,13),tblDaily[WardCode],"BH")=0,"",SUMIFS(tblDaily[TransfersOut],tblDaily[EntryDate],DATE(2026,7,13),tblDaily[WardCode],"BH")),"")</f>
        <v/>
      </c>
      <c r="H253" s="29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IFERROR(IF(SUMIFS(tblDaily[Admissions],tblDaily[EntryDate],DATE(2026,7,14),tblDaily[WardCode],"BH")=0,"",SUMIFS(tblDaily[Admissions],tblDaily[EntryDate],DATE(2026,7,14),tblDaily[WardCode],"BH")),"")</f>
        <v/>
      </c>
      <c r="C254" s="29" t="str">
        <f>IFERROR(IF(SUMIFS(tblDaily[Discharges],tblDaily[EntryDate],DATE(2026,7,14),tblDaily[WardCode],"BH")=0,"",SUMIFS(tblDaily[Discharges],tblDaily[EntryDate],DATE(2026,7,14),tblDaily[WardCode],"BH")),"")</f>
        <v/>
      </c>
      <c r="D254" s="29" t="str">
        <f>IFERROR(IF(SUMIFS(tblDaily[Deaths],tblDaily[EntryDate],DATE(2026,7,14),tblDaily[WardCode],"BH")=0,"",SUMIFS(tblDaily[Deaths],tblDaily[EntryDate],DATE(2026,7,14),tblDaily[WardCode],"BH")),"")</f>
        <v/>
      </c>
      <c r="E254" s="29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29" t="str">
        <f>IFERROR(IF(SUMIFS(tblDaily[TransfersIn],tblDaily[EntryDate],DATE(2026,7,14),tblDaily[WardCode],"BH")=0,"",SUMIFS(tblDaily[TransfersIn],tblDaily[EntryDate],DATE(2026,7,14),tblDaily[WardCode],"BH")),"")</f>
        <v/>
      </c>
      <c r="G254" s="29" t="str">
        <f>IFERROR(IF(SUMIFS(tblDaily[TransfersOut],tblDaily[EntryDate],DATE(2026,7,14),tblDaily[WardCode],"BH")=0,"",SUMIFS(tblDaily[TransfersOut],tblDaily[EntryDate],DATE(2026,7,14),tblDaily[WardCode],"BH")),"")</f>
        <v/>
      </c>
      <c r="H254" s="29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IFERROR(IF(SUMIFS(tblDaily[Admissions],tblDaily[EntryDate],DATE(2026,7,15),tblDaily[WardCode],"BH")=0,"",SUMIFS(tblDaily[Admissions],tblDaily[EntryDate],DATE(2026,7,15),tblDaily[WardCode],"BH")),"")</f>
        <v/>
      </c>
      <c r="C255" s="29" t="str">
        <f>IFERROR(IF(SUMIFS(tblDaily[Discharges],tblDaily[EntryDate],DATE(2026,7,15),tblDaily[WardCode],"BH")=0,"",SUMIFS(tblDaily[Discharges],tblDaily[EntryDate],DATE(2026,7,15),tblDaily[WardCode],"BH")),"")</f>
        <v/>
      </c>
      <c r="D255" s="29" t="str">
        <f>IFERROR(IF(SUMIFS(tblDaily[Deaths],tblDaily[EntryDate],DATE(2026,7,15),tblDaily[WardCode],"BH")=0,"",SUMIFS(tblDaily[Deaths],tblDaily[EntryDate],DATE(2026,7,15),tblDaily[WardCode],"BH")),"")</f>
        <v/>
      </c>
      <c r="E255" s="29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29" t="str">
        <f>IFERROR(IF(SUMIFS(tblDaily[TransfersIn],tblDaily[EntryDate],DATE(2026,7,15),tblDaily[WardCode],"BH")=0,"",SUMIFS(tblDaily[TransfersIn],tblDaily[EntryDate],DATE(2026,7,15),tblDaily[WardCode],"BH")),"")</f>
        <v/>
      </c>
      <c r="G255" s="29" t="str">
        <f>IFERROR(IF(SUMIFS(tblDaily[TransfersOut],tblDaily[EntryDate],DATE(2026,7,15),tblDaily[WardCode],"BH")=0,"",SUMIFS(tblDaily[TransfersOut],tblDaily[EntryDate],DATE(2026,7,15),tblDaily[WardCode],"BH")),"")</f>
        <v/>
      </c>
      <c r="H255" s="29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IFERROR(IF(SUMIFS(tblDaily[Admissions],tblDaily[EntryDate],DATE(2026,7,16),tblDaily[WardCode],"BH")=0,"",SUMIFS(tblDaily[Admissions],tblDaily[EntryDate],DATE(2026,7,16),tblDaily[WardCode],"BH")),"")</f>
        <v/>
      </c>
      <c r="C256" s="29" t="str">
        <f>IFERROR(IF(SUMIFS(tblDaily[Discharges],tblDaily[EntryDate],DATE(2026,7,16),tblDaily[WardCode],"BH")=0,"",SUMIFS(tblDaily[Discharges],tblDaily[EntryDate],DATE(2026,7,16),tblDaily[WardCode],"BH")),"")</f>
        <v/>
      </c>
      <c r="D256" s="29" t="str">
        <f>IFERROR(IF(SUMIFS(tblDaily[Deaths],tblDaily[EntryDate],DATE(2026,7,16),tblDaily[WardCode],"BH")=0,"",SUMIFS(tblDaily[Deaths],tblDaily[EntryDate],DATE(2026,7,16),tblDaily[WardCode],"BH")),"")</f>
        <v/>
      </c>
      <c r="E256" s="29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29" t="str">
        <f>IFERROR(IF(SUMIFS(tblDaily[TransfersIn],tblDaily[EntryDate],DATE(2026,7,16),tblDaily[WardCode],"BH")=0,"",SUMIFS(tblDaily[TransfersIn],tblDaily[EntryDate],DATE(2026,7,16),tblDaily[WardCode],"BH")),"")</f>
        <v/>
      </c>
      <c r="G256" s="29" t="str">
        <f>IFERROR(IF(SUMIFS(tblDaily[TransfersOut],tblDaily[EntryDate],DATE(2026,7,16),tblDaily[WardCode],"BH")=0,"",SUMIFS(tblDaily[TransfersOut],tblDaily[EntryDate],DATE(2026,7,16),tblDaily[WardCode],"BH")),"")</f>
        <v/>
      </c>
      <c r="H256" s="29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IFERROR(IF(SUMIFS(tblDaily[Admissions],tblDaily[EntryDate],DATE(2026,7,17),tblDaily[WardCode],"BH")=0,"",SUMIFS(tblDaily[Admissions],tblDaily[EntryDate],DATE(2026,7,17),tblDaily[WardCode],"BH")),"")</f>
        <v/>
      </c>
      <c r="C257" s="29" t="str">
        <f>IFERROR(IF(SUMIFS(tblDaily[Discharges],tblDaily[EntryDate],DATE(2026,7,17),tblDaily[WardCode],"BH")=0,"",SUMIFS(tblDaily[Discharges],tblDaily[EntryDate],DATE(2026,7,17),tblDaily[WardCode],"BH")),"")</f>
        <v/>
      </c>
      <c r="D257" s="29" t="str">
        <f>IFERROR(IF(SUMIFS(tblDaily[Deaths],tblDaily[EntryDate],DATE(2026,7,17),tblDaily[WardCode],"BH")=0,"",SUMIFS(tblDaily[Deaths],tblDaily[EntryDate],DATE(2026,7,17),tblDaily[WardCode],"BH")),"")</f>
        <v/>
      </c>
      <c r="E257" s="29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29" t="str">
        <f>IFERROR(IF(SUMIFS(tblDaily[TransfersIn],tblDaily[EntryDate],DATE(2026,7,17),tblDaily[WardCode],"BH")=0,"",SUMIFS(tblDaily[TransfersIn],tblDaily[EntryDate],DATE(2026,7,17),tblDaily[WardCode],"BH")),"")</f>
        <v/>
      </c>
      <c r="G257" s="29" t="str">
        <f>IFERROR(IF(SUMIFS(tblDaily[TransfersOut],tblDaily[EntryDate],DATE(2026,7,17),tblDaily[WardCode],"BH")=0,"",SUMIFS(tblDaily[TransfersOut],tblDaily[EntryDate],DATE(2026,7,17),tblDaily[WardCode],"BH")),"")</f>
        <v/>
      </c>
      <c r="H257" s="29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IFERROR(IF(SUMIFS(tblDaily[Admissions],tblDaily[EntryDate],DATE(2026,7,18),tblDaily[WardCode],"BH")=0,"",SUMIFS(tblDaily[Admissions],tblDaily[EntryDate],DATE(2026,7,18),tblDaily[WardCode],"BH")),"")</f>
        <v/>
      </c>
      <c r="C258" s="29" t="str">
        <f>IFERROR(IF(SUMIFS(tblDaily[Discharges],tblDaily[EntryDate],DATE(2026,7,18),tblDaily[WardCode],"BH")=0,"",SUMIFS(tblDaily[Discharges],tblDaily[EntryDate],DATE(2026,7,18),tblDaily[WardCode],"BH")),"")</f>
        <v/>
      </c>
      <c r="D258" s="29" t="str">
        <f>IFERROR(IF(SUMIFS(tblDaily[Deaths],tblDaily[EntryDate],DATE(2026,7,18),tblDaily[WardCode],"BH")=0,"",SUMIFS(tblDaily[Deaths],tblDaily[EntryDate],DATE(2026,7,18),tblDaily[WardCode],"BH")),"")</f>
        <v/>
      </c>
      <c r="E258" s="29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29" t="str">
        <f>IFERROR(IF(SUMIFS(tblDaily[TransfersIn],tblDaily[EntryDate],DATE(2026,7,18),tblDaily[WardCode],"BH")=0,"",SUMIFS(tblDaily[TransfersIn],tblDaily[EntryDate],DATE(2026,7,18),tblDaily[WardCode],"BH")),"")</f>
        <v/>
      </c>
      <c r="G258" s="29" t="str">
        <f>IFERROR(IF(SUMIFS(tblDaily[TransfersOut],tblDaily[EntryDate],DATE(2026,7,18),tblDaily[WardCode],"BH")=0,"",SUMIFS(tblDaily[TransfersOut],tblDaily[EntryDate],DATE(2026,7,18),tblDaily[WardCode],"BH")),"")</f>
        <v/>
      </c>
      <c r="H258" s="29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IFERROR(IF(SUMIFS(tblDaily[Admissions],tblDaily[EntryDate],DATE(2026,7,19),tblDaily[WardCode],"BH")=0,"",SUMIFS(tblDaily[Admissions],tblDaily[EntryDate],DATE(2026,7,19),tblDaily[WardCode],"BH")),"")</f>
        <v/>
      </c>
      <c r="C259" s="29" t="str">
        <f>IFERROR(IF(SUMIFS(tblDaily[Discharges],tblDaily[EntryDate],DATE(2026,7,19),tblDaily[WardCode],"BH")=0,"",SUMIFS(tblDaily[Discharges],tblDaily[EntryDate],DATE(2026,7,19),tblDaily[WardCode],"BH")),"")</f>
        <v/>
      </c>
      <c r="D259" s="29" t="str">
        <f>IFERROR(IF(SUMIFS(tblDaily[Deaths],tblDaily[EntryDate],DATE(2026,7,19),tblDaily[WardCode],"BH")=0,"",SUMIFS(tblDaily[Deaths],tblDaily[EntryDate],DATE(2026,7,19),tblDaily[WardCode],"BH")),"")</f>
        <v/>
      </c>
      <c r="E259" s="29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29" t="str">
        <f>IFERROR(IF(SUMIFS(tblDaily[TransfersIn],tblDaily[EntryDate],DATE(2026,7,19),tblDaily[WardCode],"BH")=0,"",SUMIFS(tblDaily[TransfersIn],tblDaily[EntryDate],DATE(2026,7,19),tblDaily[WardCode],"BH")),"")</f>
        <v/>
      </c>
      <c r="G259" s="29" t="str">
        <f>IFERROR(IF(SUMIFS(tblDaily[TransfersOut],tblDaily[EntryDate],DATE(2026,7,19),tblDaily[WardCode],"BH")=0,"",SUMIFS(tblDaily[TransfersOut],tblDaily[EntryDate],DATE(2026,7,19),tblDaily[WardCode],"BH")),"")</f>
        <v/>
      </c>
      <c r="H259" s="29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IFERROR(IF(SUMIFS(tblDaily[Admissions],tblDaily[EntryDate],DATE(2026,7,20),tblDaily[WardCode],"BH")=0,"",SUMIFS(tblDaily[Admissions],tblDaily[EntryDate],DATE(2026,7,20),tblDaily[WardCode],"BH")),"")</f>
        <v/>
      </c>
      <c r="C260" s="29" t="str">
        <f>IFERROR(IF(SUMIFS(tblDaily[Discharges],tblDaily[EntryDate],DATE(2026,7,20),tblDaily[WardCode],"BH")=0,"",SUMIFS(tblDaily[Discharges],tblDaily[EntryDate],DATE(2026,7,20),tblDaily[WardCode],"BH")),"")</f>
        <v/>
      </c>
      <c r="D260" s="29" t="str">
        <f>IFERROR(IF(SUMIFS(tblDaily[Deaths],tblDaily[EntryDate],DATE(2026,7,20),tblDaily[WardCode],"BH")=0,"",SUMIFS(tblDaily[Deaths],tblDaily[EntryDate],DATE(2026,7,20),tblDaily[WardCode],"BH")),"")</f>
        <v/>
      </c>
      <c r="E260" s="29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29" t="str">
        <f>IFERROR(IF(SUMIFS(tblDaily[TransfersIn],tblDaily[EntryDate],DATE(2026,7,20),tblDaily[WardCode],"BH")=0,"",SUMIFS(tblDaily[TransfersIn],tblDaily[EntryDate],DATE(2026,7,20),tblDaily[WardCode],"BH")),"")</f>
        <v/>
      </c>
      <c r="G260" s="29" t="str">
        <f>IFERROR(IF(SUMIFS(tblDaily[TransfersOut],tblDaily[EntryDate],DATE(2026,7,20),tblDaily[WardCode],"BH")=0,"",SUMIFS(tblDaily[TransfersOut],tblDaily[EntryDate],DATE(2026,7,20),tblDaily[WardCode],"BH")),"")</f>
        <v/>
      </c>
      <c r="H260" s="29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IFERROR(IF(SUMIFS(tblDaily[Admissions],tblDaily[EntryDate],DATE(2026,7,21),tblDaily[WardCode],"BH")=0,"",SUMIFS(tblDaily[Admissions],tblDaily[EntryDate],DATE(2026,7,21),tblDaily[WardCode],"BH")),"")</f>
        <v/>
      </c>
      <c r="C261" s="29" t="str">
        <f>IFERROR(IF(SUMIFS(tblDaily[Discharges],tblDaily[EntryDate],DATE(2026,7,21),tblDaily[WardCode],"BH")=0,"",SUMIFS(tblDaily[Discharges],tblDaily[EntryDate],DATE(2026,7,21),tblDaily[WardCode],"BH")),"")</f>
        <v/>
      </c>
      <c r="D261" s="29" t="str">
        <f>IFERROR(IF(SUMIFS(tblDaily[Deaths],tblDaily[EntryDate],DATE(2026,7,21),tblDaily[WardCode],"BH")=0,"",SUMIFS(tblDaily[Deaths],tblDaily[EntryDate],DATE(2026,7,21),tblDaily[WardCode],"BH")),"")</f>
        <v/>
      </c>
      <c r="E261" s="29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29" t="str">
        <f>IFERROR(IF(SUMIFS(tblDaily[TransfersIn],tblDaily[EntryDate],DATE(2026,7,21),tblDaily[WardCode],"BH")=0,"",SUMIFS(tblDaily[TransfersIn],tblDaily[EntryDate],DATE(2026,7,21),tblDaily[WardCode],"BH")),"")</f>
        <v/>
      </c>
      <c r="G261" s="29" t="str">
        <f>IFERROR(IF(SUMIFS(tblDaily[TransfersOut],tblDaily[EntryDate],DATE(2026,7,21),tblDaily[WardCode],"BH")=0,"",SUMIFS(tblDaily[TransfersOut],tblDaily[EntryDate],DATE(2026,7,21),tblDaily[WardCode],"BH")),"")</f>
        <v/>
      </c>
      <c r="H261" s="29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IFERROR(IF(SUMIFS(tblDaily[Admissions],tblDaily[EntryDate],DATE(2026,7,22),tblDaily[WardCode],"BH")=0,"",SUMIFS(tblDaily[Admissions],tblDaily[EntryDate],DATE(2026,7,22),tblDaily[WardCode],"BH")),"")</f>
        <v/>
      </c>
      <c r="C262" s="29" t="str">
        <f>IFERROR(IF(SUMIFS(tblDaily[Discharges],tblDaily[EntryDate],DATE(2026,7,22),tblDaily[WardCode],"BH")=0,"",SUMIFS(tblDaily[Discharges],tblDaily[EntryDate],DATE(2026,7,22),tblDaily[WardCode],"BH")),"")</f>
        <v/>
      </c>
      <c r="D262" s="29" t="str">
        <f>IFERROR(IF(SUMIFS(tblDaily[Deaths],tblDaily[EntryDate],DATE(2026,7,22),tblDaily[WardCode],"BH")=0,"",SUMIFS(tblDaily[Deaths],tblDaily[EntryDate],DATE(2026,7,22),tblDaily[WardCode],"BH")),"")</f>
        <v/>
      </c>
      <c r="E262" s="29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29" t="str">
        <f>IFERROR(IF(SUMIFS(tblDaily[TransfersIn],tblDaily[EntryDate],DATE(2026,7,22),tblDaily[WardCode],"BH")=0,"",SUMIFS(tblDaily[TransfersIn],tblDaily[EntryDate],DATE(2026,7,22),tblDaily[WardCode],"BH")),"")</f>
        <v/>
      </c>
      <c r="G262" s="29" t="str">
        <f>IFERROR(IF(SUMIFS(tblDaily[TransfersOut],tblDaily[EntryDate],DATE(2026,7,22),tblDaily[WardCode],"BH")=0,"",SUMIFS(tblDaily[TransfersOut],tblDaily[EntryDate],DATE(2026,7,22),tblDaily[WardCode],"BH")),"")</f>
        <v/>
      </c>
      <c r="H262" s="29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IFERROR(IF(SUMIFS(tblDaily[Admissions],tblDaily[EntryDate],DATE(2026,7,23),tblDaily[WardCode],"BH")=0,"",SUMIFS(tblDaily[Admissions],tblDaily[EntryDate],DATE(2026,7,23),tblDaily[WardCode],"BH")),"")</f>
        <v/>
      </c>
      <c r="C263" s="29" t="str">
        <f>IFERROR(IF(SUMIFS(tblDaily[Discharges],tblDaily[EntryDate],DATE(2026,7,23),tblDaily[WardCode],"BH")=0,"",SUMIFS(tblDaily[Discharges],tblDaily[EntryDate],DATE(2026,7,23),tblDaily[WardCode],"BH")),"")</f>
        <v/>
      </c>
      <c r="D263" s="29" t="str">
        <f>IFERROR(IF(SUMIFS(tblDaily[Deaths],tblDaily[EntryDate],DATE(2026,7,23),tblDaily[WardCode],"BH")=0,"",SUMIFS(tblDaily[Deaths],tblDaily[EntryDate],DATE(2026,7,23),tblDaily[WardCode],"BH")),"")</f>
        <v/>
      </c>
      <c r="E263" s="29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29" t="str">
        <f>IFERROR(IF(SUMIFS(tblDaily[TransfersIn],tblDaily[EntryDate],DATE(2026,7,23),tblDaily[WardCode],"BH")=0,"",SUMIFS(tblDaily[TransfersIn],tblDaily[EntryDate],DATE(2026,7,23),tblDaily[WardCode],"BH")),"")</f>
        <v/>
      </c>
      <c r="G263" s="29" t="str">
        <f>IFERROR(IF(SUMIFS(tblDaily[TransfersOut],tblDaily[EntryDate],DATE(2026,7,23),tblDaily[WardCode],"BH")=0,"",SUMIFS(tblDaily[TransfersOut],tblDaily[EntryDate],DATE(2026,7,23),tblDaily[WardCode],"BH")),"")</f>
        <v/>
      </c>
      <c r="H263" s="29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IFERROR(IF(SUMIFS(tblDaily[Admissions],tblDaily[EntryDate],DATE(2026,7,24),tblDaily[WardCode],"BH")=0,"",SUMIFS(tblDaily[Admissions],tblDaily[EntryDate],DATE(2026,7,24),tblDaily[WardCode],"BH")),"")</f>
        <v/>
      </c>
      <c r="C264" s="29" t="str">
        <f>IFERROR(IF(SUMIFS(tblDaily[Discharges],tblDaily[EntryDate],DATE(2026,7,24),tblDaily[WardCode],"BH")=0,"",SUMIFS(tblDaily[Discharges],tblDaily[EntryDate],DATE(2026,7,24),tblDaily[WardCode],"BH")),"")</f>
        <v/>
      </c>
      <c r="D264" s="29" t="str">
        <f>IFERROR(IF(SUMIFS(tblDaily[Deaths],tblDaily[EntryDate],DATE(2026,7,24),tblDaily[WardCode],"BH")=0,"",SUMIFS(tblDaily[Deaths],tblDaily[EntryDate],DATE(2026,7,24),tblDaily[WardCode],"BH")),"")</f>
        <v/>
      </c>
      <c r="E264" s="29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29" t="str">
        <f>IFERROR(IF(SUMIFS(tblDaily[TransfersIn],tblDaily[EntryDate],DATE(2026,7,24),tblDaily[WardCode],"BH")=0,"",SUMIFS(tblDaily[TransfersIn],tblDaily[EntryDate],DATE(2026,7,24),tblDaily[WardCode],"BH")),"")</f>
        <v/>
      </c>
      <c r="G264" s="29" t="str">
        <f>IFERROR(IF(SUMIFS(tblDaily[TransfersOut],tblDaily[EntryDate],DATE(2026,7,24),tblDaily[WardCode],"BH")=0,"",SUMIFS(tblDaily[TransfersOut],tblDaily[EntryDate],DATE(2026,7,24),tblDaily[WardCode],"BH")),"")</f>
        <v/>
      </c>
      <c r="H264" s="29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IFERROR(IF(SUMIFS(tblDaily[Admissions],tblDaily[EntryDate],DATE(2026,7,25),tblDaily[WardCode],"BH")=0,"",SUMIFS(tblDaily[Admissions],tblDaily[EntryDate],DATE(2026,7,25),tblDaily[WardCode],"BH")),"")</f>
        <v/>
      </c>
      <c r="C265" s="29" t="str">
        <f>IFERROR(IF(SUMIFS(tblDaily[Discharges],tblDaily[EntryDate],DATE(2026,7,25),tblDaily[WardCode],"BH")=0,"",SUMIFS(tblDaily[Discharges],tblDaily[EntryDate],DATE(2026,7,25),tblDaily[WardCode],"BH")),"")</f>
        <v/>
      </c>
      <c r="D265" s="29" t="str">
        <f>IFERROR(IF(SUMIFS(tblDaily[Deaths],tblDaily[EntryDate],DATE(2026,7,25),tblDaily[WardCode],"BH")=0,"",SUMIFS(tblDaily[Deaths],tblDaily[EntryDate],DATE(2026,7,25),tblDaily[WardCode],"BH")),"")</f>
        <v/>
      </c>
      <c r="E265" s="29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29" t="str">
        <f>IFERROR(IF(SUMIFS(tblDaily[TransfersIn],tblDaily[EntryDate],DATE(2026,7,25),tblDaily[WardCode],"BH")=0,"",SUMIFS(tblDaily[TransfersIn],tblDaily[EntryDate],DATE(2026,7,25),tblDaily[WardCode],"BH")),"")</f>
        <v/>
      </c>
      <c r="G265" s="29" t="str">
        <f>IFERROR(IF(SUMIFS(tblDaily[TransfersOut],tblDaily[EntryDate],DATE(2026,7,25),tblDaily[WardCode],"BH")=0,"",SUMIFS(tblDaily[TransfersOut],tblDaily[EntryDate],DATE(2026,7,25),tblDaily[WardCode],"BH")),"")</f>
        <v/>
      </c>
      <c r="H265" s="29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IFERROR(IF(SUMIFS(tblDaily[Admissions],tblDaily[EntryDate],DATE(2026,7,26),tblDaily[WardCode],"BH")=0,"",SUMIFS(tblDaily[Admissions],tblDaily[EntryDate],DATE(2026,7,26),tblDaily[WardCode],"BH")),"")</f>
        <v/>
      </c>
      <c r="C266" s="29" t="str">
        <f>IFERROR(IF(SUMIFS(tblDaily[Discharges],tblDaily[EntryDate],DATE(2026,7,26),tblDaily[WardCode],"BH")=0,"",SUMIFS(tblDaily[Discharges],tblDaily[EntryDate],DATE(2026,7,26),tblDaily[WardCode],"BH")),"")</f>
        <v/>
      </c>
      <c r="D266" s="29" t="str">
        <f>IFERROR(IF(SUMIFS(tblDaily[Deaths],tblDaily[EntryDate],DATE(2026,7,26),tblDaily[WardCode],"BH")=0,"",SUMIFS(tblDaily[Deaths],tblDaily[EntryDate],DATE(2026,7,26),tblDaily[WardCode],"BH")),"")</f>
        <v/>
      </c>
      <c r="E266" s="29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29" t="str">
        <f>IFERROR(IF(SUMIFS(tblDaily[TransfersIn],tblDaily[EntryDate],DATE(2026,7,26),tblDaily[WardCode],"BH")=0,"",SUMIFS(tblDaily[TransfersIn],tblDaily[EntryDate],DATE(2026,7,26),tblDaily[WardCode],"BH")),"")</f>
        <v/>
      </c>
      <c r="G266" s="29" t="str">
        <f>IFERROR(IF(SUMIFS(tblDaily[TransfersOut],tblDaily[EntryDate],DATE(2026,7,26),tblDaily[WardCode],"BH")=0,"",SUMIFS(tblDaily[TransfersOut],tblDaily[EntryDate],DATE(2026,7,26),tblDaily[WardCode],"BH")),"")</f>
        <v/>
      </c>
      <c r="H266" s="29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IFERROR(IF(SUMIFS(tblDaily[Admissions],tblDaily[EntryDate],DATE(2026,7,27),tblDaily[WardCode],"BH")=0,"",SUMIFS(tblDaily[Admissions],tblDaily[EntryDate],DATE(2026,7,27),tblDaily[WardCode],"BH")),"")</f>
        <v/>
      </c>
      <c r="C267" s="29" t="str">
        <f>IFERROR(IF(SUMIFS(tblDaily[Discharges],tblDaily[EntryDate],DATE(2026,7,27),tblDaily[WardCode],"BH")=0,"",SUMIFS(tblDaily[Discharges],tblDaily[EntryDate],DATE(2026,7,27),tblDaily[WardCode],"BH")),"")</f>
        <v/>
      </c>
      <c r="D267" s="29" t="str">
        <f>IFERROR(IF(SUMIFS(tblDaily[Deaths],tblDaily[EntryDate],DATE(2026,7,27),tblDaily[WardCode],"BH")=0,"",SUMIFS(tblDaily[Deaths],tblDaily[EntryDate],DATE(2026,7,27),tblDaily[WardCode],"BH")),"")</f>
        <v/>
      </c>
      <c r="E267" s="29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29" t="str">
        <f>IFERROR(IF(SUMIFS(tblDaily[TransfersIn],tblDaily[EntryDate],DATE(2026,7,27),tblDaily[WardCode],"BH")=0,"",SUMIFS(tblDaily[TransfersIn],tblDaily[EntryDate],DATE(2026,7,27),tblDaily[WardCode],"BH")),"")</f>
        <v/>
      </c>
      <c r="G267" s="29" t="str">
        <f>IFERROR(IF(SUMIFS(tblDaily[TransfersOut],tblDaily[EntryDate],DATE(2026,7,27),tblDaily[WardCode],"BH")=0,"",SUMIFS(tblDaily[TransfersOut],tblDaily[EntryDate],DATE(2026,7,27),tblDaily[WardCode],"BH")),"")</f>
        <v/>
      </c>
      <c r="H267" s="29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IFERROR(IF(SUMIFS(tblDaily[Admissions],tblDaily[EntryDate],DATE(2026,7,28),tblDaily[WardCode],"BH")=0,"",SUMIFS(tblDaily[Admissions],tblDaily[EntryDate],DATE(2026,7,28),tblDaily[WardCode],"BH")),"")</f>
        <v/>
      </c>
      <c r="C268" s="29" t="str">
        <f>IFERROR(IF(SUMIFS(tblDaily[Discharges],tblDaily[EntryDate],DATE(2026,7,28),tblDaily[WardCode],"BH")=0,"",SUMIFS(tblDaily[Discharges],tblDaily[EntryDate],DATE(2026,7,28),tblDaily[WardCode],"BH")),"")</f>
        <v/>
      </c>
      <c r="D268" s="29" t="str">
        <f>IFERROR(IF(SUMIFS(tblDaily[Deaths],tblDaily[EntryDate],DATE(2026,7,28),tblDaily[WardCode],"BH")=0,"",SUMIFS(tblDaily[Deaths],tblDaily[EntryDate],DATE(2026,7,28),tblDaily[WardCode],"BH")),"")</f>
        <v/>
      </c>
      <c r="E268" s="29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29" t="str">
        <f>IFERROR(IF(SUMIFS(tblDaily[TransfersIn],tblDaily[EntryDate],DATE(2026,7,28),tblDaily[WardCode],"BH")=0,"",SUMIFS(tblDaily[TransfersIn],tblDaily[EntryDate],DATE(2026,7,28),tblDaily[WardCode],"BH")),"")</f>
        <v/>
      </c>
      <c r="G268" s="29" t="str">
        <f>IFERROR(IF(SUMIFS(tblDaily[TransfersOut],tblDaily[EntryDate],DATE(2026,7,28),tblDaily[WardCode],"BH")=0,"",SUMIFS(tblDaily[TransfersOut],tblDaily[EntryDate],DATE(2026,7,28),tblDaily[WardCode],"BH")),"")</f>
        <v/>
      </c>
      <c r="H268" s="29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IFERROR(IF(SUMIFS(tblDaily[Admissions],tblDaily[EntryDate],DATE(2026,7,29),tblDaily[WardCode],"BH")=0,"",SUMIFS(tblDaily[Admissions],tblDaily[EntryDate],DATE(2026,7,29),tblDaily[WardCode],"BH")),"")</f>
        <v/>
      </c>
      <c r="C269" s="29" t="str">
        <f>IFERROR(IF(SUMIFS(tblDaily[Discharges],tblDaily[EntryDate],DATE(2026,7,29),tblDaily[WardCode],"BH")=0,"",SUMIFS(tblDaily[Discharges],tblDaily[EntryDate],DATE(2026,7,29),tblDaily[WardCode],"BH")),"")</f>
        <v/>
      </c>
      <c r="D269" s="29" t="str">
        <f>IFERROR(IF(SUMIFS(tblDaily[Deaths],tblDaily[EntryDate],DATE(2026,7,29),tblDaily[WardCode],"BH")=0,"",SUMIFS(tblDaily[Deaths],tblDaily[EntryDate],DATE(2026,7,29),tblDaily[WardCode],"BH")),"")</f>
        <v/>
      </c>
      <c r="E269" s="29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29" t="str">
        <f>IFERROR(IF(SUMIFS(tblDaily[TransfersIn],tblDaily[EntryDate],DATE(2026,7,29),tblDaily[WardCode],"BH")=0,"",SUMIFS(tblDaily[TransfersIn],tblDaily[EntryDate],DATE(2026,7,29),tblDaily[WardCode],"BH")),"")</f>
        <v/>
      </c>
      <c r="G269" s="29" t="str">
        <f>IFERROR(IF(SUMIFS(tblDaily[TransfersOut],tblDaily[EntryDate],DATE(2026,7,29),tblDaily[WardCode],"BH")=0,"",SUMIFS(tblDaily[TransfersOut],tblDaily[EntryDate],DATE(2026,7,29),tblDaily[WardCode],"BH")),"")</f>
        <v/>
      </c>
      <c r="H269" s="29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IFERROR(IF(SUMIFS(tblDaily[Admissions],tblDaily[EntryDate],DATE(2026,7,30),tblDaily[WardCode],"BH")=0,"",SUMIFS(tblDaily[Admissions],tblDaily[EntryDate],DATE(2026,7,30),tblDaily[WardCode],"BH")),"")</f>
        <v/>
      </c>
      <c r="C270" s="29" t="str">
        <f>IFERROR(IF(SUMIFS(tblDaily[Discharges],tblDaily[EntryDate],DATE(2026,7,30),tblDaily[WardCode],"BH")=0,"",SUMIFS(tblDaily[Discharges],tblDaily[EntryDate],DATE(2026,7,30),tblDaily[WardCode],"BH")),"")</f>
        <v/>
      </c>
      <c r="D270" s="29" t="str">
        <f>IFERROR(IF(SUMIFS(tblDaily[Deaths],tblDaily[EntryDate],DATE(2026,7,30),tblDaily[WardCode],"BH")=0,"",SUMIFS(tblDaily[Deaths],tblDaily[EntryDate],DATE(2026,7,30),tblDaily[WardCode],"BH")),"")</f>
        <v/>
      </c>
      <c r="E270" s="29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29" t="str">
        <f>IFERROR(IF(SUMIFS(tblDaily[TransfersIn],tblDaily[EntryDate],DATE(2026,7,30),tblDaily[WardCode],"BH")=0,"",SUMIFS(tblDaily[TransfersIn],tblDaily[EntryDate],DATE(2026,7,30),tblDaily[WardCode],"BH")),"")</f>
        <v/>
      </c>
      <c r="G270" s="29" t="str">
        <f>IFERROR(IF(SUMIFS(tblDaily[TransfersOut],tblDaily[EntryDate],DATE(2026,7,30),tblDaily[WardCode],"BH")=0,"",SUMIFS(tblDaily[TransfersOut],tblDaily[EntryDate],DATE(2026,7,30),tblDaily[WardCode],"BH")),"")</f>
        <v/>
      </c>
      <c r="H270" s="29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IFERROR(IF(SUMIFS(tblDaily[Admissions],tblDaily[EntryDate],DATE(2026,7,31),tblDaily[WardCode],"BH")=0,"",SUMIFS(tblDaily[Admissions],tblDaily[EntryDate],DATE(2026,7,31),tblDaily[WardCode],"BH")),"")</f>
        <v/>
      </c>
      <c r="C271" s="29" t="str">
        <f>IFERROR(IF(SUMIFS(tblDaily[Discharges],tblDaily[EntryDate],DATE(2026,7,31),tblDaily[WardCode],"BH")=0,"",SUMIFS(tblDaily[Discharges],tblDaily[EntryDate],DATE(2026,7,31),tblDaily[WardCode],"BH")),"")</f>
        <v/>
      </c>
      <c r="D271" s="29" t="str">
        <f>IFERROR(IF(SUMIFS(tblDaily[Deaths],tblDaily[EntryDate],DATE(2026,7,31),tblDaily[WardCode],"BH")=0,"",SUMIFS(tblDaily[Deaths],tblDaily[EntryDate],DATE(2026,7,31),tblDaily[WardCode],"BH")),"")</f>
        <v/>
      </c>
      <c r="E271" s="29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29" t="str">
        <f>IFERROR(IF(SUMIFS(tblDaily[TransfersIn],tblDaily[EntryDate],DATE(2026,7,31),tblDaily[WardCode],"BH")=0,"",SUMIFS(tblDaily[TransfersIn],tblDaily[EntryDate],DATE(2026,7,31),tblDaily[WardCode],"BH")),"")</f>
        <v/>
      </c>
      <c r="G271" s="29" t="str">
        <f>IFERROR(IF(SUMIFS(tblDaily[TransfersOut],tblDaily[EntryDate],DATE(2026,7,31),tblDaily[WardCode],"BH")=0,"",SUMIFS(tblDaily[TransfersOut],tblDaily[EntryDate],DATE(2026,7,31),tblDaily[WardCode],"BH")),"")</f>
        <v/>
      </c>
      <c r="H271" s="29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30" t="s">
        <v>115</v>
      </c>
      <c r="B272" s="30">
        <f>SUMIFS(tblDaily[Admissions],tblDaily[Month],7,tblDaily[WardCode],"BH") - SUMIFS(tblDaily[DeathsUnder24Hrs],tblDaily[Month],7,tblDaily[WardCode],"BH")</f>
        <v>0</v>
      </c>
      <c r="C272" s="30">
        <f>SUMIFS(tblDaily[Discharges],tblDaily[Month],7,tblDaily[WardCode],"BH")</f>
        <v>0</v>
      </c>
      <c r="D272" s="30">
        <f>SUMIFS(tblDaily[Deaths],tblDaily[Month],7,tblDaily[WardCode],"BH")</f>
        <v>0</v>
      </c>
      <c r="E272" s="30">
        <f>SUMIFS(tblDaily[DeathsUnder24Hrs],tblDaily[Month],7,tblDaily[WardCode],"BH")</f>
        <v>0</v>
      </c>
      <c r="F272" s="30">
        <f>SUMIFS(tblDaily[TransfersIn],tblDaily[Month],7,tblDaily[WardCode],"BH")</f>
        <v>0</v>
      </c>
      <c r="G272" s="30">
        <f>SUMIFS(tblDaily[TransfersOut],tblDaily[Month],7,tblDaily[WardCode],"BH")</f>
        <v>0</v>
      </c>
      <c r="H272" s="30">
        <f>SUMIFS(tblDaily[Remaining],tblDaily[Month],7,tblDaily[WardCode],"BH")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120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IFERROR(SUMIFS(tblDaily[Remaining],tblDaily[EntryDate],DATE(2026,7,31),tblDaily[WardCode],"BH"),0)</f>
        <v>0</v>
      </c>
    </row>
    <row r="278" spans="1:8" x14ac:dyDescent="0.25">
      <c r="A278" s="24" t="s">
        <v>109</v>
      </c>
      <c r="H278" s="27">
        <f>IFERROR(INDEX(tblWardConfig[BedComplement],MATCH("BH",tblWardConfig[WardCode],0)),0)</f>
        <v>22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IFERROR(IF(SUMIFS(tblDaily[Admissions],tblDaily[EntryDate],DATE(2026,8,1),tblDaily[WardCode],"BH")=0,"",SUMIFS(tblDaily[Admissions],tblDaily[EntryDate],DATE(2026,8,1),tblDaily[WardCode],"BH")),"")</f>
        <v/>
      </c>
      <c r="C280" s="29" t="str">
        <f>IFERROR(IF(SUMIFS(tblDaily[Discharges],tblDaily[EntryDate],DATE(2026,8,1),tblDaily[WardCode],"BH")=0,"",SUMIFS(tblDaily[Discharges],tblDaily[EntryDate],DATE(2026,8,1),tblDaily[WardCode],"BH")),"")</f>
        <v/>
      </c>
      <c r="D280" s="29" t="str">
        <f>IFERROR(IF(SUMIFS(tblDaily[Deaths],tblDaily[EntryDate],DATE(2026,8,1),tblDaily[WardCode],"BH")=0,"",SUMIFS(tblDaily[Deaths],tblDaily[EntryDate],DATE(2026,8,1),tblDaily[WardCode],"BH")),"")</f>
        <v/>
      </c>
      <c r="E280" s="29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29" t="str">
        <f>IFERROR(IF(SUMIFS(tblDaily[TransfersIn],tblDaily[EntryDate],DATE(2026,8,1),tblDaily[WardCode],"BH")=0,"",SUMIFS(tblDaily[TransfersIn],tblDaily[EntryDate],DATE(2026,8,1),tblDaily[WardCode],"BH")),"")</f>
        <v/>
      </c>
      <c r="G280" s="29" t="str">
        <f>IFERROR(IF(SUMIFS(tblDaily[TransfersOut],tblDaily[EntryDate],DATE(2026,8,1),tblDaily[WardCode],"BH")=0,"",SUMIFS(tblDaily[TransfersOut],tblDaily[EntryDate],DATE(2026,8,1),tblDaily[WardCode],"BH")),"")</f>
        <v/>
      </c>
      <c r="H280" s="29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IFERROR(IF(SUMIFS(tblDaily[Admissions],tblDaily[EntryDate],DATE(2026,8,2),tblDaily[WardCode],"BH")=0,"",SUMIFS(tblDaily[Admissions],tblDaily[EntryDate],DATE(2026,8,2),tblDaily[WardCode],"BH")),"")</f>
        <v/>
      </c>
      <c r="C281" s="29" t="str">
        <f>IFERROR(IF(SUMIFS(tblDaily[Discharges],tblDaily[EntryDate],DATE(2026,8,2),tblDaily[WardCode],"BH")=0,"",SUMIFS(tblDaily[Discharges],tblDaily[EntryDate],DATE(2026,8,2),tblDaily[WardCode],"BH")),"")</f>
        <v/>
      </c>
      <c r="D281" s="29" t="str">
        <f>IFERROR(IF(SUMIFS(tblDaily[Deaths],tblDaily[EntryDate],DATE(2026,8,2),tblDaily[WardCode],"BH")=0,"",SUMIFS(tblDaily[Deaths],tblDaily[EntryDate],DATE(2026,8,2),tblDaily[WardCode],"BH")),"")</f>
        <v/>
      </c>
      <c r="E281" s="29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29" t="str">
        <f>IFERROR(IF(SUMIFS(tblDaily[TransfersIn],tblDaily[EntryDate],DATE(2026,8,2),tblDaily[WardCode],"BH")=0,"",SUMIFS(tblDaily[TransfersIn],tblDaily[EntryDate],DATE(2026,8,2),tblDaily[WardCode],"BH")),"")</f>
        <v/>
      </c>
      <c r="G281" s="29" t="str">
        <f>IFERROR(IF(SUMIFS(tblDaily[TransfersOut],tblDaily[EntryDate],DATE(2026,8,2),tblDaily[WardCode],"BH")=0,"",SUMIFS(tblDaily[TransfersOut],tblDaily[EntryDate],DATE(2026,8,2),tblDaily[WardCode],"BH")),"")</f>
        <v/>
      </c>
      <c r="H281" s="29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IFERROR(IF(SUMIFS(tblDaily[Admissions],tblDaily[EntryDate],DATE(2026,8,3),tblDaily[WardCode],"BH")=0,"",SUMIFS(tblDaily[Admissions],tblDaily[EntryDate],DATE(2026,8,3),tblDaily[WardCode],"BH")),"")</f>
        <v/>
      </c>
      <c r="C282" s="29" t="str">
        <f>IFERROR(IF(SUMIFS(tblDaily[Discharges],tblDaily[EntryDate],DATE(2026,8,3),tblDaily[WardCode],"BH")=0,"",SUMIFS(tblDaily[Discharges],tblDaily[EntryDate],DATE(2026,8,3),tblDaily[WardCode],"BH")),"")</f>
        <v/>
      </c>
      <c r="D282" s="29" t="str">
        <f>IFERROR(IF(SUMIFS(tblDaily[Deaths],tblDaily[EntryDate],DATE(2026,8,3),tblDaily[WardCode],"BH")=0,"",SUMIFS(tblDaily[Deaths],tblDaily[EntryDate],DATE(2026,8,3),tblDaily[WardCode],"BH")),"")</f>
        <v/>
      </c>
      <c r="E282" s="29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29" t="str">
        <f>IFERROR(IF(SUMIFS(tblDaily[TransfersIn],tblDaily[EntryDate],DATE(2026,8,3),tblDaily[WardCode],"BH")=0,"",SUMIFS(tblDaily[TransfersIn],tblDaily[EntryDate],DATE(2026,8,3),tblDaily[WardCode],"BH")),"")</f>
        <v/>
      </c>
      <c r="G282" s="29" t="str">
        <f>IFERROR(IF(SUMIFS(tblDaily[TransfersOut],tblDaily[EntryDate],DATE(2026,8,3),tblDaily[WardCode],"BH")=0,"",SUMIFS(tblDaily[TransfersOut],tblDaily[EntryDate],DATE(2026,8,3),tblDaily[WardCode],"BH")),"")</f>
        <v/>
      </c>
      <c r="H282" s="29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IFERROR(IF(SUMIFS(tblDaily[Admissions],tblDaily[EntryDate],DATE(2026,8,4),tblDaily[WardCode],"BH")=0,"",SUMIFS(tblDaily[Admissions],tblDaily[EntryDate],DATE(2026,8,4),tblDaily[WardCode],"BH")),"")</f>
        <v/>
      </c>
      <c r="C283" s="29" t="str">
        <f>IFERROR(IF(SUMIFS(tblDaily[Discharges],tblDaily[EntryDate],DATE(2026,8,4),tblDaily[WardCode],"BH")=0,"",SUMIFS(tblDaily[Discharges],tblDaily[EntryDate],DATE(2026,8,4),tblDaily[WardCode],"BH")),"")</f>
        <v/>
      </c>
      <c r="D283" s="29" t="str">
        <f>IFERROR(IF(SUMIFS(tblDaily[Deaths],tblDaily[EntryDate],DATE(2026,8,4),tblDaily[WardCode],"BH")=0,"",SUMIFS(tblDaily[Deaths],tblDaily[EntryDate],DATE(2026,8,4),tblDaily[WardCode],"BH")),"")</f>
        <v/>
      </c>
      <c r="E283" s="29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29" t="str">
        <f>IFERROR(IF(SUMIFS(tblDaily[TransfersIn],tblDaily[EntryDate],DATE(2026,8,4),tblDaily[WardCode],"BH")=0,"",SUMIFS(tblDaily[TransfersIn],tblDaily[EntryDate],DATE(2026,8,4),tblDaily[WardCode],"BH")),"")</f>
        <v/>
      </c>
      <c r="G283" s="29" t="str">
        <f>IFERROR(IF(SUMIFS(tblDaily[TransfersOut],tblDaily[EntryDate],DATE(2026,8,4),tblDaily[WardCode],"BH")=0,"",SUMIFS(tblDaily[TransfersOut],tblDaily[EntryDate],DATE(2026,8,4),tblDaily[WardCode],"BH")),"")</f>
        <v/>
      </c>
      <c r="H283" s="29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IFERROR(IF(SUMIFS(tblDaily[Admissions],tblDaily[EntryDate],DATE(2026,8,5),tblDaily[WardCode],"BH")=0,"",SUMIFS(tblDaily[Admissions],tblDaily[EntryDate],DATE(2026,8,5),tblDaily[WardCode],"BH")),"")</f>
        <v/>
      </c>
      <c r="C284" s="29" t="str">
        <f>IFERROR(IF(SUMIFS(tblDaily[Discharges],tblDaily[EntryDate],DATE(2026,8,5),tblDaily[WardCode],"BH")=0,"",SUMIFS(tblDaily[Discharges],tblDaily[EntryDate],DATE(2026,8,5),tblDaily[WardCode],"BH")),"")</f>
        <v/>
      </c>
      <c r="D284" s="29" t="str">
        <f>IFERROR(IF(SUMIFS(tblDaily[Deaths],tblDaily[EntryDate],DATE(2026,8,5),tblDaily[WardCode],"BH")=0,"",SUMIFS(tblDaily[Deaths],tblDaily[EntryDate],DATE(2026,8,5),tblDaily[WardCode],"BH")),"")</f>
        <v/>
      </c>
      <c r="E284" s="29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29" t="str">
        <f>IFERROR(IF(SUMIFS(tblDaily[TransfersIn],tblDaily[EntryDate],DATE(2026,8,5),tblDaily[WardCode],"BH")=0,"",SUMIFS(tblDaily[TransfersIn],tblDaily[EntryDate],DATE(2026,8,5),tblDaily[WardCode],"BH")),"")</f>
        <v/>
      </c>
      <c r="G284" s="29" t="str">
        <f>IFERROR(IF(SUMIFS(tblDaily[TransfersOut],tblDaily[EntryDate],DATE(2026,8,5),tblDaily[WardCode],"BH")=0,"",SUMIFS(tblDaily[TransfersOut],tblDaily[EntryDate],DATE(2026,8,5),tblDaily[WardCode],"BH")),"")</f>
        <v/>
      </c>
      <c r="H284" s="29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IFERROR(IF(SUMIFS(tblDaily[Admissions],tblDaily[EntryDate],DATE(2026,8,6),tblDaily[WardCode],"BH")=0,"",SUMIFS(tblDaily[Admissions],tblDaily[EntryDate],DATE(2026,8,6),tblDaily[WardCode],"BH")),"")</f>
        <v/>
      </c>
      <c r="C285" s="29" t="str">
        <f>IFERROR(IF(SUMIFS(tblDaily[Discharges],tblDaily[EntryDate],DATE(2026,8,6),tblDaily[WardCode],"BH")=0,"",SUMIFS(tblDaily[Discharges],tblDaily[EntryDate],DATE(2026,8,6),tblDaily[WardCode],"BH")),"")</f>
        <v/>
      </c>
      <c r="D285" s="29" t="str">
        <f>IFERROR(IF(SUMIFS(tblDaily[Deaths],tblDaily[EntryDate],DATE(2026,8,6),tblDaily[WardCode],"BH")=0,"",SUMIFS(tblDaily[Deaths],tblDaily[EntryDate],DATE(2026,8,6),tblDaily[WardCode],"BH")),"")</f>
        <v/>
      </c>
      <c r="E285" s="29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29" t="str">
        <f>IFERROR(IF(SUMIFS(tblDaily[TransfersIn],tblDaily[EntryDate],DATE(2026,8,6),tblDaily[WardCode],"BH")=0,"",SUMIFS(tblDaily[TransfersIn],tblDaily[EntryDate],DATE(2026,8,6),tblDaily[WardCode],"BH")),"")</f>
        <v/>
      </c>
      <c r="G285" s="29" t="str">
        <f>IFERROR(IF(SUMIFS(tblDaily[TransfersOut],tblDaily[EntryDate],DATE(2026,8,6),tblDaily[WardCode],"BH")=0,"",SUMIFS(tblDaily[TransfersOut],tblDaily[EntryDate],DATE(2026,8,6),tblDaily[WardCode],"BH")),"")</f>
        <v/>
      </c>
      <c r="H285" s="29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IFERROR(IF(SUMIFS(tblDaily[Admissions],tblDaily[EntryDate],DATE(2026,8,7),tblDaily[WardCode],"BH")=0,"",SUMIFS(tblDaily[Admissions],tblDaily[EntryDate],DATE(2026,8,7),tblDaily[WardCode],"BH")),"")</f>
        <v/>
      </c>
      <c r="C286" s="29" t="str">
        <f>IFERROR(IF(SUMIFS(tblDaily[Discharges],tblDaily[EntryDate],DATE(2026,8,7),tblDaily[WardCode],"BH")=0,"",SUMIFS(tblDaily[Discharges],tblDaily[EntryDate],DATE(2026,8,7),tblDaily[WardCode],"BH")),"")</f>
        <v/>
      </c>
      <c r="D286" s="29" t="str">
        <f>IFERROR(IF(SUMIFS(tblDaily[Deaths],tblDaily[EntryDate],DATE(2026,8,7),tblDaily[WardCode],"BH")=0,"",SUMIFS(tblDaily[Deaths],tblDaily[EntryDate],DATE(2026,8,7),tblDaily[WardCode],"BH")),"")</f>
        <v/>
      </c>
      <c r="E286" s="29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29" t="str">
        <f>IFERROR(IF(SUMIFS(tblDaily[TransfersIn],tblDaily[EntryDate],DATE(2026,8,7),tblDaily[WardCode],"BH")=0,"",SUMIFS(tblDaily[TransfersIn],tblDaily[EntryDate],DATE(2026,8,7),tblDaily[WardCode],"BH")),"")</f>
        <v/>
      </c>
      <c r="G286" s="29" t="str">
        <f>IFERROR(IF(SUMIFS(tblDaily[TransfersOut],tblDaily[EntryDate],DATE(2026,8,7),tblDaily[WardCode],"BH")=0,"",SUMIFS(tblDaily[TransfersOut],tblDaily[EntryDate],DATE(2026,8,7),tblDaily[WardCode],"BH")),"")</f>
        <v/>
      </c>
      <c r="H286" s="29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IFERROR(IF(SUMIFS(tblDaily[Admissions],tblDaily[EntryDate],DATE(2026,8,8),tblDaily[WardCode],"BH")=0,"",SUMIFS(tblDaily[Admissions],tblDaily[EntryDate],DATE(2026,8,8),tblDaily[WardCode],"BH")),"")</f>
        <v/>
      </c>
      <c r="C287" s="29" t="str">
        <f>IFERROR(IF(SUMIFS(tblDaily[Discharges],tblDaily[EntryDate],DATE(2026,8,8),tblDaily[WardCode],"BH")=0,"",SUMIFS(tblDaily[Discharges],tblDaily[EntryDate],DATE(2026,8,8),tblDaily[WardCode],"BH")),"")</f>
        <v/>
      </c>
      <c r="D287" s="29" t="str">
        <f>IFERROR(IF(SUMIFS(tblDaily[Deaths],tblDaily[EntryDate],DATE(2026,8,8),tblDaily[WardCode],"BH")=0,"",SUMIFS(tblDaily[Deaths],tblDaily[EntryDate],DATE(2026,8,8),tblDaily[WardCode],"BH")),"")</f>
        <v/>
      </c>
      <c r="E287" s="29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29" t="str">
        <f>IFERROR(IF(SUMIFS(tblDaily[TransfersIn],tblDaily[EntryDate],DATE(2026,8,8),tblDaily[WardCode],"BH")=0,"",SUMIFS(tblDaily[TransfersIn],tblDaily[EntryDate],DATE(2026,8,8),tblDaily[WardCode],"BH")),"")</f>
        <v/>
      </c>
      <c r="G287" s="29" t="str">
        <f>IFERROR(IF(SUMIFS(tblDaily[TransfersOut],tblDaily[EntryDate],DATE(2026,8,8),tblDaily[WardCode],"BH")=0,"",SUMIFS(tblDaily[TransfersOut],tblDaily[EntryDate],DATE(2026,8,8),tblDaily[WardCode],"BH")),"")</f>
        <v/>
      </c>
      <c r="H287" s="29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IFERROR(IF(SUMIFS(tblDaily[Admissions],tblDaily[EntryDate],DATE(2026,8,9),tblDaily[WardCode],"BH")=0,"",SUMIFS(tblDaily[Admissions],tblDaily[EntryDate],DATE(2026,8,9),tblDaily[WardCode],"BH")),"")</f>
        <v/>
      </c>
      <c r="C288" s="29" t="str">
        <f>IFERROR(IF(SUMIFS(tblDaily[Discharges],tblDaily[EntryDate],DATE(2026,8,9),tblDaily[WardCode],"BH")=0,"",SUMIFS(tblDaily[Discharges],tblDaily[EntryDate],DATE(2026,8,9),tblDaily[WardCode],"BH")),"")</f>
        <v/>
      </c>
      <c r="D288" s="29" t="str">
        <f>IFERROR(IF(SUMIFS(tblDaily[Deaths],tblDaily[EntryDate],DATE(2026,8,9),tblDaily[WardCode],"BH")=0,"",SUMIFS(tblDaily[Deaths],tblDaily[EntryDate],DATE(2026,8,9),tblDaily[WardCode],"BH")),"")</f>
        <v/>
      </c>
      <c r="E288" s="29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29" t="str">
        <f>IFERROR(IF(SUMIFS(tblDaily[TransfersIn],tblDaily[EntryDate],DATE(2026,8,9),tblDaily[WardCode],"BH")=0,"",SUMIFS(tblDaily[TransfersIn],tblDaily[EntryDate],DATE(2026,8,9),tblDaily[WardCode],"BH")),"")</f>
        <v/>
      </c>
      <c r="G288" s="29" t="str">
        <f>IFERROR(IF(SUMIFS(tblDaily[TransfersOut],tblDaily[EntryDate],DATE(2026,8,9),tblDaily[WardCode],"BH")=0,"",SUMIFS(tblDaily[TransfersOut],tblDaily[EntryDate],DATE(2026,8,9),tblDaily[WardCode],"BH")),"")</f>
        <v/>
      </c>
      <c r="H288" s="29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IFERROR(IF(SUMIFS(tblDaily[Admissions],tblDaily[EntryDate],DATE(2026,8,10),tblDaily[WardCode],"BH")=0,"",SUMIFS(tblDaily[Admissions],tblDaily[EntryDate],DATE(2026,8,10),tblDaily[WardCode],"BH")),"")</f>
        <v/>
      </c>
      <c r="C289" s="29" t="str">
        <f>IFERROR(IF(SUMIFS(tblDaily[Discharges],tblDaily[EntryDate],DATE(2026,8,10),tblDaily[WardCode],"BH")=0,"",SUMIFS(tblDaily[Discharges],tblDaily[EntryDate],DATE(2026,8,10),tblDaily[WardCode],"BH")),"")</f>
        <v/>
      </c>
      <c r="D289" s="29" t="str">
        <f>IFERROR(IF(SUMIFS(tblDaily[Deaths],tblDaily[EntryDate],DATE(2026,8,10),tblDaily[WardCode],"BH")=0,"",SUMIFS(tblDaily[Deaths],tblDaily[EntryDate],DATE(2026,8,10),tblDaily[WardCode],"BH")),"")</f>
        <v/>
      </c>
      <c r="E289" s="29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29" t="str">
        <f>IFERROR(IF(SUMIFS(tblDaily[TransfersIn],tblDaily[EntryDate],DATE(2026,8,10),tblDaily[WardCode],"BH")=0,"",SUMIFS(tblDaily[TransfersIn],tblDaily[EntryDate],DATE(2026,8,10),tblDaily[WardCode],"BH")),"")</f>
        <v/>
      </c>
      <c r="G289" s="29" t="str">
        <f>IFERROR(IF(SUMIFS(tblDaily[TransfersOut],tblDaily[EntryDate],DATE(2026,8,10),tblDaily[WardCode],"BH")=0,"",SUMIFS(tblDaily[TransfersOut],tblDaily[EntryDate],DATE(2026,8,10),tblDaily[WardCode],"BH")),"")</f>
        <v/>
      </c>
      <c r="H289" s="29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IFERROR(IF(SUMIFS(tblDaily[Admissions],tblDaily[EntryDate],DATE(2026,8,11),tblDaily[WardCode],"BH")=0,"",SUMIFS(tblDaily[Admissions],tblDaily[EntryDate],DATE(2026,8,11),tblDaily[WardCode],"BH")),"")</f>
        <v/>
      </c>
      <c r="C290" s="29" t="str">
        <f>IFERROR(IF(SUMIFS(tblDaily[Discharges],tblDaily[EntryDate],DATE(2026,8,11),tblDaily[WardCode],"BH")=0,"",SUMIFS(tblDaily[Discharges],tblDaily[EntryDate],DATE(2026,8,11),tblDaily[WardCode],"BH")),"")</f>
        <v/>
      </c>
      <c r="D290" s="29" t="str">
        <f>IFERROR(IF(SUMIFS(tblDaily[Deaths],tblDaily[EntryDate],DATE(2026,8,11),tblDaily[WardCode],"BH")=0,"",SUMIFS(tblDaily[Deaths],tblDaily[EntryDate],DATE(2026,8,11),tblDaily[WardCode],"BH")),"")</f>
        <v/>
      </c>
      <c r="E290" s="29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29" t="str">
        <f>IFERROR(IF(SUMIFS(tblDaily[TransfersIn],tblDaily[EntryDate],DATE(2026,8,11),tblDaily[WardCode],"BH")=0,"",SUMIFS(tblDaily[TransfersIn],tblDaily[EntryDate],DATE(2026,8,11),tblDaily[WardCode],"BH")),"")</f>
        <v/>
      </c>
      <c r="G290" s="29" t="str">
        <f>IFERROR(IF(SUMIFS(tblDaily[TransfersOut],tblDaily[EntryDate],DATE(2026,8,11),tblDaily[WardCode],"BH")=0,"",SUMIFS(tblDaily[TransfersOut],tblDaily[EntryDate],DATE(2026,8,11),tblDaily[WardCode],"BH")),"")</f>
        <v/>
      </c>
      <c r="H290" s="29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IFERROR(IF(SUMIFS(tblDaily[Admissions],tblDaily[EntryDate],DATE(2026,8,12),tblDaily[WardCode],"BH")=0,"",SUMIFS(tblDaily[Admissions],tblDaily[EntryDate],DATE(2026,8,12),tblDaily[WardCode],"BH")),"")</f>
        <v/>
      </c>
      <c r="C291" s="29" t="str">
        <f>IFERROR(IF(SUMIFS(tblDaily[Discharges],tblDaily[EntryDate],DATE(2026,8,12),tblDaily[WardCode],"BH")=0,"",SUMIFS(tblDaily[Discharges],tblDaily[EntryDate],DATE(2026,8,12),tblDaily[WardCode],"BH")),"")</f>
        <v/>
      </c>
      <c r="D291" s="29" t="str">
        <f>IFERROR(IF(SUMIFS(tblDaily[Deaths],tblDaily[EntryDate],DATE(2026,8,12),tblDaily[WardCode],"BH")=0,"",SUMIFS(tblDaily[Deaths],tblDaily[EntryDate],DATE(2026,8,12),tblDaily[WardCode],"BH")),"")</f>
        <v/>
      </c>
      <c r="E291" s="29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29" t="str">
        <f>IFERROR(IF(SUMIFS(tblDaily[TransfersIn],tblDaily[EntryDate],DATE(2026,8,12),tblDaily[WardCode],"BH")=0,"",SUMIFS(tblDaily[TransfersIn],tblDaily[EntryDate],DATE(2026,8,12),tblDaily[WardCode],"BH")),"")</f>
        <v/>
      </c>
      <c r="G291" s="29" t="str">
        <f>IFERROR(IF(SUMIFS(tblDaily[TransfersOut],tblDaily[EntryDate],DATE(2026,8,12),tblDaily[WardCode],"BH")=0,"",SUMIFS(tblDaily[TransfersOut],tblDaily[EntryDate],DATE(2026,8,12),tblDaily[WardCode],"BH")),"")</f>
        <v/>
      </c>
      <c r="H291" s="29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IFERROR(IF(SUMIFS(tblDaily[Admissions],tblDaily[EntryDate],DATE(2026,8,13),tblDaily[WardCode],"BH")=0,"",SUMIFS(tblDaily[Admissions],tblDaily[EntryDate],DATE(2026,8,13),tblDaily[WardCode],"BH")),"")</f>
        <v/>
      </c>
      <c r="C292" s="29" t="str">
        <f>IFERROR(IF(SUMIFS(tblDaily[Discharges],tblDaily[EntryDate],DATE(2026,8,13),tblDaily[WardCode],"BH")=0,"",SUMIFS(tblDaily[Discharges],tblDaily[EntryDate],DATE(2026,8,13),tblDaily[WardCode],"BH")),"")</f>
        <v/>
      </c>
      <c r="D292" s="29" t="str">
        <f>IFERROR(IF(SUMIFS(tblDaily[Deaths],tblDaily[EntryDate],DATE(2026,8,13),tblDaily[WardCode],"BH")=0,"",SUMIFS(tblDaily[Deaths],tblDaily[EntryDate],DATE(2026,8,13),tblDaily[WardCode],"BH")),"")</f>
        <v/>
      </c>
      <c r="E292" s="29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29" t="str">
        <f>IFERROR(IF(SUMIFS(tblDaily[TransfersIn],tblDaily[EntryDate],DATE(2026,8,13),tblDaily[WardCode],"BH")=0,"",SUMIFS(tblDaily[TransfersIn],tblDaily[EntryDate],DATE(2026,8,13),tblDaily[WardCode],"BH")),"")</f>
        <v/>
      </c>
      <c r="G292" s="29" t="str">
        <f>IFERROR(IF(SUMIFS(tblDaily[TransfersOut],tblDaily[EntryDate],DATE(2026,8,13),tblDaily[WardCode],"BH")=0,"",SUMIFS(tblDaily[TransfersOut],tblDaily[EntryDate],DATE(2026,8,13),tblDaily[WardCode],"BH")),"")</f>
        <v/>
      </c>
      <c r="H292" s="29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IFERROR(IF(SUMIFS(tblDaily[Admissions],tblDaily[EntryDate],DATE(2026,8,14),tblDaily[WardCode],"BH")=0,"",SUMIFS(tblDaily[Admissions],tblDaily[EntryDate],DATE(2026,8,14),tblDaily[WardCode],"BH")),"")</f>
        <v/>
      </c>
      <c r="C293" s="29" t="str">
        <f>IFERROR(IF(SUMIFS(tblDaily[Discharges],tblDaily[EntryDate],DATE(2026,8,14),tblDaily[WardCode],"BH")=0,"",SUMIFS(tblDaily[Discharges],tblDaily[EntryDate],DATE(2026,8,14),tblDaily[WardCode],"BH")),"")</f>
        <v/>
      </c>
      <c r="D293" s="29" t="str">
        <f>IFERROR(IF(SUMIFS(tblDaily[Deaths],tblDaily[EntryDate],DATE(2026,8,14),tblDaily[WardCode],"BH")=0,"",SUMIFS(tblDaily[Deaths],tblDaily[EntryDate],DATE(2026,8,14),tblDaily[WardCode],"BH")),"")</f>
        <v/>
      </c>
      <c r="E293" s="29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29" t="str">
        <f>IFERROR(IF(SUMIFS(tblDaily[TransfersIn],tblDaily[EntryDate],DATE(2026,8,14),tblDaily[WardCode],"BH")=0,"",SUMIFS(tblDaily[TransfersIn],tblDaily[EntryDate],DATE(2026,8,14),tblDaily[WardCode],"BH")),"")</f>
        <v/>
      </c>
      <c r="G293" s="29" t="str">
        <f>IFERROR(IF(SUMIFS(tblDaily[TransfersOut],tblDaily[EntryDate],DATE(2026,8,14),tblDaily[WardCode],"BH")=0,"",SUMIFS(tblDaily[TransfersOut],tblDaily[EntryDate],DATE(2026,8,14),tblDaily[WardCode],"BH")),"")</f>
        <v/>
      </c>
      <c r="H293" s="29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IFERROR(IF(SUMIFS(tblDaily[Admissions],tblDaily[EntryDate],DATE(2026,8,15),tblDaily[WardCode],"BH")=0,"",SUMIFS(tblDaily[Admissions],tblDaily[EntryDate],DATE(2026,8,15),tblDaily[WardCode],"BH")),"")</f>
        <v/>
      </c>
      <c r="C294" s="29" t="str">
        <f>IFERROR(IF(SUMIFS(tblDaily[Discharges],tblDaily[EntryDate],DATE(2026,8,15),tblDaily[WardCode],"BH")=0,"",SUMIFS(tblDaily[Discharges],tblDaily[EntryDate],DATE(2026,8,15),tblDaily[WardCode],"BH")),"")</f>
        <v/>
      </c>
      <c r="D294" s="29" t="str">
        <f>IFERROR(IF(SUMIFS(tblDaily[Deaths],tblDaily[EntryDate],DATE(2026,8,15),tblDaily[WardCode],"BH")=0,"",SUMIFS(tblDaily[Deaths],tblDaily[EntryDate],DATE(2026,8,15),tblDaily[WardCode],"BH")),"")</f>
        <v/>
      </c>
      <c r="E294" s="29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29" t="str">
        <f>IFERROR(IF(SUMIFS(tblDaily[TransfersIn],tblDaily[EntryDate],DATE(2026,8,15),tblDaily[WardCode],"BH")=0,"",SUMIFS(tblDaily[TransfersIn],tblDaily[EntryDate],DATE(2026,8,15),tblDaily[WardCode],"BH")),"")</f>
        <v/>
      </c>
      <c r="G294" s="29" t="str">
        <f>IFERROR(IF(SUMIFS(tblDaily[TransfersOut],tblDaily[EntryDate],DATE(2026,8,15),tblDaily[WardCode],"BH")=0,"",SUMIFS(tblDaily[TransfersOut],tblDaily[EntryDate],DATE(2026,8,15),tblDaily[WardCode],"BH")),"")</f>
        <v/>
      </c>
      <c r="H294" s="29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IFERROR(IF(SUMIFS(tblDaily[Admissions],tblDaily[EntryDate],DATE(2026,8,16),tblDaily[WardCode],"BH")=0,"",SUMIFS(tblDaily[Admissions],tblDaily[EntryDate],DATE(2026,8,16),tblDaily[WardCode],"BH")),"")</f>
        <v/>
      </c>
      <c r="C295" s="29" t="str">
        <f>IFERROR(IF(SUMIFS(tblDaily[Discharges],tblDaily[EntryDate],DATE(2026,8,16),tblDaily[WardCode],"BH")=0,"",SUMIFS(tblDaily[Discharges],tblDaily[EntryDate],DATE(2026,8,16),tblDaily[WardCode],"BH")),"")</f>
        <v/>
      </c>
      <c r="D295" s="29" t="str">
        <f>IFERROR(IF(SUMIFS(tblDaily[Deaths],tblDaily[EntryDate],DATE(2026,8,16),tblDaily[WardCode],"BH")=0,"",SUMIFS(tblDaily[Deaths],tblDaily[EntryDate],DATE(2026,8,16),tblDaily[WardCode],"BH")),"")</f>
        <v/>
      </c>
      <c r="E295" s="29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29" t="str">
        <f>IFERROR(IF(SUMIFS(tblDaily[TransfersIn],tblDaily[EntryDate],DATE(2026,8,16),tblDaily[WardCode],"BH")=0,"",SUMIFS(tblDaily[TransfersIn],tblDaily[EntryDate],DATE(2026,8,16),tblDaily[WardCode],"BH")),"")</f>
        <v/>
      </c>
      <c r="G295" s="29" t="str">
        <f>IFERROR(IF(SUMIFS(tblDaily[TransfersOut],tblDaily[EntryDate],DATE(2026,8,16),tblDaily[WardCode],"BH")=0,"",SUMIFS(tblDaily[TransfersOut],tblDaily[EntryDate],DATE(2026,8,16),tblDaily[WardCode],"BH")),"")</f>
        <v/>
      </c>
      <c r="H295" s="29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IFERROR(IF(SUMIFS(tblDaily[Admissions],tblDaily[EntryDate],DATE(2026,8,17),tblDaily[WardCode],"BH")=0,"",SUMIFS(tblDaily[Admissions],tblDaily[EntryDate],DATE(2026,8,17),tblDaily[WardCode],"BH")),"")</f>
        <v/>
      </c>
      <c r="C296" s="29" t="str">
        <f>IFERROR(IF(SUMIFS(tblDaily[Discharges],tblDaily[EntryDate],DATE(2026,8,17),tblDaily[WardCode],"BH")=0,"",SUMIFS(tblDaily[Discharges],tblDaily[EntryDate],DATE(2026,8,17),tblDaily[WardCode],"BH")),"")</f>
        <v/>
      </c>
      <c r="D296" s="29" t="str">
        <f>IFERROR(IF(SUMIFS(tblDaily[Deaths],tblDaily[EntryDate],DATE(2026,8,17),tblDaily[WardCode],"BH")=0,"",SUMIFS(tblDaily[Deaths],tblDaily[EntryDate],DATE(2026,8,17),tblDaily[WardCode],"BH")),"")</f>
        <v/>
      </c>
      <c r="E296" s="29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29" t="str">
        <f>IFERROR(IF(SUMIFS(tblDaily[TransfersIn],tblDaily[EntryDate],DATE(2026,8,17),tblDaily[WardCode],"BH")=0,"",SUMIFS(tblDaily[TransfersIn],tblDaily[EntryDate],DATE(2026,8,17),tblDaily[WardCode],"BH")),"")</f>
        <v/>
      </c>
      <c r="G296" s="29" t="str">
        <f>IFERROR(IF(SUMIFS(tblDaily[TransfersOut],tblDaily[EntryDate],DATE(2026,8,17),tblDaily[WardCode],"BH")=0,"",SUMIFS(tblDaily[TransfersOut],tblDaily[EntryDate],DATE(2026,8,17),tblDaily[WardCode],"BH")),"")</f>
        <v/>
      </c>
      <c r="H296" s="29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IFERROR(IF(SUMIFS(tblDaily[Admissions],tblDaily[EntryDate],DATE(2026,8,18),tblDaily[WardCode],"BH")=0,"",SUMIFS(tblDaily[Admissions],tblDaily[EntryDate],DATE(2026,8,18),tblDaily[WardCode],"BH")),"")</f>
        <v/>
      </c>
      <c r="C297" s="29" t="str">
        <f>IFERROR(IF(SUMIFS(tblDaily[Discharges],tblDaily[EntryDate],DATE(2026,8,18),tblDaily[WardCode],"BH")=0,"",SUMIFS(tblDaily[Discharges],tblDaily[EntryDate],DATE(2026,8,18),tblDaily[WardCode],"BH")),"")</f>
        <v/>
      </c>
      <c r="D297" s="29" t="str">
        <f>IFERROR(IF(SUMIFS(tblDaily[Deaths],tblDaily[EntryDate],DATE(2026,8,18),tblDaily[WardCode],"BH")=0,"",SUMIFS(tblDaily[Deaths],tblDaily[EntryDate],DATE(2026,8,18),tblDaily[WardCode],"BH")),"")</f>
        <v/>
      </c>
      <c r="E297" s="29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29" t="str">
        <f>IFERROR(IF(SUMIFS(tblDaily[TransfersIn],tblDaily[EntryDate],DATE(2026,8,18),tblDaily[WardCode],"BH")=0,"",SUMIFS(tblDaily[TransfersIn],tblDaily[EntryDate],DATE(2026,8,18),tblDaily[WardCode],"BH")),"")</f>
        <v/>
      </c>
      <c r="G297" s="29" t="str">
        <f>IFERROR(IF(SUMIFS(tblDaily[TransfersOut],tblDaily[EntryDate],DATE(2026,8,18),tblDaily[WardCode],"BH")=0,"",SUMIFS(tblDaily[TransfersOut],tblDaily[EntryDate],DATE(2026,8,18),tblDaily[WardCode],"BH")),"")</f>
        <v/>
      </c>
      <c r="H297" s="29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IFERROR(IF(SUMIFS(tblDaily[Admissions],tblDaily[EntryDate],DATE(2026,8,19),tblDaily[WardCode],"BH")=0,"",SUMIFS(tblDaily[Admissions],tblDaily[EntryDate],DATE(2026,8,19),tblDaily[WardCode],"BH")),"")</f>
        <v/>
      </c>
      <c r="C298" s="29" t="str">
        <f>IFERROR(IF(SUMIFS(tblDaily[Discharges],tblDaily[EntryDate],DATE(2026,8,19),tblDaily[WardCode],"BH")=0,"",SUMIFS(tblDaily[Discharges],tblDaily[EntryDate],DATE(2026,8,19),tblDaily[WardCode],"BH")),"")</f>
        <v/>
      </c>
      <c r="D298" s="29" t="str">
        <f>IFERROR(IF(SUMIFS(tblDaily[Deaths],tblDaily[EntryDate],DATE(2026,8,19),tblDaily[WardCode],"BH")=0,"",SUMIFS(tblDaily[Deaths],tblDaily[EntryDate],DATE(2026,8,19),tblDaily[WardCode],"BH")),"")</f>
        <v/>
      </c>
      <c r="E298" s="29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29" t="str">
        <f>IFERROR(IF(SUMIFS(tblDaily[TransfersIn],tblDaily[EntryDate],DATE(2026,8,19),tblDaily[WardCode],"BH")=0,"",SUMIFS(tblDaily[TransfersIn],tblDaily[EntryDate],DATE(2026,8,19),tblDaily[WardCode],"BH")),"")</f>
        <v/>
      </c>
      <c r="G298" s="29" t="str">
        <f>IFERROR(IF(SUMIFS(tblDaily[TransfersOut],tblDaily[EntryDate],DATE(2026,8,19),tblDaily[WardCode],"BH")=0,"",SUMIFS(tblDaily[TransfersOut],tblDaily[EntryDate],DATE(2026,8,19),tblDaily[WardCode],"BH")),"")</f>
        <v/>
      </c>
      <c r="H298" s="29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IFERROR(IF(SUMIFS(tblDaily[Admissions],tblDaily[EntryDate],DATE(2026,8,20),tblDaily[WardCode],"BH")=0,"",SUMIFS(tblDaily[Admissions],tblDaily[EntryDate],DATE(2026,8,20),tblDaily[WardCode],"BH")),"")</f>
        <v/>
      </c>
      <c r="C299" s="29" t="str">
        <f>IFERROR(IF(SUMIFS(tblDaily[Discharges],tblDaily[EntryDate],DATE(2026,8,20),tblDaily[WardCode],"BH")=0,"",SUMIFS(tblDaily[Discharges],tblDaily[EntryDate],DATE(2026,8,20),tblDaily[WardCode],"BH")),"")</f>
        <v/>
      </c>
      <c r="D299" s="29" t="str">
        <f>IFERROR(IF(SUMIFS(tblDaily[Deaths],tblDaily[EntryDate],DATE(2026,8,20),tblDaily[WardCode],"BH")=0,"",SUMIFS(tblDaily[Deaths],tblDaily[EntryDate],DATE(2026,8,20),tblDaily[WardCode],"BH")),"")</f>
        <v/>
      </c>
      <c r="E299" s="29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29" t="str">
        <f>IFERROR(IF(SUMIFS(tblDaily[TransfersIn],tblDaily[EntryDate],DATE(2026,8,20),tblDaily[WardCode],"BH")=0,"",SUMIFS(tblDaily[TransfersIn],tblDaily[EntryDate],DATE(2026,8,20),tblDaily[WardCode],"BH")),"")</f>
        <v/>
      </c>
      <c r="G299" s="29" t="str">
        <f>IFERROR(IF(SUMIFS(tblDaily[TransfersOut],tblDaily[EntryDate],DATE(2026,8,20),tblDaily[WardCode],"BH")=0,"",SUMIFS(tblDaily[TransfersOut],tblDaily[EntryDate],DATE(2026,8,20),tblDaily[WardCode],"BH")),"")</f>
        <v/>
      </c>
      <c r="H299" s="29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IFERROR(IF(SUMIFS(tblDaily[Admissions],tblDaily[EntryDate],DATE(2026,8,21),tblDaily[WardCode],"BH")=0,"",SUMIFS(tblDaily[Admissions],tblDaily[EntryDate],DATE(2026,8,21),tblDaily[WardCode],"BH")),"")</f>
        <v/>
      </c>
      <c r="C300" s="29" t="str">
        <f>IFERROR(IF(SUMIFS(tblDaily[Discharges],tblDaily[EntryDate],DATE(2026,8,21),tblDaily[WardCode],"BH")=0,"",SUMIFS(tblDaily[Discharges],tblDaily[EntryDate],DATE(2026,8,21),tblDaily[WardCode],"BH")),"")</f>
        <v/>
      </c>
      <c r="D300" s="29" t="str">
        <f>IFERROR(IF(SUMIFS(tblDaily[Deaths],tblDaily[EntryDate],DATE(2026,8,21),tblDaily[WardCode],"BH")=0,"",SUMIFS(tblDaily[Deaths],tblDaily[EntryDate],DATE(2026,8,21),tblDaily[WardCode],"BH")),"")</f>
        <v/>
      </c>
      <c r="E300" s="29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29" t="str">
        <f>IFERROR(IF(SUMIFS(tblDaily[TransfersIn],tblDaily[EntryDate],DATE(2026,8,21),tblDaily[WardCode],"BH")=0,"",SUMIFS(tblDaily[TransfersIn],tblDaily[EntryDate],DATE(2026,8,21),tblDaily[WardCode],"BH")),"")</f>
        <v/>
      </c>
      <c r="G300" s="29" t="str">
        <f>IFERROR(IF(SUMIFS(tblDaily[TransfersOut],tblDaily[EntryDate],DATE(2026,8,21),tblDaily[WardCode],"BH")=0,"",SUMIFS(tblDaily[TransfersOut],tblDaily[EntryDate],DATE(2026,8,21),tblDaily[WardCode],"BH")),"")</f>
        <v/>
      </c>
      <c r="H300" s="29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IFERROR(IF(SUMIFS(tblDaily[Admissions],tblDaily[EntryDate],DATE(2026,8,22),tblDaily[WardCode],"BH")=0,"",SUMIFS(tblDaily[Admissions],tblDaily[EntryDate],DATE(2026,8,22),tblDaily[WardCode],"BH")),"")</f>
        <v/>
      </c>
      <c r="C301" s="29" t="str">
        <f>IFERROR(IF(SUMIFS(tblDaily[Discharges],tblDaily[EntryDate],DATE(2026,8,22),tblDaily[WardCode],"BH")=0,"",SUMIFS(tblDaily[Discharges],tblDaily[EntryDate],DATE(2026,8,22),tblDaily[WardCode],"BH")),"")</f>
        <v/>
      </c>
      <c r="D301" s="29" t="str">
        <f>IFERROR(IF(SUMIFS(tblDaily[Deaths],tblDaily[EntryDate],DATE(2026,8,22),tblDaily[WardCode],"BH")=0,"",SUMIFS(tblDaily[Deaths],tblDaily[EntryDate],DATE(2026,8,22),tblDaily[WardCode],"BH")),"")</f>
        <v/>
      </c>
      <c r="E301" s="29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29" t="str">
        <f>IFERROR(IF(SUMIFS(tblDaily[TransfersIn],tblDaily[EntryDate],DATE(2026,8,22),tblDaily[WardCode],"BH")=0,"",SUMIFS(tblDaily[TransfersIn],tblDaily[EntryDate],DATE(2026,8,22),tblDaily[WardCode],"BH")),"")</f>
        <v/>
      </c>
      <c r="G301" s="29" t="str">
        <f>IFERROR(IF(SUMIFS(tblDaily[TransfersOut],tblDaily[EntryDate],DATE(2026,8,22),tblDaily[WardCode],"BH")=0,"",SUMIFS(tblDaily[TransfersOut],tblDaily[EntryDate],DATE(2026,8,22),tblDaily[WardCode],"BH")),"")</f>
        <v/>
      </c>
      <c r="H301" s="29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IFERROR(IF(SUMIFS(tblDaily[Admissions],tblDaily[EntryDate],DATE(2026,8,23),tblDaily[WardCode],"BH")=0,"",SUMIFS(tblDaily[Admissions],tblDaily[EntryDate],DATE(2026,8,23),tblDaily[WardCode],"BH")),"")</f>
        <v/>
      </c>
      <c r="C302" s="29" t="str">
        <f>IFERROR(IF(SUMIFS(tblDaily[Discharges],tblDaily[EntryDate],DATE(2026,8,23),tblDaily[WardCode],"BH")=0,"",SUMIFS(tblDaily[Discharges],tblDaily[EntryDate],DATE(2026,8,23),tblDaily[WardCode],"BH")),"")</f>
        <v/>
      </c>
      <c r="D302" s="29" t="str">
        <f>IFERROR(IF(SUMIFS(tblDaily[Deaths],tblDaily[EntryDate],DATE(2026,8,23),tblDaily[WardCode],"BH")=0,"",SUMIFS(tblDaily[Deaths],tblDaily[EntryDate],DATE(2026,8,23),tblDaily[WardCode],"BH")),"")</f>
        <v/>
      </c>
      <c r="E302" s="29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29" t="str">
        <f>IFERROR(IF(SUMIFS(tblDaily[TransfersIn],tblDaily[EntryDate],DATE(2026,8,23),tblDaily[WardCode],"BH")=0,"",SUMIFS(tblDaily[TransfersIn],tblDaily[EntryDate],DATE(2026,8,23),tblDaily[WardCode],"BH")),"")</f>
        <v/>
      </c>
      <c r="G302" s="29" t="str">
        <f>IFERROR(IF(SUMIFS(tblDaily[TransfersOut],tblDaily[EntryDate],DATE(2026,8,23),tblDaily[WardCode],"BH")=0,"",SUMIFS(tblDaily[TransfersOut],tblDaily[EntryDate],DATE(2026,8,23),tblDaily[WardCode],"BH")),"")</f>
        <v/>
      </c>
      <c r="H302" s="29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IFERROR(IF(SUMIFS(tblDaily[Admissions],tblDaily[EntryDate],DATE(2026,8,24),tblDaily[WardCode],"BH")=0,"",SUMIFS(tblDaily[Admissions],tblDaily[EntryDate],DATE(2026,8,24),tblDaily[WardCode],"BH")),"")</f>
        <v/>
      </c>
      <c r="C303" s="29" t="str">
        <f>IFERROR(IF(SUMIFS(tblDaily[Discharges],tblDaily[EntryDate],DATE(2026,8,24),tblDaily[WardCode],"BH")=0,"",SUMIFS(tblDaily[Discharges],tblDaily[EntryDate],DATE(2026,8,24),tblDaily[WardCode],"BH")),"")</f>
        <v/>
      </c>
      <c r="D303" s="29" t="str">
        <f>IFERROR(IF(SUMIFS(tblDaily[Deaths],tblDaily[EntryDate],DATE(2026,8,24),tblDaily[WardCode],"BH")=0,"",SUMIFS(tblDaily[Deaths],tblDaily[EntryDate],DATE(2026,8,24),tblDaily[WardCode],"BH")),"")</f>
        <v/>
      </c>
      <c r="E303" s="29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29" t="str">
        <f>IFERROR(IF(SUMIFS(tblDaily[TransfersIn],tblDaily[EntryDate],DATE(2026,8,24),tblDaily[WardCode],"BH")=0,"",SUMIFS(tblDaily[TransfersIn],tblDaily[EntryDate],DATE(2026,8,24),tblDaily[WardCode],"BH")),"")</f>
        <v/>
      </c>
      <c r="G303" s="29" t="str">
        <f>IFERROR(IF(SUMIFS(tblDaily[TransfersOut],tblDaily[EntryDate],DATE(2026,8,24),tblDaily[WardCode],"BH")=0,"",SUMIFS(tblDaily[TransfersOut],tblDaily[EntryDate],DATE(2026,8,24),tblDaily[WardCode],"BH")),"")</f>
        <v/>
      </c>
      <c r="H303" s="29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IFERROR(IF(SUMIFS(tblDaily[Admissions],tblDaily[EntryDate],DATE(2026,8,25),tblDaily[WardCode],"BH")=0,"",SUMIFS(tblDaily[Admissions],tblDaily[EntryDate],DATE(2026,8,25),tblDaily[WardCode],"BH")),"")</f>
        <v/>
      </c>
      <c r="C304" s="29" t="str">
        <f>IFERROR(IF(SUMIFS(tblDaily[Discharges],tblDaily[EntryDate],DATE(2026,8,25),tblDaily[WardCode],"BH")=0,"",SUMIFS(tblDaily[Discharges],tblDaily[EntryDate],DATE(2026,8,25),tblDaily[WardCode],"BH")),"")</f>
        <v/>
      </c>
      <c r="D304" s="29" t="str">
        <f>IFERROR(IF(SUMIFS(tblDaily[Deaths],tblDaily[EntryDate],DATE(2026,8,25),tblDaily[WardCode],"BH")=0,"",SUMIFS(tblDaily[Deaths],tblDaily[EntryDate],DATE(2026,8,25),tblDaily[WardCode],"BH")),"")</f>
        <v/>
      </c>
      <c r="E304" s="29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29" t="str">
        <f>IFERROR(IF(SUMIFS(tblDaily[TransfersIn],tblDaily[EntryDate],DATE(2026,8,25),tblDaily[WardCode],"BH")=0,"",SUMIFS(tblDaily[TransfersIn],tblDaily[EntryDate],DATE(2026,8,25),tblDaily[WardCode],"BH")),"")</f>
        <v/>
      </c>
      <c r="G304" s="29" t="str">
        <f>IFERROR(IF(SUMIFS(tblDaily[TransfersOut],tblDaily[EntryDate],DATE(2026,8,25),tblDaily[WardCode],"BH")=0,"",SUMIFS(tblDaily[TransfersOut],tblDaily[EntryDate],DATE(2026,8,25),tblDaily[WardCode],"BH")),"")</f>
        <v/>
      </c>
      <c r="H304" s="29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IFERROR(IF(SUMIFS(tblDaily[Admissions],tblDaily[EntryDate],DATE(2026,8,26),tblDaily[WardCode],"BH")=0,"",SUMIFS(tblDaily[Admissions],tblDaily[EntryDate],DATE(2026,8,26),tblDaily[WardCode],"BH")),"")</f>
        <v/>
      </c>
      <c r="C305" s="29" t="str">
        <f>IFERROR(IF(SUMIFS(tblDaily[Discharges],tblDaily[EntryDate],DATE(2026,8,26),tblDaily[WardCode],"BH")=0,"",SUMIFS(tblDaily[Discharges],tblDaily[EntryDate],DATE(2026,8,26),tblDaily[WardCode],"BH")),"")</f>
        <v/>
      </c>
      <c r="D305" s="29" t="str">
        <f>IFERROR(IF(SUMIFS(tblDaily[Deaths],tblDaily[EntryDate],DATE(2026,8,26),tblDaily[WardCode],"BH")=0,"",SUMIFS(tblDaily[Deaths],tblDaily[EntryDate],DATE(2026,8,26),tblDaily[WardCode],"BH")),"")</f>
        <v/>
      </c>
      <c r="E305" s="29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29" t="str">
        <f>IFERROR(IF(SUMIFS(tblDaily[TransfersIn],tblDaily[EntryDate],DATE(2026,8,26),tblDaily[WardCode],"BH")=0,"",SUMIFS(tblDaily[TransfersIn],tblDaily[EntryDate],DATE(2026,8,26),tblDaily[WardCode],"BH")),"")</f>
        <v/>
      </c>
      <c r="G305" s="29" t="str">
        <f>IFERROR(IF(SUMIFS(tblDaily[TransfersOut],tblDaily[EntryDate],DATE(2026,8,26),tblDaily[WardCode],"BH")=0,"",SUMIFS(tblDaily[TransfersOut],tblDaily[EntryDate],DATE(2026,8,26),tblDaily[WardCode],"BH")),"")</f>
        <v/>
      </c>
      <c r="H305" s="29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IFERROR(IF(SUMIFS(tblDaily[Admissions],tblDaily[EntryDate],DATE(2026,8,27),tblDaily[WardCode],"BH")=0,"",SUMIFS(tblDaily[Admissions],tblDaily[EntryDate],DATE(2026,8,27),tblDaily[WardCode],"BH")),"")</f>
        <v/>
      </c>
      <c r="C306" s="29" t="str">
        <f>IFERROR(IF(SUMIFS(tblDaily[Discharges],tblDaily[EntryDate],DATE(2026,8,27),tblDaily[WardCode],"BH")=0,"",SUMIFS(tblDaily[Discharges],tblDaily[EntryDate],DATE(2026,8,27),tblDaily[WardCode],"BH")),"")</f>
        <v/>
      </c>
      <c r="D306" s="29" t="str">
        <f>IFERROR(IF(SUMIFS(tblDaily[Deaths],tblDaily[EntryDate],DATE(2026,8,27),tblDaily[WardCode],"BH")=0,"",SUMIFS(tblDaily[Deaths],tblDaily[EntryDate],DATE(2026,8,27),tblDaily[WardCode],"BH")),"")</f>
        <v/>
      </c>
      <c r="E306" s="29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29" t="str">
        <f>IFERROR(IF(SUMIFS(tblDaily[TransfersIn],tblDaily[EntryDate],DATE(2026,8,27),tblDaily[WardCode],"BH")=0,"",SUMIFS(tblDaily[TransfersIn],tblDaily[EntryDate],DATE(2026,8,27),tblDaily[WardCode],"BH")),"")</f>
        <v/>
      </c>
      <c r="G306" s="29" t="str">
        <f>IFERROR(IF(SUMIFS(tblDaily[TransfersOut],tblDaily[EntryDate],DATE(2026,8,27),tblDaily[WardCode],"BH")=0,"",SUMIFS(tblDaily[TransfersOut],tblDaily[EntryDate],DATE(2026,8,27),tblDaily[WardCode],"BH")),"")</f>
        <v/>
      </c>
      <c r="H306" s="29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IFERROR(IF(SUMIFS(tblDaily[Admissions],tblDaily[EntryDate],DATE(2026,8,28),tblDaily[WardCode],"BH")=0,"",SUMIFS(tblDaily[Admissions],tblDaily[EntryDate],DATE(2026,8,28),tblDaily[WardCode],"BH")),"")</f>
        <v/>
      </c>
      <c r="C307" s="29" t="str">
        <f>IFERROR(IF(SUMIFS(tblDaily[Discharges],tblDaily[EntryDate],DATE(2026,8,28),tblDaily[WardCode],"BH")=0,"",SUMIFS(tblDaily[Discharges],tblDaily[EntryDate],DATE(2026,8,28),tblDaily[WardCode],"BH")),"")</f>
        <v/>
      </c>
      <c r="D307" s="29" t="str">
        <f>IFERROR(IF(SUMIFS(tblDaily[Deaths],tblDaily[EntryDate],DATE(2026,8,28),tblDaily[WardCode],"BH")=0,"",SUMIFS(tblDaily[Deaths],tblDaily[EntryDate],DATE(2026,8,28),tblDaily[WardCode],"BH")),"")</f>
        <v/>
      </c>
      <c r="E307" s="29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29" t="str">
        <f>IFERROR(IF(SUMIFS(tblDaily[TransfersIn],tblDaily[EntryDate],DATE(2026,8,28),tblDaily[WardCode],"BH")=0,"",SUMIFS(tblDaily[TransfersIn],tblDaily[EntryDate],DATE(2026,8,28),tblDaily[WardCode],"BH")),"")</f>
        <v/>
      </c>
      <c r="G307" s="29" t="str">
        <f>IFERROR(IF(SUMIFS(tblDaily[TransfersOut],tblDaily[EntryDate],DATE(2026,8,28),tblDaily[WardCode],"BH")=0,"",SUMIFS(tblDaily[TransfersOut],tblDaily[EntryDate],DATE(2026,8,28),tblDaily[WardCode],"BH")),"")</f>
        <v/>
      </c>
      <c r="H307" s="29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IFERROR(IF(SUMIFS(tblDaily[Admissions],tblDaily[EntryDate],DATE(2026,8,29),tblDaily[WardCode],"BH")=0,"",SUMIFS(tblDaily[Admissions],tblDaily[EntryDate],DATE(2026,8,29),tblDaily[WardCode],"BH")),"")</f>
        <v/>
      </c>
      <c r="C308" s="29" t="str">
        <f>IFERROR(IF(SUMIFS(tblDaily[Discharges],tblDaily[EntryDate],DATE(2026,8,29),tblDaily[WardCode],"BH")=0,"",SUMIFS(tblDaily[Discharges],tblDaily[EntryDate],DATE(2026,8,29),tblDaily[WardCode],"BH")),"")</f>
        <v/>
      </c>
      <c r="D308" s="29" t="str">
        <f>IFERROR(IF(SUMIFS(tblDaily[Deaths],tblDaily[EntryDate],DATE(2026,8,29),tblDaily[WardCode],"BH")=0,"",SUMIFS(tblDaily[Deaths],tblDaily[EntryDate],DATE(2026,8,29),tblDaily[WardCode],"BH")),"")</f>
        <v/>
      </c>
      <c r="E308" s="29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29" t="str">
        <f>IFERROR(IF(SUMIFS(tblDaily[TransfersIn],tblDaily[EntryDate],DATE(2026,8,29),tblDaily[WardCode],"BH")=0,"",SUMIFS(tblDaily[TransfersIn],tblDaily[EntryDate],DATE(2026,8,29),tblDaily[WardCode],"BH")),"")</f>
        <v/>
      </c>
      <c r="G308" s="29" t="str">
        <f>IFERROR(IF(SUMIFS(tblDaily[TransfersOut],tblDaily[EntryDate],DATE(2026,8,29),tblDaily[WardCode],"BH")=0,"",SUMIFS(tblDaily[TransfersOut],tblDaily[EntryDate],DATE(2026,8,29),tblDaily[WardCode],"BH")),"")</f>
        <v/>
      </c>
      <c r="H308" s="29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IFERROR(IF(SUMIFS(tblDaily[Admissions],tblDaily[EntryDate],DATE(2026,8,30),tblDaily[WardCode],"BH")=0,"",SUMIFS(tblDaily[Admissions],tblDaily[EntryDate],DATE(2026,8,30),tblDaily[WardCode],"BH")),"")</f>
        <v/>
      </c>
      <c r="C309" s="29" t="str">
        <f>IFERROR(IF(SUMIFS(tblDaily[Discharges],tblDaily[EntryDate],DATE(2026,8,30),tblDaily[WardCode],"BH")=0,"",SUMIFS(tblDaily[Discharges],tblDaily[EntryDate],DATE(2026,8,30),tblDaily[WardCode],"BH")),"")</f>
        <v/>
      </c>
      <c r="D309" s="29" t="str">
        <f>IFERROR(IF(SUMIFS(tblDaily[Deaths],tblDaily[EntryDate],DATE(2026,8,30),tblDaily[WardCode],"BH")=0,"",SUMIFS(tblDaily[Deaths],tblDaily[EntryDate],DATE(2026,8,30),tblDaily[WardCode],"BH")),"")</f>
        <v/>
      </c>
      <c r="E309" s="29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29" t="str">
        <f>IFERROR(IF(SUMIFS(tblDaily[TransfersIn],tblDaily[EntryDate],DATE(2026,8,30),tblDaily[WardCode],"BH")=0,"",SUMIFS(tblDaily[TransfersIn],tblDaily[EntryDate],DATE(2026,8,30),tblDaily[WardCode],"BH")),"")</f>
        <v/>
      </c>
      <c r="G309" s="29" t="str">
        <f>IFERROR(IF(SUMIFS(tblDaily[TransfersOut],tblDaily[EntryDate],DATE(2026,8,30),tblDaily[WardCode],"BH")=0,"",SUMIFS(tblDaily[TransfersOut],tblDaily[EntryDate],DATE(2026,8,30),tblDaily[WardCode],"BH")),"")</f>
        <v/>
      </c>
      <c r="H309" s="29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IFERROR(IF(SUMIFS(tblDaily[Admissions],tblDaily[EntryDate],DATE(2026,8,31),tblDaily[WardCode],"BH")=0,"",SUMIFS(tblDaily[Admissions],tblDaily[EntryDate],DATE(2026,8,31),tblDaily[WardCode],"BH")),"")</f>
        <v/>
      </c>
      <c r="C310" s="29" t="str">
        <f>IFERROR(IF(SUMIFS(tblDaily[Discharges],tblDaily[EntryDate],DATE(2026,8,31),tblDaily[WardCode],"BH")=0,"",SUMIFS(tblDaily[Discharges],tblDaily[EntryDate],DATE(2026,8,31),tblDaily[WardCode],"BH")),"")</f>
        <v/>
      </c>
      <c r="D310" s="29" t="str">
        <f>IFERROR(IF(SUMIFS(tblDaily[Deaths],tblDaily[EntryDate],DATE(2026,8,31),tblDaily[WardCode],"BH")=0,"",SUMIFS(tblDaily[Deaths],tblDaily[EntryDate],DATE(2026,8,31),tblDaily[WardCode],"BH")),"")</f>
        <v/>
      </c>
      <c r="E310" s="29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29" t="str">
        <f>IFERROR(IF(SUMIFS(tblDaily[TransfersIn],tblDaily[EntryDate],DATE(2026,8,31),tblDaily[WardCode],"BH")=0,"",SUMIFS(tblDaily[TransfersIn],tblDaily[EntryDate],DATE(2026,8,31),tblDaily[WardCode],"BH")),"")</f>
        <v/>
      </c>
      <c r="G310" s="29" t="str">
        <f>IFERROR(IF(SUMIFS(tblDaily[TransfersOut],tblDaily[EntryDate],DATE(2026,8,31),tblDaily[WardCode],"BH")=0,"",SUMIFS(tblDaily[TransfersOut],tblDaily[EntryDate],DATE(2026,8,31),tblDaily[WardCode],"BH")),"")</f>
        <v/>
      </c>
      <c r="H310" s="29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30" t="s">
        <v>115</v>
      </c>
      <c r="B311" s="30">
        <f>SUMIFS(tblDaily[Admissions],tblDaily[Month],8,tblDaily[WardCode],"BH") - SUMIFS(tblDaily[DeathsUnder24Hrs],tblDaily[Month],8,tblDaily[WardCode],"BH")</f>
        <v>0</v>
      </c>
      <c r="C311" s="30">
        <f>SUMIFS(tblDaily[Discharges],tblDaily[Month],8,tblDaily[WardCode],"BH")</f>
        <v>0</v>
      </c>
      <c r="D311" s="30">
        <f>SUMIFS(tblDaily[Deaths],tblDaily[Month],8,tblDaily[WardCode],"BH")</f>
        <v>0</v>
      </c>
      <c r="E311" s="30">
        <f>SUMIFS(tblDaily[DeathsUnder24Hrs],tblDaily[Month],8,tblDaily[WardCode],"BH")</f>
        <v>0</v>
      </c>
      <c r="F311" s="30">
        <f>SUMIFS(tblDaily[TransfersIn],tblDaily[Month],8,tblDaily[WardCode],"BH")</f>
        <v>0</v>
      </c>
      <c r="G311" s="30">
        <f>SUMIFS(tblDaily[TransfersOut],tblDaily[Month],8,tblDaily[WardCode],"BH")</f>
        <v>0</v>
      </c>
      <c r="H311" s="30">
        <f>SUMIFS(tblDaily[Remaining],tblDaily[Month],8,tblDaily[WardCode],"BH")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120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IFERROR(SUMIFS(tblDaily[Remaining],tblDaily[EntryDate],DATE(2026,8,31),tblDaily[WardCode],"BH"),0)</f>
        <v>0</v>
      </c>
    </row>
    <row r="317" spans="1:8" x14ac:dyDescent="0.25">
      <c r="A317" s="24" t="s">
        <v>109</v>
      </c>
      <c r="H317" s="27">
        <f>IFERROR(INDEX(tblWardConfig[BedComplement],MATCH("BH",tblWardConfig[WardCode],0)),0)</f>
        <v>22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IFERROR(IF(SUMIFS(tblDaily[Admissions],tblDaily[EntryDate],DATE(2026,9,1),tblDaily[WardCode],"BH")=0,"",SUMIFS(tblDaily[Admissions],tblDaily[EntryDate],DATE(2026,9,1),tblDaily[WardCode],"BH")),"")</f>
        <v/>
      </c>
      <c r="C319" s="29" t="str">
        <f>IFERROR(IF(SUMIFS(tblDaily[Discharges],tblDaily[EntryDate],DATE(2026,9,1),tblDaily[WardCode],"BH")=0,"",SUMIFS(tblDaily[Discharges],tblDaily[EntryDate],DATE(2026,9,1),tblDaily[WardCode],"BH")),"")</f>
        <v/>
      </c>
      <c r="D319" s="29" t="str">
        <f>IFERROR(IF(SUMIFS(tblDaily[Deaths],tblDaily[EntryDate],DATE(2026,9,1),tblDaily[WardCode],"BH")=0,"",SUMIFS(tblDaily[Deaths],tblDaily[EntryDate],DATE(2026,9,1),tblDaily[WardCode],"BH")),"")</f>
        <v/>
      </c>
      <c r="E319" s="29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29" t="str">
        <f>IFERROR(IF(SUMIFS(tblDaily[TransfersIn],tblDaily[EntryDate],DATE(2026,9,1),tblDaily[WardCode],"BH")=0,"",SUMIFS(tblDaily[TransfersIn],tblDaily[EntryDate],DATE(2026,9,1),tblDaily[WardCode],"BH")),"")</f>
        <v/>
      </c>
      <c r="G319" s="29" t="str">
        <f>IFERROR(IF(SUMIFS(tblDaily[TransfersOut],tblDaily[EntryDate],DATE(2026,9,1),tblDaily[WardCode],"BH")=0,"",SUMIFS(tblDaily[TransfersOut],tblDaily[EntryDate],DATE(2026,9,1),tblDaily[WardCode],"BH")),"")</f>
        <v/>
      </c>
      <c r="H319" s="29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IFERROR(IF(SUMIFS(tblDaily[Admissions],tblDaily[EntryDate],DATE(2026,9,2),tblDaily[WardCode],"BH")=0,"",SUMIFS(tblDaily[Admissions],tblDaily[EntryDate],DATE(2026,9,2),tblDaily[WardCode],"BH")),"")</f>
        <v/>
      </c>
      <c r="C320" s="29" t="str">
        <f>IFERROR(IF(SUMIFS(tblDaily[Discharges],tblDaily[EntryDate],DATE(2026,9,2),tblDaily[WardCode],"BH")=0,"",SUMIFS(tblDaily[Discharges],tblDaily[EntryDate],DATE(2026,9,2),tblDaily[WardCode],"BH")),"")</f>
        <v/>
      </c>
      <c r="D320" s="29" t="str">
        <f>IFERROR(IF(SUMIFS(tblDaily[Deaths],tblDaily[EntryDate],DATE(2026,9,2),tblDaily[WardCode],"BH")=0,"",SUMIFS(tblDaily[Deaths],tblDaily[EntryDate],DATE(2026,9,2),tblDaily[WardCode],"BH")),"")</f>
        <v/>
      </c>
      <c r="E320" s="29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29" t="str">
        <f>IFERROR(IF(SUMIFS(tblDaily[TransfersIn],tblDaily[EntryDate],DATE(2026,9,2),tblDaily[WardCode],"BH")=0,"",SUMIFS(tblDaily[TransfersIn],tblDaily[EntryDate],DATE(2026,9,2),tblDaily[WardCode],"BH")),"")</f>
        <v/>
      </c>
      <c r="G320" s="29" t="str">
        <f>IFERROR(IF(SUMIFS(tblDaily[TransfersOut],tblDaily[EntryDate],DATE(2026,9,2),tblDaily[WardCode],"BH")=0,"",SUMIFS(tblDaily[TransfersOut],tblDaily[EntryDate],DATE(2026,9,2),tblDaily[WardCode],"BH")),"")</f>
        <v/>
      </c>
      <c r="H320" s="29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IFERROR(IF(SUMIFS(tblDaily[Admissions],tblDaily[EntryDate],DATE(2026,9,3),tblDaily[WardCode],"BH")=0,"",SUMIFS(tblDaily[Admissions],tblDaily[EntryDate],DATE(2026,9,3),tblDaily[WardCode],"BH")),"")</f>
        <v/>
      </c>
      <c r="C321" s="29" t="str">
        <f>IFERROR(IF(SUMIFS(tblDaily[Discharges],tblDaily[EntryDate],DATE(2026,9,3),tblDaily[WardCode],"BH")=0,"",SUMIFS(tblDaily[Discharges],tblDaily[EntryDate],DATE(2026,9,3),tblDaily[WardCode],"BH")),"")</f>
        <v/>
      </c>
      <c r="D321" s="29" t="str">
        <f>IFERROR(IF(SUMIFS(tblDaily[Deaths],tblDaily[EntryDate],DATE(2026,9,3),tblDaily[WardCode],"BH")=0,"",SUMIFS(tblDaily[Deaths],tblDaily[EntryDate],DATE(2026,9,3),tblDaily[WardCode],"BH")),"")</f>
        <v/>
      </c>
      <c r="E321" s="29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29" t="str">
        <f>IFERROR(IF(SUMIFS(tblDaily[TransfersIn],tblDaily[EntryDate],DATE(2026,9,3),tblDaily[WardCode],"BH")=0,"",SUMIFS(tblDaily[TransfersIn],tblDaily[EntryDate],DATE(2026,9,3),tblDaily[WardCode],"BH")),"")</f>
        <v/>
      </c>
      <c r="G321" s="29" t="str">
        <f>IFERROR(IF(SUMIFS(tblDaily[TransfersOut],tblDaily[EntryDate],DATE(2026,9,3),tblDaily[WardCode],"BH")=0,"",SUMIFS(tblDaily[TransfersOut],tblDaily[EntryDate],DATE(2026,9,3),tblDaily[WardCode],"BH")),"")</f>
        <v/>
      </c>
      <c r="H321" s="29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IFERROR(IF(SUMIFS(tblDaily[Admissions],tblDaily[EntryDate],DATE(2026,9,4),tblDaily[WardCode],"BH")=0,"",SUMIFS(tblDaily[Admissions],tblDaily[EntryDate],DATE(2026,9,4),tblDaily[WardCode],"BH")),"")</f>
        <v/>
      </c>
      <c r="C322" s="29" t="str">
        <f>IFERROR(IF(SUMIFS(tblDaily[Discharges],tblDaily[EntryDate],DATE(2026,9,4),tblDaily[WardCode],"BH")=0,"",SUMIFS(tblDaily[Discharges],tblDaily[EntryDate],DATE(2026,9,4),tblDaily[WardCode],"BH")),"")</f>
        <v/>
      </c>
      <c r="D322" s="29" t="str">
        <f>IFERROR(IF(SUMIFS(tblDaily[Deaths],tblDaily[EntryDate],DATE(2026,9,4),tblDaily[WardCode],"BH")=0,"",SUMIFS(tblDaily[Deaths],tblDaily[EntryDate],DATE(2026,9,4),tblDaily[WardCode],"BH")),"")</f>
        <v/>
      </c>
      <c r="E322" s="29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29" t="str">
        <f>IFERROR(IF(SUMIFS(tblDaily[TransfersIn],tblDaily[EntryDate],DATE(2026,9,4),tblDaily[WardCode],"BH")=0,"",SUMIFS(tblDaily[TransfersIn],tblDaily[EntryDate],DATE(2026,9,4),tblDaily[WardCode],"BH")),"")</f>
        <v/>
      </c>
      <c r="G322" s="29" t="str">
        <f>IFERROR(IF(SUMIFS(tblDaily[TransfersOut],tblDaily[EntryDate],DATE(2026,9,4),tblDaily[WardCode],"BH")=0,"",SUMIFS(tblDaily[TransfersOut],tblDaily[EntryDate],DATE(2026,9,4),tblDaily[WardCode],"BH")),"")</f>
        <v/>
      </c>
      <c r="H322" s="29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IFERROR(IF(SUMIFS(tblDaily[Admissions],tblDaily[EntryDate],DATE(2026,9,5),tblDaily[WardCode],"BH")=0,"",SUMIFS(tblDaily[Admissions],tblDaily[EntryDate],DATE(2026,9,5),tblDaily[WardCode],"BH")),"")</f>
        <v/>
      </c>
      <c r="C323" s="29" t="str">
        <f>IFERROR(IF(SUMIFS(tblDaily[Discharges],tblDaily[EntryDate],DATE(2026,9,5),tblDaily[WardCode],"BH")=0,"",SUMIFS(tblDaily[Discharges],tblDaily[EntryDate],DATE(2026,9,5),tblDaily[WardCode],"BH")),"")</f>
        <v/>
      </c>
      <c r="D323" s="29" t="str">
        <f>IFERROR(IF(SUMIFS(tblDaily[Deaths],tblDaily[EntryDate],DATE(2026,9,5),tblDaily[WardCode],"BH")=0,"",SUMIFS(tblDaily[Deaths],tblDaily[EntryDate],DATE(2026,9,5),tblDaily[WardCode],"BH")),"")</f>
        <v/>
      </c>
      <c r="E323" s="29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29" t="str">
        <f>IFERROR(IF(SUMIFS(tblDaily[TransfersIn],tblDaily[EntryDate],DATE(2026,9,5),tblDaily[WardCode],"BH")=0,"",SUMIFS(tblDaily[TransfersIn],tblDaily[EntryDate],DATE(2026,9,5),tblDaily[WardCode],"BH")),"")</f>
        <v/>
      </c>
      <c r="G323" s="29" t="str">
        <f>IFERROR(IF(SUMIFS(tblDaily[TransfersOut],tblDaily[EntryDate],DATE(2026,9,5),tblDaily[WardCode],"BH")=0,"",SUMIFS(tblDaily[TransfersOut],tblDaily[EntryDate],DATE(2026,9,5),tblDaily[WardCode],"BH")),"")</f>
        <v/>
      </c>
      <c r="H323" s="29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IFERROR(IF(SUMIFS(tblDaily[Admissions],tblDaily[EntryDate],DATE(2026,9,6),tblDaily[WardCode],"BH")=0,"",SUMIFS(tblDaily[Admissions],tblDaily[EntryDate],DATE(2026,9,6),tblDaily[WardCode],"BH")),"")</f>
        <v/>
      </c>
      <c r="C324" s="29" t="str">
        <f>IFERROR(IF(SUMIFS(tblDaily[Discharges],tblDaily[EntryDate],DATE(2026,9,6),tblDaily[WardCode],"BH")=0,"",SUMIFS(tblDaily[Discharges],tblDaily[EntryDate],DATE(2026,9,6),tblDaily[WardCode],"BH")),"")</f>
        <v/>
      </c>
      <c r="D324" s="29" t="str">
        <f>IFERROR(IF(SUMIFS(tblDaily[Deaths],tblDaily[EntryDate],DATE(2026,9,6),tblDaily[WardCode],"BH")=0,"",SUMIFS(tblDaily[Deaths],tblDaily[EntryDate],DATE(2026,9,6),tblDaily[WardCode],"BH")),"")</f>
        <v/>
      </c>
      <c r="E324" s="29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29" t="str">
        <f>IFERROR(IF(SUMIFS(tblDaily[TransfersIn],tblDaily[EntryDate],DATE(2026,9,6),tblDaily[WardCode],"BH")=0,"",SUMIFS(tblDaily[TransfersIn],tblDaily[EntryDate],DATE(2026,9,6),tblDaily[WardCode],"BH")),"")</f>
        <v/>
      </c>
      <c r="G324" s="29" t="str">
        <f>IFERROR(IF(SUMIFS(tblDaily[TransfersOut],tblDaily[EntryDate],DATE(2026,9,6),tblDaily[WardCode],"BH")=0,"",SUMIFS(tblDaily[TransfersOut],tblDaily[EntryDate],DATE(2026,9,6),tblDaily[WardCode],"BH")),"")</f>
        <v/>
      </c>
      <c r="H324" s="29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IFERROR(IF(SUMIFS(tblDaily[Admissions],tblDaily[EntryDate],DATE(2026,9,7),tblDaily[WardCode],"BH")=0,"",SUMIFS(tblDaily[Admissions],tblDaily[EntryDate],DATE(2026,9,7),tblDaily[WardCode],"BH")),"")</f>
        <v/>
      </c>
      <c r="C325" s="29" t="str">
        <f>IFERROR(IF(SUMIFS(tblDaily[Discharges],tblDaily[EntryDate],DATE(2026,9,7),tblDaily[WardCode],"BH")=0,"",SUMIFS(tblDaily[Discharges],tblDaily[EntryDate],DATE(2026,9,7),tblDaily[WardCode],"BH")),"")</f>
        <v/>
      </c>
      <c r="D325" s="29" t="str">
        <f>IFERROR(IF(SUMIFS(tblDaily[Deaths],tblDaily[EntryDate],DATE(2026,9,7),tblDaily[WardCode],"BH")=0,"",SUMIFS(tblDaily[Deaths],tblDaily[EntryDate],DATE(2026,9,7),tblDaily[WardCode],"BH")),"")</f>
        <v/>
      </c>
      <c r="E325" s="29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29" t="str">
        <f>IFERROR(IF(SUMIFS(tblDaily[TransfersIn],tblDaily[EntryDate],DATE(2026,9,7),tblDaily[WardCode],"BH")=0,"",SUMIFS(tblDaily[TransfersIn],tblDaily[EntryDate],DATE(2026,9,7),tblDaily[WardCode],"BH")),"")</f>
        <v/>
      </c>
      <c r="G325" s="29" t="str">
        <f>IFERROR(IF(SUMIFS(tblDaily[TransfersOut],tblDaily[EntryDate],DATE(2026,9,7),tblDaily[WardCode],"BH")=0,"",SUMIFS(tblDaily[TransfersOut],tblDaily[EntryDate],DATE(2026,9,7),tblDaily[WardCode],"BH")),"")</f>
        <v/>
      </c>
      <c r="H325" s="29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IFERROR(IF(SUMIFS(tblDaily[Admissions],tblDaily[EntryDate],DATE(2026,9,8),tblDaily[WardCode],"BH")=0,"",SUMIFS(tblDaily[Admissions],tblDaily[EntryDate],DATE(2026,9,8),tblDaily[WardCode],"BH")),"")</f>
        <v/>
      </c>
      <c r="C326" s="29" t="str">
        <f>IFERROR(IF(SUMIFS(tblDaily[Discharges],tblDaily[EntryDate],DATE(2026,9,8),tblDaily[WardCode],"BH")=0,"",SUMIFS(tblDaily[Discharges],tblDaily[EntryDate],DATE(2026,9,8),tblDaily[WardCode],"BH")),"")</f>
        <v/>
      </c>
      <c r="D326" s="29" t="str">
        <f>IFERROR(IF(SUMIFS(tblDaily[Deaths],tblDaily[EntryDate],DATE(2026,9,8),tblDaily[WardCode],"BH")=0,"",SUMIFS(tblDaily[Deaths],tblDaily[EntryDate],DATE(2026,9,8),tblDaily[WardCode],"BH")),"")</f>
        <v/>
      </c>
      <c r="E326" s="29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29" t="str">
        <f>IFERROR(IF(SUMIFS(tblDaily[TransfersIn],tblDaily[EntryDate],DATE(2026,9,8),tblDaily[WardCode],"BH")=0,"",SUMIFS(tblDaily[TransfersIn],tblDaily[EntryDate],DATE(2026,9,8),tblDaily[WardCode],"BH")),"")</f>
        <v/>
      </c>
      <c r="G326" s="29" t="str">
        <f>IFERROR(IF(SUMIFS(tblDaily[TransfersOut],tblDaily[EntryDate],DATE(2026,9,8),tblDaily[WardCode],"BH")=0,"",SUMIFS(tblDaily[TransfersOut],tblDaily[EntryDate],DATE(2026,9,8),tblDaily[WardCode],"BH")),"")</f>
        <v/>
      </c>
      <c r="H326" s="29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IFERROR(IF(SUMIFS(tblDaily[Admissions],tblDaily[EntryDate],DATE(2026,9,9),tblDaily[WardCode],"BH")=0,"",SUMIFS(tblDaily[Admissions],tblDaily[EntryDate],DATE(2026,9,9),tblDaily[WardCode],"BH")),"")</f>
        <v/>
      </c>
      <c r="C327" s="29" t="str">
        <f>IFERROR(IF(SUMIFS(tblDaily[Discharges],tblDaily[EntryDate],DATE(2026,9,9),tblDaily[WardCode],"BH")=0,"",SUMIFS(tblDaily[Discharges],tblDaily[EntryDate],DATE(2026,9,9),tblDaily[WardCode],"BH")),"")</f>
        <v/>
      </c>
      <c r="D327" s="29" t="str">
        <f>IFERROR(IF(SUMIFS(tblDaily[Deaths],tblDaily[EntryDate],DATE(2026,9,9),tblDaily[WardCode],"BH")=0,"",SUMIFS(tblDaily[Deaths],tblDaily[EntryDate],DATE(2026,9,9),tblDaily[WardCode],"BH")),"")</f>
        <v/>
      </c>
      <c r="E327" s="29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29" t="str">
        <f>IFERROR(IF(SUMIFS(tblDaily[TransfersIn],tblDaily[EntryDate],DATE(2026,9,9),tblDaily[WardCode],"BH")=0,"",SUMIFS(tblDaily[TransfersIn],tblDaily[EntryDate],DATE(2026,9,9),tblDaily[WardCode],"BH")),"")</f>
        <v/>
      </c>
      <c r="G327" s="29" t="str">
        <f>IFERROR(IF(SUMIFS(tblDaily[TransfersOut],tblDaily[EntryDate],DATE(2026,9,9),tblDaily[WardCode],"BH")=0,"",SUMIFS(tblDaily[TransfersOut],tblDaily[EntryDate],DATE(2026,9,9),tblDaily[WardCode],"BH")),"")</f>
        <v/>
      </c>
      <c r="H327" s="29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IFERROR(IF(SUMIFS(tblDaily[Admissions],tblDaily[EntryDate],DATE(2026,9,10),tblDaily[WardCode],"BH")=0,"",SUMIFS(tblDaily[Admissions],tblDaily[EntryDate],DATE(2026,9,10),tblDaily[WardCode],"BH")),"")</f>
        <v/>
      </c>
      <c r="C328" s="29" t="str">
        <f>IFERROR(IF(SUMIFS(tblDaily[Discharges],tblDaily[EntryDate],DATE(2026,9,10),tblDaily[WardCode],"BH")=0,"",SUMIFS(tblDaily[Discharges],tblDaily[EntryDate],DATE(2026,9,10),tblDaily[WardCode],"BH")),"")</f>
        <v/>
      </c>
      <c r="D328" s="29" t="str">
        <f>IFERROR(IF(SUMIFS(tblDaily[Deaths],tblDaily[EntryDate],DATE(2026,9,10),tblDaily[WardCode],"BH")=0,"",SUMIFS(tblDaily[Deaths],tblDaily[EntryDate],DATE(2026,9,10),tblDaily[WardCode],"BH")),"")</f>
        <v/>
      </c>
      <c r="E328" s="29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29" t="str">
        <f>IFERROR(IF(SUMIFS(tblDaily[TransfersIn],tblDaily[EntryDate],DATE(2026,9,10),tblDaily[WardCode],"BH")=0,"",SUMIFS(tblDaily[TransfersIn],tblDaily[EntryDate],DATE(2026,9,10),tblDaily[WardCode],"BH")),"")</f>
        <v/>
      </c>
      <c r="G328" s="29" t="str">
        <f>IFERROR(IF(SUMIFS(tblDaily[TransfersOut],tblDaily[EntryDate],DATE(2026,9,10),tblDaily[WardCode],"BH")=0,"",SUMIFS(tblDaily[TransfersOut],tblDaily[EntryDate],DATE(2026,9,10),tblDaily[WardCode],"BH")),"")</f>
        <v/>
      </c>
      <c r="H328" s="29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IFERROR(IF(SUMIFS(tblDaily[Admissions],tblDaily[EntryDate],DATE(2026,9,11),tblDaily[WardCode],"BH")=0,"",SUMIFS(tblDaily[Admissions],tblDaily[EntryDate],DATE(2026,9,11),tblDaily[WardCode],"BH")),"")</f>
        <v/>
      </c>
      <c r="C329" s="29" t="str">
        <f>IFERROR(IF(SUMIFS(tblDaily[Discharges],tblDaily[EntryDate],DATE(2026,9,11),tblDaily[WardCode],"BH")=0,"",SUMIFS(tblDaily[Discharges],tblDaily[EntryDate],DATE(2026,9,11),tblDaily[WardCode],"BH")),"")</f>
        <v/>
      </c>
      <c r="D329" s="29" t="str">
        <f>IFERROR(IF(SUMIFS(tblDaily[Deaths],tblDaily[EntryDate],DATE(2026,9,11),tblDaily[WardCode],"BH")=0,"",SUMIFS(tblDaily[Deaths],tblDaily[EntryDate],DATE(2026,9,11),tblDaily[WardCode],"BH")),"")</f>
        <v/>
      </c>
      <c r="E329" s="29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29" t="str">
        <f>IFERROR(IF(SUMIFS(tblDaily[TransfersIn],tblDaily[EntryDate],DATE(2026,9,11),tblDaily[WardCode],"BH")=0,"",SUMIFS(tblDaily[TransfersIn],tblDaily[EntryDate],DATE(2026,9,11),tblDaily[WardCode],"BH")),"")</f>
        <v/>
      </c>
      <c r="G329" s="29" t="str">
        <f>IFERROR(IF(SUMIFS(tblDaily[TransfersOut],tblDaily[EntryDate],DATE(2026,9,11),tblDaily[WardCode],"BH")=0,"",SUMIFS(tblDaily[TransfersOut],tblDaily[EntryDate],DATE(2026,9,11),tblDaily[WardCode],"BH")),"")</f>
        <v/>
      </c>
      <c r="H329" s="29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IFERROR(IF(SUMIFS(tblDaily[Admissions],tblDaily[EntryDate],DATE(2026,9,12),tblDaily[WardCode],"BH")=0,"",SUMIFS(tblDaily[Admissions],tblDaily[EntryDate],DATE(2026,9,12),tblDaily[WardCode],"BH")),"")</f>
        <v/>
      </c>
      <c r="C330" s="29" t="str">
        <f>IFERROR(IF(SUMIFS(tblDaily[Discharges],tblDaily[EntryDate],DATE(2026,9,12),tblDaily[WardCode],"BH")=0,"",SUMIFS(tblDaily[Discharges],tblDaily[EntryDate],DATE(2026,9,12),tblDaily[WardCode],"BH")),"")</f>
        <v/>
      </c>
      <c r="D330" s="29" t="str">
        <f>IFERROR(IF(SUMIFS(tblDaily[Deaths],tblDaily[EntryDate],DATE(2026,9,12),tblDaily[WardCode],"BH")=0,"",SUMIFS(tblDaily[Deaths],tblDaily[EntryDate],DATE(2026,9,12),tblDaily[WardCode],"BH")),"")</f>
        <v/>
      </c>
      <c r="E330" s="29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29" t="str">
        <f>IFERROR(IF(SUMIFS(tblDaily[TransfersIn],tblDaily[EntryDate],DATE(2026,9,12),tblDaily[WardCode],"BH")=0,"",SUMIFS(tblDaily[TransfersIn],tblDaily[EntryDate],DATE(2026,9,12),tblDaily[WardCode],"BH")),"")</f>
        <v/>
      </c>
      <c r="G330" s="29" t="str">
        <f>IFERROR(IF(SUMIFS(tblDaily[TransfersOut],tblDaily[EntryDate],DATE(2026,9,12),tblDaily[WardCode],"BH")=0,"",SUMIFS(tblDaily[TransfersOut],tblDaily[EntryDate],DATE(2026,9,12),tblDaily[WardCode],"BH")),"")</f>
        <v/>
      </c>
      <c r="H330" s="29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IFERROR(IF(SUMIFS(tblDaily[Admissions],tblDaily[EntryDate],DATE(2026,9,13),tblDaily[WardCode],"BH")=0,"",SUMIFS(tblDaily[Admissions],tblDaily[EntryDate],DATE(2026,9,13),tblDaily[WardCode],"BH")),"")</f>
        <v/>
      </c>
      <c r="C331" s="29" t="str">
        <f>IFERROR(IF(SUMIFS(tblDaily[Discharges],tblDaily[EntryDate],DATE(2026,9,13),tblDaily[WardCode],"BH")=0,"",SUMIFS(tblDaily[Discharges],tblDaily[EntryDate],DATE(2026,9,13),tblDaily[WardCode],"BH")),"")</f>
        <v/>
      </c>
      <c r="D331" s="29" t="str">
        <f>IFERROR(IF(SUMIFS(tblDaily[Deaths],tblDaily[EntryDate],DATE(2026,9,13),tblDaily[WardCode],"BH")=0,"",SUMIFS(tblDaily[Deaths],tblDaily[EntryDate],DATE(2026,9,13),tblDaily[WardCode],"BH")),"")</f>
        <v/>
      </c>
      <c r="E331" s="29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29" t="str">
        <f>IFERROR(IF(SUMIFS(tblDaily[TransfersIn],tblDaily[EntryDate],DATE(2026,9,13),tblDaily[WardCode],"BH")=0,"",SUMIFS(tblDaily[TransfersIn],tblDaily[EntryDate],DATE(2026,9,13),tblDaily[WardCode],"BH")),"")</f>
        <v/>
      </c>
      <c r="G331" s="29" t="str">
        <f>IFERROR(IF(SUMIFS(tblDaily[TransfersOut],tblDaily[EntryDate],DATE(2026,9,13),tblDaily[WardCode],"BH")=0,"",SUMIFS(tblDaily[TransfersOut],tblDaily[EntryDate],DATE(2026,9,13),tblDaily[WardCode],"BH")),"")</f>
        <v/>
      </c>
      <c r="H331" s="29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IFERROR(IF(SUMIFS(tblDaily[Admissions],tblDaily[EntryDate],DATE(2026,9,14),tblDaily[WardCode],"BH")=0,"",SUMIFS(tblDaily[Admissions],tblDaily[EntryDate],DATE(2026,9,14),tblDaily[WardCode],"BH")),"")</f>
        <v/>
      </c>
      <c r="C332" s="29" t="str">
        <f>IFERROR(IF(SUMIFS(tblDaily[Discharges],tblDaily[EntryDate],DATE(2026,9,14),tblDaily[WardCode],"BH")=0,"",SUMIFS(tblDaily[Discharges],tblDaily[EntryDate],DATE(2026,9,14),tblDaily[WardCode],"BH")),"")</f>
        <v/>
      </c>
      <c r="D332" s="29" t="str">
        <f>IFERROR(IF(SUMIFS(tblDaily[Deaths],tblDaily[EntryDate],DATE(2026,9,14),tblDaily[WardCode],"BH")=0,"",SUMIFS(tblDaily[Deaths],tblDaily[EntryDate],DATE(2026,9,14),tblDaily[WardCode],"BH")),"")</f>
        <v/>
      </c>
      <c r="E332" s="29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29" t="str">
        <f>IFERROR(IF(SUMIFS(tblDaily[TransfersIn],tblDaily[EntryDate],DATE(2026,9,14),tblDaily[WardCode],"BH")=0,"",SUMIFS(tblDaily[TransfersIn],tblDaily[EntryDate],DATE(2026,9,14),tblDaily[WardCode],"BH")),"")</f>
        <v/>
      </c>
      <c r="G332" s="29" t="str">
        <f>IFERROR(IF(SUMIFS(tblDaily[TransfersOut],tblDaily[EntryDate],DATE(2026,9,14),tblDaily[WardCode],"BH")=0,"",SUMIFS(tblDaily[TransfersOut],tblDaily[EntryDate],DATE(2026,9,14),tblDaily[WardCode],"BH")),"")</f>
        <v/>
      </c>
      <c r="H332" s="29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IFERROR(IF(SUMIFS(tblDaily[Admissions],tblDaily[EntryDate],DATE(2026,9,15),tblDaily[WardCode],"BH")=0,"",SUMIFS(tblDaily[Admissions],tblDaily[EntryDate],DATE(2026,9,15),tblDaily[WardCode],"BH")),"")</f>
        <v/>
      </c>
      <c r="C333" s="29" t="str">
        <f>IFERROR(IF(SUMIFS(tblDaily[Discharges],tblDaily[EntryDate],DATE(2026,9,15),tblDaily[WardCode],"BH")=0,"",SUMIFS(tblDaily[Discharges],tblDaily[EntryDate],DATE(2026,9,15),tblDaily[WardCode],"BH")),"")</f>
        <v/>
      </c>
      <c r="D333" s="29" t="str">
        <f>IFERROR(IF(SUMIFS(tblDaily[Deaths],tblDaily[EntryDate],DATE(2026,9,15),tblDaily[WardCode],"BH")=0,"",SUMIFS(tblDaily[Deaths],tblDaily[EntryDate],DATE(2026,9,15),tblDaily[WardCode],"BH")),"")</f>
        <v/>
      </c>
      <c r="E333" s="29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29" t="str">
        <f>IFERROR(IF(SUMIFS(tblDaily[TransfersIn],tblDaily[EntryDate],DATE(2026,9,15),tblDaily[WardCode],"BH")=0,"",SUMIFS(tblDaily[TransfersIn],tblDaily[EntryDate],DATE(2026,9,15),tblDaily[WardCode],"BH")),"")</f>
        <v/>
      </c>
      <c r="G333" s="29" t="str">
        <f>IFERROR(IF(SUMIFS(tblDaily[TransfersOut],tblDaily[EntryDate],DATE(2026,9,15),tblDaily[WardCode],"BH")=0,"",SUMIFS(tblDaily[TransfersOut],tblDaily[EntryDate],DATE(2026,9,15),tblDaily[WardCode],"BH")),"")</f>
        <v/>
      </c>
      <c r="H333" s="29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IFERROR(IF(SUMIFS(tblDaily[Admissions],tblDaily[EntryDate],DATE(2026,9,16),tblDaily[WardCode],"BH")=0,"",SUMIFS(tblDaily[Admissions],tblDaily[EntryDate],DATE(2026,9,16),tblDaily[WardCode],"BH")),"")</f>
        <v/>
      </c>
      <c r="C334" s="29" t="str">
        <f>IFERROR(IF(SUMIFS(tblDaily[Discharges],tblDaily[EntryDate],DATE(2026,9,16),tblDaily[WardCode],"BH")=0,"",SUMIFS(tblDaily[Discharges],tblDaily[EntryDate],DATE(2026,9,16),tblDaily[WardCode],"BH")),"")</f>
        <v/>
      </c>
      <c r="D334" s="29" t="str">
        <f>IFERROR(IF(SUMIFS(tblDaily[Deaths],tblDaily[EntryDate],DATE(2026,9,16),tblDaily[WardCode],"BH")=0,"",SUMIFS(tblDaily[Deaths],tblDaily[EntryDate],DATE(2026,9,16),tblDaily[WardCode],"BH")),"")</f>
        <v/>
      </c>
      <c r="E334" s="29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29" t="str">
        <f>IFERROR(IF(SUMIFS(tblDaily[TransfersIn],tblDaily[EntryDate],DATE(2026,9,16),tblDaily[WardCode],"BH")=0,"",SUMIFS(tblDaily[TransfersIn],tblDaily[EntryDate],DATE(2026,9,16),tblDaily[WardCode],"BH")),"")</f>
        <v/>
      </c>
      <c r="G334" s="29" t="str">
        <f>IFERROR(IF(SUMIFS(tblDaily[TransfersOut],tblDaily[EntryDate],DATE(2026,9,16),tblDaily[WardCode],"BH")=0,"",SUMIFS(tblDaily[TransfersOut],tblDaily[EntryDate],DATE(2026,9,16),tblDaily[WardCode],"BH")),"")</f>
        <v/>
      </c>
      <c r="H334" s="29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IFERROR(IF(SUMIFS(tblDaily[Admissions],tblDaily[EntryDate],DATE(2026,9,17),tblDaily[WardCode],"BH")=0,"",SUMIFS(tblDaily[Admissions],tblDaily[EntryDate],DATE(2026,9,17),tblDaily[WardCode],"BH")),"")</f>
        <v/>
      </c>
      <c r="C335" s="29" t="str">
        <f>IFERROR(IF(SUMIFS(tblDaily[Discharges],tblDaily[EntryDate],DATE(2026,9,17),tblDaily[WardCode],"BH")=0,"",SUMIFS(tblDaily[Discharges],tblDaily[EntryDate],DATE(2026,9,17),tblDaily[WardCode],"BH")),"")</f>
        <v/>
      </c>
      <c r="D335" s="29" t="str">
        <f>IFERROR(IF(SUMIFS(tblDaily[Deaths],tblDaily[EntryDate],DATE(2026,9,17),tblDaily[WardCode],"BH")=0,"",SUMIFS(tblDaily[Deaths],tblDaily[EntryDate],DATE(2026,9,17),tblDaily[WardCode],"BH")),"")</f>
        <v/>
      </c>
      <c r="E335" s="29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29" t="str">
        <f>IFERROR(IF(SUMIFS(tblDaily[TransfersIn],tblDaily[EntryDate],DATE(2026,9,17),tblDaily[WardCode],"BH")=0,"",SUMIFS(tblDaily[TransfersIn],tblDaily[EntryDate],DATE(2026,9,17),tblDaily[WardCode],"BH")),"")</f>
        <v/>
      </c>
      <c r="G335" s="29" t="str">
        <f>IFERROR(IF(SUMIFS(tblDaily[TransfersOut],tblDaily[EntryDate],DATE(2026,9,17),tblDaily[WardCode],"BH")=0,"",SUMIFS(tblDaily[TransfersOut],tblDaily[EntryDate],DATE(2026,9,17),tblDaily[WardCode],"BH")),"")</f>
        <v/>
      </c>
      <c r="H335" s="29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IFERROR(IF(SUMIFS(tblDaily[Admissions],tblDaily[EntryDate],DATE(2026,9,18),tblDaily[WardCode],"BH")=0,"",SUMIFS(tblDaily[Admissions],tblDaily[EntryDate],DATE(2026,9,18),tblDaily[WardCode],"BH")),"")</f>
        <v/>
      </c>
      <c r="C336" s="29" t="str">
        <f>IFERROR(IF(SUMIFS(tblDaily[Discharges],tblDaily[EntryDate],DATE(2026,9,18),tblDaily[WardCode],"BH")=0,"",SUMIFS(tblDaily[Discharges],tblDaily[EntryDate],DATE(2026,9,18),tblDaily[WardCode],"BH")),"")</f>
        <v/>
      </c>
      <c r="D336" s="29" t="str">
        <f>IFERROR(IF(SUMIFS(tblDaily[Deaths],tblDaily[EntryDate],DATE(2026,9,18),tblDaily[WardCode],"BH")=0,"",SUMIFS(tblDaily[Deaths],tblDaily[EntryDate],DATE(2026,9,18),tblDaily[WardCode],"BH")),"")</f>
        <v/>
      </c>
      <c r="E336" s="29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29" t="str">
        <f>IFERROR(IF(SUMIFS(tblDaily[TransfersIn],tblDaily[EntryDate],DATE(2026,9,18),tblDaily[WardCode],"BH")=0,"",SUMIFS(tblDaily[TransfersIn],tblDaily[EntryDate],DATE(2026,9,18),tblDaily[WardCode],"BH")),"")</f>
        <v/>
      </c>
      <c r="G336" s="29" t="str">
        <f>IFERROR(IF(SUMIFS(tblDaily[TransfersOut],tblDaily[EntryDate],DATE(2026,9,18),tblDaily[WardCode],"BH")=0,"",SUMIFS(tblDaily[TransfersOut],tblDaily[EntryDate],DATE(2026,9,18),tblDaily[WardCode],"BH")),"")</f>
        <v/>
      </c>
      <c r="H336" s="29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IFERROR(IF(SUMIFS(tblDaily[Admissions],tblDaily[EntryDate],DATE(2026,9,19),tblDaily[WardCode],"BH")=0,"",SUMIFS(tblDaily[Admissions],tblDaily[EntryDate],DATE(2026,9,19),tblDaily[WardCode],"BH")),"")</f>
        <v/>
      </c>
      <c r="C337" s="29" t="str">
        <f>IFERROR(IF(SUMIFS(tblDaily[Discharges],tblDaily[EntryDate],DATE(2026,9,19),tblDaily[WardCode],"BH")=0,"",SUMIFS(tblDaily[Discharges],tblDaily[EntryDate],DATE(2026,9,19),tblDaily[WardCode],"BH")),"")</f>
        <v/>
      </c>
      <c r="D337" s="29" t="str">
        <f>IFERROR(IF(SUMIFS(tblDaily[Deaths],tblDaily[EntryDate],DATE(2026,9,19),tblDaily[WardCode],"BH")=0,"",SUMIFS(tblDaily[Deaths],tblDaily[EntryDate],DATE(2026,9,19),tblDaily[WardCode],"BH")),"")</f>
        <v/>
      </c>
      <c r="E337" s="29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29" t="str">
        <f>IFERROR(IF(SUMIFS(tblDaily[TransfersIn],tblDaily[EntryDate],DATE(2026,9,19),tblDaily[WardCode],"BH")=0,"",SUMIFS(tblDaily[TransfersIn],tblDaily[EntryDate],DATE(2026,9,19),tblDaily[WardCode],"BH")),"")</f>
        <v/>
      </c>
      <c r="G337" s="29" t="str">
        <f>IFERROR(IF(SUMIFS(tblDaily[TransfersOut],tblDaily[EntryDate],DATE(2026,9,19),tblDaily[WardCode],"BH")=0,"",SUMIFS(tblDaily[TransfersOut],tblDaily[EntryDate],DATE(2026,9,19),tblDaily[WardCode],"BH")),"")</f>
        <v/>
      </c>
      <c r="H337" s="29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IFERROR(IF(SUMIFS(tblDaily[Admissions],tblDaily[EntryDate],DATE(2026,9,20),tblDaily[WardCode],"BH")=0,"",SUMIFS(tblDaily[Admissions],tblDaily[EntryDate],DATE(2026,9,20),tblDaily[WardCode],"BH")),"")</f>
        <v/>
      </c>
      <c r="C338" s="29" t="str">
        <f>IFERROR(IF(SUMIFS(tblDaily[Discharges],tblDaily[EntryDate],DATE(2026,9,20),tblDaily[WardCode],"BH")=0,"",SUMIFS(tblDaily[Discharges],tblDaily[EntryDate],DATE(2026,9,20),tblDaily[WardCode],"BH")),"")</f>
        <v/>
      </c>
      <c r="D338" s="29" t="str">
        <f>IFERROR(IF(SUMIFS(tblDaily[Deaths],tblDaily[EntryDate],DATE(2026,9,20),tblDaily[WardCode],"BH")=0,"",SUMIFS(tblDaily[Deaths],tblDaily[EntryDate],DATE(2026,9,20),tblDaily[WardCode],"BH")),"")</f>
        <v/>
      </c>
      <c r="E338" s="29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29" t="str">
        <f>IFERROR(IF(SUMIFS(tblDaily[TransfersIn],tblDaily[EntryDate],DATE(2026,9,20),tblDaily[WardCode],"BH")=0,"",SUMIFS(tblDaily[TransfersIn],tblDaily[EntryDate],DATE(2026,9,20),tblDaily[WardCode],"BH")),"")</f>
        <v/>
      </c>
      <c r="G338" s="29" t="str">
        <f>IFERROR(IF(SUMIFS(tblDaily[TransfersOut],tblDaily[EntryDate],DATE(2026,9,20),tblDaily[WardCode],"BH")=0,"",SUMIFS(tblDaily[TransfersOut],tblDaily[EntryDate],DATE(2026,9,20),tblDaily[WardCode],"BH")),"")</f>
        <v/>
      </c>
      <c r="H338" s="29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IFERROR(IF(SUMIFS(tblDaily[Admissions],tblDaily[EntryDate],DATE(2026,9,21),tblDaily[WardCode],"BH")=0,"",SUMIFS(tblDaily[Admissions],tblDaily[EntryDate],DATE(2026,9,21),tblDaily[WardCode],"BH")),"")</f>
        <v/>
      </c>
      <c r="C339" s="29" t="str">
        <f>IFERROR(IF(SUMIFS(tblDaily[Discharges],tblDaily[EntryDate],DATE(2026,9,21),tblDaily[WardCode],"BH")=0,"",SUMIFS(tblDaily[Discharges],tblDaily[EntryDate],DATE(2026,9,21),tblDaily[WardCode],"BH")),"")</f>
        <v/>
      </c>
      <c r="D339" s="29" t="str">
        <f>IFERROR(IF(SUMIFS(tblDaily[Deaths],tblDaily[EntryDate],DATE(2026,9,21),tblDaily[WardCode],"BH")=0,"",SUMIFS(tblDaily[Deaths],tblDaily[EntryDate],DATE(2026,9,21),tblDaily[WardCode],"BH")),"")</f>
        <v/>
      </c>
      <c r="E339" s="29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29" t="str">
        <f>IFERROR(IF(SUMIFS(tblDaily[TransfersIn],tblDaily[EntryDate],DATE(2026,9,21),tblDaily[WardCode],"BH")=0,"",SUMIFS(tblDaily[TransfersIn],tblDaily[EntryDate],DATE(2026,9,21),tblDaily[WardCode],"BH")),"")</f>
        <v/>
      </c>
      <c r="G339" s="29" t="str">
        <f>IFERROR(IF(SUMIFS(tblDaily[TransfersOut],tblDaily[EntryDate],DATE(2026,9,21),tblDaily[WardCode],"BH")=0,"",SUMIFS(tblDaily[TransfersOut],tblDaily[EntryDate],DATE(2026,9,21),tblDaily[WardCode],"BH")),"")</f>
        <v/>
      </c>
      <c r="H339" s="29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IFERROR(IF(SUMIFS(tblDaily[Admissions],tblDaily[EntryDate],DATE(2026,9,22),tblDaily[WardCode],"BH")=0,"",SUMIFS(tblDaily[Admissions],tblDaily[EntryDate],DATE(2026,9,22),tblDaily[WardCode],"BH")),"")</f>
        <v/>
      </c>
      <c r="C340" s="29" t="str">
        <f>IFERROR(IF(SUMIFS(tblDaily[Discharges],tblDaily[EntryDate],DATE(2026,9,22),tblDaily[WardCode],"BH")=0,"",SUMIFS(tblDaily[Discharges],tblDaily[EntryDate],DATE(2026,9,22),tblDaily[WardCode],"BH")),"")</f>
        <v/>
      </c>
      <c r="D340" s="29" t="str">
        <f>IFERROR(IF(SUMIFS(tblDaily[Deaths],tblDaily[EntryDate],DATE(2026,9,22),tblDaily[WardCode],"BH")=0,"",SUMIFS(tblDaily[Deaths],tblDaily[EntryDate],DATE(2026,9,22),tblDaily[WardCode],"BH")),"")</f>
        <v/>
      </c>
      <c r="E340" s="29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29" t="str">
        <f>IFERROR(IF(SUMIFS(tblDaily[TransfersIn],tblDaily[EntryDate],DATE(2026,9,22),tblDaily[WardCode],"BH")=0,"",SUMIFS(tblDaily[TransfersIn],tblDaily[EntryDate],DATE(2026,9,22),tblDaily[WardCode],"BH")),"")</f>
        <v/>
      </c>
      <c r="G340" s="29" t="str">
        <f>IFERROR(IF(SUMIFS(tblDaily[TransfersOut],tblDaily[EntryDate],DATE(2026,9,22),tblDaily[WardCode],"BH")=0,"",SUMIFS(tblDaily[TransfersOut],tblDaily[EntryDate],DATE(2026,9,22),tblDaily[WardCode],"BH")),"")</f>
        <v/>
      </c>
      <c r="H340" s="29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IFERROR(IF(SUMIFS(tblDaily[Admissions],tblDaily[EntryDate],DATE(2026,9,23),tblDaily[WardCode],"BH")=0,"",SUMIFS(tblDaily[Admissions],tblDaily[EntryDate],DATE(2026,9,23),tblDaily[WardCode],"BH")),"")</f>
        <v/>
      </c>
      <c r="C341" s="29" t="str">
        <f>IFERROR(IF(SUMIFS(tblDaily[Discharges],tblDaily[EntryDate],DATE(2026,9,23),tblDaily[WardCode],"BH")=0,"",SUMIFS(tblDaily[Discharges],tblDaily[EntryDate],DATE(2026,9,23),tblDaily[WardCode],"BH")),"")</f>
        <v/>
      </c>
      <c r="D341" s="29" t="str">
        <f>IFERROR(IF(SUMIFS(tblDaily[Deaths],tblDaily[EntryDate],DATE(2026,9,23),tblDaily[WardCode],"BH")=0,"",SUMIFS(tblDaily[Deaths],tblDaily[EntryDate],DATE(2026,9,23),tblDaily[WardCode],"BH")),"")</f>
        <v/>
      </c>
      <c r="E341" s="29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29" t="str">
        <f>IFERROR(IF(SUMIFS(tblDaily[TransfersIn],tblDaily[EntryDate],DATE(2026,9,23),tblDaily[WardCode],"BH")=0,"",SUMIFS(tblDaily[TransfersIn],tblDaily[EntryDate],DATE(2026,9,23),tblDaily[WardCode],"BH")),"")</f>
        <v/>
      </c>
      <c r="G341" s="29" t="str">
        <f>IFERROR(IF(SUMIFS(tblDaily[TransfersOut],tblDaily[EntryDate],DATE(2026,9,23),tblDaily[WardCode],"BH")=0,"",SUMIFS(tblDaily[TransfersOut],tblDaily[EntryDate],DATE(2026,9,23),tblDaily[WardCode],"BH")),"")</f>
        <v/>
      </c>
      <c r="H341" s="29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IFERROR(IF(SUMIFS(tblDaily[Admissions],tblDaily[EntryDate],DATE(2026,9,24),tblDaily[WardCode],"BH")=0,"",SUMIFS(tblDaily[Admissions],tblDaily[EntryDate],DATE(2026,9,24),tblDaily[WardCode],"BH")),"")</f>
        <v/>
      </c>
      <c r="C342" s="29" t="str">
        <f>IFERROR(IF(SUMIFS(tblDaily[Discharges],tblDaily[EntryDate],DATE(2026,9,24),tblDaily[WardCode],"BH")=0,"",SUMIFS(tblDaily[Discharges],tblDaily[EntryDate],DATE(2026,9,24),tblDaily[WardCode],"BH")),"")</f>
        <v/>
      </c>
      <c r="D342" s="29" t="str">
        <f>IFERROR(IF(SUMIFS(tblDaily[Deaths],tblDaily[EntryDate],DATE(2026,9,24),tblDaily[WardCode],"BH")=0,"",SUMIFS(tblDaily[Deaths],tblDaily[EntryDate],DATE(2026,9,24),tblDaily[WardCode],"BH")),"")</f>
        <v/>
      </c>
      <c r="E342" s="29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29" t="str">
        <f>IFERROR(IF(SUMIFS(tblDaily[TransfersIn],tblDaily[EntryDate],DATE(2026,9,24),tblDaily[WardCode],"BH")=0,"",SUMIFS(tblDaily[TransfersIn],tblDaily[EntryDate],DATE(2026,9,24),tblDaily[WardCode],"BH")),"")</f>
        <v/>
      </c>
      <c r="G342" s="29" t="str">
        <f>IFERROR(IF(SUMIFS(tblDaily[TransfersOut],tblDaily[EntryDate],DATE(2026,9,24),tblDaily[WardCode],"BH")=0,"",SUMIFS(tblDaily[TransfersOut],tblDaily[EntryDate],DATE(2026,9,24),tblDaily[WardCode],"BH")),"")</f>
        <v/>
      </c>
      <c r="H342" s="29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IFERROR(IF(SUMIFS(tblDaily[Admissions],tblDaily[EntryDate],DATE(2026,9,25),tblDaily[WardCode],"BH")=0,"",SUMIFS(tblDaily[Admissions],tblDaily[EntryDate],DATE(2026,9,25),tblDaily[WardCode],"BH")),"")</f>
        <v/>
      </c>
      <c r="C343" s="29" t="str">
        <f>IFERROR(IF(SUMIFS(tblDaily[Discharges],tblDaily[EntryDate],DATE(2026,9,25),tblDaily[WardCode],"BH")=0,"",SUMIFS(tblDaily[Discharges],tblDaily[EntryDate],DATE(2026,9,25),tblDaily[WardCode],"BH")),"")</f>
        <v/>
      </c>
      <c r="D343" s="29" t="str">
        <f>IFERROR(IF(SUMIFS(tblDaily[Deaths],tblDaily[EntryDate],DATE(2026,9,25),tblDaily[WardCode],"BH")=0,"",SUMIFS(tblDaily[Deaths],tblDaily[EntryDate],DATE(2026,9,25),tblDaily[WardCode],"BH")),"")</f>
        <v/>
      </c>
      <c r="E343" s="29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29" t="str">
        <f>IFERROR(IF(SUMIFS(tblDaily[TransfersIn],tblDaily[EntryDate],DATE(2026,9,25),tblDaily[WardCode],"BH")=0,"",SUMIFS(tblDaily[TransfersIn],tblDaily[EntryDate],DATE(2026,9,25),tblDaily[WardCode],"BH")),"")</f>
        <v/>
      </c>
      <c r="G343" s="29" t="str">
        <f>IFERROR(IF(SUMIFS(tblDaily[TransfersOut],tblDaily[EntryDate],DATE(2026,9,25),tblDaily[WardCode],"BH")=0,"",SUMIFS(tblDaily[TransfersOut],tblDaily[EntryDate],DATE(2026,9,25),tblDaily[WardCode],"BH")),"")</f>
        <v/>
      </c>
      <c r="H343" s="29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IFERROR(IF(SUMIFS(tblDaily[Admissions],tblDaily[EntryDate],DATE(2026,9,26),tblDaily[WardCode],"BH")=0,"",SUMIFS(tblDaily[Admissions],tblDaily[EntryDate],DATE(2026,9,26),tblDaily[WardCode],"BH")),"")</f>
        <v/>
      </c>
      <c r="C344" s="29" t="str">
        <f>IFERROR(IF(SUMIFS(tblDaily[Discharges],tblDaily[EntryDate],DATE(2026,9,26),tblDaily[WardCode],"BH")=0,"",SUMIFS(tblDaily[Discharges],tblDaily[EntryDate],DATE(2026,9,26),tblDaily[WardCode],"BH")),"")</f>
        <v/>
      </c>
      <c r="D344" s="29" t="str">
        <f>IFERROR(IF(SUMIFS(tblDaily[Deaths],tblDaily[EntryDate],DATE(2026,9,26),tblDaily[WardCode],"BH")=0,"",SUMIFS(tblDaily[Deaths],tblDaily[EntryDate],DATE(2026,9,26),tblDaily[WardCode],"BH")),"")</f>
        <v/>
      </c>
      <c r="E344" s="29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29" t="str">
        <f>IFERROR(IF(SUMIFS(tblDaily[TransfersIn],tblDaily[EntryDate],DATE(2026,9,26),tblDaily[WardCode],"BH")=0,"",SUMIFS(tblDaily[TransfersIn],tblDaily[EntryDate],DATE(2026,9,26),tblDaily[WardCode],"BH")),"")</f>
        <v/>
      </c>
      <c r="G344" s="29" t="str">
        <f>IFERROR(IF(SUMIFS(tblDaily[TransfersOut],tblDaily[EntryDate],DATE(2026,9,26),tblDaily[WardCode],"BH")=0,"",SUMIFS(tblDaily[TransfersOut],tblDaily[EntryDate],DATE(2026,9,26),tblDaily[WardCode],"BH")),"")</f>
        <v/>
      </c>
      <c r="H344" s="29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IFERROR(IF(SUMIFS(tblDaily[Admissions],tblDaily[EntryDate],DATE(2026,9,27),tblDaily[WardCode],"BH")=0,"",SUMIFS(tblDaily[Admissions],tblDaily[EntryDate],DATE(2026,9,27),tblDaily[WardCode],"BH")),"")</f>
        <v/>
      </c>
      <c r="C345" s="29" t="str">
        <f>IFERROR(IF(SUMIFS(tblDaily[Discharges],tblDaily[EntryDate],DATE(2026,9,27),tblDaily[WardCode],"BH")=0,"",SUMIFS(tblDaily[Discharges],tblDaily[EntryDate],DATE(2026,9,27),tblDaily[WardCode],"BH")),"")</f>
        <v/>
      </c>
      <c r="D345" s="29" t="str">
        <f>IFERROR(IF(SUMIFS(tblDaily[Deaths],tblDaily[EntryDate],DATE(2026,9,27),tblDaily[WardCode],"BH")=0,"",SUMIFS(tblDaily[Deaths],tblDaily[EntryDate],DATE(2026,9,27),tblDaily[WardCode],"BH")),"")</f>
        <v/>
      </c>
      <c r="E345" s="29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29" t="str">
        <f>IFERROR(IF(SUMIFS(tblDaily[TransfersIn],tblDaily[EntryDate],DATE(2026,9,27),tblDaily[WardCode],"BH")=0,"",SUMIFS(tblDaily[TransfersIn],tblDaily[EntryDate],DATE(2026,9,27),tblDaily[WardCode],"BH")),"")</f>
        <v/>
      </c>
      <c r="G345" s="29" t="str">
        <f>IFERROR(IF(SUMIFS(tblDaily[TransfersOut],tblDaily[EntryDate],DATE(2026,9,27),tblDaily[WardCode],"BH")=0,"",SUMIFS(tblDaily[TransfersOut],tblDaily[EntryDate],DATE(2026,9,27),tblDaily[WardCode],"BH")),"")</f>
        <v/>
      </c>
      <c r="H345" s="29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IFERROR(IF(SUMIFS(tblDaily[Admissions],tblDaily[EntryDate],DATE(2026,9,28),tblDaily[WardCode],"BH")=0,"",SUMIFS(tblDaily[Admissions],tblDaily[EntryDate],DATE(2026,9,28),tblDaily[WardCode],"BH")),"")</f>
        <v/>
      </c>
      <c r="C346" s="29" t="str">
        <f>IFERROR(IF(SUMIFS(tblDaily[Discharges],tblDaily[EntryDate],DATE(2026,9,28),tblDaily[WardCode],"BH")=0,"",SUMIFS(tblDaily[Discharges],tblDaily[EntryDate],DATE(2026,9,28),tblDaily[WardCode],"BH")),"")</f>
        <v/>
      </c>
      <c r="D346" s="29" t="str">
        <f>IFERROR(IF(SUMIFS(tblDaily[Deaths],tblDaily[EntryDate],DATE(2026,9,28),tblDaily[WardCode],"BH")=0,"",SUMIFS(tblDaily[Deaths],tblDaily[EntryDate],DATE(2026,9,28),tblDaily[WardCode],"BH")),"")</f>
        <v/>
      </c>
      <c r="E346" s="29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29" t="str">
        <f>IFERROR(IF(SUMIFS(tblDaily[TransfersIn],tblDaily[EntryDate],DATE(2026,9,28),tblDaily[WardCode],"BH")=0,"",SUMIFS(tblDaily[TransfersIn],tblDaily[EntryDate],DATE(2026,9,28),tblDaily[WardCode],"BH")),"")</f>
        <v/>
      </c>
      <c r="G346" s="29" t="str">
        <f>IFERROR(IF(SUMIFS(tblDaily[TransfersOut],tblDaily[EntryDate],DATE(2026,9,28),tblDaily[WardCode],"BH")=0,"",SUMIFS(tblDaily[TransfersOut],tblDaily[EntryDate],DATE(2026,9,28),tblDaily[WardCode],"BH")),"")</f>
        <v/>
      </c>
      <c r="H346" s="29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IFERROR(IF(SUMIFS(tblDaily[Admissions],tblDaily[EntryDate],DATE(2026,9,29),tblDaily[WardCode],"BH")=0,"",SUMIFS(tblDaily[Admissions],tblDaily[EntryDate],DATE(2026,9,29),tblDaily[WardCode],"BH")),"")</f>
        <v/>
      </c>
      <c r="C347" s="29" t="str">
        <f>IFERROR(IF(SUMIFS(tblDaily[Discharges],tblDaily[EntryDate],DATE(2026,9,29),tblDaily[WardCode],"BH")=0,"",SUMIFS(tblDaily[Discharges],tblDaily[EntryDate],DATE(2026,9,29),tblDaily[WardCode],"BH")),"")</f>
        <v/>
      </c>
      <c r="D347" s="29" t="str">
        <f>IFERROR(IF(SUMIFS(tblDaily[Deaths],tblDaily[EntryDate],DATE(2026,9,29),tblDaily[WardCode],"BH")=0,"",SUMIFS(tblDaily[Deaths],tblDaily[EntryDate],DATE(2026,9,29),tblDaily[WardCode],"BH")),"")</f>
        <v/>
      </c>
      <c r="E347" s="29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29" t="str">
        <f>IFERROR(IF(SUMIFS(tblDaily[TransfersIn],tblDaily[EntryDate],DATE(2026,9,29),tblDaily[WardCode],"BH")=0,"",SUMIFS(tblDaily[TransfersIn],tblDaily[EntryDate],DATE(2026,9,29),tblDaily[WardCode],"BH")),"")</f>
        <v/>
      </c>
      <c r="G347" s="29" t="str">
        <f>IFERROR(IF(SUMIFS(tblDaily[TransfersOut],tblDaily[EntryDate],DATE(2026,9,29),tblDaily[WardCode],"BH")=0,"",SUMIFS(tblDaily[TransfersOut],tblDaily[EntryDate],DATE(2026,9,29),tblDaily[WardCode],"BH")),"")</f>
        <v/>
      </c>
      <c r="H347" s="29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IFERROR(IF(SUMIFS(tblDaily[Admissions],tblDaily[EntryDate],DATE(2026,9,30),tblDaily[WardCode],"BH")=0,"",SUMIFS(tblDaily[Admissions],tblDaily[EntryDate],DATE(2026,9,30),tblDaily[WardCode],"BH")),"")</f>
        <v/>
      </c>
      <c r="C348" s="29" t="str">
        <f>IFERROR(IF(SUMIFS(tblDaily[Discharges],tblDaily[EntryDate],DATE(2026,9,30),tblDaily[WardCode],"BH")=0,"",SUMIFS(tblDaily[Discharges],tblDaily[EntryDate],DATE(2026,9,30),tblDaily[WardCode],"BH")),"")</f>
        <v/>
      </c>
      <c r="D348" s="29" t="str">
        <f>IFERROR(IF(SUMIFS(tblDaily[Deaths],tblDaily[EntryDate],DATE(2026,9,30),tblDaily[WardCode],"BH")=0,"",SUMIFS(tblDaily[Deaths],tblDaily[EntryDate],DATE(2026,9,30),tblDaily[WardCode],"BH")),"")</f>
        <v/>
      </c>
      <c r="E348" s="29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29" t="str">
        <f>IFERROR(IF(SUMIFS(tblDaily[TransfersIn],tblDaily[EntryDate],DATE(2026,9,30),tblDaily[WardCode],"BH")=0,"",SUMIFS(tblDaily[TransfersIn],tblDaily[EntryDate],DATE(2026,9,30),tblDaily[WardCode],"BH")),"")</f>
        <v/>
      </c>
      <c r="G348" s="29" t="str">
        <f>IFERROR(IF(SUMIFS(tblDaily[TransfersOut],tblDaily[EntryDate],DATE(2026,9,30),tblDaily[WardCode],"BH")=0,"",SUMIFS(tblDaily[TransfersOut],tblDaily[EntryDate],DATE(2026,9,30),tblDaily[WardCode],"BH")),"")</f>
        <v/>
      </c>
      <c r="H348" s="29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SUMIFS(tblDaily[Admissions],tblDaily[Month],9,tblDaily[WardCode],"BH") - SUMIFS(tblDaily[DeathsUnder24Hrs],tblDaily[Month],9,tblDaily[WardCode],"BH")</f>
        <v>0</v>
      </c>
      <c r="C350" s="30">
        <f>SUMIFS(tblDaily[Discharges],tblDaily[Month],9,tblDaily[WardCode],"BH")</f>
        <v>0</v>
      </c>
      <c r="D350" s="30">
        <f>SUMIFS(tblDaily[Deaths],tblDaily[Month],9,tblDaily[WardCode],"BH")</f>
        <v>0</v>
      </c>
      <c r="E350" s="30">
        <f>SUMIFS(tblDaily[DeathsUnder24Hrs],tblDaily[Month],9,tblDaily[WardCode],"BH")</f>
        <v>0</v>
      </c>
      <c r="F350" s="30">
        <f>SUMIFS(tblDaily[TransfersIn],tblDaily[Month],9,tblDaily[WardCode],"BH")</f>
        <v>0</v>
      </c>
      <c r="G350" s="30">
        <f>SUMIFS(tblDaily[TransfersOut],tblDaily[Month],9,tblDaily[WardCode],"BH")</f>
        <v>0</v>
      </c>
      <c r="H350" s="30">
        <f>SUMIFS(tblDaily[Remaining],tblDaily[Month],9,tblDaily[WardCode],"BH")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120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IFERROR(SUMIFS(tblDaily[Remaining],tblDaily[EntryDate],DATE(2026,9,30),tblDaily[WardCode],"BH"),0)</f>
        <v>0</v>
      </c>
    </row>
    <row r="356" spans="1:8" x14ac:dyDescent="0.25">
      <c r="A356" s="24" t="s">
        <v>109</v>
      </c>
      <c r="H356" s="27">
        <f>IFERROR(INDEX(tblWardConfig[BedComplement],MATCH("BH",tblWardConfig[WardCode],0)),0)</f>
        <v>22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IFERROR(IF(SUMIFS(tblDaily[Admissions],tblDaily[EntryDate],DATE(2026,10,1),tblDaily[WardCode],"BH")=0,"",SUMIFS(tblDaily[Admissions],tblDaily[EntryDate],DATE(2026,10,1),tblDaily[WardCode],"BH")),"")</f>
        <v/>
      </c>
      <c r="C358" s="29" t="str">
        <f>IFERROR(IF(SUMIFS(tblDaily[Discharges],tblDaily[EntryDate],DATE(2026,10,1),tblDaily[WardCode],"BH")=0,"",SUMIFS(tblDaily[Discharges],tblDaily[EntryDate],DATE(2026,10,1),tblDaily[WardCode],"BH")),"")</f>
        <v/>
      </c>
      <c r="D358" s="29" t="str">
        <f>IFERROR(IF(SUMIFS(tblDaily[Deaths],tblDaily[EntryDate],DATE(2026,10,1),tblDaily[WardCode],"BH")=0,"",SUMIFS(tblDaily[Deaths],tblDaily[EntryDate],DATE(2026,10,1),tblDaily[WardCode],"BH")),"")</f>
        <v/>
      </c>
      <c r="E358" s="29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29" t="str">
        <f>IFERROR(IF(SUMIFS(tblDaily[TransfersIn],tblDaily[EntryDate],DATE(2026,10,1),tblDaily[WardCode],"BH")=0,"",SUMIFS(tblDaily[TransfersIn],tblDaily[EntryDate],DATE(2026,10,1),tblDaily[WardCode],"BH")),"")</f>
        <v/>
      </c>
      <c r="G358" s="29" t="str">
        <f>IFERROR(IF(SUMIFS(tblDaily[TransfersOut],tblDaily[EntryDate],DATE(2026,10,1),tblDaily[WardCode],"BH")=0,"",SUMIFS(tblDaily[TransfersOut],tblDaily[EntryDate],DATE(2026,10,1),tblDaily[WardCode],"BH")),"")</f>
        <v/>
      </c>
      <c r="H358" s="29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IFERROR(IF(SUMIFS(tblDaily[Admissions],tblDaily[EntryDate],DATE(2026,10,2),tblDaily[WardCode],"BH")=0,"",SUMIFS(tblDaily[Admissions],tblDaily[EntryDate],DATE(2026,10,2),tblDaily[WardCode],"BH")),"")</f>
        <v/>
      </c>
      <c r="C359" s="29" t="str">
        <f>IFERROR(IF(SUMIFS(tblDaily[Discharges],tblDaily[EntryDate],DATE(2026,10,2),tblDaily[WardCode],"BH")=0,"",SUMIFS(tblDaily[Discharges],tblDaily[EntryDate],DATE(2026,10,2),tblDaily[WardCode],"BH")),"")</f>
        <v/>
      </c>
      <c r="D359" s="29" t="str">
        <f>IFERROR(IF(SUMIFS(tblDaily[Deaths],tblDaily[EntryDate],DATE(2026,10,2),tblDaily[WardCode],"BH")=0,"",SUMIFS(tblDaily[Deaths],tblDaily[EntryDate],DATE(2026,10,2),tblDaily[WardCode],"BH")),"")</f>
        <v/>
      </c>
      <c r="E359" s="29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29" t="str">
        <f>IFERROR(IF(SUMIFS(tblDaily[TransfersIn],tblDaily[EntryDate],DATE(2026,10,2),tblDaily[WardCode],"BH")=0,"",SUMIFS(tblDaily[TransfersIn],tblDaily[EntryDate],DATE(2026,10,2),tblDaily[WardCode],"BH")),"")</f>
        <v/>
      </c>
      <c r="G359" s="29" t="str">
        <f>IFERROR(IF(SUMIFS(tblDaily[TransfersOut],tblDaily[EntryDate],DATE(2026,10,2),tblDaily[WardCode],"BH")=0,"",SUMIFS(tblDaily[TransfersOut],tblDaily[EntryDate],DATE(2026,10,2),tblDaily[WardCode],"BH")),"")</f>
        <v/>
      </c>
      <c r="H359" s="29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IFERROR(IF(SUMIFS(tblDaily[Admissions],tblDaily[EntryDate],DATE(2026,10,3),tblDaily[WardCode],"BH")=0,"",SUMIFS(tblDaily[Admissions],tblDaily[EntryDate],DATE(2026,10,3),tblDaily[WardCode],"BH")),"")</f>
        <v/>
      </c>
      <c r="C360" s="29" t="str">
        <f>IFERROR(IF(SUMIFS(tblDaily[Discharges],tblDaily[EntryDate],DATE(2026,10,3),tblDaily[WardCode],"BH")=0,"",SUMIFS(tblDaily[Discharges],tblDaily[EntryDate],DATE(2026,10,3),tblDaily[WardCode],"BH")),"")</f>
        <v/>
      </c>
      <c r="D360" s="29" t="str">
        <f>IFERROR(IF(SUMIFS(tblDaily[Deaths],tblDaily[EntryDate],DATE(2026,10,3),tblDaily[WardCode],"BH")=0,"",SUMIFS(tblDaily[Deaths],tblDaily[EntryDate],DATE(2026,10,3),tblDaily[WardCode],"BH")),"")</f>
        <v/>
      </c>
      <c r="E360" s="29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29" t="str">
        <f>IFERROR(IF(SUMIFS(tblDaily[TransfersIn],tblDaily[EntryDate],DATE(2026,10,3),tblDaily[WardCode],"BH")=0,"",SUMIFS(tblDaily[TransfersIn],tblDaily[EntryDate],DATE(2026,10,3),tblDaily[WardCode],"BH")),"")</f>
        <v/>
      </c>
      <c r="G360" s="29" t="str">
        <f>IFERROR(IF(SUMIFS(tblDaily[TransfersOut],tblDaily[EntryDate],DATE(2026,10,3),tblDaily[WardCode],"BH")=0,"",SUMIFS(tblDaily[TransfersOut],tblDaily[EntryDate],DATE(2026,10,3),tblDaily[WardCode],"BH")),"")</f>
        <v/>
      </c>
      <c r="H360" s="29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IFERROR(IF(SUMIFS(tblDaily[Admissions],tblDaily[EntryDate],DATE(2026,10,4),tblDaily[WardCode],"BH")=0,"",SUMIFS(tblDaily[Admissions],tblDaily[EntryDate],DATE(2026,10,4),tblDaily[WardCode],"BH")),"")</f>
        <v/>
      </c>
      <c r="C361" s="29" t="str">
        <f>IFERROR(IF(SUMIFS(tblDaily[Discharges],tblDaily[EntryDate],DATE(2026,10,4),tblDaily[WardCode],"BH")=0,"",SUMIFS(tblDaily[Discharges],tblDaily[EntryDate],DATE(2026,10,4),tblDaily[WardCode],"BH")),"")</f>
        <v/>
      </c>
      <c r="D361" s="29" t="str">
        <f>IFERROR(IF(SUMIFS(tblDaily[Deaths],tblDaily[EntryDate],DATE(2026,10,4),tblDaily[WardCode],"BH")=0,"",SUMIFS(tblDaily[Deaths],tblDaily[EntryDate],DATE(2026,10,4),tblDaily[WardCode],"BH")),"")</f>
        <v/>
      </c>
      <c r="E361" s="29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29" t="str">
        <f>IFERROR(IF(SUMIFS(tblDaily[TransfersIn],tblDaily[EntryDate],DATE(2026,10,4),tblDaily[WardCode],"BH")=0,"",SUMIFS(tblDaily[TransfersIn],tblDaily[EntryDate],DATE(2026,10,4),tblDaily[WardCode],"BH")),"")</f>
        <v/>
      </c>
      <c r="G361" s="29" t="str">
        <f>IFERROR(IF(SUMIFS(tblDaily[TransfersOut],tblDaily[EntryDate],DATE(2026,10,4),tblDaily[WardCode],"BH")=0,"",SUMIFS(tblDaily[TransfersOut],tblDaily[EntryDate],DATE(2026,10,4),tblDaily[WardCode],"BH")),"")</f>
        <v/>
      </c>
      <c r="H361" s="29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IFERROR(IF(SUMIFS(tblDaily[Admissions],tblDaily[EntryDate],DATE(2026,10,5),tblDaily[WardCode],"BH")=0,"",SUMIFS(tblDaily[Admissions],tblDaily[EntryDate],DATE(2026,10,5),tblDaily[WardCode],"BH")),"")</f>
        <v/>
      </c>
      <c r="C362" s="29" t="str">
        <f>IFERROR(IF(SUMIFS(tblDaily[Discharges],tblDaily[EntryDate],DATE(2026,10,5),tblDaily[WardCode],"BH")=0,"",SUMIFS(tblDaily[Discharges],tblDaily[EntryDate],DATE(2026,10,5),tblDaily[WardCode],"BH")),"")</f>
        <v/>
      </c>
      <c r="D362" s="29" t="str">
        <f>IFERROR(IF(SUMIFS(tblDaily[Deaths],tblDaily[EntryDate],DATE(2026,10,5),tblDaily[WardCode],"BH")=0,"",SUMIFS(tblDaily[Deaths],tblDaily[EntryDate],DATE(2026,10,5),tblDaily[WardCode],"BH")),"")</f>
        <v/>
      </c>
      <c r="E362" s="29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29" t="str">
        <f>IFERROR(IF(SUMIFS(tblDaily[TransfersIn],tblDaily[EntryDate],DATE(2026,10,5),tblDaily[WardCode],"BH")=0,"",SUMIFS(tblDaily[TransfersIn],tblDaily[EntryDate],DATE(2026,10,5),tblDaily[WardCode],"BH")),"")</f>
        <v/>
      </c>
      <c r="G362" s="29" t="str">
        <f>IFERROR(IF(SUMIFS(tblDaily[TransfersOut],tblDaily[EntryDate],DATE(2026,10,5),tblDaily[WardCode],"BH")=0,"",SUMIFS(tblDaily[TransfersOut],tblDaily[EntryDate],DATE(2026,10,5),tblDaily[WardCode],"BH")),"")</f>
        <v/>
      </c>
      <c r="H362" s="29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IFERROR(IF(SUMIFS(tblDaily[Admissions],tblDaily[EntryDate],DATE(2026,10,6),tblDaily[WardCode],"BH")=0,"",SUMIFS(tblDaily[Admissions],tblDaily[EntryDate],DATE(2026,10,6),tblDaily[WardCode],"BH")),"")</f>
        <v/>
      </c>
      <c r="C363" s="29" t="str">
        <f>IFERROR(IF(SUMIFS(tblDaily[Discharges],tblDaily[EntryDate],DATE(2026,10,6),tblDaily[WardCode],"BH")=0,"",SUMIFS(tblDaily[Discharges],tblDaily[EntryDate],DATE(2026,10,6),tblDaily[WardCode],"BH")),"")</f>
        <v/>
      </c>
      <c r="D363" s="29" t="str">
        <f>IFERROR(IF(SUMIFS(tblDaily[Deaths],tblDaily[EntryDate],DATE(2026,10,6),tblDaily[WardCode],"BH")=0,"",SUMIFS(tblDaily[Deaths],tblDaily[EntryDate],DATE(2026,10,6),tblDaily[WardCode],"BH")),"")</f>
        <v/>
      </c>
      <c r="E363" s="29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29" t="str">
        <f>IFERROR(IF(SUMIFS(tblDaily[TransfersIn],tblDaily[EntryDate],DATE(2026,10,6),tblDaily[WardCode],"BH")=0,"",SUMIFS(tblDaily[TransfersIn],tblDaily[EntryDate],DATE(2026,10,6),tblDaily[WardCode],"BH")),"")</f>
        <v/>
      </c>
      <c r="G363" s="29" t="str">
        <f>IFERROR(IF(SUMIFS(tblDaily[TransfersOut],tblDaily[EntryDate],DATE(2026,10,6),tblDaily[WardCode],"BH")=0,"",SUMIFS(tblDaily[TransfersOut],tblDaily[EntryDate],DATE(2026,10,6),tblDaily[WardCode],"BH")),"")</f>
        <v/>
      </c>
      <c r="H363" s="29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IFERROR(IF(SUMIFS(tblDaily[Admissions],tblDaily[EntryDate],DATE(2026,10,7),tblDaily[WardCode],"BH")=0,"",SUMIFS(tblDaily[Admissions],tblDaily[EntryDate],DATE(2026,10,7),tblDaily[WardCode],"BH")),"")</f>
        <v/>
      </c>
      <c r="C364" s="29" t="str">
        <f>IFERROR(IF(SUMIFS(tblDaily[Discharges],tblDaily[EntryDate],DATE(2026,10,7),tblDaily[WardCode],"BH")=0,"",SUMIFS(tblDaily[Discharges],tblDaily[EntryDate],DATE(2026,10,7),tblDaily[WardCode],"BH")),"")</f>
        <v/>
      </c>
      <c r="D364" s="29" t="str">
        <f>IFERROR(IF(SUMIFS(tblDaily[Deaths],tblDaily[EntryDate],DATE(2026,10,7),tblDaily[WardCode],"BH")=0,"",SUMIFS(tblDaily[Deaths],tblDaily[EntryDate],DATE(2026,10,7),tblDaily[WardCode],"BH")),"")</f>
        <v/>
      </c>
      <c r="E364" s="29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29" t="str">
        <f>IFERROR(IF(SUMIFS(tblDaily[TransfersIn],tblDaily[EntryDate],DATE(2026,10,7),tblDaily[WardCode],"BH")=0,"",SUMIFS(tblDaily[TransfersIn],tblDaily[EntryDate],DATE(2026,10,7),tblDaily[WardCode],"BH")),"")</f>
        <v/>
      </c>
      <c r="G364" s="29" t="str">
        <f>IFERROR(IF(SUMIFS(tblDaily[TransfersOut],tblDaily[EntryDate],DATE(2026,10,7),tblDaily[WardCode],"BH")=0,"",SUMIFS(tblDaily[TransfersOut],tblDaily[EntryDate],DATE(2026,10,7),tblDaily[WardCode],"BH")),"")</f>
        <v/>
      </c>
      <c r="H364" s="29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IFERROR(IF(SUMIFS(tblDaily[Admissions],tblDaily[EntryDate],DATE(2026,10,8),tblDaily[WardCode],"BH")=0,"",SUMIFS(tblDaily[Admissions],tblDaily[EntryDate],DATE(2026,10,8),tblDaily[WardCode],"BH")),"")</f>
        <v/>
      </c>
      <c r="C365" s="29" t="str">
        <f>IFERROR(IF(SUMIFS(tblDaily[Discharges],tblDaily[EntryDate],DATE(2026,10,8),tblDaily[WardCode],"BH")=0,"",SUMIFS(tblDaily[Discharges],tblDaily[EntryDate],DATE(2026,10,8),tblDaily[WardCode],"BH")),"")</f>
        <v/>
      </c>
      <c r="D365" s="29" t="str">
        <f>IFERROR(IF(SUMIFS(tblDaily[Deaths],tblDaily[EntryDate],DATE(2026,10,8),tblDaily[WardCode],"BH")=0,"",SUMIFS(tblDaily[Deaths],tblDaily[EntryDate],DATE(2026,10,8),tblDaily[WardCode],"BH")),"")</f>
        <v/>
      </c>
      <c r="E365" s="29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29" t="str">
        <f>IFERROR(IF(SUMIFS(tblDaily[TransfersIn],tblDaily[EntryDate],DATE(2026,10,8),tblDaily[WardCode],"BH")=0,"",SUMIFS(tblDaily[TransfersIn],tblDaily[EntryDate],DATE(2026,10,8),tblDaily[WardCode],"BH")),"")</f>
        <v/>
      </c>
      <c r="G365" s="29" t="str">
        <f>IFERROR(IF(SUMIFS(tblDaily[TransfersOut],tblDaily[EntryDate],DATE(2026,10,8),tblDaily[WardCode],"BH")=0,"",SUMIFS(tblDaily[TransfersOut],tblDaily[EntryDate],DATE(2026,10,8),tblDaily[WardCode],"BH")),"")</f>
        <v/>
      </c>
      <c r="H365" s="29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IFERROR(IF(SUMIFS(tblDaily[Admissions],tblDaily[EntryDate],DATE(2026,10,9),tblDaily[WardCode],"BH")=0,"",SUMIFS(tblDaily[Admissions],tblDaily[EntryDate],DATE(2026,10,9),tblDaily[WardCode],"BH")),"")</f>
        <v/>
      </c>
      <c r="C366" s="29" t="str">
        <f>IFERROR(IF(SUMIFS(tblDaily[Discharges],tblDaily[EntryDate],DATE(2026,10,9),tblDaily[WardCode],"BH")=0,"",SUMIFS(tblDaily[Discharges],tblDaily[EntryDate],DATE(2026,10,9),tblDaily[WardCode],"BH")),"")</f>
        <v/>
      </c>
      <c r="D366" s="29" t="str">
        <f>IFERROR(IF(SUMIFS(tblDaily[Deaths],tblDaily[EntryDate],DATE(2026,10,9),tblDaily[WardCode],"BH")=0,"",SUMIFS(tblDaily[Deaths],tblDaily[EntryDate],DATE(2026,10,9),tblDaily[WardCode],"BH")),"")</f>
        <v/>
      </c>
      <c r="E366" s="29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29" t="str">
        <f>IFERROR(IF(SUMIFS(tblDaily[TransfersIn],tblDaily[EntryDate],DATE(2026,10,9),tblDaily[WardCode],"BH")=0,"",SUMIFS(tblDaily[TransfersIn],tblDaily[EntryDate],DATE(2026,10,9),tblDaily[WardCode],"BH")),"")</f>
        <v/>
      </c>
      <c r="G366" s="29" t="str">
        <f>IFERROR(IF(SUMIFS(tblDaily[TransfersOut],tblDaily[EntryDate],DATE(2026,10,9),tblDaily[WardCode],"BH")=0,"",SUMIFS(tblDaily[TransfersOut],tblDaily[EntryDate],DATE(2026,10,9),tblDaily[WardCode],"BH")),"")</f>
        <v/>
      </c>
      <c r="H366" s="29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IFERROR(IF(SUMIFS(tblDaily[Admissions],tblDaily[EntryDate],DATE(2026,10,10),tblDaily[WardCode],"BH")=0,"",SUMIFS(tblDaily[Admissions],tblDaily[EntryDate],DATE(2026,10,10),tblDaily[WardCode],"BH")),"")</f>
        <v/>
      </c>
      <c r="C367" s="29" t="str">
        <f>IFERROR(IF(SUMIFS(tblDaily[Discharges],tblDaily[EntryDate],DATE(2026,10,10),tblDaily[WardCode],"BH")=0,"",SUMIFS(tblDaily[Discharges],tblDaily[EntryDate],DATE(2026,10,10),tblDaily[WardCode],"BH")),"")</f>
        <v/>
      </c>
      <c r="D367" s="29" t="str">
        <f>IFERROR(IF(SUMIFS(tblDaily[Deaths],tblDaily[EntryDate],DATE(2026,10,10),tblDaily[WardCode],"BH")=0,"",SUMIFS(tblDaily[Deaths],tblDaily[EntryDate],DATE(2026,10,10),tblDaily[WardCode],"BH")),"")</f>
        <v/>
      </c>
      <c r="E367" s="29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29" t="str">
        <f>IFERROR(IF(SUMIFS(tblDaily[TransfersIn],tblDaily[EntryDate],DATE(2026,10,10),tblDaily[WardCode],"BH")=0,"",SUMIFS(tblDaily[TransfersIn],tblDaily[EntryDate],DATE(2026,10,10),tblDaily[WardCode],"BH")),"")</f>
        <v/>
      </c>
      <c r="G367" s="29" t="str">
        <f>IFERROR(IF(SUMIFS(tblDaily[TransfersOut],tblDaily[EntryDate],DATE(2026,10,10),tblDaily[WardCode],"BH")=0,"",SUMIFS(tblDaily[TransfersOut],tblDaily[EntryDate],DATE(2026,10,10),tblDaily[WardCode],"BH")),"")</f>
        <v/>
      </c>
      <c r="H367" s="29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IFERROR(IF(SUMIFS(tblDaily[Admissions],tblDaily[EntryDate],DATE(2026,10,11),tblDaily[WardCode],"BH")=0,"",SUMIFS(tblDaily[Admissions],tblDaily[EntryDate],DATE(2026,10,11),tblDaily[WardCode],"BH")),"")</f>
        <v/>
      </c>
      <c r="C368" s="29" t="str">
        <f>IFERROR(IF(SUMIFS(tblDaily[Discharges],tblDaily[EntryDate],DATE(2026,10,11),tblDaily[WardCode],"BH")=0,"",SUMIFS(tblDaily[Discharges],tblDaily[EntryDate],DATE(2026,10,11),tblDaily[WardCode],"BH")),"")</f>
        <v/>
      </c>
      <c r="D368" s="29" t="str">
        <f>IFERROR(IF(SUMIFS(tblDaily[Deaths],tblDaily[EntryDate],DATE(2026,10,11),tblDaily[WardCode],"BH")=0,"",SUMIFS(tblDaily[Deaths],tblDaily[EntryDate],DATE(2026,10,11),tblDaily[WardCode],"BH")),"")</f>
        <v/>
      </c>
      <c r="E368" s="29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29" t="str">
        <f>IFERROR(IF(SUMIFS(tblDaily[TransfersIn],tblDaily[EntryDate],DATE(2026,10,11),tblDaily[WardCode],"BH")=0,"",SUMIFS(tblDaily[TransfersIn],tblDaily[EntryDate],DATE(2026,10,11),tblDaily[WardCode],"BH")),"")</f>
        <v/>
      </c>
      <c r="G368" s="29" t="str">
        <f>IFERROR(IF(SUMIFS(tblDaily[TransfersOut],tblDaily[EntryDate],DATE(2026,10,11),tblDaily[WardCode],"BH")=0,"",SUMIFS(tblDaily[TransfersOut],tblDaily[EntryDate],DATE(2026,10,11),tblDaily[WardCode],"BH")),"")</f>
        <v/>
      </c>
      <c r="H368" s="29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IFERROR(IF(SUMIFS(tblDaily[Admissions],tblDaily[EntryDate],DATE(2026,10,12),tblDaily[WardCode],"BH")=0,"",SUMIFS(tblDaily[Admissions],tblDaily[EntryDate],DATE(2026,10,12),tblDaily[WardCode],"BH")),"")</f>
        <v/>
      </c>
      <c r="C369" s="29" t="str">
        <f>IFERROR(IF(SUMIFS(tblDaily[Discharges],tblDaily[EntryDate],DATE(2026,10,12),tblDaily[WardCode],"BH")=0,"",SUMIFS(tblDaily[Discharges],tblDaily[EntryDate],DATE(2026,10,12),tblDaily[WardCode],"BH")),"")</f>
        <v/>
      </c>
      <c r="D369" s="29" t="str">
        <f>IFERROR(IF(SUMIFS(tblDaily[Deaths],tblDaily[EntryDate],DATE(2026,10,12),tblDaily[WardCode],"BH")=0,"",SUMIFS(tblDaily[Deaths],tblDaily[EntryDate],DATE(2026,10,12),tblDaily[WardCode],"BH")),"")</f>
        <v/>
      </c>
      <c r="E369" s="29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29" t="str">
        <f>IFERROR(IF(SUMIFS(tblDaily[TransfersIn],tblDaily[EntryDate],DATE(2026,10,12),tblDaily[WardCode],"BH")=0,"",SUMIFS(tblDaily[TransfersIn],tblDaily[EntryDate],DATE(2026,10,12),tblDaily[WardCode],"BH")),"")</f>
        <v/>
      </c>
      <c r="G369" s="29" t="str">
        <f>IFERROR(IF(SUMIFS(tblDaily[TransfersOut],tblDaily[EntryDate],DATE(2026,10,12),tblDaily[WardCode],"BH")=0,"",SUMIFS(tblDaily[TransfersOut],tblDaily[EntryDate],DATE(2026,10,12),tblDaily[WardCode],"BH")),"")</f>
        <v/>
      </c>
      <c r="H369" s="29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IFERROR(IF(SUMIFS(tblDaily[Admissions],tblDaily[EntryDate],DATE(2026,10,13),tblDaily[WardCode],"BH")=0,"",SUMIFS(tblDaily[Admissions],tblDaily[EntryDate],DATE(2026,10,13),tblDaily[WardCode],"BH")),"")</f>
        <v/>
      </c>
      <c r="C370" s="29" t="str">
        <f>IFERROR(IF(SUMIFS(tblDaily[Discharges],tblDaily[EntryDate],DATE(2026,10,13),tblDaily[WardCode],"BH")=0,"",SUMIFS(tblDaily[Discharges],tblDaily[EntryDate],DATE(2026,10,13),tblDaily[WardCode],"BH")),"")</f>
        <v/>
      </c>
      <c r="D370" s="29" t="str">
        <f>IFERROR(IF(SUMIFS(tblDaily[Deaths],tblDaily[EntryDate],DATE(2026,10,13),tblDaily[WardCode],"BH")=0,"",SUMIFS(tblDaily[Deaths],tblDaily[EntryDate],DATE(2026,10,13),tblDaily[WardCode],"BH")),"")</f>
        <v/>
      </c>
      <c r="E370" s="29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29" t="str">
        <f>IFERROR(IF(SUMIFS(tblDaily[TransfersIn],tblDaily[EntryDate],DATE(2026,10,13),tblDaily[WardCode],"BH")=0,"",SUMIFS(tblDaily[TransfersIn],tblDaily[EntryDate],DATE(2026,10,13),tblDaily[WardCode],"BH")),"")</f>
        <v/>
      </c>
      <c r="G370" s="29" t="str">
        <f>IFERROR(IF(SUMIFS(tblDaily[TransfersOut],tblDaily[EntryDate],DATE(2026,10,13),tblDaily[WardCode],"BH")=0,"",SUMIFS(tblDaily[TransfersOut],tblDaily[EntryDate],DATE(2026,10,13),tblDaily[WardCode],"BH")),"")</f>
        <v/>
      </c>
      <c r="H370" s="29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IFERROR(IF(SUMIFS(tblDaily[Admissions],tblDaily[EntryDate],DATE(2026,10,14),tblDaily[WardCode],"BH")=0,"",SUMIFS(tblDaily[Admissions],tblDaily[EntryDate],DATE(2026,10,14),tblDaily[WardCode],"BH")),"")</f>
        <v/>
      </c>
      <c r="C371" s="29" t="str">
        <f>IFERROR(IF(SUMIFS(tblDaily[Discharges],tblDaily[EntryDate],DATE(2026,10,14),tblDaily[WardCode],"BH")=0,"",SUMIFS(tblDaily[Discharges],tblDaily[EntryDate],DATE(2026,10,14),tblDaily[WardCode],"BH")),"")</f>
        <v/>
      </c>
      <c r="D371" s="29" t="str">
        <f>IFERROR(IF(SUMIFS(tblDaily[Deaths],tblDaily[EntryDate],DATE(2026,10,14),tblDaily[WardCode],"BH")=0,"",SUMIFS(tblDaily[Deaths],tblDaily[EntryDate],DATE(2026,10,14),tblDaily[WardCode],"BH")),"")</f>
        <v/>
      </c>
      <c r="E371" s="29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29" t="str">
        <f>IFERROR(IF(SUMIFS(tblDaily[TransfersIn],tblDaily[EntryDate],DATE(2026,10,14),tblDaily[WardCode],"BH")=0,"",SUMIFS(tblDaily[TransfersIn],tblDaily[EntryDate],DATE(2026,10,14),tblDaily[WardCode],"BH")),"")</f>
        <v/>
      </c>
      <c r="G371" s="29" t="str">
        <f>IFERROR(IF(SUMIFS(tblDaily[TransfersOut],tblDaily[EntryDate],DATE(2026,10,14),tblDaily[WardCode],"BH")=0,"",SUMIFS(tblDaily[TransfersOut],tblDaily[EntryDate],DATE(2026,10,14),tblDaily[WardCode],"BH")),"")</f>
        <v/>
      </c>
      <c r="H371" s="29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IFERROR(IF(SUMIFS(tblDaily[Admissions],tblDaily[EntryDate],DATE(2026,10,15),tblDaily[WardCode],"BH")=0,"",SUMIFS(tblDaily[Admissions],tblDaily[EntryDate],DATE(2026,10,15),tblDaily[WardCode],"BH")),"")</f>
        <v/>
      </c>
      <c r="C372" s="29" t="str">
        <f>IFERROR(IF(SUMIFS(tblDaily[Discharges],tblDaily[EntryDate],DATE(2026,10,15),tblDaily[WardCode],"BH")=0,"",SUMIFS(tblDaily[Discharges],tblDaily[EntryDate],DATE(2026,10,15),tblDaily[WardCode],"BH")),"")</f>
        <v/>
      </c>
      <c r="D372" s="29" t="str">
        <f>IFERROR(IF(SUMIFS(tblDaily[Deaths],tblDaily[EntryDate],DATE(2026,10,15),tblDaily[WardCode],"BH")=0,"",SUMIFS(tblDaily[Deaths],tblDaily[EntryDate],DATE(2026,10,15),tblDaily[WardCode],"BH")),"")</f>
        <v/>
      </c>
      <c r="E372" s="29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29" t="str">
        <f>IFERROR(IF(SUMIFS(tblDaily[TransfersIn],tblDaily[EntryDate],DATE(2026,10,15),tblDaily[WardCode],"BH")=0,"",SUMIFS(tblDaily[TransfersIn],tblDaily[EntryDate],DATE(2026,10,15),tblDaily[WardCode],"BH")),"")</f>
        <v/>
      </c>
      <c r="G372" s="29" t="str">
        <f>IFERROR(IF(SUMIFS(tblDaily[TransfersOut],tblDaily[EntryDate],DATE(2026,10,15),tblDaily[WardCode],"BH")=0,"",SUMIFS(tblDaily[TransfersOut],tblDaily[EntryDate],DATE(2026,10,15),tblDaily[WardCode],"BH")),"")</f>
        <v/>
      </c>
      <c r="H372" s="29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IFERROR(IF(SUMIFS(tblDaily[Admissions],tblDaily[EntryDate],DATE(2026,10,16),tblDaily[WardCode],"BH")=0,"",SUMIFS(tblDaily[Admissions],tblDaily[EntryDate],DATE(2026,10,16),tblDaily[WardCode],"BH")),"")</f>
        <v/>
      </c>
      <c r="C373" s="29" t="str">
        <f>IFERROR(IF(SUMIFS(tblDaily[Discharges],tblDaily[EntryDate],DATE(2026,10,16),tblDaily[WardCode],"BH")=0,"",SUMIFS(tblDaily[Discharges],tblDaily[EntryDate],DATE(2026,10,16),tblDaily[WardCode],"BH")),"")</f>
        <v/>
      </c>
      <c r="D373" s="29" t="str">
        <f>IFERROR(IF(SUMIFS(tblDaily[Deaths],tblDaily[EntryDate],DATE(2026,10,16),tblDaily[WardCode],"BH")=0,"",SUMIFS(tblDaily[Deaths],tblDaily[EntryDate],DATE(2026,10,16),tblDaily[WardCode],"BH")),"")</f>
        <v/>
      </c>
      <c r="E373" s="29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29" t="str">
        <f>IFERROR(IF(SUMIFS(tblDaily[TransfersIn],tblDaily[EntryDate],DATE(2026,10,16),tblDaily[WardCode],"BH")=0,"",SUMIFS(tblDaily[TransfersIn],tblDaily[EntryDate],DATE(2026,10,16),tblDaily[WardCode],"BH")),"")</f>
        <v/>
      </c>
      <c r="G373" s="29" t="str">
        <f>IFERROR(IF(SUMIFS(tblDaily[TransfersOut],tblDaily[EntryDate],DATE(2026,10,16),tblDaily[WardCode],"BH")=0,"",SUMIFS(tblDaily[TransfersOut],tblDaily[EntryDate],DATE(2026,10,16),tblDaily[WardCode],"BH")),"")</f>
        <v/>
      </c>
      <c r="H373" s="29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IFERROR(IF(SUMIFS(tblDaily[Admissions],tblDaily[EntryDate],DATE(2026,10,17),tblDaily[WardCode],"BH")=0,"",SUMIFS(tblDaily[Admissions],tblDaily[EntryDate],DATE(2026,10,17),tblDaily[WardCode],"BH")),"")</f>
        <v/>
      </c>
      <c r="C374" s="29" t="str">
        <f>IFERROR(IF(SUMIFS(tblDaily[Discharges],tblDaily[EntryDate],DATE(2026,10,17),tblDaily[WardCode],"BH")=0,"",SUMIFS(tblDaily[Discharges],tblDaily[EntryDate],DATE(2026,10,17),tblDaily[WardCode],"BH")),"")</f>
        <v/>
      </c>
      <c r="D374" s="29" t="str">
        <f>IFERROR(IF(SUMIFS(tblDaily[Deaths],tblDaily[EntryDate],DATE(2026,10,17),tblDaily[WardCode],"BH")=0,"",SUMIFS(tblDaily[Deaths],tblDaily[EntryDate],DATE(2026,10,17),tblDaily[WardCode],"BH")),"")</f>
        <v/>
      </c>
      <c r="E374" s="29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29" t="str">
        <f>IFERROR(IF(SUMIFS(tblDaily[TransfersIn],tblDaily[EntryDate],DATE(2026,10,17),tblDaily[WardCode],"BH")=0,"",SUMIFS(tblDaily[TransfersIn],tblDaily[EntryDate],DATE(2026,10,17),tblDaily[WardCode],"BH")),"")</f>
        <v/>
      </c>
      <c r="G374" s="29" t="str">
        <f>IFERROR(IF(SUMIFS(tblDaily[TransfersOut],tblDaily[EntryDate],DATE(2026,10,17),tblDaily[WardCode],"BH")=0,"",SUMIFS(tblDaily[TransfersOut],tblDaily[EntryDate],DATE(2026,10,17),tblDaily[WardCode],"BH")),"")</f>
        <v/>
      </c>
      <c r="H374" s="29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IFERROR(IF(SUMIFS(tblDaily[Admissions],tblDaily[EntryDate],DATE(2026,10,18),tblDaily[WardCode],"BH")=0,"",SUMIFS(tblDaily[Admissions],tblDaily[EntryDate],DATE(2026,10,18),tblDaily[WardCode],"BH")),"")</f>
        <v/>
      </c>
      <c r="C375" s="29" t="str">
        <f>IFERROR(IF(SUMIFS(tblDaily[Discharges],tblDaily[EntryDate],DATE(2026,10,18),tblDaily[WardCode],"BH")=0,"",SUMIFS(tblDaily[Discharges],tblDaily[EntryDate],DATE(2026,10,18),tblDaily[WardCode],"BH")),"")</f>
        <v/>
      </c>
      <c r="D375" s="29" t="str">
        <f>IFERROR(IF(SUMIFS(tblDaily[Deaths],tblDaily[EntryDate],DATE(2026,10,18),tblDaily[WardCode],"BH")=0,"",SUMIFS(tblDaily[Deaths],tblDaily[EntryDate],DATE(2026,10,18),tblDaily[WardCode],"BH")),"")</f>
        <v/>
      </c>
      <c r="E375" s="29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29" t="str">
        <f>IFERROR(IF(SUMIFS(tblDaily[TransfersIn],tblDaily[EntryDate],DATE(2026,10,18),tblDaily[WardCode],"BH")=0,"",SUMIFS(tblDaily[TransfersIn],tblDaily[EntryDate],DATE(2026,10,18),tblDaily[WardCode],"BH")),"")</f>
        <v/>
      </c>
      <c r="G375" s="29" t="str">
        <f>IFERROR(IF(SUMIFS(tblDaily[TransfersOut],tblDaily[EntryDate],DATE(2026,10,18),tblDaily[WardCode],"BH")=0,"",SUMIFS(tblDaily[TransfersOut],tblDaily[EntryDate],DATE(2026,10,18),tblDaily[WardCode],"BH")),"")</f>
        <v/>
      </c>
      <c r="H375" s="29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IFERROR(IF(SUMIFS(tblDaily[Admissions],tblDaily[EntryDate],DATE(2026,10,19),tblDaily[WardCode],"BH")=0,"",SUMIFS(tblDaily[Admissions],tblDaily[EntryDate],DATE(2026,10,19),tblDaily[WardCode],"BH")),"")</f>
        <v/>
      </c>
      <c r="C376" s="29" t="str">
        <f>IFERROR(IF(SUMIFS(tblDaily[Discharges],tblDaily[EntryDate],DATE(2026,10,19),tblDaily[WardCode],"BH")=0,"",SUMIFS(tblDaily[Discharges],tblDaily[EntryDate],DATE(2026,10,19),tblDaily[WardCode],"BH")),"")</f>
        <v/>
      </c>
      <c r="D376" s="29" t="str">
        <f>IFERROR(IF(SUMIFS(tblDaily[Deaths],tblDaily[EntryDate],DATE(2026,10,19),tblDaily[WardCode],"BH")=0,"",SUMIFS(tblDaily[Deaths],tblDaily[EntryDate],DATE(2026,10,19),tblDaily[WardCode],"BH")),"")</f>
        <v/>
      </c>
      <c r="E376" s="29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29" t="str">
        <f>IFERROR(IF(SUMIFS(tblDaily[TransfersIn],tblDaily[EntryDate],DATE(2026,10,19),tblDaily[WardCode],"BH")=0,"",SUMIFS(tblDaily[TransfersIn],tblDaily[EntryDate],DATE(2026,10,19),tblDaily[WardCode],"BH")),"")</f>
        <v/>
      </c>
      <c r="G376" s="29" t="str">
        <f>IFERROR(IF(SUMIFS(tblDaily[TransfersOut],tblDaily[EntryDate],DATE(2026,10,19),tblDaily[WardCode],"BH")=0,"",SUMIFS(tblDaily[TransfersOut],tblDaily[EntryDate],DATE(2026,10,19),tblDaily[WardCode],"BH")),"")</f>
        <v/>
      </c>
      <c r="H376" s="29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IFERROR(IF(SUMIFS(tblDaily[Admissions],tblDaily[EntryDate],DATE(2026,10,20),tblDaily[WardCode],"BH")=0,"",SUMIFS(tblDaily[Admissions],tblDaily[EntryDate],DATE(2026,10,20),tblDaily[WardCode],"BH")),"")</f>
        <v/>
      </c>
      <c r="C377" s="29" t="str">
        <f>IFERROR(IF(SUMIFS(tblDaily[Discharges],tblDaily[EntryDate],DATE(2026,10,20),tblDaily[WardCode],"BH")=0,"",SUMIFS(tblDaily[Discharges],tblDaily[EntryDate],DATE(2026,10,20),tblDaily[WardCode],"BH")),"")</f>
        <v/>
      </c>
      <c r="D377" s="29" t="str">
        <f>IFERROR(IF(SUMIFS(tblDaily[Deaths],tblDaily[EntryDate],DATE(2026,10,20),tblDaily[WardCode],"BH")=0,"",SUMIFS(tblDaily[Deaths],tblDaily[EntryDate],DATE(2026,10,20),tblDaily[WardCode],"BH")),"")</f>
        <v/>
      </c>
      <c r="E377" s="29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29" t="str">
        <f>IFERROR(IF(SUMIFS(tblDaily[TransfersIn],tblDaily[EntryDate],DATE(2026,10,20),tblDaily[WardCode],"BH")=0,"",SUMIFS(tblDaily[TransfersIn],tblDaily[EntryDate],DATE(2026,10,20),tblDaily[WardCode],"BH")),"")</f>
        <v/>
      </c>
      <c r="G377" s="29" t="str">
        <f>IFERROR(IF(SUMIFS(tblDaily[TransfersOut],tblDaily[EntryDate],DATE(2026,10,20),tblDaily[WardCode],"BH")=0,"",SUMIFS(tblDaily[TransfersOut],tblDaily[EntryDate],DATE(2026,10,20),tblDaily[WardCode],"BH")),"")</f>
        <v/>
      </c>
      <c r="H377" s="29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IFERROR(IF(SUMIFS(tblDaily[Admissions],tblDaily[EntryDate],DATE(2026,10,21),tblDaily[WardCode],"BH")=0,"",SUMIFS(tblDaily[Admissions],tblDaily[EntryDate],DATE(2026,10,21),tblDaily[WardCode],"BH")),"")</f>
        <v/>
      </c>
      <c r="C378" s="29" t="str">
        <f>IFERROR(IF(SUMIFS(tblDaily[Discharges],tblDaily[EntryDate],DATE(2026,10,21),tblDaily[WardCode],"BH")=0,"",SUMIFS(tblDaily[Discharges],tblDaily[EntryDate],DATE(2026,10,21),tblDaily[WardCode],"BH")),"")</f>
        <v/>
      </c>
      <c r="D378" s="29" t="str">
        <f>IFERROR(IF(SUMIFS(tblDaily[Deaths],tblDaily[EntryDate],DATE(2026,10,21),tblDaily[WardCode],"BH")=0,"",SUMIFS(tblDaily[Deaths],tblDaily[EntryDate],DATE(2026,10,21),tblDaily[WardCode],"BH")),"")</f>
        <v/>
      </c>
      <c r="E378" s="29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29" t="str">
        <f>IFERROR(IF(SUMIFS(tblDaily[TransfersIn],tblDaily[EntryDate],DATE(2026,10,21),tblDaily[WardCode],"BH")=0,"",SUMIFS(tblDaily[TransfersIn],tblDaily[EntryDate],DATE(2026,10,21),tblDaily[WardCode],"BH")),"")</f>
        <v/>
      </c>
      <c r="G378" s="29" t="str">
        <f>IFERROR(IF(SUMIFS(tblDaily[TransfersOut],tblDaily[EntryDate],DATE(2026,10,21),tblDaily[WardCode],"BH")=0,"",SUMIFS(tblDaily[TransfersOut],tblDaily[EntryDate],DATE(2026,10,21),tblDaily[WardCode],"BH")),"")</f>
        <v/>
      </c>
      <c r="H378" s="29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IFERROR(IF(SUMIFS(tblDaily[Admissions],tblDaily[EntryDate],DATE(2026,10,22),tblDaily[WardCode],"BH")=0,"",SUMIFS(tblDaily[Admissions],tblDaily[EntryDate],DATE(2026,10,22),tblDaily[WardCode],"BH")),"")</f>
        <v/>
      </c>
      <c r="C379" s="29" t="str">
        <f>IFERROR(IF(SUMIFS(tblDaily[Discharges],tblDaily[EntryDate],DATE(2026,10,22),tblDaily[WardCode],"BH")=0,"",SUMIFS(tblDaily[Discharges],tblDaily[EntryDate],DATE(2026,10,22),tblDaily[WardCode],"BH")),"")</f>
        <v/>
      </c>
      <c r="D379" s="29" t="str">
        <f>IFERROR(IF(SUMIFS(tblDaily[Deaths],tblDaily[EntryDate],DATE(2026,10,22),tblDaily[WardCode],"BH")=0,"",SUMIFS(tblDaily[Deaths],tblDaily[EntryDate],DATE(2026,10,22),tblDaily[WardCode],"BH")),"")</f>
        <v/>
      </c>
      <c r="E379" s="29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29" t="str">
        <f>IFERROR(IF(SUMIFS(tblDaily[TransfersIn],tblDaily[EntryDate],DATE(2026,10,22),tblDaily[WardCode],"BH")=0,"",SUMIFS(tblDaily[TransfersIn],tblDaily[EntryDate],DATE(2026,10,22),tblDaily[WardCode],"BH")),"")</f>
        <v/>
      </c>
      <c r="G379" s="29" t="str">
        <f>IFERROR(IF(SUMIFS(tblDaily[TransfersOut],tblDaily[EntryDate],DATE(2026,10,22),tblDaily[WardCode],"BH")=0,"",SUMIFS(tblDaily[TransfersOut],tblDaily[EntryDate],DATE(2026,10,22),tblDaily[WardCode],"BH")),"")</f>
        <v/>
      </c>
      <c r="H379" s="29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IFERROR(IF(SUMIFS(tblDaily[Admissions],tblDaily[EntryDate],DATE(2026,10,23),tblDaily[WardCode],"BH")=0,"",SUMIFS(tblDaily[Admissions],tblDaily[EntryDate],DATE(2026,10,23),tblDaily[WardCode],"BH")),"")</f>
        <v/>
      </c>
      <c r="C380" s="29" t="str">
        <f>IFERROR(IF(SUMIFS(tblDaily[Discharges],tblDaily[EntryDate],DATE(2026,10,23),tblDaily[WardCode],"BH")=0,"",SUMIFS(tblDaily[Discharges],tblDaily[EntryDate],DATE(2026,10,23),tblDaily[WardCode],"BH")),"")</f>
        <v/>
      </c>
      <c r="D380" s="29" t="str">
        <f>IFERROR(IF(SUMIFS(tblDaily[Deaths],tblDaily[EntryDate],DATE(2026,10,23),tblDaily[WardCode],"BH")=0,"",SUMIFS(tblDaily[Deaths],tblDaily[EntryDate],DATE(2026,10,23),tblDaily[WardCode],"BH")),"")</f>
        <v/>
      </c>
      <c r="E380" s="29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29" t="str">
        <f>IFERROR(IF(SUMIFS(tblDaily[TransfersIn],tblDaily[EntryDate],DATE(2026,10,23),tblDaily[WardCode],"BH")=0,"",SUMIFS(tblDaily[TransfersIn],tblDaily[EntryDate],DATE(2026,10,23),tblDaily[WardCode],"BH")),"")</f>
        <v/>
      </c>
      <c r="G380" s="29" t="str">
        <f>IFERROR(IF(SUMIFS(tblDaily[TransfersOut],tblDaily[EntryDate],DATE(2026,10,23),tblDaily[WardCode],"BH")=0,"",SUMIFS(tblDaily[TransfersOut],tblDaily[EntryDate],DATE(2026,10,23),tblDaily[WardCode],"BH")),"")</f>
        <v/>
      </c>
      <c r="H380" s="29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IFERROR(IF(SUMIFS(tblDaily[Admissions],tblDaily[EntryDate],DATE(2026,10,24),tblDaily[WardCode],"BH")=0,"",SUMIFS(tblDaily[Admissions],tblDaily[EntryDate],DATE(2026,10,24),tblDaily[WardCode],"BH")),"")</f>
        <v/>
      </c>
      <c r="C381" s="29" t="str">
        <f>IFERROR(IF(SUMIFS(tblDaily[Discharges],tblDaily[EntryDate],DATE(2026,10,24),tblDaily[WardCode],"BH")=0,"",SUMIFS(tblDaily[Discharges],tblDaily[EntryDate],DATE(2026,10,24),tblDaily[WardCode],"BH")),"")</f>
        <v/>
      </c>
      <c r="D381" s="29" t="str">
        <f>IFERROR(IF(SUMIFS(tblDaily[Deaths],tblDaily[EntryDate],DATE(2026,10,24),tblDaily[WardCode],"BH")=0,"",SUMIFS(tblDaily[Deaths],tblDaily[EntryDate],DATE(2026,10,24),tblDaily[WardCode],"BH")),"")</f>
        <v/>
      </c>
      <c r="E381" s="29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29" t="str">
        <f>IFERROR(IF(SUMIFS(tblDaily[TransfersIn],tblDaily[EntryDate],DATE(2026,10,24),tblDaily[WardCode],"BH")=0,"",SUMIFS(tblDaily[TransfersIn],tblDaily[EntryDate],DATE(2026,10,24),tblDaily[WardCode],"BH")),"")</f>
        <v/>
      </c>
      <c r="G381" s="29" t="str">
        <f>IFERROR(IF(SUMIFS(tblDaily[TransfersOut],tblDaily[EntryDate],DATE(2026,10,24),tblDaily[WardCode],"BH")=0,"",SUMIFS(tblDaily[TransfersOut],tblDaily[EntryDate],DATE(2026,10,24),tblDaily[WardCode],"BH")),"")</f>
        <v/>
      </c>
      <c r="H381" s="29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IFERROR(IF(SUMIFS(tblDaily[Admissions],tblDaily[EntryDate],DATE(2026,10,25),tblDaily[WardCode],"BH")=0,"",SUMIFS(tblDaily[Admissions],tblDaily[EntryDate],DATE(2026,10,25),tblDaily[WardCode],"BH")),"")</f>
        <v/>
      </c>
      <c r="C382" s="29" t="str">
        <f>IFERROR(IF(SUMIFS(tblDaily[Discharges],tblDaily[EntryDate],DATE(2026,10,25),tblDaily[WardCode],"BH")=0,"",SUMIFS(tblDaily[Discharges],tblDaily[EntryDate],DATE(2026,10,25),tblDaily[WardCode],"BH")),"")</f>
        <v/>
      </c>
      <c r="D382" s="29" t="str">
        <f>IFERROR(IF(SUMIFS(tblDaily[Deaths],tblDaily[EntryDate],DATE(2026,10,25),tblDaily[WardCode],"BH")=0,"",SUMIFS(tblDaily[Deaths],tblDaily[EntryDate],DATE(2026,10,25),tblDaily[WardCode],"BH")),"")</f>
        <v/>
      </c>
      <c r="E382" s="29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29" t="str">
        <f>IFERROR(IF(SUMIFS(tblDaily[TransfersIn],tblDaily[EntryDate],DATE(2026,10,25),tblDaily[WardCode],"BH")=0,"",SUMIFS(tblDaily[TransfersIn],tblDaily[EntryDate],DATE(2026,10,25),tblDaily[WardCode],"BH")),"")</f>
        <v/>
      </c>
      <c r="G382" s="29" t="str">
        <f>IFERROR(IF(SUMIFS(tblDaily[TransfersOut],tblDaily[EntryDate],DATE(2026,10,25),tblDaily[WardCode],"BH")=0,"",SUMIFS(tblDaily[TransfersOut],tblDaily[EntryDate],DATE(2026,10,25),tblDaily[WardCode],"BH")),"")</f>
        <v/>
      </c>
      <c r="H382" s="29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IFERROR(IF(SUMIFS(tblDaily[Admissions],tblDaily[EntryDate],DATE(2026,10,26),tblDaily[WardCode],"BH")=0,"",SUMIFS(tblDaily[Admissions],tblDaily[EntryDate],DATE(2026,10,26),tblDaily[WardCode],"BH")),"")</f>
        <v/>
      </c>
      <c r="C383" s="29" t="str">
        <f>IFERROR(IF(SUMIFS(tblDaily[Discharges],tblDaily[EntryDate],DATE(2026,10,26),tblDaily[WardCode],"BH")=0,"",SUMIFS(tblDaily[Discharges],tblDaily[EntryDate],DATE(2026,10,26),tblDaily[WardCode],"BH")),"")</f>
        <v/>
      </c>
      <c r="D383" s="29" t="str">
        <f>IFERROR(IF(SUMIFS(tblDaily[Deaths],tblDaily[EntryDate],DATE(2026,10,26),tblDaily[WardCode],"BH")=0,"",SUMIFS(tblDaily[Deaths],tblDaily[EntryDate],DATE(2026,10,26),tblDaily[WardCode],"BH")),"")</f>
        <v/>
      </c>
      <c r="E383" s="29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29" t="str">
        <f>IFERROR(IF(SUMIFS(tblDaily[TransfersIn],tblDaily[EntryDate],DATE(2026,10,26),tblDaily[WardCode],"BH")=0,"",SUMIFS(tblDaily[TransfersIn],tblDaily[EntryDate],DATE(2026,10,26),tblDaily[WardCode],"BH")),"")</f>
        <v/>
      </c>
      <c r="G383" s="29" t="str">
        <f>IFERROR(IF(SUMIFS(tblDaily[TransfersOut],tblDaily[EntryDate],DATE(2026,10,26),tblDaily[WardCode],"BH")=0,"",SUMIFS(tblDaily[TransfersOut],tblDaily[EntryDate],DATE(2026,10,26),tblDaily[WardCode],"BH")),"")</f>
        <v/>
      </c>
      <c r="H383" s="29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IFERROR(IF(SUMIFS(tblDaily[Admissions],tblDaily[EntryDate],DATE(2026,10,27),tblDaily[WardCode],"BH")=0,"",SUMIFS(tblDaily[Admissions],tblDaily[EntryDate],DATE(2026,10,27),tblDaily[WardCode],"BH")),"")</f>
        <v/>
      </c>
      <c r="C384" s="29" t="str">
        <f>IFERROR(IF(SUMIFS(tblDaily[Discharges],tblDaily[EntryDate],DATE(2026,10,27),tblDaily[WardCode],"BH")=0,"",SUMIFS(tblDaily[Discharges],tblDaily[EntryDate],DATE(2026,10,27),tblDaily[WardCode],"BH")),"")</f>
        <v/>
      </c>
      <c r="D384" s="29" t="str">
        <f>IFERROR(IF(SUMIFS(tblDaily[Deaths],tblDaily[EntryDate],DATE(2026,10,27),tblDaily[WardCode],"BH")=0,"",SUMIFS(tblDaily[Deaths],tblDaily[EntryDate],DATE(2026,10,27),tblDaily[WardCode],"BH")),"")</f>
        <v/>
      </c>
      <c r="E384" s="29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29" t="str">
        <f>IFERROR(IF(SUMIFS(tblDaily[TransfersIn],tblDaily[EntryDate],DATE(2026,10,27),tblDaily[WardCode],"BH")=0,"",SUMIFS(tblDaily[TransfersIn],tblDaily[EntryDate],DATE(2026,10,27),tblDaily[WardCode],"BH")),"")</f>
        <v/>
      </c>
      <c r="G384" s="29" t="str">
        <f>IFERROR(IF(SUMIFS(tblDaily[TransfersOut],tblDaily[EntryDate],DATE(2026,10,27),tblDaily[WardCode],"BH")=0,"",SUMIFS(tblDaily[TransfersOut],tblDaily[EntryDate],DATE(2026,10,27),tblDaily[WardCode],"BH")),"")</f>
        <v/>
      </c>
      <c r="H384" s="29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IFERROR(IF(SUMIFS(tblDaily[Admissions],tblDaily[EntryDate],DATE(2026,10,28),tblDaily[WardCode],"BH")=0,"",SUMIFS(tblDaily[Admissions],tblDaily[EntryDate],DATE(2026,10,28),tblDaily[WardCode],"BH")),"")</f>
        <v/>
      </c>
      <c r="C385" s="29" t="str">
        <f>IFERROR(IF(SUMIFS(tblDaily[Discharges],tblDaily[EntryDate],DATE(2026,10,28),tblDaily[WardCode],"BH")=0,"",SUMIFS(tblDaily[Discharges],tblDaily[EntryDate],DATE(2026,10,28),tblDaily[WardCode],"BH")),"")</f>
        <v/>
      </c>
      <c r="D385" s="29" t="str">
        <f>IFERROR(IF(SUMIFS(tblDaily[Deaths],tblDaily[EntryDate],DATE(2026,10,28),tblDaily[WardCode],"BH")=0,"",SUMIFS(tblDaily[Deaths],tblDaily[EntryDate],DATE(2026,10,28),tblDaily[WardCode],"BH")),"")</f>
        <v/>
      </c>
      <c r="E385" s="29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29" t="str">
        <f>IFERROR(IF(SUMIFS(tblDaily[TransfersIn],tblDaily[EntryDate],DATE(2026,10,28),tblDaily[WardCode],"BH")=0,"",SUMIFS(tblDaily[TransfersIn],tblDaily[EntryDate],DATE(2026,10,28),tblDaily[WardCode],"BH")),"")</f>
        <v/>
      </c>
      <c r="G385" s="29" t="str">
        <f>IFERROR(IF(SUMIFS(tblDaily[TransfersOut],tblDaily[EntryDate],DATE(2026,10,28),tblDaily[WardCode],"BH")=0,"",SUMIFS(tblDaily[TransfersOut],tblDaily[EntryDate],DATE(2026,10,28),tblDaily[WardCode],"BH")),"")</f>
        <v/>
      </c>
      <c r="H385" s="29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IFERROR(IF(SUMIFS(tblDaily[Admissions],tblDaily[EntryDate],DATE(2026,10,29),tblDaily[WardCode],"BH")=0,"",SUMIFS(tblDaily[Admissions],tblDaily[EntryDate],DATE(2026,10,29),tblDaily[WardCode],"BH")),"")</f>
        <v/>
      </c>
      <c r="C386" s="29" t="str">
        <f>IFERROR(IF(SUMIFS(tblDaily[Discharges],tblDaily[EntryDate],DATE(2026,10,29),tblDaily[WardCode],"BH")=0,"",SUMIFS(tblDaily[Discharges],tblDaily[EntryDate],DATE(2026,10,29),tblDaily[WardCode],"BH")),"")</f>
        <v/>
      </c>
      <c r="D386" s="29" t="str">
        <f>IFERROR(IF(SUMIFS(tblDaily[Deaths],tblDaily[EntryDate],DATE(2026,10,29),tblDaily[WardCode],"BH")=0,"",SUMIFS(tblDaily[Deaths],tblDaily[EntryDate],DATE(2026,10,29),tblDaily[WardCode],"BH")),"")</f>
        <v/>
      </c>
      <c r="E386" s="29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29" t="str">
        <f>IFERROR(IF(SUMIFS(tblDaily[TransfersIn],tblDaily[EntryDate],DATE(2026,10,29),tblDaily[WardCode],"BH")=0,"",SUMIFS(tblDaily[TransfersIn],tblDaily[EntryDate],DATE(2026,10,29),tblDaily[WardCode],"BH")),"")</f>
        <v/>
      </c>
      <c r="G386" s="29" t="str">
        <f>IFERROR(IF(SUMIFS(tblDaily[TransfersOut],tblDaily[EntryDate],DATE(2026,10,29),tblDaily[WardCode],"BH")=0,"",SUMIFS(tblDaily[TransfersOut],tblDaily[EntryDate],DATE(2026,10,29),tblDaily[WardCode],"BH")),"")</f>
        <v/>
      </c>
      <c r="H386" s="29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IFERROR(IF(SUMIFS(tblDaily[Admissions],tblDaily[EntryDate],DATE(2026,10,30),tblDaily[WardCode],"BH")=0,"",SUMIFS(tblDaily[Admissions],tblDaily[EntryDate],DATE(2026,10,30),tblDaily[WardCode],"BH")),"")</f>
        <v/>
      </c>
      <c r="C387" s="29" t="str">
        <f>IFERROR(IF(SUMIFS(tblDaily[Discharges],tblDaily[EntryDate],DATE(2026,10,30),tblDaily[WardCode],"BH")=0,"",SUMIFS(tblDaily[Discharges],tblDaily[EntryDate],DATE(2026,10,30),tblDaily[WardCode],"BH")),"")</f>
        <v/>
      </c>
      <c r="D387" s="29" t="str">
        <f>IFERROR(IF(SUMIFS(tblDaily[Deaths],tblDaily[EntryDate],DATE(2026,10,30),tblDaily[WardCode],"BH")=0,"",SUMIFS(tblDaily[Deaths],tblDaily[EntryDate],DATE(2026,10,30),tblDaily[WardCode],"BH")),"")</f>
        <v/>
      </c>
      <c r="E387" s="29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29" t="str">
        <f>IFERROR(IF(SUMIFS(tblDaily[TransfersIn],tblDaily[EntryDate],DATE(2026,10,30),tblDaily[WardCode],"BH")=0,"",SUMIFS(tblDaily[TransfersIn],tblDaily[EntryDate],DATE(2026,10,30),tblDaily[WardCode],"BH")),"")</f>
        <v/>
      </c>
      <c r="G387" s="29" t="str">
        <f>IFERROR(IF(SUMIFS(tblDaily[TransfersOut],tblDaily[EntryDate],DATE(2026,10,30),tblDaily[WardCode],"BH")=0,"",SUMIFS(tblDaily[TransfersOut],tblDaily[EntryDate],DATE(2026,10,30),tblDaily[WardCode],"BH")),"")</f>
        <v/>
      </c>
      <c r="H387" s="29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IFERROR(IF(SUMIFS(tblDaily[Admissions],tblDaily[EntryDate],DATE(2026,10,31),tblDaily[WardCode],"BH")=0,"",SUMIFS(tblDaily[Admissions],tblDaily[EntryDate],DATE(2026,10,31),tblDaily[WardCode],"BH")),"")</f>
        <v/>
      </c>
      <c r="C388" s="29" t="str">
        <f>IFERROR(IF(SUMIFS(tblDaily[Discharges],tblDaily[EntryDate],DATE(2026,10,31),tblDaily[WardCode],"BH")=0,"",SUMIFS(tblDaily[Discharges],tblDaily[EntryDate],DATE(2026,10,31),tblDaily[WardCode],"BH")),"")</f>
        <v/>
      </c>
      <c r="D388" s="29" t="str">
        <f>IFERROR(IF(SUMIFS(tblDaily[Deaths],tblDaily[EntryDate],DATE(2026,10,31),tblDaily[WardCode],"BH")=0,"",SUMIFS(tblDaily[Deaths],tblDaily[EntryDate],DATE(2026,10,31),tblDaily[WardCode],"BH")),"")</f>
        <v/>
      </c>
      <c r="E388" s="29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29" t="str">
        <f>IFERROR(IF(SUMIFS(tblDaily[TransfersIn],tblDaily[EntryDate],DATE(2026,10,31),tblDaily[WardCode],"BH")=0,"",SUMIFS(tblDaily[TransfersIn],tblDaily[EntryDate],DATE(2026,10,31),tblDaily[WardCode],"BH")),"")</f>
        <v/>
      </c>
      <c r="G388" s="29" t="str">
        <f>IFERROR(IF(SUMIFS(tblDaily[TransfersOut],tblDaily[EntryDate],DATE(2026,10,31),tblDaily[WardCode],"BH")=0,"",SUMIFS(tblDaily[TransfersOut],tblDaily[EntryDate],DATE(2026,10,31),tblDaily[WardCode],"BH")),"")</f>
        <v/>
      </c>
      <c r="H388" s="29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30" t="s">
        <v>115</v>
      </c>
      <c r="B389" s="30">
        <f>SUMIFS(tblDaily[Admissions],tblDaily[Month],10,tblDaily[WardCode],"BH") - SUMIFS(tblDaily[DeathsUnder24Hrs],tblDaily[Month],10,tblDaily[WardCode],"BH")</f>
        <v>0</v>
      </c>
      <c r="C389" s="30">
        <f>SUMIFS(tblDaily[Discharges],tblDaily[Month],10,tblDaily[WardCode],"BH")</f>
        <v>0</v>
      </c>
      <c r="D389" s="30">
        <f>SUMIFS(tblDaily[Deaths],tblDaily[Month],10,tblDaily[WardCode],"BH")</f>
        <v>0</v>
      </c>
      <c r="E389" s="30">
        <f>SUMIFS(tblDaily[DeathsUnder24Hrs],tblDaily[Month],10,tblDaily[WardCode],"BH")</f>
        <v>0</v>
      </c>
      <c r="F389" s="30">
        <f>SUMIFS(tblDaily[TransfersIn],tblDaily[Month],10,tblDaily[WardCode],"BH")</f>
        <v>0</v>
      </c>
      <c r="G389" s="30">
        <f>SUMIFS(tblDaily[TransfersOut],tblDaily[Month],10,tblDaily[WardCode],"BH")</f>
        <v>0</v>
      </c>
      <c r="H389" s="30">
        <f>SUMIFS(tblDaily[Remaining],tblDaily[Month],10,tblDaily[WardCode],"BH")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120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IFERROR(SUMIFS(tblDaily[Remaining],tblDaily[EntryDate],DATE(2026,10,31),tblDaily[WardCode],"BH"),0)</f>
        <v>0</v>
      </c>
    </row>
    <row r="395" spans="1:8" x14ac:dyDescent="0.25">
      <c r="A395" s="24" t="s">
        <v>109</v>
      </c>
      <c r="H395" s="27">
        <f>IFERROR(INDEX(tblWardConfig[BedComplement],MATCH("BH",tblWardConfig[WardCode],0)),0)</f>
        <v>22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IFERROR(IF(SUMIFS(tblDaily[Admissions],tblDaily[EntryDate],DATE(2026,11,1),tblDaily[WardCode],"BH")=0,"",SUMIFS(tblDaily[Admissions],tblDaily[EntryDate],DATE(2026,11,1),tblDaily[WardCode],"BH")),"")</f>
        <v/>
      </c>
      <c r="C397" s="29" t="str">
        <f>IFERROR(IF(SUMIFS(tblDaily[Discharges],tblDaily[EntryDate],DATE(2026,11,1),tblDaily[WardCode],"BH")=0,"",SUMIFS(tblDaily[Discharges],tblDaily[EntryDate],DATE(2026,11,1),tblDaily[WardCode],"BH")),"")</f>
        <v/>
      </c>
      <c r="D397" s="29" t="str">
        <f>IFERROR(IF(SUMIFS(tblDaily[Deaths],tblDaily[EntryDate],DATE(2026,11,1),tblDaily[WardCode],"BH")=0,"",SUMIFS(tblDaily[Deaths],tblDaily[EntryDate],DATE(2026,11,1),tblDaily[WardCode],"BH")),"")</f>
        <v/>
      </c>
      <c r="E397" s="29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29" t="str">
        <f>IFERROR(IF(SUMIFS(tblDaily[TransfersIn],tblDaily[EntryDate],DATE(2026,11,1),tblDaily[WardCode],"BH")=0,"",SUMIFS(tblDaily[TransfersIn],tblDaily[EntryDate],DATE(2026,11,1),tblDaily[WardCode],"BH")),"")</f>
        <v/>
      </c>
      <c r="G397" s="29" t="str">
        <f>IFERROR(IF(SUMIFS(tblDaily[TransfersOut],tblDaily[EntryDate],DATE(2026,11,1),tblDaily[WardCode],"BH")=0,"",SUMIFS(tblDaily[TransfersOut],tblDaily[EntryDate],DATE(2026,11,1),tblDaily[WardCode],"BH")),"")</f>
        <v/>
      </c>
      <c r="H397" s="29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IFERROR(IF(SUMIFS(tblDaily[Admissions],tblDaily[EntryDate],DATE(2026,11,2),tblDaily[WardCode],"BH")=0,"",SUMIFS(tblDaily[Admissions],tblDaily[EntryDate],DATE(2026,11,2),tblDaily[WardCode],"BH")),"")</f>
        <v/>
      </c>
      <c r="C398" s="29" t="str">
        <f>IFERROR(IF(SUMIFS(tblDaily[Discharges],tblDaily[EntryDate],DATE(2026,11,2),tblDaily[WardCode],"BH")=0,"",SUMIFS(tblDaily[Discharges],tblDaily[EntryDate],DATE(2026,11,2),tblDaily[WardCode],"BH")),"")</f>
        <v/>
      </c>
      <c r="D398" s="29" t="str">
        <f>IFERROR(IF(SUMIFS(tblDaily[Deaths],tblDaily[EntryDate],DATE(2026,11,2),tblDaily[WardCode],"BH")=0,"",SUMIFS(tblDaily[Deaths],tblDaily[EntryDate],DATE(2026,11,2),tblDaily[WardCode],"BH")),"")</f>
        <v/>
      </c>
      <c r="E398" s="29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29" t="str">
        <f>IFERROR(IF(SUMIFS(tblDaily[TransfersIn],tblDaily[EntryDate],DATE(2026,11,2),tblDaily[WardCode],"BH")=0,"",SUMIFS(tblDaily[TransfersIn],tblDaily[EntryDate],DATE(2026,11,2),tblDaily[WardCode],"BH")),"")</f>
        <v/>
      </c>
      <c r="G398" s="29" t="str">
        <f>IFERROR(IF(SUMIFS(tblDaily[TransfersOut],tblDaily[EntryDate],DATE(2026,11,2),tblDaily[WardCode],"BH")=0,"",SUMIFS(tblDaily[TransfersOut],tblDaily[EntryDate],DATE(2026,11,2),tblDaily[WardCode],"BH")),"")</f>
        <v/>
      </c>
      <c r="H398" s="29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IFERROR(IF(SUMIFS(tblDaily[Admissions],tblDaily[EntryDate],DATE(2026,11,3),tblDaily[WardCode],"BH")=0,"",SUMIFS(tblDaily[Admissions],tblDaily[EntryDate],DATE(2026,11,3),tblDaily[WardCode],"BH")),"")</f>
        <v/>
      </c>
      <c r="C399" s="29" t="str">
        <f>IFERROR(IF(SUMIFS(tblDaily[Discharges],tblDaily[EntryDate],DATE(2026,11,3),tblDaily[WardCode],"BH")=0,"",SUMIFS(tblDaily[Discharges],tblDaily[EntryDate],DATE(2026,11,3),tblDaily[WardCode],"BH")),"")</f>
        <v/>
      </c>
      <c r="D399" s="29" t="str">
        <f>IFERROR(IF(SUMIFS(tblDaily[Deaths],tblDaily[EntryDate],DATE(2026,11,3),tblDaily[WardCode],"BH")=0,"",SUMIFS(tblDaily[Deaths],tblDaily[EntryDate],DATE(2026,11,3),tblDaily[WardCode],"BH")),"")</f>
        <v/>
      </c>
      <c r="E399" s="29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29" t="str">
        <f>IFERROR(IF(SUMIFS(tblDaily[TransfersIn],tblDaily[EntryDate],DATE(2026,11,3),tblDaily[WardCode],"BH")=0,"",SUMIFS(tblDaily[TransfersIn],tblDaily[EntryDate],DATE(2026,11,3),tblDaily[WardCode],"BH")),"")</f>
        <v/>
      </c>
      <c r="G399" s="29" t="str">
        <f>IFERROR(IF(SUMIFS(tblDaily[TransfersOut],tblDaily[EntryDate],DATE(2026,11,3),tblDaily[WardCode],"BH")=0,"",SUMIFS(tblDaily[TransfersOut],tblDaily[EntryDate],DATE(2026,11,3),tblDaily[WardCode],"BH")),"")</f>
        <v/>
      </c>
      <c r="H399" s="29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IFERROR(IF(SUMIFS(tblDaily[Admissions],tblDaily[EntryDate],DATE(2026,11,4),tblDaily[WardCode],"BH")=0,"",SUMIFS(tblDaily[Admissions],tblDaily[EntryDate],DATE(2026,11,4),tblDaily[WardCode],"BH")),"")</f>
        <v/>
      </c>
      <c r="C400" s="29" t="str">
        <f>IFERROR(IF(SUMIFS(tblDaily[Discharges],tblDaily[EntryDate],DATE(2026,11,4),tblDaily[WardCode],"BH")=0,"",SUMIFS(tblDaily[Discharges],tblDaily[EntryDate],DATE(2026,11,4),tblDaily[WardCode],"BH")),"")</f>
        <v/>
      </c>
      <c r="D400" s="29" t="str">
        <f>IFERROR(IF(SUMIFS(tblDaily[Deaths],tblDaily[EntryDate],DATE(2026,11,4),tblDaily[WardCode],"BH")=0,"",SUMIFS(tblDaily[Deaths],tblDaily[EntryDate],DATE(2026,11,4),tblDaily[WardCode],"BH")),"")</f>
        <v/>
      </c>
      <c r="E400" s="29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29" t="str">
        <f>IFERROR(IF(SUMIFS(tblDaily[TransfersIn],tblDaily[EntryDate],DATE(2026,11,4),tblDaily[WardCode],"BH")=0,"",SUMIFS(tblDaily[TransfersIn],tblDaily[EntryDate],DATE(2026,11,4),tblDaily[WardCode],"BH")),"")</f>
        <v/>
      </c>
      <c r="G400" s="29" t="str">
        <f>IFERROR(IF(SUMIFS(tblDaily[TransfersOut],tblDaily[EntryDate],DATE(2026,11,4),tblDaily[WardCode],"BH")=0,"",SUMIFS(tblDaily[TransfersOut],tblDaily[EntryDate],DATE(2026,11,4),tblDaily[WardCode],"BH")),"")</f>
        <v/>
      </c>
      <c r="H400" s="29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IFERROR(IF(SUMIFS(tblDaily[Admissions],tblDaily[EntryDate],DATE(2026,11,5),tblDaily[WardCode],"BH")=0,"",SUMIFS(tblDaily[Admissions],tblDaily[EntryDate],DATE(2026,11,5),tblDaily[WardCode],"BH")),"")</f>
        <v/>
      </c>
      <c r="C401" s="29" t="str">
        <f>IFERROR(IF(SUMIFS(tblDaily[Discharges],tblDaily[EntryDate],DATE(2026,11,5),tblDaily[WardCode],"BH")=0,"",SUMIFS(tblDaily[Discharges],tblDaily[EntryDate],DATE(2026,11,5),tblDaily[WardCode],"BH")),"")</f>
        <v/>
      </c>
      <c r="D401" s="29" t="str">
        <f>IFERROR(IF(SUMIFS(tblDaily[Deaths],tblDaily[EntryDate],DATE(2026,11,5),tblDaily[WardCode],"BH")=0,"",SUMIFS(tblDaily[Deaths],tblDaily[EntryDate],DATE(2026,11,5),tblDaily[WardCode],"BH")),"")</f>
        <v/>
      </c>
      <c r="E401" s="29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29" t="str">
        <f>IFERROR(IF(SUMIFS(tblDaily[TransfersIn],tblDaily[EntryDate],DATE(2026,11,5),tblDaily[WardCode],"BH")=0,"",SUMIFS(tblDaily[TransfersIn],tblDaily[EntryDate],DATE(2026,11,5),tblDaily[WardCode],"BH")),"")</f>
        <v/>
      </c>
      <c r="G401" s="29" t="str">
        <f>IFERROR(IF(SUMIFS(tblDaily[TransfersOut],tblDaily[EntryDate],DATE(2026,11,5),tblDaily[WardCode],"BH")=0,"",SUMIFS(tblDaily[TransfersOut],tblDaily[EntryDate],DATE(2026,11,5),tblDaily[WardCode],"BH")),"")</f>
        <v/>
      </c>
      <c r="H401" s="29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IFERROR(IF(SUMIFS(tblDaily[Admissions],tblDaily[EntryDate],DATE(2026,11,6),tblDaily[WardCode],"BH")=0,"",SUMIFS(tblDaily[Admissions],tblDaily[EntryDate],DATE(2026,11,6),tblDaily[WardCode],"BH")),"")</f>
        <v/>
      </c>
      <c r="C402" s="29" t="str">
        <f>IFERROR(IF(SUMIFS(tblDaily[Discharges],tblDaily[EntryDate],DATE(2026,11,6),tblDaily[WardCode],"BH")=0,"",SUMIFS(tblDaily[Discharges],tblDaily[EntryDate],DATE(2026,11,6),tblDaily[WardCode],"BH")),"")</f>
        <v/>
      </c>
      <c r="D402" s="29" t="str">
        <f>IFERROR(IF(SUMIFS(tblDaily[Deaths],tblDaily[EntryDate],DATE(2026,11,6),tblDaily[WardCode],"BH")=0,"",SUMIFS(tblDaily[Deaths],tblDaily[EntryDate],DATE(2026,11,6),tblDaily[WardCode],"BH")),"")</f>
        <v/>
      </c>
      <c r="E402" s="29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29" t="str">
        <f>IFERROR(IF(SUMIFS(tblDaily[TransfersIn],tblDaily[EntryDate],DATE(2026,11,6),tblDaily[WardCode],"BH")=0,"",SUMIFS(tblDaily[TransfersIn],tblDaily[EntryDate],DATE(2026,11,6),tblDaily[WardCode],"BH")),"")</f>
        <v/>
      </c>
      <c r="G402" s="29" t="str">
        <f>IFERROR(IF(SUMIFS(tblDaily[TransfersOut],tblDaily[EntryDate],DATE(2026,11,6),tblDaily[WardCode],"BH")=0,"",SUMIFS(tblDaily[TransfersOut],tblDaily[EntryDate],DATE(2026,11,6),tblDaily[WardCode],"BH")),"")</f>
        <v/>
      </c>
      <c r="H402" s="29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IFERROR(IF(SUMIFS(tblDaily[Admissions],tblDaily[EntryDate],DATE(2026,11,7),tblDaily[WardCode],"BH")=0,"",SUMIFS(tblDaily[Admissions],tblDaily[EntryDate],DATE(2026,11,7),tblDaily[WardCode],"BH")),"")</f>
        <v/>
      </c>
      <c r="C403" s="29" t="str">
        <f>IFERROR(IF(SUMIFS(tblDaily[Discharges],tblDaily[EntryDate],DATE(2026,11,7),tblDaily[WardCode],"BH")=0,"",SUMIFS(tblDaily[Discharges],tblDaily[EntryDate],DATE(2026,11,7),tblDaily[WardCode],"BH")),"")</f>
        <v/>
      </c>
      <c r="D403" s="29" t="str">
        <f>IFERROR(IF(SUMIFS(tblDaily[Deaths],tblDaily[EntryDate],DATE(2026,11,7),tblDaily[WardCode],"BH")=0,"",SUMIFS(tblDaily[Deaths],tblDaily[EntryDate],DATE(2026,11,7),tblDaily[WardCode],"BH")),"")</f>
        <v/>
      </c>
      <c r="E403" s="29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29" t="str">
        <f>IFERROR(IF(SUMIFS(tblDaily[TransfersIn],tblDaily[EntryDate],DATE(2026,11,7),tblDaily[WardCode],"BH")=0,"",SUMIFS(tblDaily[TransfersIn],tblDaily[EntryDate],DATE(2026,11,7),tblDaily[WardCode],"BH")),"")</f>
        <v/>
      </c>
      <c r="G403" s="29" t="str">
        <f>IFERROR(IF(SUMIFS(tblDaily[TransfersOut],tblDaily[EntryDate],DATE(2026,11,7),tblDaily[WardCode],"BH")=0,"",SUMIFS(tblDaily[TransfersOut],tblDaily[EntryDate],DATE(2026,11,7),tblDaily[WardCode],"BH")),"")</f>
        <v/>
      </c>
      <c r="H403" s="29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IFERROR(IF(SUMIFS(tblDaily[Admissions],tblDaily[EntryDate],DATE(2026,11,8),tblDaily[WardCode],"BH")=0,"",SUMIFS(tblDaily[Admissions],tblDaily[EntryDate],DATE(2026,11,8),tblDaily[WardCode],"BH")),"")</f>
        <v/>
      </c>
      <c r="C404" s="29" t="str">
        <f>IFERROR(IF(SUMIFS(tblDaily[Discharges],tblDaily[EntryDate],DATE(2026,11,8),tblDaily[WardCode],"BH")=0,"",SUMIFS(tblDaily[Discharges],tblDaily[EntryDate],DATE(2026,11,8),tblDaily[WardCode],"BH")),"")</f>
        <v/>
      </c>
      <c r="D404" s="29" t="str">
        <f>IFERROR(IF(SUMIFS(tblDaily[Deaths],tblDaily[EntryDate],DATE(2026,11,8),tblDaily[WardCode],"BH")=0,"",SUMIFS(tblDaily[Deaths],tblDaily[EntryDate],DATE(2026,11,8),tblDaily[WardCode],"BH")),"")</f>
        <v/>
      </c>
      <c r="E404" s="29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29" t="str">
        <f>IFERROR(IF(SUMIFS(tblDaily[TransfersIn],tblDaily[EntryDate],DATE(2026,11,8),tblDaily[WardCode],"BH")=0,"",SUMIFS(tblDaily[TransfersIn],tblDaily[EntryDate],DATE(2026,11,8),tblDaily[WardCode],"BH")),"")</f>
        <v/>
      </c>
      <c r="G404" s="29" t="str">
        <f>IFERROR(IF(SUMIFS(tblDaily[TransfersOut],tblDaily[EntryDate],DATE(2026,11,8),tblDaily[WardCode],"BH")=0,"",SUMIFS(tblDaily[TransfersOut],tblDaily[EntryDate],DATE(2026,11,8),tblDaily[WardCode],"BH")),"")</f>
        <v/>
      </c>
      <c r="H404" s="29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IFERROR(IF(SUMIFS(tblDaily[Admissions],tblDaily[EntryDate],DATE(2026,11,9),tblDaily[WardCode],"BH")=0,"",SUMIFS(tblDaily[Admissions],tblDaily[EntryDate],DATE(2026,11,9),tblDaily[WardCode],"BH")),"")</f>
        <v/>
      </c>
      <c r="C405" s="29" t="str">
        <f>IFERROR(IF(SUMIFS(tblDaily[Discharges],tblDaily[EntryDate],DATE(2026,11,9),tblDaily[WardCode],"BH")=0,"",SUMIFS(tblDaily[Discharges],tblDaily[EntryDate],DATE(2026,11,9),tblDaily[WardCode],"BH")),"")</f>
        <v/>
      </c>
      <c r="D405" s="29" t="str">
        <f>IFERROR(IF(SUMIFS(tblDaily[Deaths],tblDaily[EntryDate],DATE(2026,11,9),tblDaily[WardCode],"BH")=0,"",SUMIFS(tblDaily[Deaths],tblDaily[EntryDate],DATE(2026,11,9),tblDaily[WardCode],"BH")),"")</f>
        <v/>
      </c>
      <c r="E405" s="29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29" t="str">
        <f>IFERROR(IF(SUMIFS(tblDaily[TransfersIn],tblDaily[EntryDate],DATE(2026,11,9),tblDaily[WardCode],"BH")=0,"",SUMIFS(tblDaily[TransfersIn],tblDaily[EntryDate],DATE(2026,11,9),tblDaily[WardCode],"BH")),"")</f>
        <v/>
      </c>
      <c r="G405" s="29" t="str">
        <f>IFERROR(IF(SUMIFS(tblDaily[TransfersOut],tblDaily[EntryDate],DATE(2026,11,9),tblDaily[WardCode],"BH")=0,"",SUMIFS(tblDaily[TransfersOut],tblDaily[EntryDate],DATE(2026,11,9),tblDaily[WardCode],"BH")),"")</f>
        <v/>
      </c>
      <c r="H405" s="29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IFERROR(IF(SUMIFS(tblDaily[Admissions],tblDaily[EntryDate],DATE(2026,11,10),tblDaily[WardCode],"BH")=0,"",SUMIFS(tblDaily[Admissions],tblDaily[EntryDate],DATE(2026,11,10),tblDaily[WardCode],"BH")),"")</f>
        <v/>
      </c>
      <c r="C406" s="29" t="str">
        <f>IFERROR(IF(SUMIFS(tblDaily[Discharges],tblDaily[EntryDate],DATE(2026,11,10),tblDaily[WardCode],"BH")=0,"",SUMIFS(tblDaily[Discharges],tblDaily[EntryDate],DATE(2026,11,10),tblDaily[WardCode],"BH")),"")</f>
        <v/>
      </c>
      <c r="D406" s="29" t="str">
        <f>IFERROR(IF(SUMIFS(tblDaily[Deaths],tblDaily[EntryDate],DATE(2026,11,10),tblDaily[WardCode],"BH")=0,"",SUMIFS(tblDaily[Deaths],tblDaily[EntryDate],DATE(2026,11,10),tblDaily[WardCode],"BH")),"")</f>
        <v/>
      </c>
      <c r="E406" s="29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29" t="str">
        <f>IFERROR(IF(SUMIFS(tblDaily[TransfersIn],tblDaily[EntryDate],DATE(2026,11,10),tblDaily[WardCode],"BH")=0,"",SUMIFS(tblDaily[TransfersIn],tblDaily[EntryDate],DATE(2026,11,10),tblDaily[WardCode],"BH")),"")</f>
        <v/>
      </c>
      <c r="G406" s="29" t="str">
        <f>IFERROR(IF(SUMIFS(tblDaily[TransfersOut],tblDaily[EntryDate],DATE(2026,11,10),tblDaily[WardCode],"BH")=0,"",SUMIFS(tblDaily[TransfersOut],tblDaily[EntryDate],DATE(2026,11,10),tblDaily[WardCode],"BH")),"")</f>
        <v/>
      </c>
      <c r="H406" s="29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IFERROR(IF(SUMIFS(tblDaily[Admissions],tblDaily[EntryDate],DATE(2026,11,11),tblDaily[WardCode],"BH")=0,"",SUMIFS(tblDaily[Admissions],tblDaily[EntryDate],DATE(2026,11,11),tblDaily[WardCode],"BH")),"")</f>
        <v/>
      </c>
      <c r="C407" s="29" t="str">
        <f>IFERROR(IF(SUMIFS(tblDaily[Discharges],tblDaily[EntryDate],DATE(2026,11,11),tblDaily[WardCode],"BH")=0,"",SUMIFS(tblDaily[Discharges],tblDaily[EntryDate],DATE(2026,11,11),tblDaily[WardCode],"BH")),"")</f>
        <v/>
      </c>
      <c r="D407" s="29" t="str">
        <f>IFERROR(IF(SUMIFS(tblDaily[Deaths],tblDaily[EntryDate],DATE(2026,11,11),tblDaily[WardCode],"BH")=0,"",SUMIFS(tblDaily[Deaths],tblDaily[EntryDate],DATE(2026,11,11),tblDaily[WardCode],"BH")),"")</f>
        <v/>
      </c>
      <c r="E407" s="29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29" t="str">
        <f>IFERROR(IF(SUMIFS(tblDaily[TransfersIn],tblDaily[EntryDate],DATE(2026,11,11),tblDaily[WardCode],"BH")=0,"",SUMIFS(tblDaily[TransfersIn],tblDaily[EntryDate],DATE(2026,11,11),tblDaily[WardCode],"BH")),"")</f>
        <v/>
      </c>
      <c r="G407" s="29" t="str">
        <f>IFERROR(IF(SUMIFS(tblDaily[TransfersOut],tblDaily[EntryDate],DATE(2026,11,11),tblDaily[WardCode],"BH")=0,"",SUMIFS(tblDaily[TransfersOut],tblDaily[EntryDate],DATE(2026,11,11),tblDaily[WardCode],"BH")),"")</f>
        <v/>
      </c>
      <c r="H407" s="29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IFERROR(IF(SUMIFS(tblDaily[Admissions],tblDaily[EntryDate],DATE(2026,11,12),tblDaily[WardCode],"BH")=0,"",SUMIFS(tblDaily[Admissions],tblDaily[EntryDate],DATE(2026,11,12),tblDaily[WardCode],"BH")),"")</f>
        <v/>
      </c>
      <c r="C408" s="29" t="str">
        <f>IFERROR(IF(SUMIFS(tblDaily[Discharges],tblDaily[EntryDate],DATE(2026,11,12),tblDaily[WardCode],"BH")=0,"",SUMIFS(tblDaily[Discharges],tblDaily[EntryDate],DATE(2026,11,12),tblDaily[WardCode],"BH")),"")</f>
        <v/>
      </c>
      <c r="D408" s="29" t="str">
        <f>IFERROR(IF(SUMIFS(tblDaily[Deaths],tblDaily[EntryDate],DATE(2026,11,12),tblDaily[WardCode],"BH")=0,"",SUMIFS(tblDaily[Deaths],tblDaily[EntryDate],DATE(2026,11,12),tblDaily[WardCode],"BH")),"")</f>
        <v/>
      </c>
      <c r="E408" s="29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29" t="str">
        <f>IFERROR(IF(SUMIFS(tblDaily[TransfersIn],tblDaily[EntryDate],DATE(2026,11,12),tblDaily[WardCode],"BH")=0,"",SUMIFS(tblDaily[TransfersIn],tblDaily[EntryDate],DATE(2026,11,12),tblDaily[WardCode],"BH")),"")</f>
        <v/>
      </c>
      <c r="G408" s="29" t="str">
        <f>IFERROR(IF(SUMIFS(tblDaily[TransfersOut],tblDaily[EntryDate],DATE(2026,11,12),tblDaily[WardCode],"BH")=0,"",SUMIFS(tblDaily[TransfersOut],tblDaily[EntryDate],DATE(2026,11,12),tblDaily[WardCode],"BH")),"")</f>
        <v/>
      </c>
      <c r="H408" s="29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IFERROR(IF(SUMIFS(tblDaily[Admissions],tblDaily[EntryDate],DATE(2026,11,13),tblDaily[WardCode],"BH")=0,"",SUMIFS(tblDaily[Admissions],tblDaily[EntryDate],DATE(2026,11,13),tblDaily[WardCode],"BH")),"")</f>
        <v/>
      </c>
      <c r="C409" s="29" t="str">
        <f>IFERROR(IF(SUMIFS(tblDaily[Discharges],tblDaily[EntryDate],DATE(2026,11,13),tblDaily[WardCode],"BH")=0,"",SUMIFS(tblDaily[Discharges],tblDaily[EntryDate],DATE(2026,11,13),tblDaily[WardCode],"BH")),"")</f>
        <v/>
      </c>
      <c r="D409" s="29" t="str">
        <f>IFERROR(IF(SUMIFS(tblDaily[Deaths],tblDaily[EntryDate],DATE(2026,11,13),tblDaily[WardCode],"BH")=0,"",SUMIFS(tblDaily[Deaths],tblDaily[EntryDate],DATE(2026,11,13),tblDaily[WardCode],"BH")),"")</f>
        <v/>
      </c>
      <c r="E409" s="29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29" t="str">
        <f>IFERROR(IF(SUMIFS(tblDaily[TransfersIn],tblDaily[EntryDate],DATE(2026,11,13),tblDaily[WardCode],"BH")=0,"",SUMIFS(tblDaily[TransfersIn],tblDaily[EntryDate],DATE(2026,11,13),tblDaily[WardCode],"BH")),"")</f>
        <v/>
      </c>
      <c r="G409" s="29" t="str">
        <f>IFERROR(IF(SUMIFS(tblDaily[TransfersOut],tblDaily[EntryDate],DATE(2026,11,13),tblDaily[WardCode],"BH")=0,"",SUMIFS(tblDaily[TransfersOut],tblDaily[EntryDate],DATE(2026,11,13),tblDaily[WardCode],"BH")),"")</f>
        <v/>
      </c>
      <c r="H409" s="29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IFERROR(IF(SUMIFS(tblDaily[Admissions],tblDaily[EntryDate],DATE(2026,11,14),tblDaily[WardCode],"BH")=0,"",SUMIFS(tblDaily[Admissions],tblDaily[EntryDate],DATE(2026,11,14),tblDaily[WardCode],"BH")),"")</f>
        <v/>
      </c>
      <c r="C410" s="29" t="str">
        <f>IFERROR(IF(SUMIFS(tblDaily[Discharges],tblDaily[EntryDate],DATE(2026,11,14),tblDaily[WardCode],"BH")=0,"",SUMIFS(tblDaily[Discharges],tblDaily[EntryDate],DATE(2026,11,14),tblDaily[WardCode],"BH")),"")</f>
        <v/>
      </c>
      <c r="D410" s="29" t="str">
        <f>IFERROR(IF(SUMIFS(tblDaily[Deaths],tblDaily[EntryDate],DATE(2026,11,14),tblDaily[WardCode],"BH")=0,"",SUMIFS(tblDaily[Deaths],tblDaily[EntryDate],DATE(2026,11,14),tblDaily[WardCode],"BH")),"")</f>
        <v/>
      </c>
      <c r="E410" s="29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29" t="str">
        <f>IFERROR(IF(SUMIFS(tblDaily[TransfersIn],tblDaily[EntryDate],DATE(2026,11,14),tblDaily[WardCode],"BH")=0,"",SUMIFS(tblDaily[TransfersIn],tblDaily[EntryDate],DATE(2026,11,14),tblDaily[WardCode],"BH")),"")</f>
        <v/>
      </c>
      <c r="G410" s="29" t="str">
        <f>IFERROR(IF(SUMIFS(tblDaily[TransfersOut],tblDaily[EntryDate],DATE(2026,11,14),tblDaily[WardCode],"BH")=0,"",SUMIFS(tblDaily[TransfersOut],tblDaily[EntryDate],DATE(2026,11,14),tblDaily[WardCode],"BH")),"")</f>
        <v/>
      </c>
      <c r="H410" s="29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IFERROR(IF(SUMIFS(tblDaily[Admissions],tblDaily[EntryDate],DATE(2026,11,15),tblDaily[WardCode],"BH")=0,"",SUMIFS(tblDaily[Admissions],tblDaily[EntryDate],DATE(2026,11,15),tblDaily[WardCode],"BH")),"")</f>
        <v/>
      </c>
      <c r="C411" s="29" t="str">
        <f>IFERROR(IF(SUMIFS(tblDaily[Discharges],tblDaily[EntryDate],DATE(2026,11,15),tblDaily[WardCode],"BH")=0,"",SUMIFS(tblDaily[Discharges],tblDaily[EntryDate],DATE(2026,11,15),tblDaily[WardCode],"BH")),"")</f>
        <v/>
      </c>
      <c r="D411" s="29" t="str">
        <f>IFERROR(IF(SUMIFS(tblDaily[Deaths],tblDaily[EntryDate],DATE(2026,11,15),tblDaily[WardCode],"BH")=0,"",SUMIFS(tblDaily[Deaths],tblDaily[EntryDate],DATE(2026,11,15),tblDaily[WardCode],"BH")),"")</f>
        <v/>
      </c>
      <c r="E411" s="29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29" t="str">
        <f>IFERROR(IF(SUMIFS(tblDaily[TransfersIn],tblDaily[EntryDate],DATE(2026,11,15),tblDaily[WardCode],"BH")=0,"",SUMIFS(tblDaily[TransfersIn],tblDaily[EntryDate],DATE(2026,11,15),tblDaily[WardCode],"BH")),"")</f>
        <v/>
      </c>
      <c r="G411" s="29" t="str">
        <f>IFERROR(IF(SUMIFS(tblDaily[TransfersOut],tblDaily[EntryDate],DATE(2026,11,15),tblDaily[WardCode],"BH")=0,"",SUMIFS(tblDaily[TransfersOut],tblDaily[EntryDate],DATE(2026,11,15),tblDaily[WardCode],"BH")),"")</f>
        <v/>
      </c>
      <c r="H411" s="29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IFERROR(IF(SUMIFS(tblDaily[Admissions],tblDaily[EntryDate],DATE(2026,11,16),tblDaily[WardCode],"BH")=0,"",SUMIFS(tblDaily[Admissions],tblDaily[EntryDate],DATE(2026,11,16),tblDaily[WardCode],"BH")),"")</f>
        <v/>
      </c>
      <c r="C412" s="29" t="str">
        <f>IFERROR(IF(SUMIFS(tblDaily[Discharges],tblDaily[EntryDate],DATE(2026,11,16),tblDaily[WardCode],"BH")=0,"",SUMIFS(tblDaily[Discharges],tblDaily[EntryDate],DATE(2026,11,16),tblDaily[WardCode],"BH")),"")</f>
        <v/>
      </c>
      <c r="D412" s="29" t="str">
        <f>IFERROR(IF(SUMIFS(tblDaily[Deaths],tblDaily[EntryDate],DATE(2026,11,16),tblDaily[WardCode],"BH")=0,"",SUMIFS(tblDaily[Deaths],tblDaily[EntryDate],DATE(2026,11,16),tblDaily[WardCode],"BH")),"")</f>
        <v/>
      </c>
      <c r="E412" s="29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29" t="str">
        <f>IFERROR(IF(SUMIFS(tblDaily[TransfersIn],tblDaily[EntryDate],DATE(2026,11,16),tblDaily[WardCode],"BH")=0,"",SUMIFS(tblDaily[TransfersIn],tblDaily[EntryDate],DATE(2026,11,16),tblDaily[WardCode],"BH")),"")</f>
        <v/>
      </c>
      <c r="G412" s="29" t="str">
        <f>IFERROR(IF(SUMIFS(tblDaily[TransfersOut],tblDaily[EntryDate],DATE(2026,11,16),tblDaily[WardCode],"BH")=0,"",SUMIFS(tblDaily[TransfersOut],tblDaily[EntryDate],DATE(2026,11,16),tblDaily[WardCode],"BH")),"")</f>
        <v/>
      </c>
      <c r="H412" s="29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IFERROR(IF(SUMIFS(tblDaily[Admissions],tblDaily[EntryDate],DATE(2026,11,17),tblDaily[WardCode],"BH")=0,"",SUMIFS(tblDaily[Admissions],tblDaily[EntryDate],DATE(2026,11,17),tblDaily[WardCode],"BH")),"")</f>
        <v/>
      </c>
      <c r="C413" s="29" t="str">
        <f>IFERROR(IF(SUMIFS(tblDaily[Discharges],tblDaily[EntryDate],DATE(2026,11,17),tblDaily[WardCode],"BH")=0,"",SUMIFS(tblDaily[Discharges],tblDaily[EntryDate],DATE(2026,11,17),tblDaily[WardCode],"BH")),"")</f>
        <v/>
      </c>
      <c r="D413" s="29" t="str">
        <f>IFERROR(IF(SUMIFS(tblDaily[Deaths],tblDaily[EntryDate],DATE(2026,11,17),tblDaily[WardCode],"BH")=0,"",SUMIFS(tblDaily[Deaths],tblDaily[EntryDate],DATE(2026,11,17),tblDaily[WardCode],"BH")),"")</f>
        <v/>
      </c>
      <c r="E413" s="29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29" t="str">
        <f>IFERROR(IF(SUMIFS(tblDaily[TransfersIn],tblDaily[EntryDate],DATE(2026,11,17),tblDaily[WardCode],"BH")=0,"",SUMIFS(tblDaily[TransfersIn],tblDaily[EntryDate],DATE(2026,11,17),tblDaily[WardCode],"BH")),"")</f>
        <v/>
      </c>
      <c r="G413" s="29" t="str">
        <f>IFERROR(IF(SUMIFS(tblDaily[TransfersOut],tblDaily[EntryDate],DATE(2026,11,17),tblDaily[WardCode],"BH")=0,"",SUMIFS(tblDaily[TransfersOut],tblDaily[EntryDate],DATE(2026,11,17),tblDaily[WardCode],"BH")),"")</f>
        <v/>
      </c>
      <c r="H413" s="29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IFERROR(IF(SUMIFS(tblDaily[Admissions],tblDaily[EntryDate],DATE(2026,11,18),tblDaily[WardCode],"BH")=0,"",SUMIFS(tblDaily[Admissions],tblDaily[EntryDate],DATE(2026,11,18),tblDaily[WardCode],"BH")),"")</f>
        <v/>
      </c>
      <c r="C414" s="29" t="str">
        <f>IFERROR(IF(SUMIFS(tblDaily[Discharges],tblDaily[EntryDate],DATE(2026,11,18),tblDaily[WardCode],"BH")=0,"",SUMIFS(tblDaily[Discharges],tblDaily[EntryDate],DATE(2026,11,18),tblDaily[WardCode],"BH")),"")</f>
        <v/>
      </c>
      <c r="D414" s="29" t="str">
        <f>IFERROR(IF(SUMIFS(tblDaily[Deaths],tblDaily[EntryDate],DATE(2026,11,18),tblDaily[WardCode],"BH")=0,"",SUMIFS(tblDaily[Deaths],tblDaily[EntryDate],DATE(2026,11,18),tblDaily[WardCode],"BH")),"")</f>
        <v/>
      </c>
      <c r="E414" s="29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29" t="str">
        <f>IFERROR(IF(SUMIFS(tblDaily[TransfersIn],tblDaily[EntryDate],DATE(2026,11,18),tblDaily[WardCode],"BH")=0,"",SUMIFS(tblDaily[TransfersIn],tblDaily[EntryDate],DATE(2026,11,18),tblDaily[WardCode],"BH")),"")</f>
        <v/>
      </c>
      <c r="G414" s="29" t="str">
        <f>IFERROR(IF(SUMIFS(tblDaily[TransfersOut],tblDaily[EntryDate],DATE(2026,11,18),tblDaily[WardCode],"BH")=0,"",SUMIFS(tblDaily[TransfersOut],tblDaily[EntryDate],DATE(2026,11,18),tblDaily[WardCode],"BH")),"")</f>
        <v/>
      </c>
      <c r="H414" s="29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IFERROR(IF(SUMIFS(tblDaily[Admissions],tblDaily[EntryDate],DATE(2026,11,19),tblDaily[WardCode],"BH")=0,"",SUMIFS(tblDaily[Admissions],tblDaily[EntryDate],DATE(2026,11,19),tblDaily[WardCode],"BH")),"")</f>
        <v/>
      </c>
      <c r="C415" s="29" t="str">
        <f>IFERROR(IF(SUMIFS(tblDaily[Discharges],tblDaily[EntryDate],DATE(2026,11,19),tblDaily[WardCode],"BH")=0,"",SUMIFS(tblDaily[Discharges],tblDaily[EntryDate],DATE(2026,11,19),tblDaily[WardCode],"BH")),"")</f>
        <v/>
      </c>
      <c r="D415" s="29" t="str">
        <f>IFERROR(IF(SUMIFS(tblDaily[Deaths],tblDaily[EntryDate],DATE(2026,11,19),tblDaily[WardCode],"BH")=0,"",SUMIFS(tblDaily[Deaths],tblDaily[EntryDate],DATE(2026,11,19),tblDaily[WardCode],"BH")),"")</f>
        <v/>
      </c>
      <c r="E415" s="29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29" t="str">
        <f>IFERROR(IF(SUMIFS(tblDaily[TransfersIn],tblDaily[EntryDate],DATE(2026,11,19),tblDaily[WardCode],"BH")=0,"",SUMIFS(tblDaily[TransfersIn],tblDaily[EntryDate],DATE(2026,11,19),tblDaily[WardCode],"BH")),"")</f>
        <v/>
      </c>
      <c r="G415" s="29" t="str">
        <f>IFERROR(IF(SUMIFS(tblDaily[TransfersOut],tblDaily[EntryDate],DATE(2026,11,19),tblDaily[WardCode],"BH")=0,"",SUMIFS(tblDaily[TransfersOut],tblDaily[EntryDate],DATE(2026,11,19),tblDaily[WardCode],"BH")),"")</f>
        <v/>
      </c>
      <c r="H415" s="29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IFERROR(IF(SUMIFS(tblDaily[Admissions],tblDaily[EntryDate],DATE(2026,11,20),tblDaily[WardCode],"BH")=0,"",SUMIFS(tblDaily[Admissions],tblDaily[EntryDate],DATE(2026,11,20),tblDaily[WardCode],"BH")),"")</f>
        <v/>
      </c>
      <c r="C416" s="29" t="str">
        <f>IFERROR(IF(SUMIFS(tblDaily[Discharges],tblDaily[EntryDate],DATE(2026,11,20),tblDaily[WardCode],"BH")=0,"",SUMIFS(tblDaily[Discharges],tblDaily[EntryDate],DATE(2026,11,20),tblDaily[WardCode],"BH")),"")</f>
        <v/>
      </c>
      <c r="D416" s="29" t="str">
        <f>IFERROR(IF(SUMIFS(tblDaily[Deaths],tblDaily[EntryDate],DATE(2026,11,20),tblDaily[WardCode],"BH")=0,"",SUMIFS(tblDaily[Deaths],tblDaily[EntryDate],DATE(2026,11,20),tblDaily[WardCode],"BH")),"")</f>
        <v/>
      </c>
      <c r="E416" s="29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29" t="str">
        <f>IFERROR(IF(SUMIFS(tblDaily[TransfersIn],tblDaily[EntryDate],DATE(2026,11,20),tblDaily[WardCode],"BH")=0,"",SUMIFS(tblDaily[TransfersIn],tblDaily[EntryDate],DATE(2026,11,20),tblDaily[WardCode],"BH")),"")</f>
        <v/>
      </c>
      <c r="G416" s="29" t="str">
        <f>IFERROR(IF(SUMIFS(tblDaily[TransfersOut],tblDaily[EntryDate],DATE(2026,11,20),tblDaily[WardCode],"BH")=0,"",SUMIFS(tblDaily[TransfersOut],tblDaily[EntryDate],DATE(2026,11,20),tblDaily[WardCode],"BH")),"")</f>
        <v/>
      </c>
      <c r="H416" s="29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IFERROR(IF(SUMIFS(tblDaily[Admissions],tblDaily[EntryDate],DATE(2026,11,21),tblDaily[WardCode],"BH")=0,"",SUMIFS(tblDaily[Admissions],tblDaily[EntryDate],DATE(2026,11,21),tblDaily[WardCode],"BH")),"")</f>
        <v/>
      </c>
      <c r="C417" s="29" t="str">
        <f>IFERROR(IF(SUMIFS(tblDaily[Discharges],tblDaily[EntryDate],DATE(2026,11,21),tblDaily[WardCode],"BH")=0,"",SUMIFS(tblDaily[Discharges],tblDaily[EntryDate],DATE(2026,11,21),tblDaily[WardCode],"BH")),"")</f>
        <v/>
      </c>
      <c r="D417" s="29" t="str">
        <f>IFERROR(IF(SUMIFS(tblDaily[Deaths],tblDaily[EntryDate],DATE(2026,11,21),tblDaily[WardCode],"BH")=0,"",SUMIFS(tblDaily[Deaths],tblDaily[EntryDate],DATE(2026,11,21),tblDaily[WardCode],"BH")),"")</f>
        <v/>
      </c>
      <c r="E417" s="29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29" t="str">
        <f>IFERROR(IF(SUMIFS(tblDaily[TransfersIn],tblDaily[EntryDate],DATE(2026,11,21),tblDaily[WardCode],"BH")=0,"",SUMIFS(tblDaily[TransfersIn],tblDaily[EntryDate],DATE(2026,11,21),tblDaily[WardCode],"BH")),"")</f>
        <v/>
      </c>
      <c r="G417" s="29" t="str">
        <f>IFERROR(IF(SUMIFS(tblDaily[TransfersOut],tblDaily[EntryDate],DATE(2026,11,21),tblDaily[WardCode],"BH")=0,"",SUMIFS(tblDaily[TransfersOut],tblDaily[EntryDate],DATE(2026,11,21),tblDaily[WardCode],"BH")),"")</f>
        <v/>
      </c>
      <c r="H417" s="29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IFERROR(IF(SUMIFS(tblDaily[Admissions],tblDaily[EntryDate],DATE(2026,11,22),tblDaily[WardCode],"BH")=0,"",SUMIFS(tblDaily[Admissions],tblDaily[EntryDate],DATE(2026,11,22),tblDaily[WardCode],"BH")),"")</f>
        <v/>
      </c>
      <c r="C418" s="29" t="str">
        <f>IFERROR(IF(SUMIFS(tblDaily[Discharges],tblDaily[EntryDate],DATE(2026,11,22),tblDaily[WardCode],"BH")=0,"",SUMIFS(tblDaily[Discharges],tblDaily[EntryDate],DATE(2026,11,22),tblDaily[WardCode],"BH")),"")</f>
        <v/>
      </c>
      <c r="D418" s="29" t="str">
        <f>IFERROR(IF(SUMIFS(tblDaily[Deaths],tblDaily[EntryDate],DATE(2026,11,22),tblDaily[WardCode],"BH")=0,"",SUMIFS(tblDaily[Deaths],tblDaily[EntryDate],DATE(2026,11,22),tblDaily[WardCode],"BH")),"")</f>
        <v/>
      </c>
      <c r="E418" s="29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29" t="str">
        <f>IFERROR(IF(SUMIFS(tblDaily[TransfersIn],tblDaily[EntryDate],DATE(2026,11,22),tblDaily[WardCode],"BH")=0,"",SUMIFS(tblDaily[TransfersIn],tblDaily[EntryDate],DATE(2026,11,22),tblDaily[WardCode],"BH")),"")</f>
        <v/>
      </c>
      <c r="G418" s="29" t="str">
        <f>IFERROR(IF(SUMIFS(tblDaily[TransfersOut],tblDaily[EntryDate],DATE(2026,11,22),tblDaily[WardCode],"BH")=0,"",SUMIFS(tblDaily[TransfersOut],tblDaily[EntryDate],DATE(2026,11,22),tblDaily[WardCode],"BH")),"")</f>
        <v/>
      </c>
      <c r="H418" s="29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IFERROR(IF(SUMIFS(tblDaily[Admissions],tblDaily[EntryDate],DATE(2026,11,23),tblDaily[WardCode],"BH")=0,"",SUMIFS(tblDaily[Admissions],tblDaily[EntryDate],DATE(2026,11,23),tblDaily[WardCode],"BH")),"")</f>
        <v/>
      </c>
      <c r="C419" s="29" t="str">
        <f>IFERROR(IF(SUMIFS(tblDaily[Discharges],tblDaily[EntryDate],DATE(2026,11,23),tblDaily[WardCode],"BH")=0,"",SUMIFS(tblDaily[Discharges],tblDaily[EntryDate],DATE(2026,11,23),tblDaily[WardCode],"BH")),"")</f>
        <v/>
      </c>
      <c r="D419" s="29" t="str">
        <f>IFERROR(IF(SUMIFS(tblDaily[Deaths],tblDaily[EntryDate],DATE(2026,11,23),tblDaily[WardCode],"BH")=0,"",SUMIFS(tblDaily[Deaths],tblDaily[EntryDate],DATE(2026,11,23),tblDaily[WardCode],"BH")),"")</f>
        <v/>
      </c>
      <c r="E419" s="29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29" t="str">
        <f>IFERROR(IF(SUMIFS(tblDaily[TransfersIn],tblDaily[EntryDate],DATE(2026,11,23),tblDaily[WardCode],"BH")=0,"",SUMIFS(tblDaily[TransfersIn],tblDaily[EntryDate],DATE(2026,11,23),tblDaily[WardCode],"BH")),"")</f>
        <v/>
      </c>
      <c r="G419" s="29" t="str">
        <f>IFERROR(IF(SUMIFS(tblDaily[TransfersOut],tblDaily[EntryDate],DATE(2026,11,23),tblDaily[WardCode],"BH")=0,"",SUMIFS(tblDaily[TransfersOut],tblDaily[EntryDate],DATE(2026,11,23),tblDaily[WardCode],"BH")),"")</f>
        <v/>
      </c>
      <c r="H419" s="29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IFERROR(IF(SUMIFS(tblDaily[Admissions],tblDaily[EntryDate],DATE(2026,11,24),tblDaily[WardCode],"BH")=0,"",SUMIFS(tblDaily[Admissions],tblDaily[EntryDate],DATE(2026,11,24),tblDaily[WardCode],"BH")),"")</f>
        <v/>
      </c>
      <c r="C420" s="29" t="str">
        <f>IFERROR(IF(SUMIFS(tblDaily[Discharges],tblDaily[EntryDate],DATE(2026,11,24),tblDaily[WardCode],"BH")=0,"",SUMIFS(tblDaily[Discharges],tblDaily[EntryDate],DATE(2026,11,24),tblDaily[WardCode],"BH")),"")</f>
        <v/>
      </c>
      <c r="D420" s="29" t="str">
        <f>IFERROR(IF(SUMIFS(tblDaily[Deaths],tblDaily[EntryDate],DATE(2026,11,24),tblDaily[WardCode],"BH")=0,"",SUMIFS(tblDaily[Deaths],tblDaily[EntryDate],DATE(2026,11,24),tblDaily[WardCode],"BH")),"")</f>
        <v/>
      </c>
      <c r="E420" s="29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29" t="str">
        <f>IFERROR(IF(SUMIFS(tblDaily[TransfersIn],tblDaily[EntryDate],DATE(2026,11,24),tblDaily[WardCode],"BH")=0,"",SUMIFS(tblDaily[TransfersIn],tblDaily[EntryDate],DATE(2026,11,24),tblDaily[WardCode],"BH")),"")</f>
        <v/>
      </c>
      <c r="G420" s="29" t="str">
        <f>IFERROR(IF(SUMIFS(tblDaily[TransfersOut],tblDaily[EntryDate],DATE(2026,11,24),tblDaily[WardCode],"BH")=0,"",SUMIFS(tblDaily[TransfersOut],tblDaily[EntryDate],DATE(2026,11,24),tblDaily[WardCode],"BH")),"")</f>
        <v/>
      </c>
      <c r="H420" s="29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IFERROR(IF(SUMIFS(tblDaily[Admissions],tblDaily[EntryDate],DATE(2026,11,25),tblDaily[WardCode],"BH")=0,"",SUMIFS(tblDaily[Admissions],tblDaily[EntryDate],DATE(2026,11,25),tblDaily[WardCode],"BH")),"")</f>
        <v/>
      </c>
      <c r="C421" s="29" t="str">
        <f>IFERROR(IF(SUMIFS(tblDaily[Discharges],tblDaily[EntryDate],DATE(2026,11,25),tblDaily[WardCode],"BH")=0,"",SUMIFS(tblDaily[Discharges],tblDaily[EntryDate],DATE(2026,11,25),tblDaily[WardCode],"BH")),"")</f>
        <v/>
      </c>
      <c r="D421" s="29" t="str">
        <f>IFERROR(IF(SUMIFS(tblDaily[Deaths],tblDaily[EntryDate],DATE(2026,11,25),tblDaily[WardCode],"BH")=0,"",SUMIFS(tblDaily[Deaths],tblDaily[EntryDate],DATE(2026,11,25),tblDaily[WardCode],"BH")),"")</f>
        <v/>
      </c>
      <c r="E421" s="29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29" t="str">
        <f>IFERROR(IF(SUMIFS(tblDaily[TransfersIn],tblDaily[EntryDate],DATE(2026,11,25),tblDaily[WardCode],"BH")=0,"",SUMIFS(tblDaily[TransfersIn],tblDaily[EntryDate],DATE(2026,11,25),tblDaily[WardCode],"BH")),"")</f>
        <v/>
      </c>
      <c r="G421" s="29" t="str">
        <f>IFERROR(IF(SUMIFS(tblDaily[TransfersOut],tblDaily[EntryDate],DATE(2026,11,25),tblDaily[WardCode],"BH")=0,"",SUMIFS(tblDaily[TransfersOut],tblDaily[EntryDate],DATE(2026,11,25),tblDaily[WardCode],"BH")),"")</f>
        <v/>
      </c>
      <c r="H421" s="29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IFERROR(IF(SUMIFS(tblDaily[Admissions],tblDaily[EntryDate],DATE(2026,11,26),tblDaily[WardCode],"BH")=0,"",SUMIFS(tblDaily[Admissions],tblDaily[EntryDate],DATE(2026,11,26),tblDaily[WardCode],"BH")),"")</f>
        <v/>
      </c>
      <c r="C422" s="29" t="str">
        <f>IFERROR(IF(SUMIFS(tblDaily[Discharges],tblDaily[EntryDate],DATE(2026,11,26),tblDaily[WardCode],"BH")=0,"",SUMIFS(tblDaily[Discharges],tblDaily[EntryDate],DATE(2026,11,26),tblDaily[WardCode],"BH")),"")</f>
        <v/>
      </c>
      <c r="D422" s="29" t="str">
        <f>IFERROR(IF(SUMIFS(tblDaily[Deaths],tblDaily[EntryDate],DATE(2026,11,26),tblDaily[WardCode],"BH")=0,"",SUMIFS(tblDaily[Deaths],tblDaily[EntryDate],DATE(2026,11,26),tblDaily[WardCode],"BH")),"")</f>
        <v/>
      </c>
      <c r="E422" s="29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29" t="str">
        <f>IFERROR(IF(SUMIFS(tblDaily[TransfersIn],tblDaily[EntryDate],DATE(2026,11,26),tblDaily[WardCode],"BH")=0,"",SUMIFS(tblDaily[TransfersIn],tblDaily[EntryDate],DATE(2026,11,26),tblDaily[WardCode],"BH")),"")</f>
        <v/>
      </c>
      <c r="G422" s="29" t="str">
        <f>IFERROR(IF(SUMIFS(tblDaily[TransfersOut],tblDaily[EntryDate],DATE(2026,11,26),tblDaily[WardCode],"BH")=0,"",SUMIFS(tblDaily[TransfersOut],tblDaily[EntryDate],DATE(2026,11,26),tblDaily[WardCode],"BH")),"")</f>
        <v/>
      </c>
      <c r="H422" s="29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IFERROR(IF(SUMIFS(tblDaily[Admissions],tblDaily[EntryDate],DATE(2026,11,27),tblDaily[WardCode],"BH")=0,"",SUMIFS(tblDaily[Admissions],tblDaily[EntryDate],DATE(2026,11,27),tblDaily[WardCode],"BH")),"")</f>
        <v/>
      </c>
      <c r="C423" s="29" t="str">
        <f>IFERROR(IF(SUMIFS(tblDaily[Discharges],tblDaily[EntryDate],DATE(2026,11,27),tblDaily[WardCode],"BH")=0,"",SUMIFS(tblDaily[Discharges],tblDaily[EntryDate],DATE(2026,11,27),tblDaily[WardCode],"BH")),"")</f>
        <v/>
      </c>
      <c r="D423" s="29" t="str">
        <f>IFERROR(IF(SUMIFS(tblDaily[Deaths],tblDaily[EntryDate],DATE(2026,11,27),tblDaily[WardCode],"BH")=0,"",SUMIFS(tblDaily[Deaths],tblDaily[EntryDate],DATE(2026,11,27),tblDaily[WardCode],"BH")),"")</f>
        <v/>
      </c>
      <c r="E423" s="29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29" t="str">
        <f>IFERROR(IF(SUMIFS(tblDaily[TransfersIn],tblDaily[EntryDate],DATE(2026,11,27),tblDaily[WardCode],"BH")=0,"",SUMIFS(tblDaily[TransfersIn],tblDaily[EntryDate],DATE(2026,11,27),tblDaily[WardCode],"BH")),"")</f>
        <v/>
      </c>
      <c r="G423" s="29" t="str">
        <f>IFERROR(IF(SUMIFS(tblDaily[TransfersOut],tblDaily[EntryDate],DATE(2026,11,27),tblDaily[WardCode],"BH")=0,"",SUMIFS(tblDaily[TransfersOut],tblDaily[EntryDate],DATE(2026,11,27),tblDaily[WardCode],"BH")),"")</f>
        <v/>
      </c>
      <c r="H423" s="29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IFERROR(IF(SUMIFS(tblDaily[Admissions],tblDaily[EntryDate],DATE(2026,11,28),tblDaily[WardCode],"BH")=0,"",SUMIFS(tblDaily[Admissions],tblDaily[EntryDate],DATE(2026,11,28),tblDaily[WardCode],"BH")),"")</f>
        <v/>
      </c>
      <c r="C424" s="29" t="str">
        <f>IFERROR(IF(SUMIFS(tblDaily[Discharges],tblDaily[EntryDate],DATE(2026,11,28),tblDaily[WardCode],"BH")=0,"",SUMIFS(tblDaily[Discharges],tblDaily[EntryDate],DATE(2026,11,28),tblDaily[WardCode],"BH")),"")</f>
        <v/>
      </c>
      <c r="D424" s="29" t="str">
        <f>IFERROR(IF(SUMIFS(tblDaily[Deaths],tblDaily[EntryDate],DATE(2026,11,28),tblDaily[WardCode],"BH")=0,"",SUMIFS(tblDaily[Deaths],tblDaily[EntryDate],DATE(2026,11,28),tblDaily[WardCode],"BH")),"")</f>
        <v/>
      </c>
      <c r="E424" s="29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29" t="str">
        <f>IFERROR(IF(SUMIFS(tblDaily[TransfersIn],tblDaily[EntryDate],DATE(2026,11,28),tblDaily[WardCode],"BH")=0,"",SUMIFS(tblDaily[TransfersIn],tblDaily[EntryDate],DATE(2026,11,28),tblDaily[WardCode],"BH")),"")</f>
        <v/>
      </c>
      <c r="G424" s="29" t="str">
        <f>IFERROR(IF(SUMIFS(tblDaily[TransfersOut],tblDaily[EntryDate],DATE(2026,11,28),tblDaily[WardCode],"BH")=0,"",SUMIFS(tblDaily[TransfersOut],tblDaily[EntryDate],DATE(2026,11,28),tblDaily[WardCode],"BH")),"")</f>
        <v/>
      </c>
      <c r="H424" s="29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IFERROR(IF(SUMIFS(tblDaily[Admissions],tblDaily[EntryDate],DATE(2026,11,29),tblDaily[WardCode],"BH")=0,"",SUMIFS(tblDaily[Admissions],tblDaily[EntryDate],DATE(2026,11,29),tblDaily[WardCode],"BH")),"")</f>
        <v/>
      </c>
      <c r="C425" s="29" t="str">
        <f>IFERROR(IF(SUMIFS(tblDaily[Discharges],tblDaily[EntryDate],DATE(2026,11,29),tblDaily[WardCode],"BH")=0,"",SUMIFS(tblDaily[Discharges],tblDaily[EntryDate],DATE(2026,11,29),tblDaily[WardCode],"BH")),"")</f>
        <v/>
      </c>
      <c r="D425" s="29" t="str">
        <f>IFERROR(IF(SUMIFS(tblDaily[Deaths],tblDaily[EntryDate],DATE(2026,11,29),tblDaily[WardCode],"BH")=0,"",SUMIFS(tblDaily[Deaths],tblDaily[EntryDate],DATE(2026,11,29),tblDaily[WardCode],"BH")),"")</f>
        <v/>
      </c>
      <c r="E425" s="29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29" t="str">
        <f>IFERROR(IF(SUMIFS(tblDaily[TransfersIn],tblDaily[EntryDate],DATE(2026,11,29),tblDaily[WardCode],"BH")=0,"",SUMIFS(tblDaily[TransfersIn],tblDaily[EntryDate],DATE(2026,11,29),tblDaily[WardCode],"BH")),"")</f>
        <v/>
      </c>
      <c r="G425" s="29" t="str">
        <f>IFERROR(IF(SUMIFS(tblDaily[TransfersOut],tblDaily[EntryDate],DATE(2026,11,29),tblDaily[WardCode],"BH")=0,"",SUMIFS(tblDaily[TransfersOut],tblDaily[EntryDate],DATE(2026,11,29),tblDaily[WardCode],"BH")),"")</f>
        <v/>
      </c>
      <c r="H425" s="29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IFERROR(IF(SUMIFS(tblDaily[Admissions],tblDaily[EntryDate],DATE(2026,11,30),tblDaily[WardCode],"BH")=0,"",SUMIFS(tblDaily[Admissions],tblDaily[EntryDate],DATE(2026,11,30),tblDaily[WardCode],"BH")),"")</f>
        <v/>
      </c>
      <c r="C426" s="29" t="str">
        <f>IFERROR(IF(SUMIFS(tblDaily[Discharges],tblDaily[EntryDate],DATE(2026,11,30),tblDaily[WardCode],"BH")=0,"",SUMIFS(tblDaily[Discharges],tblDaily[EntryDate],DATE(2026,11,30),tblDaily[WardCode],"BH")),"")</f>
        <v/>
      </c>
      <c r="D426" s="29" t="str">
        <f>IFERROR(IF(SUMIFS(tblDaily[Deaths],tblDaily[EntryDate],DATE(2026,11,30),tblDaily[WardCode],"BH")=0,"",SUMIFS(tblDaily[Deaths],tblDaily[EntryDate],DATE(2026,11,30),tblDaily[WardCode],"BH")),"")</f>
        <v/>
      </c>
      <c r="E426" s="29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29" t="str">
        <f>IFERROR(IF(SUMIFS(tblDaily[TransfersIn],tblDaily[EntryDate],DATE(2026,11,30),tblDaily[WardCode],"BH")=0,"",SUMIFS(tblDaily[TransfersIn],tblDaily[EntryDate],DATE(2026,11,30),tblDaily[WardCode],"BH")),"")</f>
        <v/>
      </c>
      <c r="G426" s="29" t="str">
        <f>IFERROR(IF(SUMIFS(tblDaily[TransfersOut],tblDaily[EntryDate],DATE(2026,11,30),tblDaily[WardCode],"BH")=0,"",SUMIFS(tblDaily[TransfersOut],tblDaily[EntryDate],DATE(2026,11,30),tblDaily[WardCode],"BH")),"")</f>
        <v/>
      </c>
      <c r="H426" s="29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SUMIFS(tblDaily[Admissions],tblDaily[Month],11,tblDaily[WardCode],"BH") - SUMIFS(tblDaily[DeathsUnder24Hrs],tblDaily[Month],11,tblDaily[WardCode],"BH")</f>
        <v>0</v>
      </c>
      <c r="C428" s="30">
        <f>SUMIFS(tblDaily[Discharges],tblDaily[Month],11,tblDaily[WardCode],"BH")</f>
        <v>0</v>
      </c>
      <c r="D428" s="30">
        <f>SUMIFS(tblDaily[Deaths],tblDaily[Month],11,tblDaily[WardCode],"BH")</f>
        <v>0</v>
      </c>
      <c r="E428" s="30">
        <f>SUMIFS(tblDaily[DeathsUnder24Hrs],tblDaily[Month],11,tblDaily[WardCode],"BH")</f>
        <v>0</v>
      </c>
      <c r="F428" s="30">
        <f>SUMIFS(tblDaily[TransfersIn],tblDaily[Month],11,tblDaily[WardCode],"BH")</f>
        <v>0</v>
      </c>
      <c r="G428" s="30">
        <f>SUMIFS(tblDaily[TransfersOut],tblDaily[Month],11,tblDaily[WardCode],"BH")</f>
        <v>0</v>
      </c>
      <c r="H428" s="30">
        <f>SUMIFS(tblDaily[Remaining],tblDaily[Month],11,tblDaily[WardCode],"BH")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120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IFERROR(SUMIFS(tblDaily[Remaining],tblDaily[EntryDate],DATE(2026,11,30),tblDaily[WardCode],"BH"),0)</f>
        <v>0</v>
      </c>
    </row>
    <row r="434" spans="1:8" x14ac:dyDescent="0.25">
      <c r="A434" s="24" t="s">
        <v>109</v>
      </c>
      <c r="H434" s="27">
        <f>IFERROR(INDEX(tblWardConfig[BedComplement],MATCH("BH",tblWardConfig[WardCode],0)),0)</f>
        <v>22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IFERROR(IF(SUMIFS(tblDaily[Admissions],tblDaily[EntryDate],DATE(2026,12,1),tblDaily[WardCode],"BH")=0,"",SUMIFS(tblDaily[Admissions],tblDaily[EntryDate],DATE(2026,12,1),tblDaily[WardCode],"BH")),"")</f>
        <v/>
      </c>
      <c r="C436" s="29" t="str">
        <f>IFERROR(IF(SUMIFS(tblDaily[Discharges],tblDaily[EntryDate],DATE(2026,12,1),tblDaily[WardCode],"BH")=0,"",SUMIFS(tblDaily[Discharges],tblDaily[EntryDate],DATE(2026,12,1),tblDaily[WardCode],"BH")),"")</f>
        <v/>
      </c>
      <c r="D436" s="29" t="str">
        <f>IFERROR(IF(SUMIFS(tblDaily[Deaths],tblDaily[EntryDate],DATE(2026,12,1),tblDaily[WardCode],"BH")=0,"",SUMIFS(tblDaily[Deaths],tblDaily[EntryDate],DATE(2026,12,1),tblDaily[WardCode],"BH")),"")</f>
        <v/>
      </c>
      <c r="E436" s="29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29" t="str">
        <f>IFERROR(IF(SUMIFS(tblDaily[TransfersIn],tblDaily[EntryDate],DATE(2026,12,1),tblDaily[WardCode],"BH")=0,"",SUMIFS(tblDaily[TransfersIn],tblDaily[EntryDate],DATE(2026,12,1),tblDaily[WardCode],"BH")),"")</f>
        <v/>
      </c>
      <c r="G436" s="29" t="str">
        <f>IFERROR(IF(SUMIFS(tblDaily[TransfersOut],tblDaily[EntryDate],DATE(2026,12,1),tblDaily[WardCode],"BH")=0,"",SUMIFS(tblDaily[TransfersOut],tblDaily[EntryDate],DATE(2026,12,1),tblDaily[WardCode],"BH")),"")</f>
        <v/>
      </c>
      <c r="H436" s="29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IFERROR(IF(SUMIFS(tblDaily[Admissions],tblDaily[EntryDate],DATE(2026,12,2),tblDaily[WardCode],"BH")=0,"",SUMIFS(tblDaily[Admissions],tblDaily[EntryDate],DATE(2026,12,2),tblDaily[WardCode],"BH")),"")</f>
        <v/>
      </c>
      <c r="C437" s="29" t="str">
        <f>IFERROR(IF(SUMIFS(tblDaily[Discharges],tblDaily[EntryDate],DATE(2026,12,2),tblDaily[WardCode],"BH")=0,"",SUMIFS(tblDaily[Discharges],tblDaily[EntryDate],DATE(2026,12,2),tblDaily[WardCode],"BH")),"")</f>
        <v/>
      </c>
      <c r="D437" s="29" t="str">
        <f>IFERROR(IF(SUMIFS(tblDaily[Deaths],tblDaily[EntryDate],DATE(2026,12,2),tblDaily[WardCode],"BH")=0,"",SUMIFS(tblDaily[Deaths],tblDaily[EntryDate],DATE(2026,12,2),tblDaily[WardCode],"BH")),"")</f>
        <v/>
      </c>
      <c r="E437" s="29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29" t="str">
        <f>IFERROR(IF(SUMIFS(tblDaily[TransfersIn],tblDaily[EntryDate],DATE(2026,12,2),tblDaily[WardCode],"BH")=0,"",SUMIFS(tblDaily[TransfersIn],tblDaily[EntryDate],DATE(2026,12,2),tblDaily[WardCode],"BH")),"")</f>
        <v/>
      </c>
      <c r="G437" s="29" t="str">
        <f>IFERROR(IF(SUMIFS(tblDaily[TransfersOut],tblDaily[EntryDate],DATE(2026,12,2),tblDaily[WardCode],"BH")=0,"",SUMIFS(tblDaily[TransfersOut],tblDaily[EntryDate],DATE(2026,12,2),tblDaily[WardCode],"BH")),"")</f>
        <v/>
      </c>
      <c r="H437" s="29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IFERROR(IF(SUMIFS(tblDaily[Admissions],tblDaily[EntryDate],DATE(2026,12,3),tblDaily[WardCode],"BH")=0,"",SUMIFS(tblDaily[Admissions],tblDaily[EntryDate],DATE(2026,12,3),tblDaily[WardCode],"BH")),"")</f>
        <v/>
      </c>
      <c r="C438" s="29" t="str">
        <f>IFERROR(IF(SUMIFS(tblDaily[Discharges],tblDaily[EntryDate],DATE(2026,12,3),tblDaily[WardCode],"BH")=0,"",SUMIFS(tblDaily[Discharges],tblDaily[EntryDate],DATE(2026,12,3),tblDaily[WardCode],"BH")),"")</f>
        <v/>
      </c>
      <c r="D438" s="29" t="str">
        <f>IFERROR(IF(SUMIFS(tblDaily[Deaths],tblDaily[EntryDate],DATE(2026,12,3),tblDaily[WardCode],"BH")=0,"",SUMIFS(tblDaily[Deaths],tblDaily[EntryDate],DATE(2026,12,3),tblDaily[WardCode],"BH")),"")</f>
        <v/>
      </c>
      <c r="E438" s="29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29" t="str">
        <f>IFERROR(IF(SUMIFS(tblDaily[TransfersIn],tblDaily[EntryDate],DATE(2026,12,3),tblDaily[WardCode],"BH")=0,"",SUMIFS(tblDaily[TransfersIn],tblDaily[EntryDate],DATE(2026,12,3),tblDaily[WardCode],"BH")),"")</f>
        <v/>
      </c>
      <c r="G438" s="29" t="str">
        <f>IFERROR(IF(SUMIFS(tblDaily[TransfersOut],tblDaily[EntryDate],DATE(2026,12,3),tblDaily[WardCode],"BH")=0,"",SUMIFS(tblDaily[TransfersOut],tblDaily[EntryDate],DATE(2026,12,3),tblDaily[WardCode],"BH")),"")</f>
        <v/>
      </c>
      <c r="H438" s="29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IFERROR(IF(SUMIFS(tblDaily[Admissions],tblDaily[EntryDate],DATE(2026,12,4),tblDaily[WardCode],"BH")=0,"",SUMIFS(tblDaily[Admissions],tblDaily[EntryDate],DATE(2026,12,4),tblDaily[WardCode],"BH")),"")</f>
        <v/>
      </c>
      <c r="C439" s="29" t="str">
        <f>IFERROR(IF(SUMIFS(tblDaily[Discharges],tblDaily[EntryDate],DATE(2026,12,4),tblDaily[WardCode],"BH")=0,"",SUMIFS(tblDaily[Discharges],tblDaily[EntryDate],DATE(2026,12,4),tblDaily[WardCode],"BH")),"")</f>
        <v/>
      </c>
      <c r="D439" s="29" t="str">
        <f>IFERROR(IF(SUMIFS(tblDaily[Deaths],tblDaily[EntryDate],DATE(2026,12,4),tblDaily[WardCode],"BH")=0,"",SUMIFS(tblDaily[Deaths],tblDaily[EntryDate],DATE(2026,12,4),tblDaily[WardCode],"BH")),"")</f>
        <v/>
      </c>
      <c r="E439" s="29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29" t="str">
        <f>IFERROR(IF(SUMIFS(tblDaily[TransfersIn],tblDaily[EntryDate],DATE(2026,12,4),tblDaily[WardCode],"BH")=0,"",SUMIFS(tblDaily[TransfersIn],tblDaily[EntryDate],DATE(2026,12,4),tblDaily[WardCode],"BH")),"")</f>
        <v/>
      </c>
      <c r="G439" s="29" t="str">
        <f>IFERROR(IF(SUMIFS(tblDaily[TransfersOut],tblDaily[EntryDate],DATE(2026,12,4),tblDaily[WardCode],"BH")=0,"",SUMIFS(tblDaily[TransfersOut],tblDaily[EntryDate],DATE(2026,12,4),tblDaily[WardCode],"BH")),"")</f>
        <v/>
      </c>
      <c r="H439" s="29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IFERROR(IF(SUMIFS(tblDaily[Admissions],tblDaily[EntryDate],DATE(2026,12,5),tblDaily[WardCode],"BH")=0,"",SUMIFS(tblDaily[Admissions],tblDaily[EntryDate],DATE(2026,12,5),tblDaily[WardCode],"BH")),"")</f>
        <v/>
      </c>
      <c r="C440" s="29" t="str">
        <f>IFERROR(IF(SUMIFS(tblDaily[Discharges],tblDaily[EntryDate],DATE(2026,12,5),tblDaily[WardCode],"BH")=0,"",SUMIFS(tblDaily[Discharges],tblDaily[EntryDate],DATE(2026,12,5),tblDaily[WardCode],"BH")),"")</f>
        <v/>
      </c>
      <c r="D440" s="29" t="str">
        <f>IFERROR(IF(SUMIFS(tblDaily[Deaths],tblDaily[EntryDate],DATE(2026,12,5),tblDaily[WardCode],"BH")=0,"",SUMIFS(tblDaily[Deaths],tblDaily[EntryDate],DATE(2026,12,5),tblDaily[WardCode],"BH")),"")</f>
        <v/>
      </c>
      <c r="E440" s="29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29" t="str">
        <f>IFERROR(IF(SUMIFS(tblDaily[TransfersIn],tblDaily[EntryDate],DATE(2026,12,5),tblDaily[WardCode],"BH")=0,"",SUMIFS(tblDaily[TransfersIn],tblDaily[EntryDate],DATE(2026,12,5),tblDaily[WardCode],"BH")),"")</f>
        <v/>
      </c>
      <c r="G440" s="29" t="str">
        <f>IFERROR(IF(SUMIFS(tblDaily[TransfersOut],tblDaily[EntryDate],DATE(2026,12,5),tblDaily[WardCode],"BH")=0,"",SUMIFS(tblDaily[TransfersOut],tblDaily[EntryDate],DATE(2026,12,5),tblDaily[WardCode],"BH")),"")</f>
        <v/>
      </c>
      <c r="H440" s="29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IFERROR(IF(SUMIFS(tblDaily[Admissions],tblDaily[EntryDate],DATE(2026,12,6),tblDaily[WardCode],"BH")=0,"",SUMIFS(tblDaily[Admissions],tblDaily[EntryDate],DATE(2026,12,6),tblDaily[WardCode],"BH")),"")</f>
        <v/>
      </c>
      <c r="C441" s="29" t="str">
        <f>IFERROR(IF(SUMIFS(tblDaily[Discharges],tblDaily[EntryDate],DATE(2026,12,6),tblDaily[WardCode],"BH")=0,"",SUMIFS(tblDaily[Discharges],tblDaily[EntryDate],DATE(2026,12,6),tblDaily[WardCode],"BH")),"")</f>
        <v/>
      </c>
      <c r="D441" s="29" t="str">
        <f>IFERROR(IF(SUMIFS(tblDaily[Deaths],tblDaily[EntryDate],DATE(2026,12,6),tblDaily[WardCode],"BH")=0,"",SUMIFS(tblDaily[Deaths],tblDaily[EntryDate],DATE(2026,12,6),tblDaily[WardCode],"BH")),"")</f>
        <v/>
      </c>
      <c r="E441" s="29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29" t="str">
        <f>IFERROR(IF(SUMIFS(tblDaily[TransfersIn],tblDaily[EntryDate],DATE(2026,12,6),tblDaily[WardCode],"BH")=0,"",SUMIFS(tblDaily[TransfersIn],tblDaily[EntryDate],DATE(2026,12,6),tblDaily[WardCode],"BH")),"")</f>
        <v/>
      </c>
      <c r="G441" s="29" t="str">
        <f>IFERROR(IF(SUMIFS(tblDaily[TransfersOut],tblDaily[EntryDate],DATE(2026,12,6),tblDaily[WardCode],"BH")=0,"",SUMIFS(tblDaily[TransfersOut],tblDaily[EntryDate],DATE(2026,12,6),tblDaily[WardCode],"BH")),"")</f>
        <v/>
      </c>
      <c r="H441" s="29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IFERROR(IF(SUMIFS(tblDaily[Admissions],tblDaily[EntryDate],DATE(2026,12,7),tblDaily[WardCode],"BH")=0,"",SUMIFS(tblDaily[Admissions],tblDaily[EntryDate],DATE(2026,12,7),tblDaily[WardCode],"BH")),"")</f>
        <v/>
      </c>
      <c r="C442" s="29" t="str">
        <f>IFERROR(IF(SUMIFS(tblDaily[Discharges],tblDaily[EntryDate],DATE(2026,12,7),tblDaily[WardCode],"BH")=0,"",SUMIFS(tblDaily[Discharges],tblDaily[EntryDate],DATE(2026,12,7),tblDaily[WardCode],"BH")),"")</f>
        <v/>
      </c>
      <c r="D442" s="29" t="str">
        <f>IFERROR(IF(SUMIFS(tblDaily[Deaths],tblDaily[EntryDate],DATE(2026,12,7),tblDaily[WardCode],"BH")=0,"",SUMIFS(tblDaily[Deaths],tblDaily[EntryDate],DATE(2026,12,7),tblDaily[WardCode],"BH")),"")</f>
        <v/>
      </c>
      <c r="E442" s="29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29" t="str">
        <f>IFERROR(IF(SUMIFS(tblDaily[TransfersIn],tblDaily[EntryDate],DATE(2026,12,7),tblDaily[WardCode],"BH")=0,"",SUMIFS(tblDaily[TransfersIn],tblDaily[EntryDate],DATE(2026,12,7),tblDaily[WardCode],"BH")),"")</f>
        <v/>
      </c>
      <c r="G442" s="29" t="str">
        <f>IFERROR(IF(SUMIFS(tblDaily[TransfersOut],tblDaily[EntryDate],DATE(2026,12,7),tblDaily[WardCode],"BH")=0,"",SUMIFS(tblDaily[TransfersOut],tblDaily[EntryDate],DATE(2026,12,7),tblDaily[WardCode],"BH")),"")</f>
        <v/>
      </c>
      <c r="H442" s="29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IFERROR(IF(SUMIFS(tblDaily[Admissions],tblDaily[EntryDate],DATE(2026,12,8),tblDaily[WardCode],"BH")=0,"",SUMIFS(tblDaily[Admissions],tblDaily[EntryDate],DATE(2026,12,8),tblDaily[WardCode],"BH")),"")</f>
        <v/>
      </c>
      <c r="C443" s="29" t="str">
        <f>IFERROR(IF(SUMIFS(tblDaily[Discharges],tblDaily[EntryDate],DATE(2026,12,8),tblDaily[WardCode],"BH")=0,"",SUMIFS(tblDaily[Discharges],tblDaily[EntryDate],DATE(2026,12,8),tblDaily[WardCode],"BH")),"")</f>
        <v/>
      </c>
      <c r="D443" s="29" t="str">
        <f>IFERROR(IF(SUMIFS(tblDaily[Deaths],tblDaily[EntryDate],DATE(2026,12,8),tblDaily[WardCode],"BH")=0,"",SUMIFS(tblDaily[Deaths],tblDaily[EntryDate],DATE(2026,12,8),tblDaily[WardCode],"BH")),"")</f>
        <v/>
      </c>
      <c r="E443" s="29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29" t="str">
        <f>IFERROR(IF(SUMIFS(tblDaily[TransfersIn],tblDaily[EntryDate],DATE(2026,12,8),tblDaily[WardCode],"BH")=0,"",SUMIFS(tblDaily[TransfersIn],tblDaily[EntryDate],DATE(2026,12,8),tblDaily[WardCode],"BH")),"")</f>
        <v/>
      </c>
      <c r="G443" s="29" t="str">
        <f>IFERROR(IF(SUMIFS(tblDaily[TransfersOut],tblDaily[EntryDate],DATE(2026,12,8),tblDaily[WardCode],"BH")=0,"",SUMIFS(tblDaily[TransfersOut],tblDaily[EntryDate],DATE(2026,12,8),tblDaily[WardCode],"BH")),"")</f>
        <v/>
      </c>
      <c r="H443" s="29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IFERROR(IF(SUMIFS(tblDaily[Admissions],tblDaily[EntryDate],DATE(2026,12,9),tblDaily[WardCode],"BH")=0,"",SUMIFS(tblDaily[Admissions],tblDaily[EntryDate],DATE(2026,12,9),tblDaily[WardCode],"BH")),"")</f>
        <v/>
      </c>
      <c r="C444" s="29" t="str">
        <f>IFERROR(IF(SUMIFS(tblDaily[Discharges],tblDaily[EntryDate],DATE(2026,12,9),tblDaily[WardCode],"BH")=0,"",SUMIFS(tblDaily[Discharges],tblDaily[EntryDate],DATE(2026,12,9),tblDaily[WardCode],"BH")),"")</f>
        <v/>
      </c>
      <c r="D444" s="29" t="str">
        <f>IFERROR(IF(SUMIFS(tblDaily[Deaths],tblDaily[EntryDate],DATE(2026,12,9),tblDaily[WardCode],"BH")=0,"",SUMIFS(tblDaily[Deaths],tblDaily[EntryDate],DATE(2026,12,9),tblDaily[WardCode],"BH")),"")</f>
        <v/>
      </c>
      <c r="E444" s="29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29" t="str">
        <f>IFERROR(IF(SUMIFS(tblDaily[TransfersIn],tblDaily[EntryDate],DATE(2026,12,9),tblDaily[WardCode],"BH")=0,"",SUMIFS(tblDaily[TransfersIn],tblDaily[EntryDate],DATE(2026,12,9),tblDaily[WardCode],"BH")),"")</f>
        <v/>
      </c>
      <c r="G444" s="29" t="str">
        <f>IFERROR(IF(SUMIFS(tblDaily[TransfersOut],tblDaily[EntryDate],DATE(2026,12,9),tblDaily[WardCode],"BH")=0,"",SUMIFS(tblDaily[TransfersOut],tblDaily[EntryDate],DATE(2026,12,9),tblDaily[WardCode],"BH")),"")</f>
        <v/>
      </c>
      <c r="H444" s="29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IFERROR(IF(SUMIFS(tblDaily[Admissions],tblDaily[EntryDate],DATE(2026,12,10),tblDaily[WardCode],"BH")=0,"",SUMIFS(tblDaily[Admissions],tblDaily[EntryDate],DATE(2026,12,10),tblDaily[WardCode],"BH")),"")</f>
        <v/>
      </c>
      <c r="C445" s="29" t="str">
        <f>IFERROR(IF(SUMIFS(tblDaily[Discharges],tblDaily[EntryDate],DATE(2026,12,10),tblDaily[WardCode],"BH")=0,"",SUMIFS(tblDaily[Discharges],tblDaily[EntryDate],DATE(2026,12,10),tblDaily[WardCode],"BH")),"")</f>
        <v/>
      </c>
      <c r="D445" s="29" t="str">
        <f>IFERROR(IF(SUMIFS(tblDaily[Deaths],tblDaily[EntryDate],DATE(2026,12,10),tblDaily[WardCode],"BH")=0,"",SUMIFS(tblDaily[Deaths],tblDaily[EntryDate],DATE(2026,12,10),tblDaily[WardCode],"BH")),"")</f>
        <v/>
      </c>
      <c r="E445" s="29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29" t="str">
        <f>IFERROR(IF(SUMIFS(tblDaily[TransfersIn],tblDaily[EntryDate],DATE(2026,12,10),tblDaily[WardCode],"BH")=0,"",SUMIFS(tblDaily[TransfersIn],tblDaily[EntryDate],DATE(2026,12,10),tblDaily[WardCode],"BH")),"")</f>
        <v/>
      </c>
      <c r="G445" s="29" t="str">
        <f>IFERROR(IF(SUMIFS(tblDaily[TransfersOut],tblDaily[EntryDate],DATE(2026,12,10),tblDaily[WardCode],"BH")=0,"",SUMIFS(tblDaily[TransfersOut],tblDaily[EntryDate],DATE(2026,12,10),tblDaily[WardCode],"BH")),"")</f>
        <v/>
      </c>
      <c r="H445" s="29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IFERROR(IF(SUMIFS(tblDaily[Admissions],tblDaily[EntryDate],DATE(2026,12,11),tblDaily[WardCode],"BH")=0,"",SUMIFS(tblDaily[Admissions],tblDaily[EntryDate],DATE(2026,12,11),tblDaily[WardCode],"BH")),"")</f>
        <v/>
      </c>
      <c r="C446" s="29" t="str">
        <f>IFERROR(IF(SUMIFS(tblDaily[Discharges],tblDaily[EntryDate],DATE(2026,12,11),tblDaily[WardCode],"BH")=0,"",SUMIFS(tblDaily[Discharges],tblDaily[EntryDate],DATE(2026,12,11),tblDaily[WardCode],"BH")),"")</f>
        <v/>
      </c>
      <c r="D446" s="29" t="str">
        <f>IFERROR(IF(SUMIFS(tblDaily[Deaths],tblDaily[EntryDate],DATE(2026,12,11),tblDaily[WardCode],"BH")=0,"",SUMIFS(tblDaily[Deaths],tblDaily[EntryDate],DATE(2026,12,11),tblDaily[WardCode],"BH")),"")</f>
        <v/>
      </c>
      <c r="E446" s="29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29" t="str">
        <f>IFERROR(IF(SUMIFS(tblDaily[TransfersIn],tblDaily[EntryDate],DATE(2026,12,11),tblDaily[WardCode],"BH")=0,"",SUMIFS(tblDaily[TransfersIn],tblDaily[EntryDate],DATE(2026,12,11),tblDaily[WardCode],"BH")),"")</f>
        <v/>
      </c>
      <c r="G446" s="29" t="str">
        <f>IFERROR(IF(SUMIFS(tblDaily[TransfersOut],tblDaily[EntryDate],DATE(2026,12,11),tblDaily[WardCode],"BH")=0,"",SUMIFS(tblDaily[TransfersOut],tblDaily[EntryDate],DATE(2026,12,11),tblDaily[WardCode],"BH")),"")</f>
        <v/>
      </c>
      <c r="H446" s="29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IFERROR(IF(SUMIFS(tblDaily[Admissions],tblDaily[EntryDate],DATE(2026,12,12),tblDaily[WardCode],"BH")=0,"",SUMIFS(tblDaily[Admissions],tblDaily[EntryDate],DATE(2026,12,12),tblDaily[WardCode],"BH")),"")</f>
        <v/>
      </c>
      <c r="C447" s="29" t="str">
        <f>IFERROR(IF(SUMIFS(tblDaily[Discharges],tblDaily[EntryDate],DATE(2026,12,12),tblDaily[WardCode],"BH")=0,"",SUMIFS(tblDaily[Discharges],tblDaily[EntryDate],DATE(2026,12,12),tblDaily[WardCode],"BH")),"")</f>
        <v/>
      </c>
      <c r="D447" s="29" t="str">
        <f>IFERROR(IF(SUMIFS(tblDaily[Deaths],tblDaily[EntryDate],DATE(2026,12,12),tblDaily[WardCode],"BH")=0,"",SUMIFS(tblDaily[Deaths],tblDaily[EntryDate],DATE(2026,12,12),tblDaily[WardCode],"BH")),"")</f>
        <v/>
      </c>
      <c r="E447" s="29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29" t="str">
        <f>IFERROR(IF(SUMIFS(tblDaily[TransfersIn],tblDaily[EntryDate],DATE(2026,12,12),tblDaily[WardCode],"BH")=0,"",SUMIFS(tblDaily[TransfersIn],tblDaily[EntryDate],DATE(2026,12,12),tblDaily[WardCode],"BH")),"")</f>
        <v/>
      </c>
      <c r="G447" s="29" t="str">
        <f>IFERROR(IF(SUMIFS(tblDaily[TransfersOut],tblDaily[EntryDate],DATE(2026,12,12),tblDaily[WardCode],"BH")=0,"",SUMIFS(tblDaily[TransfersOut],tblDaily[EntryDate],DATE(2026,12,12),tblDaily[WardCode],"BH")),"")</f>
        <v/>
      </c>
      <c r="H447" s="29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IFERROR(IF(SUMIFS(tblDaily[Admissions],tblDaily[EntryDate],DATE(2026,12,13),tblDaily[WardCode],"BH")=0,"",SUMIFS(tblDaily[Admissions],tblDaily[EntryDate],DATE(2026,12,13),tblDaily[WardCode],"BH")),"")</f>
        <v/>
      </c>
      <c r="C448" s="29" t="str">
        <f>IFERROR(IF(SUMIFS(tblDaily[Discharges],tblDaily[EntryDate],DATE(2026,12,13),tblDaily[WardCode],"BH")=0,"",SUMIFS(tblDaily[Discharges],tblDaily[EntryDate],DATE(2026,12,13),tblDaily[WardCode],"BH")),"")</f>
        <v/>
      </c>
      <c r="D448" s="29" t="str">
        <f>IFERROR(IF(SUMIFS(tblDaily[Deaths],tblDaily[EntryDate],DATE(2026,12,13),tblDaily[WardCode],"BH")=0,"",SUMIFS(tblDaily[Deaths],tblDaily[EntryDate],DATE(2026,12,13),tblDaily[WardCode],"BH")),"")</f>
        <v/>
      </c>
      <c r="E448" s="29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29" t="str">
        <f>IFERROR(IF(SUMIFS(tblDaily[TransfersIn],tblDaily[EntryDate],DATE(2026,12,13),tblDaily[WardCode],"BH")=0,"",SUMIFS(tblDaily[TransfersIn],tblDaily[EntryDate],DATE(2026,12,13),tblDaily[WardCode],"BH")),"")</f>
        <v/>
      </c>
      <c r="G448" s="29" t="str">
        <f>IFERROR(IF(SUMIFS(tblDaily[TransfersOut],tblDaily[EntryDate],DATE(2026,12,13),tblDaily[WardCode],"BH")=0,"",SUMIFS(tblDaily[TransfersOut],tblDaily[EntryDate],DATE(2026,12,13),tblDaily[WardCode],"BH")),"")</f>
        <v/>
      </c>
      <c r="H448" s="29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IFERROR(IF(SUMIFS(tblDaily[Admissions],tblDaily[EntryDate],DATE(2026,12,14),tblDaily[WardCode],"BH")=0,"",SUMIFS(tblDaily[Admissions],tblDaily[EntryDate],DATE(2026,12,14),tblDaily[WardCode],"BH")),"")</f>
        <v/>
      </c>
      <c r="C449" s="29" t="str">
        <f>IFERROR(IF(SUMIFS(tblDaily[Discharges],tblDaily[EntryDate],DATE(2026,12,14),tblDaily[WardCode],"BH")=0,"",SUMIFS(tblDaily[Discharges],tblDaily[EntryDate],DATE(2026,12,14),tblDaily[WardCode],"BH")),"")</f>
        <v/>
      </c>
      <c r="D449" s="29" t="str">
        <f>IFERROR(IF(SUMIFS(tblDaily[Deaths],tblDaily[EntryDate],DATE(2026,12,14),tblDaily[WardCode],"BH")=0,"",SUMIFS(tblDaily[Deaths],tblDaily[EntryDate],DATE(2026,12,14),tblDaily[WardCode],"BH")),"")</f>
        <v/>
      </c>
      <c r="E449" s="29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29" t="str">
        <f>IFERROR(IF(SUMIFS(tblDaily[TransfersIn],tblDaily[EntryDate],DATE(2026,12,14),tblDaily[WardCode],"BH")=0,"",SUMIFS(tblDaily[TransfersIn],tblDaily[EntryDate],DATE(2026,12,14),tblDaily[WardCode],"BH")),"")</f>
        <v/>
      </c>
      <c r="G449" s="29" t="str">
        <f>IFERROR(IF(SUMIFS(tblDaily[TransfersOut],tblDaily[EntryDate],DATE(2026,12,14),tblDaily[WardCode],"BH")=0,"",SUMIFS(tblDaily[TransfersOut],tblDaily[EntryDate],DATE(2026,12,14),tblDaily[WardCode],"BH")),"")</f>
        <v/>
      </c>
      <c r="H449" s="29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IFERROR(IF(SUMIFS(tblDaily[Admissions],tblDaily[EntryDate],DATE(2026,12,15),tblDaily[WardCode],"BH")=0,"",SUMIFS(tblDaily[Admissions],tblDaily[EntryDate],DATE(2026,12,15),tblDaily[WardCode],"BH")),"")</f>
        <v/>
      </c>
      <c r="C450" s="29" t="str">
        <f>IFERROR(IF(SUMIFS(tblDaily[Discharges],tblDaily[EntryDate],DATE(2026,12,15),tblDaily[WardCode],"BH")=0,"",SUMIFS(tblDaily[Discharges],tblDaily[EntryDate],DATE(2026,12,15),tblDaily[WardCode],"BH")),"")</f>
        <v/>
      </c>
      <c r="D450" s="29" t="str">
        <f>IFERROR(IF(SUMIFS(tblDaily[Deaths],tblDaily[EntryDate],DATE(2026,12,15),tblDaily[WardCode],"BH")=0,"",SUMIFS(tblDaily[Deaths],tblDaily[EntryDate],DATE(2026,12,15),tblDaily[WardCode],"BH")),"")</f>
        <v/>
      </c>
      <c r="E450" s="29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29" t="str">
        <f>IFERROR(IF(SUMIFS(tblDaily[TransfersIn],tblDaily[EntryDate],DATE(2026,12,15),tblDaily[WardCode],"BH")=0,"",SUMIFS(tblDaily[TransfersIn],tblDaily[EntryDate],DATE(2026,12,15),tblDaily[WardCode],"BH")),"")</f>
        <v/>
      </c>
      <c r="G450" s="29" t="str">
        <f>IFERROR(IF(SUMIFS(tblDaily[TransfersOut],tblDaily[EntryDate],DATE(2026,12,15),tblDaily[WardCode],"BH")=0,"",SUMIFS(tblDaily[TransfersOut],tblDaily[EntryDate],DATE(2026,12,15),tblDaily[WardCode],"BH")),"")</f>
        <v/>
      </c>
      <c r="H450" s="29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IFERROR(IF(SUMIFS(tblDaily[Admissions],tblDaily[EntryDate],DATE(2026,12,16),tblDaily[WardCode],"BH")=0,"",SUMIFS(tblDaily[Admissions],tblDaily[EntryDate],DATE(2026,12,16),tblDaily[WardCode],"BH")),"")</f>
        <v/>
      </c>
      <c r="C451" s="29" t="str">
        <f>IFERROR(IF(SUMIFS(tblDaily[Discharges],tblDaily[EntryDate],DATE(2026,12,16),tblDaily[WardCode],"BH")=0,"",SUMIFS(tblDaily[Discharges],tblDaily[EntryDate],DATE(2026,12,16),tblDaily[WardCode],"BH")),"")</f>
        <v/>
      </c>
      <c r="D451" s="29" t="str">
        <f>IFERROR(IF(SUMIFS(tblDaily[Deaths],tblDaily[EntryDate],DATE(2026,12,16),tblDaily[WardCode],"BH")=0,"",SUMIFS(tblDaily[Deaths],tblDaily[EntryDate],DATE(2026,12,16),tblDaily[WardCode],"BH")),"")</f>
        <v/>
      </c>
      <c r="E451" s="29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29" t="str">
        <f>IFERROR(IF(SUMIFS(tblDaily[TransfersIn],tblDaily[EntryDate],DATE(2026,12,16),tblDaily[WardCode],"BH")=0,"",SUMIFS(tblDaily[TransfersIn],tblDaily[EntryDate],DATE(2026,12,16),tblDaily[WardCode],"BH")),"")</f>
        <v/>
      </c>
      <c r="G451" s="29" t="str">
        <f>IFERROR(IF(SUMIFS(tblDaily[TransfersOut],tblDaily[EntryDate],DATE(2026,12,16),tblDaily[WardCode],"BH")=0,"",SUMIFS(tblDaily[TransfersOut],tblDaily[EntryDate],DATE(2026,12,16),tblDaily[WardCode],"BH")),"")</f>
        <v/>
      </c>
      <c r="H451" s="29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IFERROR(IF(SUMIFS(tblDaily[Admissions],tblDaily[EntryDate],DATE(2026,12,17),tblDaily[WardCode],"BH")=0,"",SUMIFS(tblDaily[Admissions],tblDaily[EntryDate],DATE(2026,12,17),tblDaily[WardCode],"BH")),"")</f>
        <v/>
      </c>
      <c r="C452" s="29" t="str">
        <f>IFERROR(IF(SUMIFS(tblDaily[Discharges],tblDaily[EntryDate],DATE(2026,12,17),tblDaily[WardCode],"BH")=0,"",SUMIFS(tblDaily[Discharges],tblDaily[EntryDate],DATE(2026,12,17),tblDaily[WardCode],"BH")),"")</f>
        <v/>
      </c>
      <c r="D452" s="29" t="str">
        <f>IFERROR(IF(SUMIFS(tblDaily[Deaths],tblDaily[EntryDate],DATE(2026,12,17),tblDaily[WardCode],"BH")=0,"",SUMIFS(tblDaily[Deaths],tblDaily[EntryDate],DATE(2026,12,17),tblDaily[WardCode],"BH")),"")</f>
        <v/>
      </c>
      <c r="E452" s="29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29" t="str">
        <f>IFERROR(IF(SUMIFS(tblDaily[TransfersIn],tblDaily[EntryDate],DATE(2026,12,17),tblDaily[WardCode],"BH")=0,"",SUMIFS(tblDaily[TransfersIn],tblDaily[EntryDate],DATE(2026,12,17),tblDaily[WardCode],"BH")),"")</f>
        <v/>
      </c>
      <c r="G452" s="29" t="str">
        <f>IFERROR(IF(SUMIFS(tblDaily[TransfersOut],tblDaily[EntryDate],DATE(2026,12,17),tblDaily[WardCode],"BH")=0,"",SUMIFS(tblDaily[TransfersOut],tblDaily[EntryDate],DATE(2026,12,17),tblDaily[WardCode],"BH")),"")</f>
        <v/>
      </c>
      <c r="H452" s="29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IFERROR(IF(SUMIFS(tblDaily[Admissions],tblDaily[EntryDate],DATE(2026,12,18),tblDaily[WardCode],"BH")=0,"",SUMIFS(tblDaily[Admissions],tblDaily[EntryDate],DATE(2026,12,18),tblDaily[WardCode],"BH")),"")</f>
        <v/>
      </c>
      <c r="C453" s="29" t="str">
        <f>IFERROR(IF(SUMIFS(tblDaily[Discharges],tblDaily[EntryDate],DATE(2026,12,18),tblDaily[WardCode],"BH")=0,"",SUMIFS(tblDaily[Discharges],tblDaily[EntryDate],DATE(2026,12,18),tblDaily[WardCode],"BH")),"")</f>
        <v/>
      </c>
      <c r="D453" s="29" t="str">
        <f>IFERROR(IF(SUMIFS(tblDaily[Deaths],tblDaily[EntryDate],DATE(2026,12,18),tblDaily[WardCode],"BH")=0,"",SUMIFS(tblDaily[Deaths],tblDaily[EntryDate],DATE(2026,12,18),tblDaily[WardCode],"BH")),"")</f>
        <v/>
      </c>
      <c r="E453" s="29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29" t="str">
        <f>IFERROR(IF(SUMIFS(tblDaily[TransfersIn],tblDaily[EntryDate],DATE(2026,12,18),tblDaily[WardCode],"BH")=0,"",SUMIFS(tblDaily[TransfersIn],tblDaily[EntryDate],DATE(2026,12,18),tblDaily[WardCode],"BH")),"")</f>
        <v/>
      </c>
      <c r="G453" s="29" t="str">
        <f>IFERROR(IF(SUMIFS(tblDaily[TransfersOut],tblDaily[EntryDate],DATE(2026,12,18),tblDaily[WardCode],"BH")=0,"",SUMIFS(tblDaily[TransfersOut],tblDaily[EntryDate],DATE(2026,12,18),tblDaily[WardCode],"BH")),"")</f>
        <v/>
      </c>
      <c r="H453" s="29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IFERROR(IF(SUMIFS(tblDaily[Admissions],tblDaily[EntryDate],DATE(2026,12,19),tblDaily[WardCode],"BH")=0,"",SUMIFS(tblDaily[Admissions],tblDaily[EntryDate],DATE(2026,12,19),tblDaily[WardCode],"BH")),"")</f>
        <v/>
      </c>
      <c r="C454" s="29" t="str">
        <f>IFERROR(IF(SUMIFS(tblDaily[Discharges],tblDaily[EntryDate],DATE(2026,12,19),tblDaily[WardCode],"BH")=0,"",SUMIFS(tblDaily[Discharges],tblDaily[EntryDate],DATE(2026,12,19),tblDaily[WardCode],"BH")),"")</f>
        <v/>
      </c>
      <c r="D454" s="29" t="str">
        <f>IFERROR(IF(SUMIFS(tblDaily[Deaths],tblDaily[EntryDate],DATE(2026,12,19),tblDaily[WardCode],"BH")=0,"",SUMIFS(tblDaily[Deaths],tblDaily[EntryDate],DATE(2026,12,19),tblDaily[WardCode],"BH")),"")</f>
        <v/>
      </c>
      <c r="E454" s="29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29" t="str">
        <f>IFERROR(IF(SUMIFS(tblDaily[TransfersIn],tblDaily[EntryDate],DATE(2026,12,19),tblDaily[WardCode],"BH")=0,"",SUMIFS(tblDaily[TransfersIn],tblDaily[EntryDate],DATE(2026,12,19),tblDaily[WardCode],"BH")),"")</f>
        <v/>
      </c>
      <c r="G454" s="29" t="str">
        <f>IFERROR(IF(SUMIFS(tblDaily[TransfersOut],tblDaily[EntryDate],DATE(2026,12,19),tblDaily[WardCode],"BH")=0,"",SUMIFS(tblDaily[TransfersOut],tblDaily[EntryDate],DATE(2026,12,19),tblDaily[WardCode],"BH")),"")</f>
        <v/>
      </c>
      <c r="H454" s="29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IFERROR(IF(SUMIFS(tblDaily[Admissions],tblDaily[EntryDate],DATE(2026,12,20),tblDaily[WardCode],"BH")=0,"",SUMIFS(tblDaily[Admissions],tblDaily[EntryDate],DATE(2026,12,20),tblDaily[WardCode],"BH")),"")</f>
        <v/>
      </c>
      <c r="C455" s="29" t="str">
        <f>IFERROR(IF(SUMIFS(tblDaily[Discharges],tblDaily[EntryDate],DATE(2026,12,20),tblDaily[WardCode],"BH")=0,"",SUMIFS(tblDaily[Discharges],tblDaily[EntryDate],DATE(2026,12,20),tblDaily[WardCode],"BH")),"")</f>
        <v/>
      </c>
      <c r="D455" s="29" t="str">
        <f>IFERROR(IF(SUMIFS(tblDaily[Deaths],tblDaily[EntryDate],DATE(2026,12,20),tblDaily[WardCode],"BH")=0,"",SUMIFS(tblDaily[Deaths],tblDaily[EntryDate],DATE(2026,12,20),tblDaily[WardCode],"BH")),"")</f>
        <v/>
      </c>
      <c r="E455" s="29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29" t="str">
        <f>IFERROR(IF(SUMIFS(tblDaily[TransfersIn],tblDaily[EntryDate],DATE(2026,12,20),tblDaily[WardCode],"BH")=0,"",SUMIFS(tblDaily[TransfersIn],tblDaily[EntryDate],DATE(2026,12,20),tblDaily[WardCode],"BH")),"")</f>
        <v/>
      </c>
      <c r="G455" s="29" t="str">
        <f>IFERROR(IF(SUMIFS(tblDaily[TransfersOut],tblDaily[EntryDate],DATE(2026,12,20),tblDaily[WardCode],"BH")=0,"",SUMIFS(tblDaily[TransfersOut],tblDaily[EntryDate],DATE(2026,12,20),tblDaily[WardCode],"BH")),"")</f>
        <v/>
      </c>
      <c r="H455" s="29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IFERROR(IF(SUMIFS(tblDaily[Admissions],tblDaily[EntryDate],DATE(2026,12,21),tblDaily[WardCode],"BH")=0,"",SUMIFS(tblDaily[Admissions],tblDaily[EntryDate],DATE(2026,12,21),tblDaily[WardCode],"BH")),"")</f>
        <v/>
      </c>
      <c r="C456" s="29" t="str">
        <f>IFERROR(IF(SUMIFS(tblDaily[Discharges],tblDaily[EntryDate],DATE(2026,12,21),tblDaily[WardCode],"BH")=0,"",SUMIFS(tblDaily[Discharges],tblDaily[EntryDate],DATE(2026,12,21),tblDaily[WardCode],"BH")),"")</f>
        <v/>
      </c>
      <c r="D456" s="29" t="str">
        <f>IFERROR(IF(SUMIFS(tblDaily[Deaths],tblDaily[EntryDate],DATE(2026,12,21),tblDaily[WardCode],"BH")=0,"",SUMIFS(tblDaily[Deaths],tblDaily[EntryDate],DATE(2026,12,21),tblDaily[WardCode],"BH")),"")</f>
        <v/>
      </c>
      <c r="E456" s="29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29" t="str">
        <f>IFERROR(IF(SUMIFS(tblDaily[TransfersIn],tblDaily[EntryDate],DATE(2026,12,21),tblDaily[WardCode],"BH")=0,"",SUMIFS(tblDaily[TransfersIn],tblDaily[EntryDate],DATE(2026,12,21),tblDaily[WardCode],"BH")),"")</f>
        <v/>
      </c>
      <c r="G456" s="29" t="str">
        <f>IFERROR(IF(SUMIFS(tblDaily[TransfersOut],tblDaily[EntryDate],DATE(2026,12,21),tblDaily[WardCode],"BH")=0,"",SUMIFS(tblDaily[TransfersOut],tblDaily[EntryDate],DATE(2026,12,21),tblDaily[WardCode],"BH")),"")</f>
        <v/>
      </c>
      <c r="H456" s="29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IFERROR(IF(SUMIFS(tblDaily[Admissions],tblDaily[EntryDate],DATE(2026,12,22),tblDaily[WardCode],"BH")=0,"",SUMIFS(tblDaily[Admissions],tblDaily[EntryDate],DATE(2026,12,22),tblDaily[WardCode],"BH")),"")</f>
        <v/>
      </c>
      <c r="C457" s="29" t="str">
        <f>IFERROR(IF(SUMIFS(tblDaily[Discharges],tblDaily[EntryDate],DATE(2026,12,22),tblDaily[WardCode],"BH")=0,"",SUMIFS(tblDaily[Discharges],tblDaily[EntryDate],DATE(2026,12,22),tblDaily[WardCode],"BH")),"")</f>
        <v/>
      </c>
      <c r="D457" s="29" t="str">
        <f>IFERROR(IF(SUMIFS(tblDaily[Deaths],tblDaily[EntryDate],DATE(2026,12,22),tblDaily[WardCode],"BH")=0,"",SUMIFS(tblDaily[Deaths],tblDaily[EntryDate],DATE(2026,12,22),tblDaily[WardCode],"BH")),"")</f>
        <v/>
      </c>
      <c r="E457" s="29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29" t="str">
        <f>IFERROR(IF(SUMIFS(tblDaily[TransfersIn],tblDaily[EntryDate],DATE(2026,12,22),tblDaily[WardCode],"BH")=0,"",SUMIFS(tblDaily[TransfersIn],tblDaily[EntryDate],DATE(2026,12,22),tblDaily[WardCode],"BH")),"")</f>
        <v/>
      </c>
      <c r="G457" s="29" t="str">
        <f>IFERROR(IF(SUMIFS(tblDaily[TransfersOut],tblDaily[EntryDate],DATE(2026,12,22),tblDaily[WardCode],"BH")=0,"",SUMIFS(tblDaily[TransfersOut],tblDaily[EntryDate],DATE(2026,12,22),tblDaily[WardCode],"BH")),"")</f>
        <v/>
      </c>
      <c r="H457" s="29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IFERROR(IF(SUMIFS(tblDaily[Admissions],tblDaily[EntryDate],DATE(2026,12,23),tblDaily[WardCode],"BH")=0,"",SUMIFS(tblDaily[Admissions],tblDaily[EntryDate],DATE(2026,12,23),tblDaily[WardCode],"BH")),"")</f>
        <v/>
      </c>
      <c r="C458" s="29" t="str">
        <f>IFERROR(IF(SUMIFS(tblDaily[Discharges],tblDaily[EntryDate],DATE(2026,12,23),tblDaily[WardCode],"BH")=0,"",SUMIFS(tblDaily[Discharges],tblDaily[EntryDate],DATE(2026,12,23),tblDaily[WardCode],"BH")),"")</f>
        <v/>
      </c>
      <c r="D458" s="29" t="str">
        <f>IFERROR(IF(SUMIFS(tblDaily[Deaths],tblDaily[EntryDate],DATE(2026,12,23),tblDaily[WardCode],"BH")=0,"",SUMIFS(tblDaily[Deaths],tblDaily[EntryDate],DATE(2026,12,23),tblDaily[WardCode],"BH")),"")</f>
        <v/>
      </c>
      <c r="E458" s="29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29" t="str">
        <f>IFERROR(IF(SUMIFS(tblDaily[TransfersIn],tblDaily[EntryDate],DATE(2026,12,23),tblDaily[WardCode],"BH")=0,"",SUMIFS(tblDaily[TransfersIn],tblDaily[EntryDate],DATE(2026,12,23),tblDaily[WardCode],"BH")),"")</f>
        <v/>
      </c>
      <c r="G458" s="29" t="str">
        <f>IFERROR(IF(SUMIFS(tblDaily[TransfersOut],tblDaily[EntryDate],DATE(2026,12,23),tblDaily[WardCode],"BH")=0,"",SUMIFS(tblDaily[TransfersOut],tblDaily[EntryDate],DATE(2026,12,23),tblDaily[WardCode],"BH")),"")</f>
        <v/>
      </c>
      <c r="H458" s="29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IFERROR(IF(SUMIFS(tblDaily[Admissions],tblDaily[EntryDate],DATE(2026,12,24),tblDaily[WardCode],"BH")=0,"",SUMIFS(tblDaily[Admissions],tblDaily[EntryDate],DATE(2026,12,24),tblDaily[WardCode],"BH")),"")</f>
        <v/>
      </c>
      <c r="C459" s="29" t="str">
        <f>IFERROR(IF(SUMIFS(tblDaily[Discharges],tblDaily[EntryDate],DATE(2026,12,24),tblDaily[WardCode],"BH")=0,"",SUMIFS(tblDaily[Discharges],tblDaily[EntryDate],DATE(2026,12,24),tblDaily[WardCode],"BH")),"")</f>
        <v/>
      </c>
      <c r="D459" s="29" t="str">
        <f>IFERROR(IF(SUMIFS(tblDaily[Deaths],tblDaily[EntryDate],DATE(2026,12,24),tblDaily[WardCode],"BH")=0,"",SUMIFS(tblDaily[Deaths],tblDaily[EntryDate],DATE(2026,12,24),tblDaily[WardCode],"BH")),"")</f>
        <v/>
      </c>
      <c r="E459" s="29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29" t="str">
        <f>IFERROR(IF(SUMIFS(tblDaily[TransfersIn],tblDaily[EntryDate],DATE(2026,12,24),tblDaily[WardCode],"BH")=0,"",SUMIFS(tblDaily[TransfersIn],tblDaily[EntryDate],DATE(2026,12,24),tblDaily[WardCode],"BH")),"")</f>
        <v/>
      </c>
      <c r="G459" s="29" t="str">
        <f>IFERROR(IF(SUMIFS(tblDaily[TransfersOut],tblDaily[EntryDate],DATE(2026,12,24),tblDaily[WardCode],"BH")=0,"",SUMIFS(tblDaily[TransfersOut],tblDaily[EntryDate],DATE(2026,12,24),tblDaily[WardCode],"BH")),"")</f>
        <v/>
      </c>
      <c r="H459" s="29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IFERROR(IF(SUMIFS(tblDaily[Admissions],tblDaily[EntryDate],DATE(2026,12,25),tblDaily[WardCode],"BH")=0,"",SUMIFS(tblDaily[Admissions],tblDaily[EntryDate],DATE(2026,12,25),tblDaily[WardCode],"BH")),"")</f>
        <v/>
      </c>
      <c r="C460" s="29" t="str">
        <f>IFERROR(IF(SUMIFS(tblDaily[Discharges],tblDaily[EntryDate],DATE(2026,12,25),tblDaily[WardCode],"BH")=0,"",SUMIFS(tblDaily[Discharges],tblDaily[EntryDate],DATE(2026,12,25),tblDaily[WardCode],"BH")),"")</f>
        <v/>
      </c>
      <c r="D460" s="29" t="str">
        <f>IFERROR(IF(SUMIFS(tblDaily[Deaths],tblDaily[EntryDate],DATE(2026,12,25),tblDaily[WardCode],"BH")=0,"",SUMIFS(tblDaily[Deaths],tblDaily[EntryDate],DATE(2026,12,25),tblDaily[WardCode],"BH")),"")</f>
        <v/>
      </c>
      <c r="E460" s="29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29" t="str">
        <f>IFERROR(IF(SUMIFS(tblDaily[TransfersIn],tblDaily[EntryDate],DATE(2026,12,25),tblDaily[WardCode],"BH")=0,"",SUMIFS(tblDaily[TransfersIn],tblDaily[EntryDate],DATE(2026,12,25),tblDaily[WardCode],"BH")),"")</f>
        <v/>
      </c>
      <c r="G460" s="29" t="str">
        <f>IFERROR(IF(SUMIFS(tblDaily[TransfersOut],tblDaily[EntryDate],DATE(2026,12,25),tblDaily[WardCode],"BH")=0,"",SUMIFS(tblDaily[TransfersOut],tblDaily[EntryDate],DATE(2026,12,25),tblDaily[WardCode],"BH")),"")</f>
        <v/>
      </c>
      <c r="H460" s="29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IFERROR(IF(SUMIFS(tblDaily[Admissions],tblDaily[EntryDate],DATE(2026,12,26),tblDaily[WardCode],"BH")=0,"",SUMIFS(tblDaily[Admissions],tblDaily[EntryDate],DATE(2026,12,26),tblDaily[WardCode],"BH")),"")</f>
        <v/>
      </c>
      <c r="C461" s="29" t="str">
        <f>IFERROR(IF(SUMIFS(tblDaily[Discharges],tblDaily[EntryDate],DATE(2026,12,26),tblDaily[WardCode],"BH")=0,"",SUMIFS(tblDaily[Discharges],tblDaily[EntryDate],DATE(2026,12,26),tblDaily[WardCode],"BH")),"")</f>
        <v/>
      </c>
      <c r="D461" s="29" t="str">
        <f>IFERROR(IF(SUMIFS(tblDaily[Deaths],tblDaily[EntryDate],DATE(2026,12,26),tblDaily[WardCode],"BH")=0,"",SUMIFS(tblDaily[Deaths],tblDaily[EntryDate],DATE(2026,12,26),tblDaily[WardCode],"BH")),"")</f>
        <v/>
      </c>
      <c r="E461" s="29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29" t="str">
        <f>IFERROR(IF(SUMIFS(tblDaily[TransfersIn],tblDaily[EntryDate],DATE(2026,12,26),tblDaily[WardCode],"BH")=0,"",SUMIFS(tblDaily[TransfersIn],tblDaily[EntryDate],DATE(2026,12,26),tblDaily[WardCode],"BH")),"")</f>
        <v/>
      </c>
      <c r="G461" s="29" t="str">
        <f>IFERROR(IF(SUMIFS(tblDaily[TransfersOut],tblDaily[EntryDate],DATE(2026,12,26),tblDaily[WardCode],"BH")=0,"",SUMIFS(tblDaily[TransfersOut],tblDaily[EntryDate],DATE(2026,12,26),tblDaily[WardCode],"BH")),"")</f>
        <v/>
      </c>
      <c r="H461" s="29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IFERROR(IF(SUMIFS(tblDaily[Admissions],tblDaily[EntryDate],DATE(2026,12,27),tblDaily[WardCode],"BH")=0,"",SUMIFS(tblDaily[Admissions],tblDaily[EntryDate],DATE(2026,12,27),tblDaily[WardCode],"BH")),"")</f>
        <v/>
      </c>
      <c r="C462" s="29" t="str">
        <f>IFERROR(IF(SUMIFS(tblDaily[Discharges],tblDaily[EntryDate],DATE(2026,12,27),tblDaily[WardCode],"BH")=0,"",SUMIFS(tblDaily[Discharges],tblDaily[EntryDate],DATE(2026,12,27),tblDaily[WardCode],"BH")),"")</f>
        <v/>
      </c>
      <c r="D462" s="29" t="str">
        <f>IFERROR(IF(SUMIFS(tblDaily[Deaths],tblDaily[EntryDate],DATE(2026,12,27),tblDaily[WardCode],"BH")=0,"",SUMIFS(tblDaily[Deaths],tblDaily[EntryDate],DATE(2026,12,27),tblDaily[WardCode],"BH")),"")</f>
        <v/>
      </c>
      <c r="E462" s="29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29" t="str">
        <f>IFERROR(IF(SUMIFS(tblDaily[TransfersIn],tblDaily[EntryDate],DATE(2026,12,27),tblDaily[WardCode],"BH")=0,"",SUMIFS(tblDaily[TransfersIn],tblDaily[EntryDate],DATE(2026,12,27),tblDaily[WardCode],"BH")),"")</f>
        <v/>
      </c>
      <c r="G462" s="29" t="str">
        <f>IFERROR(IF(SUMIFS(tblDaily[TransfersOut],tblDaily[EntryDate],DATE(2026,12,27),tblDaily[WardCode],"BH")=0,"",SUMIFS(tblDaily[TransfersOut],tblDaily[EntryDate],DATE(2026,12,27),tblDaily[WardCode],"BH")),"")</f>
        <v/>
      </c>
      <c r="H462" s="29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IFERROR(IF(SUMIFS(tblDaily[Admissions],tblDaily[EntryDate],DATE(2026,12,28),tblDaily[WardCode],"BH")=0,"",SUMIFS(tblDaily[Admissions],tblDaily[EntryDate],DATE(2026,12,28),tblDaily[WardCode],"BH")),"")</f>
        <v/>
      </c>
      <c r="C463" s="29" t="str">
        <f>IFERROR(IF(SUMIFS(tblDaily[Discharges],tblDaily[EntryDate],DATE(2026,12,28),tblDaily[WardCode],"BH")=0,"",SUMIFS(tblDaily[Discharges],tblDaily[EntryDate],DATE(2026,12,28),tblDaily[WardCode],"BH")),"")</f>
        <v/>
      </c>
      <c r="D463" s="29" t="str">
        <f>IFERROR(IF(SUMIFS(tblDaily[Deaths],tblDaily[EntryDate],DATE(2026,12,28),tblDaily[WardCode],"BH")=0,"",SUMIFS(tblDaily[Deaths],tblDaily[EntryDate],DATE(2026,12,28),tblDaily[WardCode],"BH")),"")</f>
        <v/>
      </c>
      <c r="E463" s="29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29" t="str">
        <f>IFERROR(IF(SUMIFS(tblDaily[TransfersIn],tblDaily[EntryDate],DATE(2026,12,28),tblDaily[WardCode],"BH")=0,"",SUMIFS(tblDaily[TransfersIn],tblDaily[EntryDate],DATE(2026,12,28),tblDaily[WardCode],"BH")),"")</f>
        <v/>
      </c>
      <c r="G463" s="29" t="str">
        <f>IFERROR(IF(SUMIFS(tblDaily[TransfersOut],tblDaily[EntryDate],DATE(2026,12,28),tblDaily[WardCode],"BH")=0,"",SUMIFS(tblDaily[TransfersOut],tblDaily[EntryDate],DATE(2026,12,28),tblDaily[WardCode],"BH")),"")</f>
        <v/>
      </c>
      <c r="H463" s="29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IFERROR(IF(SUMIFS(tblDaily[Admissions],tblDaily[EntryDate],DATE(2026,12,29),tblDaily[WardCode],"BH")=0,"",SUMIFS(tblDaily[Admissions],tblDaily[EntryDate],DATE(2026,12,29),tblDaily[WardCode],"BH")),"")</f>
        <v/>
      </c>
      <c r="C464" s="29" t="str">
        <f>IFERROR(IF(SUMIFS(tblDaily[Discharges],tblDaily[EntryDate],DATE(2026,12,29),tblDaily[WardCode],"BH")=0,"",SUMIFS(tblDaily[Discharges],tblDaily[EntryDate],DATE(2026,12,29),tblDaily[WardCode],"BH")),"")</f>
        <v/>
      </c>
      <c r="D464" s="29" t="str">
        <f>IFERROR(IF(SUMIFS(tblDaily[Deaths],tblDaily[EntryDate],DATE(2026,12,29),tblDaily[WardCode],"BH")=0,"",SUMIFS(tblDaily[Deaths],tblDaily[EntryDate],DATE(2026,12,29),tblDaily[WardCode],"BH")),"")</f>
        <v/>
      </c>
      <c r="E464" s="29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29" t="str">
        <f>IFERROR(IF(SUMIFS(tblDaily[TransfersIn],tblDaily[EntryDate],DATE(2026,12,29),tblDaily[WardCode],"BH")=0,"",SUMIFS(tblDaily[TransfersIn],tblDaily[EntryDate],DATE(2026,12,29),tblDaily[WardCode],"BH")),"")</f>
        <v/>
      </c>
      <c r="G464" s="29" t="str">
        <f>IFERROR(IF(SUMIFS(tblDaily[TransfersOut],tblDaily[EntryDate],DATE(2026,12,29),tblDaily[WardCode],"BH")=0,"",SUMIFS(tblDaily[TransfersOut],tblDaily[EntryDate],DATE(2026,12,29),tblDaily[WardCode],"BH")),"")</f>
        <v/>
      </c>
      <c r="H464" s="29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IFERROR(IF(SUMIFS(tblDaily[Admissions],tblDaily[EntryDate],DATE(2026,12,30),tblDaily[WardCode],"BH")=0,"",SUMIFS(tblDaily[Admissions],tblDaily[EntryDate],DATE(2026,12,30),tblDaily[WardCode],"BH")),"")</f>
        <v/>
      </c>
      <c r="C465" s="29" t="str">
        <f>IFERROR(IF(SUMIFS(tblDaily[Discharges],tblDaily[EntryDate],DATE(2026,12,30),tblDaily[WardCode],"BH")=0,"",SUMIFS(tblDaily[Discharges],tblDaily[EntryDate],DATE(2026,12,30),tblDaily[WardCode],"BH")),"")</f>
        <v/>
      </c>
      <c r="D465" s="29" t="str">
        <f>IFERROR(IF(SUMIFS(tblDaily[Deaths],tblDaily[EntryDate],DATE(2026,12,30),tblDaily[WardCode],"BH")=0,"",SUMIFS(tblDaily[Deaths],tblDaily[EntryDate],DATE(2026,12,30),tblDaily[WardCode],"BH")),"")</f>
        <v/>
      </c>
      <c r="E465" s="29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29" t="str">
        <f>IFERROR(IF(SUMIFS(tblDaily[TransfersIn],tblDaily[EntryDate],DATE(2026,12,30),tblDaily[WardCode],"BH")=0,"",SUMIFS(tblDaily[TransfersIn],tblDaily[EntryDate],DATE(2026,12,30),tblDaily[WardCode],"BH")),"")</f>
        <v/>
      </c>
      <c r="G465" s="29" t="str">
        <f>IFERROR(IF(SUMIFS(tblDaily[TransfersOut],tblDaily[EntryDate],DATE(2026,12,30),tblDaily[WardCode],"BH")=0,"",SUMIFS(tblDaily[TransfersOut],tblDaily[EntryDate],DATE(2026,12,30),tblDaily[WardCode],"BH")),"")</f>
        <v/>
      </c>
      <c r="H465" s="29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IFERROR(IF(SUMIFS(tblDaily[Admissions],tblDaily[EntryDate],DATE(2026,12,31),tblDaily[WardCode],"BH")=0,"",SUMIFS(tblDaily[Admissions],tblDaily[EntryDate],DATE(2026,12,31),tblDaily[WardCode],"BH")),"")</f>
        <v/>
      </c>
      <c r="C466" s="29" t="str">
        <f>IFERROR(IF(SUMIFS(tblDaily[Discharges],tblDaily[EntryDate],DATE(2026,12,31),tblDaily[WardCode],"BH")=0,"",SUMIFS(tblDaily[Discharges],tblDaily[EntryDate],DATE(2026,12,31),tblDaily[WardCode],"BH")),"")</f>
        <v/>
      </c>
      <c r="D466" s="29" t="str">
        <f>IFERROR(IF(SUMIFS(tblDaily[Deaths],tblDaily[EntryDate],DATE(2026,12,31),tblDaily[WardCode],"BH")=0,"",SUMIFS(tblDaily[Deaths],tblDaily[EntryDate],DATE(2026,12,31),tblDaily[WardCode],"BH")),"")</f>
        <v/>
      </c>
      <c r="E466" s="29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29" t="str">
        <f>IFERROR(IF(SUMIFS(tblDaily[TransfersIn],tblDaily[EntryDate],DATE(2026,12,31),tblDaily[WardCode],"BH")=0,"",SUMIFS(tblDaily[TransfersIn],tblDaily[EntryDate],DATE(2026,12,31),tblDaily[WardCode],"BH")),"")</f>
        <v/>
      </c>
      <c r="G466" s="29" t="str">
        <f>IFERROR(IF(SUMIFS(tblDaily[TransfersOut],tblDaily[EntryDate],DATE(2026,12,31),tblDaily[WardCode],"BH")=0,"",SUMIFS(tblDaily[TransfersOut],tblDaily[EntryDate],DATE(2026,12,31),tblDaily[WardCode],"BH")),"")</f>
        <v/>
      </c>
      <c r="H466" s="29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30" t="s">
        <v>115</v>
      </c>
      <c r="B467" s="30">
        <f>SUMIFS(tblDaily[Admissions],tblDaily[Month],12,tblDaily[WardCode],"BH") - SUMIFS(tblDaily[DeathsUnder24Hrs],tblDaily[Month],12,tblDaily[WardCode],"BH")</f>
        <v>0</v>
      </c>
      <c r="C467" s="30">
        <f>SUMIFS(tblDaily[Discharges],tblDaily[Month],12,tblDaily[WardCode],"BH")</f>
        <v>0</v>
      </c>
      <c r="D467" s="30">
        <f>SUMIFS(tblDaily[Deaths],tblDaily[Month],12,tblDaily[WardCode],"BH")</f>
        <v>0</v>
      </c>
      <c r="E467" s="30">
        <f>SUMIFS(tblDaily[DeathsUnder24Hrs],tblDaily[Month],12,tblDaily[WardCode],"BH")</f>
        <v>0</v>
      </c>
      <c r="F467" s="30">
        <f>SUMIFS(tblDaily[TransfersIn],tblDaily[Month],12,tblDaily[WardCode],"BH")</f>
        <v>0</v>
      </c>
      <c r="G467" s="30">
        <f>SUMIFS(tblDaily[TransfersOut],tblDaily[Month],12,tblDaily[WardCode],"BH")</f>
        <v>0</v>
      </c>
      <c r="H467" s="30">
        <f>SUMIFS(tblDaily[Remaining],tblDaily[Month],12,tblDaily[WardCode],"BH")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121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IFERROR(INDEX(tblWardConfig[PrevYearRemaining],MATCH("NICU",tblWardConfig[WardCode],0)),0)</f>
        <v>14</v>
      </c>
    </row>
    <row r="5" spans="1:8" x14ac:dyDescent="0.25">
      <c r="A5" s="24" t="s">
        <v>109</v>
      </c>
      <c r="H5" s="27">
        <f>IFERROR(INDEX(tblWardConfig[BedComplement],MATCH("NICU",tblWardConfig[WardCode],0)),0)</f>
        <v>15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IFERROR(IF(SUMIFS(tblDaily[Admissions],tblDaily[EntryDate],DATE(2026,1,1),tblDaily[WardCode],"NICU")=0,"",SUMIFS(tblDaily[Admissions],tblDaily[EntryDate],DATE(2026,1,1),tblDaily[WardCode],"NICU")),"")</f>
        <v/>
      </c>
      <c r="C7" s="29">
        <f>IFERROR(IF(SUMIFS(tblDaily[Discharges],tblDaily[EntryDate],DATE(2026,1,1),tblDaily[WardCode],"NICU")=0,"",SUMIFS(tblDaily[Discharges],tblDaily[EntryDate],DATE(2026,1,1),tblDaily[WardCode],"NICU")),"")</f>
        <v>2</v>
      </c>
      <c r="D7" s="29" t="str">
        <f>IFERROR(IF(SUMIFS(tblDaily[Deaths],tblDaily[EntryDate],DATE(2026,1,1),tblDaily[WardCode],"NICU")=0,"",SUMIFS(tblDaily[Deaths],tblDaily[EntryDate],DATE(2026,1,1),tblDaily[WardCode],"NICU")),"")</f>
        <v/>
      </c>
      <c r="E7" s="29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29" t="str">
        <f>IFERROR(IF(SUMIFS(tblDaily[TransfersIn],tblDaily[EntryDate],DATE(2026,1,1),tblDaily[WardCode],"NICU")=0,"",SUMIFS(tblDaily[TransfersIn],tblDaily[EntryDate],DATE(2026,1,1),tblDaily[WardCode],"NICU")),"")</f>
        <v/>
      </c>
      <c r="G7" s="29" t="str">
        <f>IFERROR(IF(SUMIFS(tblDaily[TransfersOut],tblDaily[EntryDate],DATE(2026,1,1),tblDaily[WardCode],"NICU")=0,"",SUMIFS(tblDaily[TransfersOut],tblDaily[EntryDate],DATE(2026,1,1),tblDaily[WardCode],"NICU")),"")</f>
        <v/>
      </c>
      <c r="H7" s="29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29">
        <v>2</v>
      </c>
      <c r="B8" s="29" t="str">
        <f>IFERROR(IF(SUMIFS(tblDaily[Admissions],tblDaily[EntryDate],DATE(2026,1,2),tblDaily[WardCode],"NICU")=0,"",SUMIFS(tblDaily[Admissions],tblDaily[EntryDate],DATE(2026,1,2),tblDaily[WardCode],"NICU")),"")</f>
        <v/>
      </c>
      <c r="C8" s="29">
        <f>IFERROR(IF(SUMIFS(tblDaily[Discharges],tblDaily[EntryDate],DATE(2026,1,2),tblDaily[WardCode],"NICU")=0,"",SUMIFS(tblDaily[Discharges],tblDaily[EntryDate],DATE(2026,1,2),tblDaily[WardCode],"NICU")),"")</f>
        <v>2</v>
      </c>
      <c r="D8" s="29" t="str">
        <f>IFERROR(IF(SUMIFS(tblDaily[Deaths],tblDaily[EntryDate],DATE(2026,1,2),tblDaily[WardCode],"NICU")=0,"",SUMIFS(tblDaily[Deaths],tblDaily[EntryDate],DATE(2026,1,2),tblDaily[WardCode],"NICU")),"")</f>
        <v/>
      </c>
      <c r="E8" s="29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29" t="str">
        <f>IFERROR(IF(SUMIFS(tblDaily[TransfersIn],tblDaily[EntryDate],DATE(2026,1,2),tblDaily[WardCode],"NICU")=0,"",SUMIFS(tblDaily[TransfersIn],tblDaily[EntryDate],DATE(2026,1,2),tblDaily[WardCode],"NICU")),"")</f>
        <v/>
      </c>
      <c r="G8" s="29" t="str">
        <f>IFERROR(IF(SUMIFS(tblDaily[TransfersOut],tblDaily[EntryDate],DATE(2026,1,2),tblDaily[WardCode],"NICU")=0,"",SUMIFS(tblDaily[TransfersOut],tblDaily[EntryDate],DATE(2026,1,2),tblDaily[WardCode],"NICU")),"")</f>
        <v/>
      </c>
      <c r="H8" s="29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29">
        <v>3</v>
      </c>
      <c r="B9" s="29">
        <f>IFERROR(IF(SUMIFS(tblDaily[Admissions],tblDaily[EntryDate],DATE(2026,1,3),tblDaily[WardCode],"NICU")=0,"",SUMIFS(tblDaily[Admissions],tblDaily[EntryDate],DATE(2026,1,3),tblDaily[WardCode],"NICU")),"")</f>
        <v>1</v>
      </c>
      <c r="C9" s="29">
        <f>IFERROR(IF(SUMIFS(tblDaily[Discharges],tblDaily[EntryDate],DATE(2026,1,3),tblDaily[WardCode],"NICU")=0,"",SUMIFS(tblDaily[Discharges],tblDaily[EntryDate],DATE(2026,1,3),tblDaily[WardCode],"NICU")),"")</f>
        <v>1</v>
      </c>
      <c r="D9" s="29">
        <f>IFERROR(IF(SUMIFS(tblDaily[Deaths],tblDaily[EntryDate],DATE(2026,1,3),tblDaily[WardCode],"NICU")=0,"",SUMIFS(tblDaily[Deaths],tblDaily[EntryDate],DATE(2026,1,3),tblDaily[WardCode],"NICU")),"")</f>
        <v>1</v>
      </c>
      <c r="E9" s="29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29" t="str">
        <f>IFERROR(IF(SUMIFS(tblDaily[TransfersIn],tblDaily[EntryDate],DATE(2026,1,3),tblDaily[WardCode],"NICU")=0,"",SUMIFS(tblDaily[TransfersIn],tblDaily[EntryDate],DATE(2026,1,3),tblDaily[WardCode],"NICU")),"")</f>
        <v/>
      </c>
      <c r="G9" s="29" t="str">
        <f>IFERROR(IF(SUMIFS(tblDaily[TransfersOut],tblDaily[EntryDate],DATE(2026,1,3),tblDaily[WardCode],"NICU")=0,"",SUMIFS(tblDaily[TransfersOut],tblDaily[EntryDate],DATE(2026,1,3),tblDaily[WardCode],"NICU")),"")</f>
        <v/>
      </c>
      <c r="H9" s="29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29">
        <v>4</v>
      </c>
      <c r="B10" s="29" t="str">
        <f>IFERROR(IF(SUMIFS(tblDaily[Admissions],tblDaily[EntryDate],DATE(2026,1,4),tblDaily[WardCode],"NICU")=0,"",SUMIFS(tblDaily[Admissions],tblDaily[EntryDate],DATE(2026,1,4),tblDaily[WardCode],"NICU")),"")</f>
        <v/>
      </c>
      <c r="C10" s="29" t="str">
        <f>IFERROR(IF(SUMIFS(tblDaily[Discharges],tblDaily[EntryDate],DATE(2026,1,4),tblDaily[WardCode],"NICU")=0,"",SUMIFS(tblDaily[Discharges],tblDaily[EntryDate],DATE(2026,1,4),tblDaily[WardCode],"NICU")),"")</f>
        <v/>
      </c>
      <c r="D10" s="29">
        <f>IFERROR(IF(SUMIFS(tblDaily[Deaths],tblDaily[EntryDate],DATE(2026,1,4),tblDaily[WardCode],"NICU")=0,"",SUMIFS(tblDaily[Deaths],tblDaily[EntryDate],DATE(2026,1,4),tblDaily[WardCode],"NICU")),"")</f>
        <v>1</v>
      </c>
      <c r="E10" s="29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29" t="str">
        <f>IFERROR(IF(SUMIFS(tblDaily[TransfersIn],tblDaily[EntryDate],DATE(2026,1,4),tblDaily[WardCode],"NICU")=0,"",SUMIFS(tblDaily[TransfersIn],tblDaily[EntryDate],DATE(2026,1,4),tblDaily[WardCode],"NICU")),"")</f>
        <v/>
      </c>
      <c r="G10" s="29" t="str">
        <f>IFERROR(IF(SUMIFS(tblDaily[TransfersOut],tblDaily[EntryDate],DATE(2026,1,4),tblDaily[WardCode],"NICU")=0,"",SUMIFS(tblDaily[TransfersOut],tblDaily[EntryDate],DATE(2026,1,4),tblDaily[WardCode],"NICU")),"")</f>
        <v/>
      </c>
      <c r="H10" s="29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29">
        <v>5</v>
      </c>
      <c r="B11" s="29">
        <f>IFERROR(IF(SUMIFS(tblDaily[Admissions],tblDaily[EntryDate],DATE(2026,1,5),tblDaily[WardCode],"NICU")=0,"",SUMIFS(tblDaily[Admissions],tblDaily[EntryDate],DATE(2026,1,5),tblDaily[WardCode],"NICU")),"")</f>
        <v>2</v>
      </c>
      <c r="C11" s="29">
        <f>IFERROR(IF(SUMIFS(tblDaily[Discharges],tblDaily[EntryDate],DATE(2026,1,5),tblDaily[WardCode],"NICU")=0,"",SUMIFS(tblDaily[Discharges],tblDaily[EntryDate],DATE(2026,1,5),tblDaily[WardCode],"NICU")),"")</f>
        <v>1</v>
      </c>
      <c r="D11" s="29" t="str">
        <f>IFERROR(IF(SUMIFS(tblDaily[Deaths],tblDaily[EntryDate],DATE(2026,1,5),tblDaily[WardCode],"NICU")=0,"",SUMIFS(tblDaily[Deaths],tblDaily[EntryDate],DATE(2026,1,5),tblDaily[WardCode],"NICU")),"")</f>
        <v/>
      </c>
      <c r="E11" s="29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29" t="str">
        <f>IFERROR(IF(SUMIFS(tblDaily[TransfersIn],tblDaily[EntryDate],DATE(2026,1,5),tblDaily[WardCode],"NICU")=0,"",SUMIFS(tblDaily[TransfersIn],tblDaily[EntryDate],DATE(2026,1,5),tblDaily[WardCode],"NICU")),"")</f>
        <v/>
      </c>
      <c r="G11" s="29" t="str">
        <f>IFERROR(IF(SUMIFS(tblDaily[TransfersOut],tblDaily[EntryDate],DATE(2026,1,5),tblDaily[WardCode],"NICU")=0,"",SUMIFS(tblDaily[TransfersOut],tblDaily[EntryDate],DATE(2026,1,5),tblDaily[WardCode],"NICU")),"")</f>
        <v/>
      </c>
      <c r="H11" s="29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29">
        <v>6</v>
      </c>
      <c r="B12" s="29">
        <f>IFERROR(IF(SUMIFS(tblDaily[Admissions],tblDaily[EntryDate],DATE(2026,1,6),tblDaily[WardCode],"NICU")=0,"",SUMIFS(tblDaily[Admissions],tblDaily[EntryDate],DATE(2026,1,6),tblDaily[WardCode],"NICU")),"")</f>
        <v>4</v>
      </c>
      <c r="C12" s="29" t="str">
        <f>IFERROR(IF(SUMIFS(tblDaily[Discharges],tblDaily[EntryDate],DATE(2026,1,6),tblDaily[WardCode],"NICU")=0,"",SUMIFS(tblDaily[Discharges],tblDaily[EntryDate],DATE(2026,1,6),tblDaily[WardCode],"NICU")),"")</f>
        <v/>
      </c>
      <c r="D12" s="29" t="str">
        <f>IFERROR(IF(SUMIFS(tblDaily[Deaths],tblDaily[EntryDate],DATE(2026,1,6),tblDaily[WardCode],"NICU")=0,"",SUMIFS(tblDaily[Deaths],tblDaily[EntryDate],DATE(2026,1,6),tblDaily[WardCode],"NICU")),"")</f>
        <v/>
      </c>
      <c r="E12" s="29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29" t="str">
        <f>IFERROR(IF(SUMIFS(tblDaily[TransfersIn],tblDaily[EntryDate],DATE(2026,1,6),tblDaily[WardCode],"NICU")=0,"",SUMIFS(tblDaily[TransfersIn],tblDaily[EntryDate],DATE(2026,1,6),tblDaily[WardCode],"NICU")),"")</f>
        <v/>
      </c>
      <c r="G12" s="29" t="str">
        <f>IFERROR(IF(SUMIFS(tblDaily[TransfersOut],tblDaily[EntryDate],DATE(2026,1,6),tblDaily[WardCode],"NICU")=0,"",SUMIFS(tblDaily[TransfersOut],tblDaily[EntryDate],DATE(2026,1,6),tblDaily[WardCode],"NICU")),"")</f>
        <v/>
      </c>
      <c r="H12" s="29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29">
        <v>7</v>
      </c>
      <c r="B13" s="29">
        <f>IFERROR(IF(SUMIFS(tblDaily[Admissions],tblDaily[EntryDate],DATE(2026,1,7),tblDaily[WardCode],"NICU")=0,"",SUMIFS(tblDaily[Admissions],tblDaily[EntryDate],DATE(2026,1,7),tblDaily[WardCode],"NICU")),"")</f>
        <v>4</v>
      </c>
      <c r="C13" s="29">
        <f>IFERROR(IF(SUMIFS(tblDaily[Discharges],tblDaily[EntryDate],DATE(2026,1,7),tblDaily[WardCode],"NICU")=0,"",SUMIFS(tblDaily[Discharges],tblDaily[EntryDate],DATE(2026,1,7),tblDaily[WardCode],"NICU")),"")</f>
        <v>2</v>
      </c>
      <c r="D13" s="29" t="str">
        <f>IFERROR(IF(SUMIFS(tblDaily[Deaths],tblDaily[EntryDate],DATE(2026,1,7),tblDaily[WardCode],"NICU")=0,"",SUMIFS(tblDaily[Deaths],tblDaily[EntryDate],DATE(2026,1,7),tblDaily[WardCode],"NICU")),"")</f>
        <v/>
      </c>
      <c r="E13" s="29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29" t="str">
        <f>IFERROR(IF(SUMIFS(tblDaily[TransfersIn],tblDaily[EntryDate],DATE(2026,1,7),tblDaily[WardCode],"NICU")=0,"",SUMIFS(tblDaily[TransfersIn],tblDaily[EntryDate],DATE(2026,1,7),tblDaily[WardCode],"NICU")),"")</f>
        <v/>
      </c>
      <c r="G13" s="29" t="str">
        <f>IFERROR(IF(SUMIFS(tblDaily[TransfersOut],tblDaily[EntryDate],DATE(2026,1,7),tblDaily[WardCode],"NICU")=0,"",SUMIFS(tblDaily[TransfersOut],tblDaily[EntryDate],DATE(2026,1,7),tblDaily[WardCode],"NICU")),"")</f>
        <v/>
      </c>
      <c r="H13" s="29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29">
        <v>8</v>
      </c>
      <c r="B14" s="29">
        <f>IFERROR(IF(SUMIFS(tblDaily[Admissions],tblDaily[EntryDate],DATE(2026,1,8),tblDaily[WardCode],"NICU")=0,"",SUMIFS(tblDaily[Admissions],tblDaily[EntryDate],DATE(2026,1,8),tblDaily[WardCode],"NICU")),"")</f>
        <v>2</v>
      </c>
      <c r="C14" s="29">
        <f>IFERROR(IF(SUMIFS(tblDaily[Discharges],tblDaily[EntryDate],DATE(2026,1,8),tblDaily[WardCode],"NICU")=0,"",SUMIFS(tblDaily[Discharges],tblDaily[EntryDate],DATE(2026,1,8),tblDaily[WardCode],"NICU")),"")</f>
        <v>1</v>
      </c>
      <c r="D14" s="29" t="str">
        <f>IFERROR(IF(SUMIFS(tblDaily[Deaths],tblDaily[EntryDate],DATE(2026,1,8),tblDaily[WardCode],"NICU")=0,"",SUMIFS(tblDaily[Deaths],tblDaily[EntryDate],DATE(2026,1,8),tblDaily[WardCode],"NICU")),"")</f>
        <v/>
      </c>
      <c r="E14" s="29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29" t="str">
        <f>IFERROR(IF(SUMIFS(tblDaily[TransfersIn],tblDaily[EntryDate],DATE(2026,1,8),tblDaily[WardCode],"NICU")=0,"",SUMIFS(tblDaily[TransfersIn],tblDaily[EntryDate],DATE(2026,1,8),tblDaily[WardCode],"NICU")),"")</f>
        <v/>
      </c>
      <c r="G14" s="29" t="str">
        <f>IFERROR(IF(SUMIFS(tblDaily[TransfersOut],tblDaily[EntryDate],DATE(2026,1,8),tblDaily[WardCode],"NICU")=0,"",SUMIFS(tblDaily[TransfersOut],tblDaily[EntryDate],DATE(2026,1,8),tblDaily[WardCode],"NICU")),"")</f>
        <v/>
      </c>
      <c r="H14" s="29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29">
        <v>9</v>
      </c>
      <c r="B15" s="29">
        <f>IFERROR(IF(SUMIFS(tblDaily[Admissions],tblDaily[EntryDate],DATE(2026,1,9),tblDaily[WardCode],"NICU")=0,"",SUMIFS(tblDaily[Admissions],tblDaily[EntryDate],DATE(2026,1,9),tblDaily[WardCode],"NICU")),"")</f>
        <v>2</v>
      </c>
      <c r="C15" s="29" t="str">
        <f>IFERROR(IF(SUMIFS(tblDaily[Discharges],tblDaily[EntryDate],DATE(2026,1,9),tblDaily[WardCode],"NICU")=0,"",SUMIFS(tblDaily[Discharges],tblDaily[EntryDate],DATE(2026,1,9),tblDaily[WardCode],"NICU")),"")</f>
        <v/>
      </c>
      <c r="D15" s="29" t="str">
        <f>IFERROR(IF(SUMIFS(tblDaily[Deaths],tblDaily[EntryDate],DATE(2026,1,9),tblDaily[WardCode],"NICU")=0,"",SUMIFS(tblDaily[Deaths],tblDaily[EntryDate],DATE(2026,1,9),tblDaily[WardCode],"NICU")),"")</f>
        <v/>
      </c>
      <c r="E15" s="29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29" t="str">
        <f>IFERROR(IF(SUMIFS(tblDaily[TransfersIn],tblDaily[EntryDate],DATE(2026,1,9),tblDaily[WardCode],"NICU")=0,"",SUMIFS(tblDaily[TransfersIn],tblDaily[EntryDate],DATE(2026,1,9),tblDaily[WardCode],"NICU")),"")</f>
        <v/>
      </c>
      <c r="G15" s="29" t="str">
        <f>IFERROR(IF(SUMIFS(tblDaily[TransfersOut],tblDaily[EntryDate],DATE(2026,1,9),tblDaily[WardCode],"NICU")=0,"",SUMIFS(tblDaily[TransfersOut],tblDaily[EntryDate],DATE(2026,1,9),tblDaily[WardCode],"NICU")),"")</f>
        <v/>
      </c>
      <c r="H15" s="29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29">
        <v>10</v>
      </c>
      <c r="B16" s="29">
        <f>IFERROR(IF(SUMIFS(tblDaily[Admissions],tblDaily[EntryDate],DATE(2026,1,10),tblDaily[WardCode],"NICU")=0,"",SUMIFS(tblDaily[Admissions],tblDaily[EntryDate],DATE(2026,1,10),tblDaily[WardCode],"NICU")),"")</f>
        <v>1</v>
      </c>
      <c r="C16" s="29">
        <f>IFERROR(IF(SUMIFS(tblDaily[Discharges],tblDaily[EntryDate],DATE(2026,1,10),tblDaily[WardCode],"NICU")=0,"",SUMIFS(tblDaily[Discharges],tblDaily[EntryDate],DATE(2026,1,10),tblDaily[WardCode],"NICU")),"")</f>
        <v>1</v>
      </c>
      <c r="D16" s="29" t="str">
        <f>IFERROR(IF(SUMIFS(tblDaily[Deaths],tblDaily[EntryDate],DATE(2026,1,10),tblDaily[WardCode],"NICU")=0,"",SUMIFS(tblDaily[Deaths],tblDaily[EntryDate],DATE(2026,1,10),tblDaily[WardCode],"NICU")),"")</f>
        <v/>
      </c>
      <c r="E16" s="29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29" t="str">
        <f>IFERROR(IF(SUMIFS(tblDaily[TransfersIn],tblDaily[EntryDate],DATE(2026,1,10),tblDaily[WardCode],"NICU")=0,"",SUMIFS(tblDaily[TransfersIn],tblDaily[EntryDate],DATE(2026,1,10),tblDaily[WardCode],"NICU")),"")</f>
        <v/>
      </c>
      <c r="G16" s="29" t="str">
        <f>IFERROR(IF(SUMIFS(tblDaily[TransfersOut],tblDaily[EntryDate],DATE(2026,1,10),tblDaily[WardCode],"NICU")=0,"",SUMIFS(tblDaily[TransfersOut],tblDaily[EntryDate],DATE(2026,1,10),tblDaily[WardCode],"NICU")),"")</f>
        <v/>
      </c>
      <c r="H16" s="29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29">
        <v>11</v>
      </c>
      <c r="B17" s="29">
        <f>IFERROR(IF(SUMIFS(tblDaily[Admissions],tblDaily[EntryDate],DATE(2026,1,11),tblDaily[WardCode],"NICU")=0,"",SUMIFS(tblDaily[Admissions],tblDaily[EntryDate],DATE(2026,1,11),tblDaily[WardCode],"NICU")),"")</f>
        <v>1</v>
      </c>
      <c r="C17" s="29">
        <f>IFERROR(IF(SUMIFS(tblDaily[Discharges],tblDaily[EntryDate],DATE(2026,1,11),tblDaily[WardCode],"NICU")=0,"",SUMIFS(tblDaily[Discharges],tblDaily[EntryDate],DATE(2026,1,11),tblDaily[WardCode],"NICU")),"")</f>
        <v>1</v>
      </c>
      <c r="D17" s="29" t="str">
        <f>IFERROR(IF(SUMIFS(tblDaily[Deaths],tblDaily[EntryDate],DATE(2026,1,11),tblDaily[WardCode],"NICU")=0,"",SUMIFS(tblDaily[Deaths],tblDaily[EntryDate],DATE(2026,1,11),tblDaily[WardCode],"NICU")),"")</f>
        <v/>
      </c>
      <c r="E17" s="29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29" t="str">
        <f>IFERROR(IF(SUMIFS(tblDaily[TransfersIn],tblDaily[EntryDate],DATE(2026,1,11),tblDaily[WardCode],"NICU")=0,"",SUMIFS(tblDaily[TransfersIn],tblDaily[EntryDate],DATE(2026,1,11),tblDaily[WardCode],"NICU")),"")</f>
        <v/>
      </c>
      <c r="G17" s="29" t="str">
        <f>IFERROR(IF(SUMIFS(tblDaily[TransfersOut],tblDaily[EntryDate],DATE(2026,1,11),tblDaily[WardCode],"NICU")=0,"",SUMIFS(tblDaily[TransfersOut],tblDaily[EntryDate],DATE(2026,1,11),tblDaily[WardCode],"NICU")),"")</f>
        <v/>
      </c>
      <c r="H17" s="29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29">
        <v>12</v>
      </c>
      <c r="B18" s="29">
        <f>IFERROR(IF(SUMIFS(tblDaily[Admissions],tblDaily[EntryDate],DATE(2026,1,12),tblDaily[WardCode],"NICU")=0,"",SUMIFS(tblDaily[Admissions],tblDaily[EntryDate],DATE(2026,1,12),tblDaily[WardCode],"NICU")),"")</f>
        <v>4</v>
      </c>
      <c r="C18" s="29" t="str">
        <f>IFERROR(IF(SUMIFS(tblDaily[Discharges],tblDaily[EntryDate],DATE(2026,1,12),tblDaily[WardCode],"NICU")=0,"",SUMIFS(tblDaily[Discharges],tblDaily[EntryDate],DATE(2026,1,12),tblDaily[WardCode],"NICU")),"")</f>
        <v/>
      </c>
      <c r="D18" s="29" t="str">
        <f>IFERROR(IF(SUMIFS(tblDaily[Deaths],tblDaily[EntryDate],DATE(2026,1,12),tblDaily[WardCode],"NICU")=0,"",SUMIFS(tblDaily[Deaths],tblDaily[EntryDate],DATE(2026,1,12),tblDaily[WardCode],"NICU")),"")</f>
        <v/>
      </c>
      <c r="E18" s="29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29" t="str">
        <f>IFERROR(IF(SUMIFS(tblDaily[TransfersIn],tblDaily[EntryDate],DATE(2026,1,12),tblDaily[WardCode],"NICU")=0,"",SUMIFS(tblDaily[TransfersIn],tblDaily[EntryDate],DATE(2026,1,12),tblDaily[WardCode],"NICU")),"")</f>
        <v/>
      </c>
      <c r="G18" s="29" t="str">
        <f>IFERROR(IF(SUMIFS(tblDaily[TransfersOut],tblDaily[EntryDate],DATE(2026,1,12),tblDaily[WardCode],"NICU")=0,"",SUMIFS(tblDaily[TransfersOut],tblDaily[EntryDate],DATE(2026,1,12),tblDaily[WardCode],"NICU")),"")</f>
        <v/>
      </c>
      <c r="H18" s="29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29">
        <v>13</v>
      </c>
      <c r="B19" s="29">
        <f>IFERROR(IF(SUMIFS(tblDaily[Admissions],tblDaily[EntryDate],DATE(2026,1,13),tblDaily[WardCode],"NICU")=0,"",SUMIFS(tblDaily[Admissions],tblDaily[EntryDate],DATE(2026,1,13),tblDaily[WardCode],"NICU")),"")</f>
        <v>4</v>
      </c>
      <c r="C19" s="29">
        <f>IFERROR(IF(SUMIFS(tblDaily[Discharges],tblDaily[EntryDate],DATE(2026,1,13),tblDaily[WardCode],"NICU")=0,"",SUMIFS(tblDaily[Discharges],tblDaily[EntryDate],DATE(2026,1,13),tblDaily[WardCode],"NICU")),"")</f>
        <v>4</v>
      </c>
      <c r="D19" s="29" t="str">
        <f>IFERROR(IF(SUMIFS(tblDaily[Deaths],tblDaily[EntryDate],DATE(2026,1,13),tblDaily[WardCode],"NICU")=0,"",SUMIFS(tblDaily[Deaths],tblDaily[EntryDate],DATE(2026,1,13),tblDaily[WardCode],"NICU")),"")</f>
        <v/>
      </c>
      <c r="E19" s="29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29" t="str">
        <f>IFERROR(IF(SUMIFS(tblDaily[TransfersIn],tblDaily[EntryDate],DATE(2026,1,13),tblDaily[WardCode],"NICU")=0,"",SUMIFS(tblDaily[TransfersIn],tblDaily[EntryDate],DATE(2026,1,13),tblDaily[WardCode],"NICU")),"")</f>
        <v/>
      </c>
      <c r="G19" s="29" t="str">
        <f>IFERROR(IF(SUMIFS(tblDaily[TransfersOut],tblDaily[EntryDate],DATE(2026,1,13),tblDaily[WardCode],"NICU")=0,"",SUMIFS(tblDaily[TransfersOut],tblDaily[EntryDate],DATE(2026,1,13),tblDaily[WardCode],"NICU")),"")</f>
        <v/>
      </c>
      <c r="H19" s="29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29">
        <v>14</v>
      </c>
      <c r="B20" s="29">
        <f>IFERROR(IF(SUMIFS(tblDaily[Admissions],tblDaily[EntryDate],DATE(2026,1,14),tblDaily[WardCode],"NICU")=0,"",SUMIFS(tblDaily[Admissions],tblDaily[EntryDate],DATE(2026,1,14),tblDaily[WardCode],"NICU")),"")</f>
        <v>3</v>
      </c>
      <c r="C20" s="29">
        <f>IFERROR(IF(SUMIFS(tblDaily[Discharges],tblDaily[EntryDate],DATE(2026,1,14),tblDaily[WardCode],"NICU")=0,"",SUMIFS(tblDaily[Discharges],tblDaily[EntryDate],DATE(2026,1,14),tblDaily[WardCode],"NICU")),"")</f>
        <v>4</v>
      </c>
      <c r="D20" s="29">
        <f>IFERROR(IF(SUMIFS(tblDaily[Deaths],tblDaily[EntryDate],DATE(2026,1,14),tblDaily[WardCode],"NICU")=0,"",SUMIFS(tblDaily[Deaths],tblDaily[EntryDate],DATE(2026,1,14),tblDaily[WardCode],"NICU")),"")</f>
        <v>1</v>
      </c>
      <c r="E20" s="29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29" t="str">
        <f>IFERROR(IF(SUMIFS(tblDaily[TransfersIn],tblDaily[EntryDate],DATE(2026,1,14),tblDaily[WardCode],"NICU")=0,"",SUMIFS(tblDaily[TransfersIn],tblDaily[EntryDate],DATE(2026,1,14),tblDaily[WardCode],"NICU")),"")</f>
        <v/>
      </c>
      <c r="G20" s="29" t="str">
        <f>IFERROR(IF(SUMIFS(tblDaily[TransfersOut],tblDaily[EntryDate],DATE(2026,1,14),tblDaily[WardCode],"NICU")=0,"",SUMIFS(tblDaily[TransfersOut],tblDaily[EntryDate],DATE(2026,1,14),tblDaily[WardCode],"NICU")),"")</f>
        <v/>
      </c>
      <c r="H20" s="29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29">
        <v>15</v>
      </c>
      <c r="B21" s="29" t="str">
        <f>IFERROR(IF(SUMIFS(tblDaily[Admissions],tblDaily[EntryDate],DATE(2026,1,15),tblDaily[WardCode],"NICU")=0,"",SUMIFS(tblDaily[Admissions],tblDaily[EntryDate],DATE(2026,1,15),tblDaily[WardCode],"NICU")),"")</f>
        <v/>
      </c>
      <c r="C21" s="29">
        <f>IFERROR(IF(SUMIFS(tblDaily[Discharges],tblDaily[EntryDate],DATE(2026,1,15),tblDaily[WardCode],"NICU")=0,"",SUMIFS(tblDaily[Discharges],tblDaily[EntryDate],DATE(2026,1,15),tblDaily[WardCode],"NICU")),"")</f>
        <v>3</v>
      </c>
      <c r="D21" s="29" t="str">
        <f>IFERROR(IF(SUMIFS(tblDaily[Deaths],tblDaily[EntryDate],DATE(2026,1,15),tblDaily[WardCode],"NICU")=0,"",SUMIFS(tblDaily[Deaths],tblDaily[EntryDate],DATE(2026,1,15),tblDaily[WardCode],"NICU")),"")</f>
        <v/>
      </c>
      <c r="E21" s="29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29" t="str">
        <f>IFERROR(IF(SUMIFS(tblDaily[TransfersIn],tblDaily[EntryDate],DATE(2026,1,15),tblDaily[WardCode],"NICU")=0,"",SUMIFS(tblDaily[TransfersIn],tblDaily[EntryDate],DATE(2026,1,15),tblDaily[WardCode],"NICU")),"")</f>
        <v/>
      </c>
      <c r="G21" s="29" t="str">
        <f>IFERROR(IF(SUMIFS(tblDaily[TransfersOut],tblDaily[EntryDate],DATE(2026,1,15),tblDaily[WardCode],"NICU")=0,"",SUMIFS(tblDaily[TransfersOut],tblDaily[EntryDate],DATE(2026,1,15),tblDaily[WardCode],"NICU")),"")</f>
        <v/>
      </c>
      <c r="H21" s="29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29">
        <v>16</v>
      </c>
      <c r="B22" s="29" t="str">
        <f>IFERROR(IF(SUMIFS(tblDaily[Admissions],tblDaily[EntryDate],DATE(2026,1,16),tblDaily[WardCode],"NICU")=0,"",SUMIFS(tblDaily[Admissions],tblDaily[EntryDate],DATE(2026,1,16),tblDaily[WardCode],"NICU")),"")</f>
        <v/>
      </c>
      <c r="C22" s="29">
        <f>IFERROR(IF(SUMIFS(tblDaily[Discharges],tblDaily[EntryDate],DATE(2026,1,16),tblDaily[WardCode],"NICU")=0,"",SUMIFS(tblDaily[Discharges],tblDaily[EntryDate],DATE(2026,1,16),tblDaily[WardCode],"NICU")),"")</f>
        <v>4</v>
      </c>
      <c r="D22" s="29" t="str">
        <f>IFERROR(IF(SUMIFS(tblDaily[Deaths],tblDaily[EntryDate],DATE(2026,1,16),tblDaily[WardCode],"NICU")=0,"",SUMIFS(tblDaily[Deaths],tblDaily[EntryDate],DATE(2026,1,16),tblDaily[WardCode],"NICU")),"")</f>
        <v/>
      </c>
      <c r="E22" s="29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29" t="str">
        <f>IFERROR(IF(SUMIFS(tblDaily[TransfersIn],tblDaily[EntryDate],DATE(2026,1,16),tblDaily[WardCode],"NICU")=0,"",SUMIFS(tblDaily[TransfersIn],tblDaily[EntryDate],DATE(2026,1,16),tblDaily[WardCode],"NICU")),"")</f>
        <v/>
      </c>
      <c r="G22" s="29" t="str">
        <f>IFERROR(IF(SUMIFS(tblDaily[TransfersOut],tblDaily[EntryDate],DATE(2026,1,16),tblDaily[WardCode],"NICU")=0,"",SUMIFS(tblDaily[TransfersOut],tblDaily[EntryDate],DATE(2026,1,16),tblDaily[WardCode],"NICU")),"")</f>
        <v/>
      </c>
      <c r="H22" s="29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29">
        <v>17</v>
      </c>
      <c r="B23" s="29">
        <f>IFERROR(IF(SUMIFS(tblDaily[Admissions],tblDaily[EntryDate],DATE(2026,1,17),tblDaily[WardCode],"NICU")=0,"",SUMIFS(tblDaily[Admissions],tblDaily[EntryDate],DATE(2026,1,17),tblDaily[WardCode],"NICU")),"")</f>
        <v>1</v>
      </c>
      <c r="C23" s="29" t="str">
        <f>IFERROR(IF(SUMIFS(tblDaily[Discharges],tblDaily[EntryDate],DATE(2026,1,17),tblDaily[WardCode],"NICU")=0,"",SUMIFS(tblDaily[Discharges],tblDaily[EntryDate],DATE(2026,1,17),tblDaily[WardCode],"NICU")),"")</f>
        <v/>
      </c>
      <c r="D23" s="29" t="str">
        <f>IFERROR(IF(SUMIFS(tblDaily[Deaths],tblDaily[EntryDate],DATE(2026,1,17),tblDaily[WardCode],"NICU")=0,"",SUMIFS(tblDaily[Deaths],tblDaily[EntryDate],DATE(2026,1,17),tblDaily[WardCode],"NICU")),"")</f>
        <v/>
      </c>
      <c r="E23" s="29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29" t="str">
        <f>IFERROR(IF(SUMIFS(tblDaily[TransfersIn],tblDaily[EntryDate],DATE(2026,1,17),tblDaily[WardCode],"NICU")=0,"",SUMIFS(tblDaily[TransfersIn],tblDaily[EntryDate],DATE(2026,1,17),tblDaily[WardCode],"NICU")),"")</f>
        <v/>
      </c>
      <c r="G23" s="29" t="str">
        <f>IFERROR(IF(SUMIFS(tblDaily[TransfersOut],tblDaily[EntryDate],DATE(2026,1,17),tblDaily[WardCode],"NICU")=0,"",SUMIFS(tblDaily[TransfersOut],tblDaily[EntryDate],DATE(2026,1,17),tblDaily[WardCode],"NICU")),"")</f>
        <v/>
      </c>
      <c r="H23" s="29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29">
        <v>18</v>
      </c>
      <c r="B24" s="29">
        <f>IFERROR(IF(SUMIFS(tblDaily[Admissions],tblDaily[EntryDate],DATE(2026,1,18),tblDaily[WardCode],"NICU")=0,"",SUMIFS(tblDaily[Admissions],tblDaily[EntryDate],DATE(2026,1,18),tblDaily[WardCode],"NICU")),"")</f>
        <v>2</v>
      </c>
      <c r="C24" s="29" t="str">
        <f>IFERROR(IF(SUMIFS(tblDaily[Discharges],tblDaily[EntryDate],DATE(2026,1,18),tblDaily[WardCode],"NICU")=0,"",SUMIFS(tblDaily[Discharges],tblDaily[EntryDate],DATE(2026,1,18),tblDaily[WardCode],"NICU")),"")</f>
        <v/>
      </c>
      <c r="D24" s="29">
        <f>IFERROR(IF(SUMIFS(tblDaily[Deaths],tblDaily[EntryDate],DATE(2026,1,18),tblDaily[WardCode],"NICU")=0,"",SUMIFS(tblDaily[Deaths],tblDaily[EntryDate],DATE(2026,1,18),tblDaily[WardCode],"NICU")),"")</f>
        <v>1</v>
      </c>
      <c r="E24" s="29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29" t="str">
        <f>IFERROR(IF(SUMIFS(tblDaily[TransfersIn],tblDaily[EntryDate],DATE(2026,1,18),tblDaily[WardCode],"NICU")=0,"",SUMIFS(tblDaily[TransfersIn],tblDaily[EntryDate],DATE(2026,1,18),tblDaily[WardCode],"NICU")),"")</f>
        <v/>
      </c>
      <c r="G24" s="29" t="str">
        <f>IFERROR(IF(SUMIFS(tblDaily[TransfersOut],tblDaily[EntryDate],DATE(2026,1,18),tblDaily[WardCode],"NICU")=0,"",SUMIFS(tblDaily[TransfersOut],tblDaily[EntryDate],DATE(2026,1,18),tblDaily[WardCode],"NICU")),"")</f>
        <v/>
      </c>
      <c r="H24" s="29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29">
        <v>19</v>
      </c>
      <c r="B25" s="29">
        <f>IFERROR(IF(SUMIFS(tblDaily[Admissions],tblDaily[EntryDate],DATE(2026,1,19),tblDaily[WardCode],"NICU")=0,"",SUMIFS(tblDaily[Admissions],tblDaily[EntryDate],DATE(2026,1,19),tblDaily[WardCode],"NICU")),"")</f>
        <v>1</v>
      </c>
      <c r="C25" s="29" t="str">
        <f>IFERROR(IF(SUMIFS(tblDaily[Discharges],tblDaily[EntryDate],DATE(2026,1,19),tblDaily[WardCode],"NICU")=0,"",SUMIFS(tblDaily[Discharges],tblDaily[EntryDate],DATE(2026,1,19),tblDaily[WardCode],"NICU")),"")</f>
        <v/>
      </c>
      <c r="D25" s="29" t="str">
        <f>IFERROR(IF(SUMIFS(tblDaily[Deaths],tblDaily[EntryDate],DATE(2026,1,19),tblDaily[WardCode],"NICU")=0,"",SUMIFS(tblDaily[Deaths],tblDaily[EntryDate],DATE(2026,1,19),tblDaily[WardCode],"NICU")),"")</f>
        <v/>
      </c>
      <c r="E25" s="29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29" t="str">
        <f>IFERROR(IF(SUMIFS(tblDaily[TransfersIn],tblDaily[EntryDate],DATE(2026,1,19),tblDaily[WardCode],"NICU")=0,"",SUMIFS(tblDaily[TransfersIn],tblDaily[EntryDate],DATE(2026,1,19),tblDaily[WardCode],"NICU")),"")</f>
        <v/>
      </c>
      <c r="G25" s="29" t="str">
        <f>IFERROR(IF(SUMIFS(tblDaily[TransfersOut],tblDaily[EntryDate],DATE(2026,1,19),tblDaily[WardCode],"NICU")=0,"",SUMIFS(tblDaily[TransfersOut],tblDaily[EntryDate],DATE(2026,1,19),tblDaily[WardCode],"NICU")),"")</f>
        <v/>
      </c>
      <c r="H25" s="29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29">
        <v>20</v>
      </c>
      <c r="B26" s="29">
        <f>IFERROR(IF(SUMIFS(tblDaily[Admissions],tblDaily[EntryDate],DATE(2026,1,20),tblDaily[WardCode],"NICU")=0,"",SUMIFS(tblDaily[Admissions],tblDaily[EntryDate],DATE(2026,1,20),tblDaily[WardCode],"NICU")),"")</f>
        <v>1</v>
      </c>
      <c r="C26" s="29">
        <f>IFERROR(IF(SUMIFS(tblDaily[Discharges],tblDaily[EntryDate],DATE(2026,1,20),tblDaily[WardCode],"NICU")=0,"",SUMIFS(tblDaily[Discharges],tblDaily[EntryDate],DATE(2026,1,20),tblDaily[WardCode],"NICU")),"")</f>
        <v>3</v>
      </c>
      <c r="D26" s="29" t="str">
        <f>IFERROR(IF(SUMIFS(tblDaily[Deaths],tblDaily[EntryDate],DATE(2026,1,20),tblDaily[WardCode],"NICU")=0,"",SUMIFS(tblDaily[Deaths],tblDaily[EntryDate],DATE(2026,1,20),tblDaily[WardCode],"NICU")),"")</f>
        <v/>
      </c>
      <c r="E26" s="29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29" t="str">
        <f>IFERROR(IF(SUMIFS(tblDaily[TransfersIn],tblDaily[EntryDate],DATE(2026,1,20),tblDaily[WardCode],"NICU")=0,"",SUMIFS(tblDaily[TransfersIn],tblDaily[EntryDate],DATE(2026,1,20),tblDaily[WardCode],"NICU")),"")</f>
        <v/>
      </c>
      <c r="G26" s="29" t="str">
        <f>IFERROR(IF(SUMIFS(tblDaily[TransfersOut],tblDaily[EntryDate],DATE(2026,1,20),tblDaily[WardCode],"NICU")=0,"",SUMIFS(tblDaily[TransfersOut],tblDaily[EntryDate],DATE(2026,1,20),tblDaily[WardCode],"NICU")),"")</f>
        <v/>
      </c>
      <c r="H26" s="29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29">
        <v>21</v>
      </c>
      <c r="B27" s="29">
        <f>IFERROR(IF(SUMIFS(tblDaily[Admissions],tblDaily[EntryDate],DATE(2026,1,21),tblDaily[WardCode],"NICU")=0,"",SUMIFS(tblDaily[Admissions],tblDaily[EntryDate],DATE(2026,1,21),tblDaily[WardCode],"NICU")),"")</f>
        <v>1</v>
      </c>
      <c r="C27" s="29">
        <f>IFERROR(IF(SUMIFS(tblDaily[Discharges],tblDaily[EntryDate],DATE(2026,1,21),tblDaily[WardCode],"NICU")=0,"",SUMIFS(tblDaily[Discharges],tblDaily[EntryDate],DATE(2026,1,21),tblDaily[WardCode],"NICU")),"")</f>
        <v>3</v>
      </c>
      <c r="D27" s="29" t="str">
        <f>IFERROR(IF(SUMIFS(tblDaily[Deaths],tblDaily[EntryDate],DATE(2026,1,21),tblDaily[WardCode],"NICU")=0,"",SUMIFS(tblDaily[Deaths],tblDaily[EntryDate],DATE(2026,1,21),tblDaily[WardCode],"NICU")),"")</f>
        <v/>
      </c>
      <c r="E27" s="29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29" t="str">
        <f>IFERROR(IF(SUMIFS(tblDaily[TransfersIn],tblDaily[EntryDate],DATE(2026,1,21),tblDaily[WardCode],"NICU")=0,"",SUMIFS(tblDaily[TransfersIn],tblDaily[EntryDate],DATE(2026,1,21),tblDaily[WardCode],"NICU")),"")</f>
        <v/>
      </c>
      <c r="G27" s="29" t="str">
        <f>IFERROR(IF(SUMIFS(tblDaily[TransfersOut],tblDaily[EntryDate],DATE(2026,1,21),tblDaily[WardCode],"NICU")=0,"",SUMIFS(tblDaily[TransfersOut],tblDaily[EntryDate],DATE(2026,1,21),tblDaily[WardCode],"NICU")),"")</f>
        <v/>
      </c>
      <c r="H27" s="29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29">
        <v>22</v>
      </c>
      <c r="B28" s="29">
        <f>IFERROR(IF(SUMIFS(tblDaily[Admissions],tblDaily[EntryDate],DATE(2026,1,22),tblDaily[WardCode],"NICU")=0,"",SUMIFS(tblDaily[Admissions],tblDaily[EntryDate],DATE(2026,1,22),tblDaily[WardCode],"NICU")),"")</f>
        <v>4</v>
      </c>
      <c r="C28" s="29">
        <f>IFERROR(IF(SUMIFS(tblDaily[Discharges],tblDaily[EntryDate],DATE(2026,1,22),tblDaily[WardCode],"NICU")=0,"",SUMIFS(tblDaily[Discharges],tblDaily[EntryDate],DATE(2026,1,22),tblDaily[WardCode],"NICU")),"")</f>
        <v>1</v>
      </c>
      <c r="D28" s="29" t="str">
        <f>IFERROR(IF(SUMIFS(tblDaily[Deaths],tblDaily[EntryDate],DATE(2026,1,22),tblDaily[WardCode],"NICU")=0,"",SUMIFS(tblDaily[Deaths],tblDaily[EntryDate],DATE(2026,1,22),tblDaily[WardCode],"NICU")),"")</f>
        <v/>
      </c>
      <c r="E28" s="29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29" t="str">
        <f>IFERROR(IF(SUMIFS(tblDaily[TransfersIn],tblDaily[EntryDate],DATE(2026,1,22),tblDaily[WardCode],"NICU")=0,"",SUMIFS(tblDaily[TransfersIn],tblDaily[EntryDate],DATE(2026,1,22),tblDaily[WardCode],"NICU")),"")</f>
        <v/>
      </c>
      <c r="G28" s="29" t="str">
        <f>IFERROR(IF(SUMIFS(tblDaily[TransfersOut],tblDaily[EntryDate],DATE(2026,1,22),tblDaily[WardCode],"NICU")=0,"",SUMIFS(tblDaily[TransfersOut],tblDaily[EntryDate],DATE(2026,1,22),tblDaily[WardCode],"NICU")),"")</f>
        <v/>
      </c>
      <c r="H28" s="29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29">
        <v>23</v>
      </c>
      <c r="B29" s="29">
        <f>IFERROR(IF(SUMIFS(tblDaily[Admissions],tblDaily[EntryDate],DATE(2026,1,23),tblDaily[WardCode],"NICU")=0,"",SUMIFS(tblDaily[Admissions],tblDaily[EntryDate],DATE(2026,1,23),tblDaily[WardCode],"NICU")),"")</f>
        <v>2</v>
      </c>
      <c r="C29" s="29">
        <f>IFERROR(IF(SUMIFS(tblDaily[Discharges],tblDaily[EntryDate],DATE(2026,1,23),tblDaily[WardCode],"NICU")=0,"",SUMIFS(tblDaily[Discharges],tblDaily[EntryDate],DATE(2026,1,23),tblDaily[WardCode],"NICU")),"")</f>
        <v>3</v>
      </c>
      <c r="D29" s="29" t="str">
        <f>IFERROR(IF(SUMIFS(tblDaily[Deaths],tblDaily[EntryDate],DATE(2026,1,23),tblDaily[WardCode],"NICU")=0,"",SUMIFS(tblDaily[Deaths],tblDaily[EntryDate],DATE(2026,1,23),tblDaily[WardCode],"NICU")),"")</f>
        <v/>
      </c>
      <c r="E29" s="29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29" t="str">
        <f>IFERROR(IF(SUMIFS(tblDaily[TransfersIn],tblDaily[EntryDate],DATE(2026,1,23),tblDaily[WardCode],"NICU")=0,"",SUMIFS(tblDaily[TransfersIn],tblDaily[EntryDate],DATE(2026,1,23),tblDaily[WardCode],"NICU")),"")</f>
        <v/>
      </c>
      <c r="G29" s="29" t="str">
        <f>IFERROR(IF(SUMIFS(tblDaily[TransfersOut],tblDaily[EntryDate],DATE(2026,1,23),tblDaily[WardCode],"NICU")=0,"",SUMIFS(tblDaily[TransfersOut],tblDaily[EntryDate],DATE(2026,1,23),tblDaily[WardCode],"NICU")),"")</f>
        <v/>
      </c>
      <c r="H29" s="29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29">
        <v>24</v>
      </c>
      <c r="B30" s="29" t="str">
        <f>IFERROR(IF(SUMIFS(tblDaily[Admissions],tblDaily[EntryDate],DATE(2026,1,24),tblDaily[WardCode],"NICU")=0,"",SUMIFS(tblDaily[Admissions],tblDaily[EntryDate],DATE(2026,1,24),tblDaily[WardCode],"NICU")),"")</f>
        <v/>
      </c>
      <c r="C30" s="29">
        <f>IFERROR(IF(SUMIFS(tblDaily[Discharges],tblDaily[EntryDate],DATE(2026,1,24),tblDaily[WardCode],"NICU")=0,"",SUMIFS(tblDaily[Discharges],tblDaily[EntryDate],DATE(2026,1,24),tblDaily[WardCode],"NICU")),"")</f>
        <v>3</v>
      </c>
      <c r="D30" s="29" t="str">
        <f>IFERROR(IF(SUMIFS(tblDaily[Deaths],tblDaily[EntryDate],DATE(2026,1,24),tblDaily[WardCode],"NICU")=0,"",SUMIFS(tblDaily[Deaths],tblDaily[EntryDate],DATE(2026,1,24),tblDaily[WardCode],"NICU")),"")</f>
        <v/>
      </c>
      <c r="E30" s="29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29" t="str">
        <f>IFERROR(IF(SUMIFS(tblDaily[TransfersIn],tblDaily[EntryDate],DATE(2026,1,24),tblDaily[WardCode],"NICU")=0,"",SUMIFS(tblDaily[TransfersIn],tblDaily[EntryDate],DATE(2026,1,24),tblDaily[WardCode],"NICU")),"")</f>
        <v/>
      </c>
      <c r="G30" s="29" t="str">
        <f>IFERROR(IF(SUMIFS(tblDaily[TransfersOut],tblDaily[EntryDate],DATE(2026,1,24),tblDaily[WardCode],"NICU")=0,"",SUMIFS(tblDaily[TransfersOut],tblDaily[EntryDate],DATE(2026,1,24),tblDaily[WardCode],"NICU")),"")</f>
        <v/>
      </c>
      <c r="H30" s="29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29">
        <v>25</v>
      </c>
      <c r="B31" s="29" t="str">
        <f>IFERROR(IF(SUMIFS(tblDaily[Admissions],tblDaily[EntryDate],DATE(2026,1,25),tblDaily[WardCode],"NICU")=0,"",SUMIFS(tblDaily[Admissions],tblDaily[EntryDate],DATE(2026,1,25),tblDaily[WardCode],"NICU")),"")</f>
        <v/>
      </c>
      <c r="C31" s="29" t="str">
        <f>IFERROR(IF(SUMIFS(tblDaily[Discharges],tblDaily[EntryDate],DATE(2026,1,25),tblDaily[WardCode],"NICU")=0,"",SUMIFS(tblDaily[Discharges],tblDaily[EntryDate],DATE(2026,1,25),tblDaily[WardCode],"NICU")),"")</f>
        <v/>
      </c>
      <c r="D31" s="29">
        <f>IFERROR(IF(SUMIFS(tblDaily[Deaths],tblDaily[EntryDate],DATE(2026,1,25),tblDaily[WardCode],"NICU")=0,"",SUMIFS(tblDaily[Deaths],tblDaily[EntryDate],DATE(2026,1,25),tblDaily[WardCode],"NICU")),"")</f>
        <v>1</v>
      </c>
      <c r="E31" s="29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29" t="str">
        <f>IFERROR(IF(SUMIFS(tblDaily[TransfersIn],tblDaily[EntryDate],DATE(2026,1,25),tblDaily[WardCode],"NICU")=0,"",SUMIFS(tblDaily[TransfersIn],tblDaily[EntryDate],DATE(2026,1,25),tblDaily[WardCode],"NICU")),"")</f>
        <v/>
      </c>
      <c r="G31" s="29" t="str">
        <f>IFERROR(IF(SUMIFS(tblDaily[TransfersOut],tblDaily[EntryDate],DATE(2026,1,25),tblDaily[WardCode],"NICU")=0,"",SUMIFS(tblDaily[TransfersOut],tblDaily[EntryDate],DATE(2026,1,25),tblDaily[WardCode],"NICU")),"")</f>
        <v/>
      </c>
      <c r="H31" s="29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29">
        <v>26</v>
      </c>
      <c r="B32" s="29">
        <f>IFERROR(IF(SUMIFS(tblDaily[Admissions],tblDaily[EntryDate],DATE(2026,1,26),tblDaily[WardCode],"NICU")=0,"",SUMIFS(tblDaily[Admissions],tblDaily[EntryDate],DATE(2026,1,26),tblDaily[WardCode],"NICU")),"")</f>
        <v>2</v>
      </c>
      <c r="C32" s="29">
        <f>IFERROR(IF(SUMIFS(tblDaily[Discharges],tblDaily[EntryDate],DATE(2026,1,26),tblDaily[WardCode],"NICU")=0,"",SUMIFS(tblDaily[Discharges],tblDaily[EntryDate],DATE(2026,1,26),tblDaily[WardCode],"NICU")),"")</f>
        <v>2</v>
      </c>
      <c r="D32" s="29" t="str">
        <f>IFERROR(IF(SUMIFS(tblDaily[Deaths],tblDaily[EntryDate],DATE(2026,1,26),tblDaily[WardCode],"NICU")=0,"",SUMIFS(tblDaily[Deaths],tblDaily[EntryDate],DATE(2026,1,26),tblDaily[WardCode],"NICU")),"")</f>
        <v/>
      </c>
      <c r="E32" s="29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29" t="str">
        <f>IFERROR(IF(SUMIFS(tblDaily[TransfersIn],tblDaily[EntryDate],DATE(2026,1,26),tblDaily[WardCode],"NICU")=0,"",SUMIFS(tblDaily[TransfersIn],tblDaily[EntryDate],DATE(2026,1,26),tblDaily[WardCode],"NICU")),"")</f>
        <v/>
      </c>
      <c r="G32" s="29" t="str">
        <f>IFERROR(IF(SUMIFS(tblDaily[TransfersOut],tblDaily[EntryDate],DATE(2026,1,26),tblDaily[WardCode],"NICU")=0,"",SUMIFS(tblDaily[TransfersOut],tblDaily[EntryDate],DATE(2026,1,26),tblDaily[WardCode],"NICU")),"")</f>
        <v/>
      </c>
      <c r="H32" s="29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29">
        <v>27</v>
      </c>
      <c r="B33" s="29">
        <f>IFERROR(IF(SUMIFS(tblDaily[Admissions],tblDaily[EntryDate],DATE(2026,1,27),tblDaily[WardCode],"NICU")=0,"",SUMIFS(tblDaily[Admissions],tblDaily[EntryDate],DATE(2026,1,27),tblDaily[WardCode],"NICU")),"")</f>
        <v>3</v>
      </c>
      <c r="C33" s="29">
        <f>IFERROR(IF(SUMIFS(tblDaily[Discharges],tblDaily[EntryDate],DATE(2026,1,27),tblDaily[WardCode],"NICU")=0,"",SUMIFS(tblDaily[Discharges],tblDaily[EntryDate],DATE(2026,1,27),tblDaily[WardCode],"NICU")),"")</f>
        <v>3</v>
      </c>
      <c r="D33" s="29" t="str">
        <f>IFERROR(IF(SUMIFS(tblDaily[Deaths],tblDaily[EntryDate],DATE(2026,1,27),tblDaily[WardCode],"NICU")=0,"",SUMIFS(tblDaily[Deaths],tblDaily[EntryDate],DATE(2026,1,27),tblDaily[WardCode],"NICU")),"")</f>
        <v/>
      </c>
      <c r="E33" s="29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29" t="str">
        <f>IFERROR(IF(SUMIFS(tblDaily[TransfersIn],tblDaily[EntryDate],DATE(2026,1,27),tblDaily[WardCode],"NICU")=0,"",SUMIFS(tblDaily[TransfersIn],tblDaily[EntryDate],DATE(2026,1,27),tblDaily[WardCode],"NICU")),"")</f>
        <v/>
      </c>
      <c r="G33" s="29" t="str">
        <f>IFERROR(IF(SUMIFS(tblDaily[TransfersOut],tblDaily[EntryDate],DATE(2026,1,27),tblDaily[WardCode],"NICU")=0,"",SUMIFS(tblDaily[TransfersOut],tblDaily[EntryDate],DATE(2026,1,27),tblDaily[WardCode],"NICU")),"")</f>
        <v/>
      </c>
      <c r="H33" s="29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IFERROR(IF(SUMIFS(tblDaily[Admissions],tblDaily[EntryDate],DATE(2026,1,28),tblDaily[WardCode],"NICU")=0,"",SUMIFS(tblDaily[Admissions],tblDaily[EntryDate],DATE(2026,1,28),tblDaily[WardCode],"NICU")),"")</f>
        <v>1</v>
      </c>
      <c r="C34" s="29">
        <f>IFERROR(IF(SUMIFS(tblDaily[Discharges],tblDaily[EntryDate],DATE(2026,1,28),tblDaily[WardCode],"NICU")=0,"",SUMIFS(tblDaily[Discharges],tblDaily[EntryDate],DATE(2026,1,28),tblDaily[WardCode],"NICU")),"")</f>
        <v>2</v>
      </c>
      <c r="D34" s="29" t="str">
        <f>IFERROR(IF(SUMIFS(tblDaily[Deaths],tblDaily[EntryDate],DATE(2026,1,28),tblDaily[WardCode],"NICU")=0,"",SUMIFS(tblDaily[Deaths],tblDaily[EntryDate],DATE(2026,1,28),tblDaily[WardCode],"NICU")),"")</f>
        <v/>
      </c>
      <c r="E34" s="29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29" t="str">
        <f>IFERROR(IF(SUMIFS(tblDaily[TransfersIn],tblDaily[EntryDate],DATE(2026,1,28),tblDaily[WardCode],"NICU")=0,"",SUMIFS(tblDaily[TransfersIn],tblDaily[EntryDate],DATE(2026,1,28),tblDaily[WardCode],"NICU")),"")</f>
        <v/>
      </c>
      <c r="G34" s="29" t="str">
        <f>IFERROR(IF(SUMIFS(tblDaily[TransfersOut],tblDaily[EntryDate],DATE(2026,1,28),tblDaily[WardCode],"NICU")=0,"",SUMIFS(tblDaily[TransfersOut],tblDaily[EntryDate],DATE(2026,1,28),tblDaily[WardCode],"NICU")),"")</f>
        <v/>
      </c>
      <c r="H34" s="29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29">
        <v>29</v>
      </c>
      <c r="B35" s="29" t="str">
        <f>IFERROR(IF(SUMIFS(tblDaily[Admissions],tblDaily[EntryDate],DATE(2026,1,29),tblDaily[WardCode],"NICU")=0,"",SUMIFS(tblDaily[Admissions],tblDaily[EntryDate],DATE(2026,1,29),tblDaily[WardCode],"NICU")),"")</f>
        <v/>
      </c>
      <c r="C35" s="29" t="str">
        <f>IFERROR(IF(SUMIFS(tblDaily[Discharges],tblDaily[EntryDate],DATE(2026,1,29),tblDaily[WardCode],"NICU")=0,"",SUMIFS(tblDaily[Discharges],tblDaily[EntryDate],DATE(2026,1,29),tblDaily[WardCode],"NICU")),"")</f>
        <v/>
      </c>
      <c r="D35" s="29">
        <f>IFERROR(IF(SUMIFS(tblDaily[Deaths],tblDaily[EntryDate],DATE(2026,1,29),tblDaily[WardCode],"NICU")=0,"",SUMIFS(tblDaily[Deaths],tblDaily[EntryDate],DATE(2026,1,29),tblDaily[WardCode],"NICU")),"")</f>
        <v>3</v>
      </c>
      <c r="E35" s="29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29" t="str">
        <f>IFERROR(IF(SUMIFS(tblDaily[TransfersIn],tblDaily[EntryDate],DATE(2026,1,29),tblDaily[WardCode],"NICU")=0,"",SUMIFS(tblDaily[TransfersIn],tblDaily[EntryDate],DATE(2026,1,29),tblDaily[WardCode],"NICU")),"")</f>
        <v/>
      </c>
      <c r="G35" s="29" t="str">
        <f>IFERROR(IF(SUMIFS(tblDaily[TransfersOut],tblDaily[EntryDate],DATE(2026,1,29),tblDaily[WardCode],"NICU")=0,"",SUMIFS(tblDaily[TransfersOut],tblDaily[EntryDate],DATE(2026,1,29),tblDaily[WardCode],"NICU")),"")</f>
        <v/>
      </c>
      <c r="H35" s="29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29">
        <v>30</v>
      </c>
      <c r="B36" s="29">
        <f>IFERROR(IF(SUMIFS(tblDaily[Admissions],tblDaily[EntryDate],DATE(2026,1,30),tblDaily[WardCode],"NICU")=0,"",SUMIFS(tblDaily[Admissions],tblDaily[EntryDate],DATE(2026,1,30),tblDaily[WardCode],"NICU")),"")</f>
        <v>1</v>
      </c>
      <c r="C36" s="29" t="str">
        <f>IFERROR(IF(SUMIFS(tblDaily[Discharges],tblDaily[EntryDate],DATE(2026,1,30),tblDaily[WardCode],"NICU")=0,"",SUMIFS(tblDaily[Discharges],tblDaily[EntryDate],DATE(2026,1,30),tblDaily[WardCode],"NICU")),"")</f>
        <v/>
      </c>
      <c r="D36" s="29" t="str">
        <f>IFERROR(IF(SUMIFS(tblDaily[Deaths],tblDaily[EntryDate],DATE(2026,1,30),tblDaily[WardCode],"NICU")=0,"",SUMIFS(tblDaily[Deaths],tblDaily[EntryDate],DATE(2026,1,30),tblDaily[WardCode],"NICU")),"")</f>
        <v/>
      </c>
      <c r="E36" s="29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29" t="str">
        <f>IFERROR(IF(SUMIFS(tblDaily[TransfersIn],tblDaily[EntryDate],DATE(2026,1,30),tblDaily[WardCode],"NICU")=0,"",SUMIFS(tblDaily[TransfersIn],tblDaily[EntryDate],DATE(2026,1,30),tblDaily[WardCode],"NICU")),"")</f>
        <v/>
      </c>
      <c r="G36" s="29" t="str">
        <f>IFERROR(IF(SUMIFS(tblDaily[TransfersOut],tblDaily[EntryDate],DATE(2026,1,30),tblDaily[WardCode],"NICU")=0,"",SUMIFS(tblDaily[TransfersOut],tblDaily[EntryDate],DATE(2026,1,30),tblDaily[WardCode],"NICU")),"")</f>
        <v/>
      </c>
      <c r="H36" s="29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29">
        <v>31</v>
      </c>
      <c r="B37" s="29" t="str">
        <f>IFERROR(IF(SUMIFS(tblDaily[Admissions],tblDaily[EntryDate],DATE(2026,1,31),tblDaily[WardCode],"NICU")=0,"",SUMIFS(tblDaily[Admissions],tblDaily[EntryDate],DATE(2026,1,31),tblDaily[WardCode],"NICU")),"")</f>
        <v/>
      </c>
      <c r="C37" s="29" t="str">
        <f>IFERROR(IF(SUMIFS(tblDaily[Discharges],tblDaily[EntryDate],DATE(2026,1,31),tblDaily[WardCode],"NICU")=0,"",SUMIFS(tblDaily[Discharges],tblDaily[EntryDate],DATE(2026,1,31),tblDaily[WardCode],"NICU")),"")</f>
        <v/>
      </c>
      <c r="D37" s="29" t="str">
        <f>IFERROR(IF(SUMIFS(tblDaily[Deaths],tblDaily[EntryDate],DATE(2026,1,31),tblDaily[WardCode],"NICU")=0,"",SUMIFS(tblDaily[Deaths],tblDaily[EntryDate],DATE(2026,1,31),tblDaily[WardCode],"NICU")),"")</f>
        <v/>
      </c>
      <c r="E37" s="29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29" t="str">
        <f>IFERROR(IF(SUMIFS(tblDaily[TransfersIn],tblDaily[EntryDate],DATE(2026,1,31),tblDaily[WardCode],"NICU")=0,"",SUMIFS(tblDaily[TransfersIn],tblDaily[EntryDate],DATE(2026,1,31),tblDaily[WardCode],"NICU")),"")</f>
        <v/>
      </c>
      <c r="G37" s="29" t="str">
        <f>IFERROR(IF(SUMIFS(tblDaily[TransfersOut],tblDaily[EntryDate],DATE(2026,1,31),tblDaily[WardCode],"NICU")=0,"",SUMIFS(tblDaily[TransfersOut],tblDaily[EntryDate],DATE(2026,1,31),tblDaily[WardCode],"NICU")),"")</f>
        <v/>
      </c>
      <c r="H37" s="29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30" t="s">
        <v>115</v>
      </c>
      <c r="B38" s="30">
        <f>SUMIFS(tblDaily[Admissions],tblDaily[Month],1,tblDaily[WardCode],"NICU") - SUMIFS(tblDaily[DeathsUnder24Hrs],tblDaily[Month],1,tblDaily[WardCode],"NICU")</f>
        <v>47</v>
      </c>
      <c r="C38" s="30">
        <f>SUMIFS(tblDaily[Discharges],tblDaily[Month],1,tblDaily[WardCode],"NICU")</f>
        <v>46</v>
      </c>
      <c r="D38" s="30">
        <f>SUMIFS(tblDaily[Deaths],tblDaily[Month],1,tblDaily[WardCode],"NICU")</f>
        <v>8</v>
      </c>
      <c r="E38" s="30">
        <f>SUMIFS(tblDaily[DeathsUnder24Hrs],tblDaily[Month],1,tblDaily[WardCode],"NICU")</f>
        <v>0</v>
      </c>
      <c r="F38" s="30">
        <f>SUMIFS(tblDaily[TransfersIn],tblDaily[Month],1,tblDaily[WardCode],"NICU")</f>
        <v>0</v>
      </c>
      <c r="G38" s="30">
        <f>SUMIFS(tblDaily[TransfersOut],tblDaily[Month],1,tblDaily[WardCode],"NICU")</f>
        <v>0</v>
      </c>
      <c r="H38" s="30">
        <f>SUMIFS(tblDaily[Remaining],tblDaily[Month],1,tblDaily[WardCode],"NICU")</f>
        <v>410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121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IFERROR(SUMIFS(tblDaily[Remaining],tblDaily[EntryDate],DATE(2026,1,31),tblDaily[WardCode],"NICU"),0)</f>
        <v>7</v>
      </c>
    </row>
    <row r="44" spans="1:8" x14ac:dyDescent="0.25">
      <c r="A44" s="24" t="s">
        <v>109</v>
      </c>
      <c r="H44" s="27">
        <f>IFERROR(INDEX(tblWardConfig[BedComplement],MATCH("NICU",tblWardConfig[WardCode],0)),0)</f>
        <v>15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>
        <f>IFERROR(IF(SUMIFS(tblDaily[Admissions],tblDaily[EntryDate],DATE(2026,2,1),tblDaily[WardCode],"NICU")=0,"",SUMIFS(tblDaily[Admissions],tblDaily[EntryDate],DATE(2026,2,1),tblDaily[WardCode],"NICU")),"")</f>
        <v>1</v>
      </c>
      <c r="C46" s="29" t="str">
        <f>IFERROR(IF(SUMIFS(tblDaily[Discharges],tblDaily[EntryDate],DATE(2026,2,1),tblDaily[WardCode],"NICU")=0,"",SUMIFS(tblDaily[Discharges],tblDaily[EntryDate],DATE(2026,2,1),tblDaily[WardCode],"NICU")),"")</f>
        <v/>
      </c>
      <c r="D46" s="29" t="str">
        <f>IFERROR(IF(SUMIFS(tblDaily[Deaths],tblDaily[EntryDate],DATE(2026,2,1),tblDaily[WardCode],"NICU")=0,"",SUMIFS(tblDaily[Deaths],tblDaily[EntryDate],DATE(2026,2,1),tblDaily[WardCode],"NICU")),"")</f>
        <v/>
      </c>
      <c r="E46" s="29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29" t="str">
        <f>IFERROR(IF(SUMIFS(tblDaily[TransfersIn],tblDaily[EntryDate],DATE(2026,2,1),tblDaily[WardCode],"NICU")=0,"",SUMIFS(tblDaily[TransfersIn],tblDaily[EntryDate],DATE(2026,2,1),tblDaily[WardCode],"NICU")),"")</f>
        <v/>
      </c>
      <c r="G46" s="29" t="str">
        <f>IFERROR(IF(SUMIFS(tblDaily[TransfersOut],tblDaily[EntryDate],DATE(2026,2,1),tblDaily[WardCode],"NICU")=0,"",SUMIFS(tblDaily[TransfersOut],tblDaily[EntryDate],DATE(2026,2,1),tblDaily[WardCode],"NICU")),"")</f>
        <v/>
      </c>
      <c r="H46" s="29">
        <f>IFERROR(IF(SUMIFS(tblDaily[Remaining],tblDaily[EntryDate],DATE(2026,2,1),tblDaily[WardCode],"NICU")=0,"",SUMIFS(tblDaily[Remaining],tblDaily[EntryDate],DATE(2026,2,1),tblDaily[WardCode],"NICU")),"")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IFERROR(IF(SUMIFS(tblDaily[Admissions],tblDaily[EntryDate],DATE(2026,2,2),tblDaily[WardCode],"NICU")=0,"",SUMIFS(tblDaily[Admissions],tblDaily[EntryDate],DATE(2026,2,2),tblDaily[WardCode],"NICU")),"")</f>
        <v>1</v>
      </c>
      <c r="C47" s="29" t="str">
        <f>IFERROR(IF(SUMIFS(tblDaily[Discharges],tblDaily[EntryDate],DATE(2026,2,2),tblDaily[WardCode],"NICU")=0,"",SUMIFS(tblDaily[Discharges],tblDaily[EntryDate],DATE(2026,2,2),tblDaily[WardCode],"NICU")),"")</f>
        <v/>
      </c>
      <c r="D47" s="29" t="str">
        <f>IFERROR(IF(SUMIFS(tblDaily[Deaths],tblDaily[EntryDate],DATE(2026,2,2),tblDaily[WardCode],"NICU")=0,"",SUMIFS(tblDaily[Deaths],tblDaily[EntryDate],DATE(2026,2,2),tblDaily[WardCode],"NICU")),"")</f>
        <v/>
      </c>
      <c r="E47" s="29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29" t="str">
        <f>IFERROR(IF(SUMIFS(tblDaily[TransfersIn],tblDaily[EntryDate],DATE(2026,2,2),tblDaily[WardCode],"NICU")=0,"",SUMIFS(tblDaily[TransfersIn],tblDaily[EntryDate],DATE(2026,2,2),tblDaily[WardCode],"NICU")),"")</f>
        <v/>
      </c>
      <c r="G47" s="29" t="str">
        <f>IFERROR(IF(SUMIFS(tblDaily[TransfersOut],tblDaily[EntryDate],DATE(2026,2,2),tblDaily[WardCode],"NICU")=0,"",SUMIFS(tblDaily[TransfersOut],tblDaily[EntryDate],DATE(2026,2,2),tblDaily[WardCode],"NICU")),"")</f>
        <v/>
      </c>
      <c r="H47" s="29">
        <f>IFERROR(IF(SUMIFS(tblDaily[Remaining],tblDaily[EntryDate],DATE(2026,2,2),tblDaily[WardCode],"NICU")=0,"",SUMIFS(tblDaily[Remaining],tblDaily[EntryDate],DATE(2026,2,2),tblDaily[WardCode],"NICU")),"")</f>
        <v>9</v>
      </c>
    </row>
    <row r="48" spans="1:8" x14ac:dyDescent="0.25">
      <c r="A48" s="29">
        <v>3</v>
      </c>
      <c r="B48" s="29">
        <f>IFERROR(IF(SUMIFS(tblDaily[Admissions],tblDaily[EntryDate],DATE(2026,2,3),tblDaily[WardCode],"NICU")=0,"",SUMIFS(tblDaily[Admissions],tblDaily[EntryDate],DATE(2026,2,3),tblDaily[WardCode],"NICU")),"")</f>
        <v>3</v>
      </c>
      <c r="C48" s="29">
        <f>IFERROR(IF(SUMIFS(tblDaily[Discharges],tblDaily[EntryDate],DATE(2026,2,3),tblDaily[WardCode],"NICU")=0,"",SUMIFS(tblDaily[Discharges],tblDaily[EntryDate],DATE(2026,2,3),tblDaily[WardCode],"NICU")),"")</f>
        <v>3</v>
      </c>
      <c r="D48" s="29" t="str">
        <f>IFERROR(IF(SUMIFS(tblDaily[Deaths],tblDaily[EntryDate],DATE(2026,2,3),tblDaily[WardCode],"NICU")=0,"",SUMIFS(tblDaily[Deaths],tblDaily[EntryDate],DATE(2026,2,3),tblDaily[WardCode],"NICU")),"")</f>
        <v/>
      </c>
      <c r="E48" s="29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29" t="str">
        <f>IFERROR(IF(SUMIFS(tblDaily[TransfersIn],tblDaily[EntryDate],DATE(2026,2,3),tblDaily[WardCode],"NICU")=0,"",SUMIFS(tblDaily[TransfersIn],tblDaily[EntryDate],DATE(2026,2,3),tblDaily[WardCode],"NICU")),"")</f>
        <v/>
      </c>
      <c r="G48" s="29" t="str">
        <f>IFERROR(IF(SUMIFS(tblDaily[TransfersOut],tblDaily[EntryDate],DATE(2026,2,3),tblDaily[WardCode],"NICU")=0,"",SUMIFS(tblDaily[TransfersOut],tblDaily[EntryDate],DATE(2026,2,3),tblDaily[WardCode],"NICU")),"")</f>
        <v/>
      </c>
      <c r="H48" s="29">
        <f>IFERROR(IF(SUMIFS(tblDaily[Remaining],tblDaily[EntryDate],DATE(2026,2,3),tblDaily[WardCode],"NICU")=0,"",SUMIFS(tblDaily[Remaining],tblDaily[EntryDate],DATE(2026,2,3),tblDaily[WardCode],"NICU")),"")</f>
        <v>9</v>
      </c>
    </row>
    <row r="49" spans="1:8" x14ac:dyDescent="0.25">
      <c r="A49" s="29">
        <v>4</v>
      </c>
      <c r="B49" s="29">
        <f>IFERROR(IF(SUMIFS(tblDaily[Admissions],tblDaily[EntryDate],DATE(2026,2,4),tblDaily[WardCode],"NICU")=0,"",SUMIFS(tblDaily[Admissions],tblDaily[EntryDate],DATE(2026,2,4),tblDaily[WardCode],"NICU")),"")</f>
        <v>1</v>
      </c>
      <c r="C49" s="29">
        <f>IFERROR(IF(SUMIFS(tblDaily[Discharges],tblDaily[EntryDate],DATE(2026,2,4),tblDaily[WardCode],"NICU")=0,"",SUMIFS(tblDaily[Discharges],tblDaily[EntryDate],DATE(2026,2,4),tblDaily[WardCode],"NICU")),"")</f>
        <v>1</v>
      </c>
      <c r="D49" s="29" t="str">
        <f>IFERROR(IF(SUMIFS(tblDaily[Deaths],tblDaily[EntryDate],DATE(2026,2,4),tblDaily[WardCode],"NICU")=0,"",SUMIFS(tblDaily[Deaths],tblDaily[EntryDate],DATE(2026,2,4),tblDaily[WardCode],"NICU")),"")</f>
        <v/>
      </c>
      <c r="E49" s="29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29" t="str">
        <f>IFERROR(IF(SUMIFS(tblDaily[TransfersIn],tblDaily[EntryDate],DATE(2026,2,4),tblDaily[WardCode],"NICU")=0,"",SUMIFS(tblDaily[TransfersIn],tblDaily[EntryDate],DATE(2026,2,4),tblDaily[WardCode],"NICU")),"")</f>
        <v/>
      </c>
      <c r="G49" s="29" t="str">
        <f>IFERROR(IF(SUMIFS(tblDaily[TransfersOut],tblDaily[EntryDate],DATE(2026,2,4),tblDaily[WardCode],"NICU")=0,"",SUMIFS(tblDaily[TransfersOut],tblDaily[EntryDate],DATE(2026,2,4),tblDaily[WardCode],"NICU")),"")</f>
        <v/>
      </c>
      <c r="H49" s="29">
        <f>IFERROR(IF(SUMIFS(tblDaily[Remaining],tblDaily[EntryDate],DATE(2026,2,4),tblDaily[WardCode],"NICU")=0,"",SUMIFS(tblDaily[Remaining],tblDaily[EntryDate],DATE(2026,2,4),tblDaily[WardCode],"NICU")),"")</f>
        <v>9</v>
      </c>
    </row>
    <row r="50" spans="1:8" x14ac:dyDescent="0.25">
      <c r="A50" s="29">
        <v>5</v>
      </c>
      <c r="B50" s="29" t="str">
        <f>IFERROR(IF(SUMIFS(tblDaily[Admissions],tblDaily[EntryDate],DATE(2026,2,5),tblDaily[WardCode],"NICU")=0,"",SUMIFS(tblDaily[Admissions],tblDaily[EntryDate],DATE(2026,2,5),tblDaily[WardCode],"NICU")),"")</f>
        <v/>
      </c>
      <c r="C50" s="29">
        <f>IFERROR(IF(SUMIFS(tblDaily[Discharges],tblDaily[EntryDate],DATE(2026,2,5),tblDaily[WardCode],"NICU")=0,"",SUMIFS(tblDaily[Discharges],tblDaily[EntryDate],DATE(2026,2,5),tblDaily[WardCode],"NICU")),"")</f>
        <v>2</v>
      </c>
      <c r="D50" s="29" t="str">
        <f>IFERROR(IF(SUMIFS(tblDaily[Deaths],tblDaily[EntryDate],DATE(2026,2,5),tblDaily[WardCode],"NICU")=0,"",SUMIFS(tblDaily[Deaths],tblDaily[EntryDate],DATE(2026,2,5),tblDaily[WardCode],"NICU")),"")</f>
        <v/>
      </c>
      <c r="E50" s="29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29" t="str">
        <f>IFERROR(IF(SUMIFS(tblDaily[TransfersIn],tblDaily[EntryDate],DATE(2026,2,5),tblDaily[WardCode],"NICU")=0,"",SUMIFS(tblDaily[TransfersIn],tblDaily[EntryDate],DATE(2026,2,5),tblDaily[WardCode],"NICU")),"")</f>
        <v/>
      </c>
      <c r="G50" s="29" t="str">
        <f>IFERROR(IF(SUMIFS(tblDaily[TransfersOut],tblDaily[EntryDate],DATE(2026,2,5),tblDaily[WardCode],"NICU")=0,"",SUMIFS(tblDaily[TransfersOut],tblDaily[EntryDate],DATE(2026,2,5),tblDaily[WardCode],"NICU")),"")</f>
        <v/>
      </c>
      <c r="H50" s="29">
        <f>IFERROR(IF(SUMIFS(tblDaily[Remaining],tblDaily[EntryDate],DATE(2026,2,5),tblDaily[WardCode],"NICU")=0,"",SUMIFS(tblDaily[Remaining],tblDaily[EntryDate],DATE(2026,2,5),tblDaily[WardCode],"NICU")),"")</f>
        <v>7</v>
      </c>
    </row>
    <row r="51" spans="1:8" x14ac:dyDescent="0.25">
      <c r="A51" s="29">
        <v>6</v>
      </c>
      <c r="B51" s="29">
        <f>IFERROR(IF(SUMIFS(tblDaily[Admissions],tblDaily[EntryDate],DATE(2026,2,6),tblDaily[WardCode],"NICU")=0,"",SUMIFS(tblDaily[Admissions],tblDaily[EntryDate],DATE(2026,2,6),tblDaily[WardCode],"NICU")),"")</f>
        <v>1</v>
      </c>
      <c r="C51" s="29">
        <f>IFERROR(IF(SUMIFS(tblDaily[Discharges],tblDaily[EntryDate],DATE(2026,2,6),tblDaily[WardCode],"NICU")=0,"",SUMIFS(tblDaily[Discharges],tblDaily[EntryDate],DATE(2026,2,6),tblDaily[WardCode],"NICU")),"")</f>
        <v>3</v>
      </c>
      <c r="D51" s="29" t="str">
        <f>IFERROR(IF(SUMIFS(tblDaily[Deaths],tblDaily[EntryDate],DATE(2026,2,6),tblDaily[WardCode],"NICU")=0,"",SUMIFS(tblDaily[Deaths],tblDaily[EntryDate],DATE(2026,2,6),tblDaily[WardCode],"NICU")),"")</f>
        <v/>
      </c>
      <c r="E51" s="29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29" t="str">
        <f>IFERROR(IF(SUMIFS(tblDaily[TransfersIn],tblDaily[EntryDate],DATE(2026,2,6),tblDaily[WardCode],"NICU")=0,"",SUMIFS(tblDaily[TransfersIn],tblDaily[EntryDate],DATE(2026,2,6),tblDaily[WardCode],"NICU")),"")</f>
        <v/>
      </c>
      <c r="G51" s="29" t="str">
        <f>IFERROR(IF(SUMIFS(tblDaily[TransfersOut],tblDaily[EntryDate],DATE(2026,2,6),tblDaily[WardCode],"NICU")=0,"",SUMIFS(tblDaily[TransfersOut],tblDaily[EntryDate],DATE(2026,2,6),tblDaily[WardCode],"NICU")),"")</f>
        <v/>
      </c>
      <c r="H51" s="29">
        <f>IFERROR(IF(SUMIFS(tblDaily[Remaining],tblDaily[EntryDate],DATE(2026,2,6),tblDaily[WardCode],"NICU")=0,"",SUMIFS(tblDaily[Remaining],tblDaily[EntryDate],DATE(2026,2,6),tblDaily[WardCode],"NICU")),"")</f>
        <v>5</v>
      </c>
    </row>
    <row r="52" spans="1:8" x14ac:dyDescent="0.25">
      <c r="A52" s="29">
        <v>7</v>
      </c>
      <c r="B52" s="29">
        <f>IFERROR(IF(SUMIFS(tblDaily[Admissions],tblDaily[EntryDate],DATE(2026,2,7),tblDaily[WardCode],"NICU")=0,"",SUMIFS(tblDaily[Admissions],tblDaily[EntryDate],DATE(2026,2,7),tblDaily[WardCode],"NICU")),"")</f>
        <v>3</v>
      </c>
      <c r="C52" s="29" t="str">
        <f>IFERROR(IF(SUMIFS(tblDaily[Discharges],tblDaily[EntryDate],DATE(2026,2,7),tblDaily[WardCode],"NICU")=0,"",SUMIFS(tblDaily[Discharges],tblDaily[EntryDate],DATE(2026,2,7),tblDaily[WardCode],"NICU")),"")</f>
        <v/>
      </c>
      <c r="D52" s="29" t="str">
        <f>IFERROR(IF(SUMIFS(tblDaily[Deaths],tblDaily[EntryDate],DATE(2026,2,7),tblDaily[WardCode],"NICU")=0,"",SUMIFS(tblDaily[Deaths],tblDaily[EntryDate],DATE(2026,2,7),tblDaily[WardCode],"NICU")),"")</f>
        <v/>
      </c>
      <c r="E52" s="29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29" t="str">
        <f>IFERROR(IF(SUMIFS(tblDaily[TransfersIn],tblDaily[EntryDate],DATE(2026,2,7),tblDaily[WardCode],"NICU")=0,"",SUMIFS(tblDaily[TransfersIn],tblDaily[EntryDate],DATE(2026,2,7),tblDaily[WardCode],"NICU")),"")</f>
        <v/>
      </c>
      <c r="G52" s="29" t="str">
        <f>IFERROR(IF(SUMIFS(tblDaily[TransfersOut],tblDaily[EntryDate],DATE(2026,2,7),tblDaily[WardCode],"NICU")=0,"",SUMIFS(tblDaily[TransfersOut],tblDaily[EntryDate],DATE(2026,2,7),tblDaily[WardCode],"NICU")),"")</f>
        <v/>
      </c>
      <c r="H52" s="29">
        <f>IFERROR(IF(SUMIFS(tblDaily[Remaining],tblDaily[EntryDate],DATE(2026,2,7),tblDaily[WardCode],"NICU")=0,"",SUMIFS(tblDaily[Remaining],tblDaily[EntryDate],DATE(2026,2,7),tblDaily[WardCode],"NICU")),"")</f>
        <v>8</v>
      </c>
    </row>
    <row r="53" spans="1:8" x14ac:dyDescent="0.25">
      <c r="A53" s="29">
        <v>8</v>
      </c>
      <c r="B53" s="29">
        <f>IFERROR(IF(SUMIFS(tblDaily[Admissions],tblDaily[EntryDate],DATE(2026,2,8),tblDaily[WardCode],"NICU")=0,"",SUMIFS(tblDaily[Admissions],tblDaily[EntryDate],DATE(2026,2,8),tblDaily[WardCode],"NICU")),"")</f>
        <v>1</v>
      </c>
      <c r="C53" s="29" t="str">
        <f>IFERROR(IF(SUMIFS(tblDaily[Discharges],tblDaily[EntryDate],DATE(2026,2,8),tblDaily[WardCode],"NICU")=0,"",SUMIFS(tblDaily[Discharges],tblDaily[EntryDate],DATE(2026,2,8),tblDaily[WardCode],"NICU")),"")</f>
        <v/>
      </c>
      <c r="D53" s="29" t="str">
        <f>IFERROR(IF(SUMIFS(tblDaily[Deaths],tblDaily[EntryDate],DATE(2026,2,8),tblDaily[WardCode],"NICU")=0,"",SUMIFS(tblDaily[Deaths],tblDaily[EntryDate],DATE(2026,2,8),tblDaily[WardCode],"NICU")),"")</f>
        <v/>
      </c>
      <c r="E53" s="29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29" t="str">
        <f>IFERROR(IF(SUMIFS(tblDaily[TransfersIn],tblDaily[EntryDate],DATE(2026,2,8),tblDaily[WardCode],"NICU")=0,"",SUMIFS(tblDaily[TransfersIn],tblDaily[EntryDate],DATE(2026,2,8),tblDaily[WardCode],"NICU")),"")</f>
        <v/>
      </c>
      <c r="G53" s="29" t="str">
        <f>IFERROR(IF(SUMIFS(tblDaily[TransfersOut],tblDaily[EntryDate],DATE(2026,2,8),tblDaily[WardCode],"NICU")=0,"",SUMIFS(tblDaily[TransfersOut],tblDaily[EntryDate],DATE(2026,2,8),tblDaily[WardCode],"NICU")),"")</f>
        <v/>
      </c>
      <c r="H53" s="29">
        <f>IFERROR(IF(SUMIFS(tblDaily[Remaining],tblDaily[EntryDate],DATE(2026,2,8),tblDaily[WardCode],"NICU")=0,"",SUMIFS(tblDaily[Remaining],tblDaily[EntryDate],DATE(2026,2,8),tblDaily[WardCode],"NICU")),"")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IFERROR(IF(SUMIFS(tblDaily[Admissions],tblDaily[EntryDate],DATE(2026,2,9),tblDaily[WardCode],"NICU")=0,"",SUMIFS(tblDaily[Admissions],tblDaily[EntryDate],DATE(2026,2,9),tblDaily[WardCode],"NICU")),"")</f>
        <v>3</v>
      </c>
      <c r="C54" s="29" t="str">
        <f>IFERROR(IF(SUMIFS(tblDaily[Discharges],tblDaily[EntryDate],DATE(2026,2,9),tblDaily[WardCode],"NICU")=0,"",SUMIFS(tblDaily[Discharges],tblDaily[EntryDate],DATE(2026,2,9),tblDaily[WardCode],"NICU")),"")</f>
        <v/>
      </c>
      <c r="D54" s="29" t="str">
        <f>IFERROR(IF(SUMIFS(tblDaily[Deaths],tblDaily[EntryDate],DATE(2026,2,9),tblDaily[WardCode],"NICU")=0,"",SUMIFS(tblDaily[Deaths],tblDaily[EntryDate],DATE(2026,2,9),tblDaily[WardCode],"NICU")),"")</f>
        <v/>
      </c>
      <c r="E54" s="29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29" t="str">
        <f>IFERROR(IF(SUMIFS(tblDaily[TransfersIn],tblDaily[EntryDate],DATE(2026,2,9),tblDaily[WardCode],"NICU")=0,"",SUMIFS(tblDaily[TransfersIn],tblDaily[EntryDate],DATE(2026,2,9),tblDaily[WardCode],"NICU")),"")</f>
        <v/>
      </c>
      <c r="G54" s="29" t="str">
        <f>IFERROR(IF(SUMIFS(tblDaily[TransfersOut],tblDaily[EntryDate],DATE(2026,2,9),tblDaily[WardCode],"NICU")=0,"",SUMIFS(tblDaily[TransfersOut],tblDaily[EntryDate],DATE(2026,2,9),tblDaily[WardCode],"NICU")),"")</f>
        <v/>
      </c>
      <c r="H54" s="29">
        <f>IFERROR(IF(SUMIFS(tblDaily[Remaining],tblDaily[EntryDate],DATE(2026,2,9),tblDaily[WardCode],"NICU")=0,"",SUMIFS(tblDaily[Remaining],tblDaily[EntryDate],DATE(2026,2,9),tblDaily[WardCode],"NICU")),"")</f>
        <v>12</v>
      </c>
    </row>
    <row r="55" spans="1:8" x14ac:dyDescent="0.25">
      <c r="A55" s="29">
        <v>10</v>
      </c>
      <c r="B55" s="29">
        <f>IFERROR(IF(SUMIFS(tblDaily[Admissions],tblDaily[EntryDate],DATE(2026,2,10),tblDaily[WardCode],"NICU")=0,"",SUMIFS(tblDaily[Admissions],tblDaily[EntryDate],DATE(2026,2,10),tblDaily[WardCode],"NICU")),"")</f>
        <v>4</v>
      </c>
      <c r="C55" s="29">
        <f>IFERROR(IF(SUMIFS(tblDaily[Discharges],tblDaily[EntryDate],DATE(2026,2,10),tblDaily[WardCode],"NICU")=0,"",SUMIFS(tblDaily[Discharges],tblDaily[EntryDate],DATE(2026,2,10),tblDaily[WardCode],"NICU")),"")</f>
        <v>2</v>
      </c>
      <c r="D55" s="29" t="str">
        <f>IFERROR(IF(SUMIFS(tblDaily[Deaths],tblDaily[EntryDate],DATE(2026,2,10),tblDaily[WardCode],"NICU")=0,"",SUMIFS(tblDaily[Deaths],tblDaily[EntryDate],DATE(2026,2,10),tblDaily[WardCode],"NICU")),"")</f>
        <v/>
      </c>
      <c r="E55" s="29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29" t="str">
        <f>IFERROR(IF(SUMIFS(tblDaily[TransfersIn],tblDaily[EntryDate],DATE(2026,2,10),tblDaily[WardCode],"NICU")=0,"",SUMIFS(tblDaily[TransfersIn],tblDaily[EntryDate],DATE(2026,2,10),tblDaily[WardCode],"NICU")),"")</f>
        <v/>
      </c>
      <c r="G55" s="29" t="str">
        <f>IFERROR(IF(SUMIFS(tblDaily[TransfersOut],tblDaily[EntryDate],DATE(2026,2,10),tblDaily[WardCode],"NICU")=0,"",SUMIFS(tblDaily[TransfersOut],tblDaily[EntryDate],DATE(2026,2,10),tblDaily[WardCode],"NICU")),"")</f>
        <v/>
      </c>
      <c r="H55" s="29">
        <f>IFERROR(IF(SUMIFS(tblDaily[Remaining],tblDaily[EntryDate],DATE(2026,2,10),tblDaily[WardCode],"NICU")=0,"",SUMIFS(tblDaily[Remaining],tblDaily[EntryDate],DATE(2026,2,10),tblDaily[WardCode],"NICU")),"")</f>
        <v>14</v>
      </c>
    </row>
    <row r="56" spans="1:8" x14ac:dyDescent="0.25">
      <c r="A56" s="29">
        <v>11</v>
      </c>
      <c r="B56" s="29" t="str">
        <f>IFERROR(IF(SUMIFS(tblDaily[Admissions],tblDaily[EntryDate],DATE(2026,2,11),tblDaily[WardCode],"NICU")=0,"",SUMIFS(tblDaily[Admissions],tblDaily[EntryDate],DATE(2026,2,11),tblDaily[WardCode],"NICU")),"")</f>
        <v/>
      </c>
      <c r="C56" s="29" t="str">
        <f>IFERROR(IF(SUMIFS(tblDaily[Discharges],tblDaily[EntryDate],DATE(2026,2,11),tblDaily[WardCode],"NICU")=0,"",SUMIFS(tblDaily[Discharges],tblDaily[EntryDate],DATE(2026,2,11),tblDaily[WardCode],"NICU")),"")</f>
        <v/>
      </c>
      <c r="D56" s="29">
        <f>IFERROR(IF(SUMIFS(tblDaily[Deaths],tblDaily[EntryDate],DATE(2026,2,11),tblDaily[WardCode],"NICU")=0,"",SUMIFS(tblDaily[Deaths],tblDaily[EntryDate],DATE(2026,2,11),tblDaily[WardCode],"NICU")),"")</f>
        <v>1</v>
      </c>
      <c r="E56" s="29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29" t="str">
        <f>IFERROR(IF(SUMIFS(tblDaily[TransfersIn],tblDaily[EntryDate],DATE(2026,2,11),tblDaily[WardCode],"NICU")=0,"",SUMIFS(tblDaily[TransfersIn],tblDaily[EntryDate],DATE(2026,2,11),tblDaily[WardCode],"NICU")),"")</f>
        <v/>
      </c>
      <c r="G56" s="29" t="str">
        <f>IFERROR(IF(SUMIFS(tblDaily[TransfersOut],tblDaily[EntryDate],DATE(2026,2,11),tblDaily[WardCode],"NICU")=0,"",SUMIFS(tblDaily[TransfersOut],tblDaily[EntryDate],DATE(2026,2,11),tblDaily[WardCode],"NICU")),"")</f>
        <v/>
      </c>
      <c r="H56" s="29">
        <f>IFERROR(IF(SUMIFS(tblDaily[Remaining],tblDaily[EntryDate],DATE(2026,2,11),tblDaily[WardCode],"NICU")=0,"",SUMIFS(tblDaily[Remaining],tblDaily[EntryDate],DATE(2026,2,11),tblDaily[WardCode],"NICU")),"")</f>
        <v>13</v>
      </c>
    </row>
    <row r="57" spans="1:8" x14ac:dyDescent="0.25">
      <c r="A57" s="29">
        <v>12</v>
      </c>
      <c r="B57" s="29">
        <f>IFERROR(IF(SUMIFS(tblDaily[Admissions],tblDaily[EntryDate],DATE(2026,2,12),tblDaily[WardCode],"NICU")=0,"",SUMIFS(tblDaily[Admissions],tblDaily[EntryDate],DATE(2026,2,12),tblDaily[WardCode],"NICU")),"")</f>
        <v>4</v>
      </c>
      <c r="C57" s="29">
        <f>IFERROR(IF(SUMIFS(tblDaily[Discharges],tblDaily[EntryDate],DATE(2026,2,12),tblDaily[WardCode],"NICU")=0,"",SUMIFS(tblDaily[Discharges],tblDaily[EntryDate],DATE(2026,2,12),tblDaily[WardCode],"NICU")),"")</f>
        <v>2</v>
      </c>
      <c r="D57" s="29" t="str">
        <f>IFERROR(IF(SUMIFS(tblDaily[Deaths],tblDaily[EntryDate],DATE(2026,2,12),tblDaily[WardCode],"NICU")=0,"",SUMIFS(tblDaily[Deaths],tblDaily[EntryDate],DATE(2026,2,12),tblDaily[WardCode],"NICU")),"")</f>
        <v/>
      </c>
      <c r="E57" s="29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29" t="str">
        <f>IFERROR(IF(SUMIFS(tblDaily[TransfersIn],tblDaily[EntryDate],DATE(2026,2,12),tblDaily[WardCode],"NICU")=0,"",SUMIFS(tblDaily[TransfersIn],tblDaily[EntryDate],DATE(2026,2,12),tblDaily[WardCode],"NICU")),"")</f>
        <v/>
      </c>
      <c r="G57" s="29" t="str">
        <f>IFERROR(IF(SUMIFS(tblDaily[TransfersOut],tblDaily[EntryDate],DATE(2026,2,12),tblDaily[WardCode],"NICU")=0,"",SUMIFS(tblDaily[TransfersOut],tblDaily[EntryDate],DATE(2026,2,12),tblDaily[WardCode],"NICU")),"")</f>
        <v/>
      </c>
      <c r="H57" s="29">
        <f>IFERROR(IF(SUMIFS(tblDaily[Remaining],tblDaily[EntryDate],DATE(2026,2,12),tblDaily[WardCode],"NICU")=0,"",SUMIFS(tblDaily[Remaining],tblDaily[EntryDate],DATE(2026,2,12),tblDaily[WardCode],"NICU")),"")</f>
        <v>15</v>
      </c>
    </row>
    <row r="58" spans="1:8" x14ac:dyDescent="0.25">
      <c r="A58" s="29">
        <v>13</v>
      </c>
      <c r="B58" s="29">
        <f>IFERROR(IF(SUMIFS(tblDaily[Admissions],tblDaily[EntryDate],DATE(2026,2,13),tblDaily[WardCode],"NICU")=0,"",SUMIFS(tblDaily[Admissions],tblDaily[EntryDate],DATE(2026,2,13),tblDaily[WardCode],"NICU")),"")</f>
        <v>1</v>
      </c>
      <c r="C58" s="29">
        <f>IFERROR(IF(SUMIFS(tblDaily[Discharges],tblDaily[EntryDate],DATE(2026,2,13),tblDaily[WardCode],"NICU")=0,"",SUMIFS(tblDaily[Discharges],tblDaily[EntryDate],DATE(2026,2,13),tblDaily[WardCode],"NICU")),"")</f>
        <v>1</v>
      </c>
      <c r="D58" s="29">
        <f>IFERROR(IF(SUMIFS(tblDaily[Deaths],tblDaily[EntryDate],DATE(2026,2,13),tblDaily[WardCode],"NICU")=0,"",SUMIFS(tblDaily[Deaths],tblDaily[EntryDate],DATE(2026,2,13),tblDaily[WardCode],"NICU")),"")</f>
        <v>1</v>
      </c>
      <c r="E58" s="29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29" t="str">
        <f>IFERROR(IF(SUMIFS(tblDaily[TransfersIn],tblDaily[EntryDate],DATE(2026,2,13),tblDaily[WardCode],"NICU")=0,"",SUMIFS(tblDaily[TransfersIn],tblDaily[EntryDate],DATE(2026,2,13),tblDaily[WardCode],"NICU")),"")</f>
        <v/>
      </c>
      <c r="G58" s="29" t="str">
        <f>IFERROR(IF(SUMIFS(tblDaily[TransfersOut],tblDaily[EntryDate],DATE(2026,2,13),tblDaily[WardCode],"NICU")=0,"",SUMIFS(tblDaily[TransfersOut],tblDaily[EntryDate],DATE(2026,2,13),tblDaily[WardCode],"NICU")),"")</f>
        <v/>
      </c>
      <c r="H58" s="29">
        <f>IFERROR(IF(SUMIFS(tblDaily[Remaining],tblDaily[EntryDate],DATE(2026,2,13),tblDaily[WardCode],"NICU")=0,"",SUMIFS(tblDaily[Remaining],tblDaily[EntryDate],DATE(2026,2,13),tblDaily[WardCode],"NICU")),"")</f>
        <v>14</v>
      </c>
    </row>
    <row r="59" spans="1:8" x14ac:dyDescent="0.25">
      <c r="A59" s="29">
        <v>14</v>
      </c>
      <c r="B59" s="29">
        <f>IFERROR(IF(SUMIFS(tblDaily[Admissions],tblDaily[EntryDate],DATE(2026,2,14),tblDaily[WardCode],"NICU")=0,"",SUMIFS(tblDaily[Admissions],tblDaily[EntryDate],DATE(2026,2,14),tblDaily[WardCode],"NICU")),"")</f>
        <v>1</v>
      </c>
      <c r="C59" s="29">
        <f>IFERROR(IF(SUMIFS(tblDaily[Discharges],tblDaily[EntryDate],DATE(2026,2,14),tblDaily[WardCode],"NICU")=0,"",SUMIFS(tblDaily[Discharges],tblDaily[EntryDate],DATE(2026,2,14),tblDaily[WardCode],"NICU")),"")</f>
        <v>2</v>
      </c>
      <c r="D59" s="29" t="str">
        <f>IFERROR(IF(SUMIFS(tblDaily[Deaths],tblDaily[EntryDate],DATE(2026,2,14),tblDaily[WardCode],"NICU")=0,"",SUMIFS(tblDaily[Deaths],tblDaily[EntryDate],DATE(2026,2,14),tblDaily[WardCode],"NICU")),"")</f>
        <v/>
      </c>
      <c r="E59" s="29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29" t="str">
        <f>IFERROR(IF(SUMIFS(tblDaily[TransfersIn],tblDaily[EntryDate],DATE(2026,2,14),tblDaily[WardCode],"NICU")=0,"",SUMIFS(tblDaily[TransfersIn],tblDaily[EntryDate],DATE(2026,2,14),tblDaily[WardCode],"NICU")),"")</f>
        <v/>
      </c>
      <c r="G59" s="29" t="str">
        <f>IFERROR(IF(SUMIFS(tblDaily[TransfersOut],tblDaily[EntryDate],DATE(2026,2,14),tblDaily[WardCode],"NICU")=0,"",SUMIFS(tblDaily[TransfersOut],tblDaily[EntryDate],DATE(2026,2,14),tblDaily[WardCode],"NICU")),"")</f>
        <v/>
      </c>
      <c r="H59" s="29">
        <f>IFERROR(IF(SUMIFS(tblDaily[Remaining],tblDaily[EntryDate],DATE(2026,2,14),tblDaily[WardCode],"NICU")=0,"",SUMIFS(tblDaily[Remaining],tblDaily[EntryDate],DATE(2026,2,14),tblDaily[WardCode],"NICU")),"")</f>
        <v>13</v>
      </c>
    </row>
    <row r="60" spans="1:8" x14ac:dyDescent="0.25">
      <c r="A60" s="29">
        <v>15</v>
      </c>
      <c r="B60" s="29">
        <f>IFERROR(IF(SUMIFS(tblDaily[Admissions],tblDaily[EntryDate],DATE(2026,2,15),tblDaily[WardCode],"NICU")=0,"",SUMIFS(tblDaily[Admissions],tblDaily[EntryDate],DATE(2026,2,15),tblDaily[WardCode],"NICU")),"")</f>
        <v>2</v>
      </c>
      <c r="C60" s="29" t="str">
        <f>IFERROR(IF(SUMIFS(tblDaily[Discharges],tblDaily[EntryDate],DATE(2026,2,15),tblDaily[WardCode],"NICU")=0,"",SUMIFS(tblDaily[Discharges],tblDaily[EntryDate],DATE(2026,2,15),tblDaily[WardCode],"NICU")),"")</f>
        <v/>
      </c>
      <c r="D60" s="29" t="str">
        <f>IFERROR(IF(SUMIFS(tblDaily[Deaths],tblDaily[EntryDate],DATE(2026,2,15),tblDaily[WardCode],"NICU")=0,"",SUMIFS(tblDaily[Deaths],tblDaily[EntryDate],DATE(2026,2,15),tblDaily[WardCode],"NICU")),"")</f>
        <v/>
      </c>
      <c r="E60" s="29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29" t="str">
        <f>IFERROR(IF(SUMIFS(tblDaily[TransfersIn],tblDaily[EntryDate],DATE(2026,2,15),tblDaily[WardCode],"NICU")=0,"",SUMIFS(tblDaily[TransfersIn],tblDaily[EntryDate],DATE(2026,2,15),tblDaily[WardCode],"NICU")),"")</f>
        <v/>
      </c>
      <c r="G60" s="29" t="str">
        <f>IFERROR(IF(SUMIFS(tblDaily[TransfersOut],tblDaily[EntryDate],DATE(2026,2,15),tblDaily[WardCode],"NICU")=0,"",SUMIFS(tblDaily[TransfersOut],tblDaily[EntryDate],DATE(2026,2,15),tblDaily[WardCode],"NICU")),"")</f>
        <v/>
      </c>
      <c r="H60" s="29">
        <f>IFERROR(IF(SUMIFS(tblDaily[Remaining],tblDaily[EntryDate],DATE(2026,2,15),tblDaily[WardCode],"NICU")=0,"",SUMIFS(tblDaily[Remaining],tblDaily[EntryDate],DATE(2026,2,15),tblDaily[WardCode],"NICU")),"")</f>
        <v>15</v>
      </c>
    </row>
    <row r="61" spans="1:8" x14ac:dyDescent="0.25">
      <c r="A61" s="29">
        <v>16</v>
      </c>
      <c r="B61" s="29">
        <f>IFERROR(IF(SUMIFS(tblDaily[Admissions],tblDaily[EntryDate],DATE(2026,2,16),tblDaily[WardCode],"NICU")=0,"",SUMIFS(tblDaily[Admissions],tblDaily[EntryDate],DATE(2026,2,16),tblDaily[WardCode],"NICU")),"")</f>
        <v>4</v>
      </c>
      <c r="C61" s="29">
        <f>IFERROR(IF(SUMIFS(tblDaily[Discharges],tblDaily[EntryDate],DATE(2026,2,16),tblDaily[WardCode],"NICU")=0,"",SUMIFS(tblDaily[Discharges],tblDaily[EntryDate],DATE(2026,2,16),tblDaily[WardCode],"NICU")),"")</f>
        <v>1</v>
      </c>
      <c r="D61" s="29" t="str">
        <f>IFERROR(IF(SUMIFS(tblDaily[Deaths],tblDaily[EntryDate],DATE(2026,2,16),tblDaily[WardCode],"NICU")=0,"",SUMIFS(tblDaily[Deaths],tblDaily[EntryDate],DATE(2026,2,16),tblDaily[WardCode],"NICU")),"")</f>
        <v/>
      </c>
      <c r="E61" s="29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29" t="str">
        <f>IFERROR(IF(SUMIFS(tblDaily[TransfersIn],tblDaily[EntryDate],DATE(2026,2,16),tblDaily[WardCode],"NICU")=0,"",SUMIFS(tblDaily[TransfersIn],tblDaily[EntryDate],DATE(2026,2,16),tblDaily[WardCode],"NICU")),"")</f>
        <v/>
      </c>
      <c r="G61" s="29" t="str">
        <f>IFERROR(IF(SUMIFS(tblDaily[TransfersOut],tblDaily[EntryDate],DATE(2026,2,16),tblDaily[WardCode],"NICU")=0,"",SUMIFS(tblDaily[TransfersOut],tblDaily[EntryDate],DATE(2026,2,16),tblDaily[WardCode],"NICU")),"")</f>
        <v/>
      </c>
      <c r="H61" s="29">
        <f>IFERROR(IF(SUMIFS(tblDaily[Remaining],tblDaily[EntryDate],DATE(2026,2,16),tblDaily[WardCode],"NICU")=0,"",SUMIFS(tblDaily[Remaining],tblDaily[EntryDate],DATE(2026,2,16),tblDaily[WardCode],"NICU")),"")</f>
        <v>18</v>
      </c>
    </row>
    <row r="62" spans="1:8" x14ac:dyDescent="0.25">
      <c r="A62" s="29">
        <v>17</v>
      </c>
      <c r="B62" s="29">
        <f>IFERROR(IF(SUMIFS(tblDaily[Admissions],tblDaily[EntryDate],DATE(2026,2,17),tblDaily[WardCode],"NICU")=0,"",SUMIFS(tblDaily[Admissions],tblDaily[EntryDate],DATE(2026,2,17),tblDaily[WardCode],"NICU")),"")</f>
        <v>1</v>
      </c>
      <c r="C62" s="29">
        <f>IFERROR(IF(SUMIFS(tblDaily[Discharges],tblDaily[EntryDate],DATE(2026,2,17),tblDaily[WardCode],"NICU")=0,"",SUMIFS(tblDaily[Discharges],tblDaily[EntryDate],DATE(2026,2,17),tblDaily[WardCode],"NICU")),"")</f>
        <v>2</v>
      </c>
      <c r="D62" s="29" t="str">
        <f>IFERROR(IF(SUMIFS(tblDaily[Deaths],tblDaily[EntryDate],DATE(2026,2,17),tblDaily[WardCode],"NICU")=0,"",SUMIFS(tblDaily[Deaths],tblDaily[EntryDate],DATE(2026,2,17),tblDaily[WardCode],"NICU")),"")</f>
        <v/>
      </c>
      <c r="E62" s="29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29" t="str">
        <f>IFERROR(IF(SUMIFS(tblDaily[TransfersIn],tblDaily[EntryDate],DATE(2026,2,17),tblDaily[WardCode],"NICU")=0,"",SUMIFS(tblDaily[TransfersIn],tblDaily[EntryDate],DATE(2026,2,17),tblDaily[WardCode],"NICU")),"")</f>
        <v/>
      </c>
      <c r="G62" s="29" t="str">
        <f>IFERROR(IF(SUMIFS(tblDaily[TransfersOut],tblDaily[EntryDate],DATE(2026,2,17),tblDaily[WardCode],"NICU")=0,"",SUMIFS(tblDaily[TransfersOut],tblDaily[EntryDate],DATE(2026,2,17),tblDaily[WardCode],"NICU")),"")</f>
        <v/>
      </c>
      <c r="H62" s="29">
        <f>IFERROR(IF(SUMIFS(tblDaily[Remaining],tblDaily[EntryDate],DATE(2026,2,17),tblDaily[WardCode],"NICU")=0,"",SUMIFS(tblDaily[Remaining],tblDaily[EntryDate],DATE(2026,2,17),tblDaily[WardCode],"NICU")),"")</f>
        <v>17</v>
      </c>
    </row>
    <row r="63" spans="1:8" x14ac:dyDescent="0.25">
      <c r="A63" s="29">
        <v>18</v>
      </c>
      <c r="B63" s="29" t="str">
        <f>IFERROR(IF(SUMIFS(tblDaily[Admissions],tblDaily[EntryDate],DATE(2026,2,18),tblDaily[WardCode],"NICU")=0,"",SUMIFS(tblDaily[Admissions],tblDaily[EntryDate],DATE(2026,2,18),tblDaily[WardCode],"NICU")),"")</f>
        <v/>
      </c>
      <c r="C63" s="29">
        <f>IFERROR(IF(SUMIFS(tblDaily[Discharges],tblDaily[EntryDate],DATE(2026,2,18),tblDaily[WardCode],"NICU")=0,"",SUMIFS(tblDaily[Discharges],tblDaily[EntryDate],DATE(2026,2,18),tblDaily[WardCode],"NICU")),"")</f>
        <v>2</v>
      </c>
      <c r="D63" s="29" t="str">
        <f>IFERROR(IF(SUMIFS(tblDaily[Deaths],tblDaily[EntryDate],DATE(2026,2,18),tblDaily[WardCode],"NICU")=0,"",SUMIFS(tblDaily[Deaths],tblDaily[EntryDate],DATE(2026,2,18),tblDaily[WardCode],"NICU")),"")</f>
        <v/>
      </c>
      <c r="E63" s="29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29" t="str">
        <f>IFERROR(IF(SUMIFS(tblDaily[TransfersIn],tblDaily[EntryDate],DATE(2026,2,18),tblDaily[WardCode],"NICU")=0,"",SUMIFS(tblDaily[TransfersIn],tblDaily[EntryDate],DATE(2026,2,18),tblDaily[WardCode],"NICU")),"")</f>
        <v/>
      </c>
      <c r="G63" s="29" t="str">
        <f>IFERROR(IF(SUMIFS(tblDaily[TransfersOut],tblDaily[EntryDate],DATE(2026,2,18),tblDaily[WardCode],"NICU")=0,"",SUMIFS(tblDaily[TransfersOut],tblDaily[EntryDate],DATE(2026,2,18),tblDaily[WardCode],"NICU")),"")</f>
        <v/>
      </c>
      <c r="H63" s="29">
        <f>IFERROR(IF(SUMIFS(tblDaily[Remaining],tblDaily[EntryDate],DATE(2026,2,18),tblDaily[WardCode],"NICU")=0,"",SUMIFS(tblDaily[Remaining],tblDaily[EntryDate],DATE(2026,2,18),tblDaily[WardCode],"NICU")),"")</f>
        <v>15</v>
      </c>
    </row>
    <row r="64" spans="1:8" x14ac:dyDescent="0.25">
      <c r="A64" s="29">
        <v>19</v>
      </c>
      <c r="B64" s="29">
        <f>IFERROR(IF(SUMIFS(tblDaily[Admissions],tblDaily[EntryDate],DATE(2026,2,19),tblDaily[WardCode],"NICU")=0,"",SUMIFS(tblDaily[Admissions],tblDaily[EntryDate],DATE(2026,2,19),tblDaily[WardCode],"NICU")),"")</f>
        <v>3</v>
      </c>
      <c r="C64" s="29">
        <f>IFERROR(IF(SUMIFS(tblDaily[Discharges],tblDaily[EntryDate],DATE(2026,2,19),tblDaily[WardCode],"NICU")=0,"",SUMIFS(tblDaily[Discharges],tblDaily[EntryDate],DATE(2026,2,19),tblDaily[WardCode],"NICU")),"")</f>
        <v>4</v>
      </c>
      <c r="D64" s="29" t="str">
        <f>IFERROR(IF(SUMIFS(tblDaily[Deaths],tblDaily[EntryDate],DATE(2026,2,19),tblDaily[WardCode],"NICU")=0,"",SUMIFS(tblDaily[Deaths],tblDaily[EntryDate],DATE(2026,2,19),tblDaily[WardCode],"NICU")),"")</f>
        <v/>
      </c>
      <c r="E64" s="29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29" t="str">
        <f>IFERROR(IF(SUMIFS(tblDaily[TransfersIn],tblDaily[EntryDate],DATE(2026,2,19),tblDaily[WardCode],"NICU")=0,"",SUMIFS(tblDaily[TransfersIn],tblDaily[EntryDate],DATE(2026,2,19),tblDaily[WardCode],"NICU")),"")</f>
        <v/>
      </c>
      <c r="G64" s="29" t="str">
        <f>IFERROR(IF(SUMIFS(tblDaily[TransfersOut],tblDaily[EntryDate],DATE(2026,2,19),tblDaily[WardCode],"NICU")=0,"",SUMIFS(tblDaily[TransfersOut],tblDaily[EntryDate],DATE(2026,2,19),tblDaily[WardCode],"NICU")),"")</f>
        <v/>
      </c>
      <c r="H64" s="29">
        <f>IFERROR(IF(SUMIFS(tblDaily[Remaining],tblDaily[EntryDate],DATE(2026,2,19),tblDaily[WardCode],"NICU")=0,"",SUMIFS(tblDaily[Remaining],tblDaily[EntryDate],DATE(2026,2,19),tblDaily[WardCode],"NICU")),"")</f>
        <v>14</v>
      </c>
    </row>
    <row r="65" spans="1:8" x14ac:dyDescent="0.25">
      <c r="A65" s="29">
        <v>20</v>
      </c>
      <c r="B65" s="29">
        <f>IFERROR(IF(SUMIFS(tblDaily[Admissions],tblDaily[EntryDate],DATE(2026,2,20),tblDaily[WardCode],"NICU")=0,"",SUMIFS(tblDaily[Admissions],tblDaily[EntryDate],DATE(2026,2,20),tblDaily[WardCode],"NICU")),"")</f>
        <v>3</v>
      </c>
      <c r="C65" s="29">
        <f>IFERROR(IF(SUMIFS(tblDaily[Discharges],tblDaily[EntryDate],DATE(2026,2,20),tblDaily[WardCode],"NICU")=0,"",SUMIFS(tblDaily[Discharges],tblDaily[EntryDate],DATE(2026,2,20),tblDaily[WardCode],"NICU")),"")</f>
        <v>2</v>
      </c>
      <c r="D65" s="29" t="str">
        <f>IFERROR(IF(SUMIFS(tblDaily[Deaths],tblDaily[EntryDate],DATE(2026,2,20),tblDaily[WardCode],"NICU")=0,"",SUMIFS(tblDaily[Deaths],tblDaily[EntryDate],DATE(2026,2,20),tblDaily[WardCode],"NICU")),"")</f>
        <v/>
      </c>
      <c r="E65" s="29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29" t="str">
        <f>IFERROR(IF(SUMIFS(tblDaily[TransfersIn],tblDaily[EntryDate],DATE(2026,2,20),tblDaily[WardCode],"NICU")=0,"",SUMIFS(tblDaily[TransfersIn],tblDaily[EntryDate],DATE(2026,2,20),tblDaily[WardCode],"NICU")),"")</f>
        <v/>
      </c>
      <c r="G65" s="29" t="str">
        <f>IFERROR(IF(SUMIFS(tblDaily[TransfersOut],tblDaily[EntryDate],DATE(2026,2,20),tblDaily[WardCode],"NICU")=0,"",SUMIFS(tblDaily[TransfersOut],tblDaily[EntryDate],DATE(2026,2,20),tblDaily[WardCode],"NICU")),"")</f>
        <v/>
      </c>
      <c r="H65" s="29">
        <f>IFERROR(IF(SUMIFS(tblDaily[Remaining],tblDaily[EntryDate],DATE(2026,2,20),tblDaily[WardCode],"NICU")=0,"",SUMIFS(tblDaily[Remaining],tblDaily[EntryDate],DATE(2026,2,20),tblDaily[WardCode],"NICU")),"")</f>
        <v>15</v>
      </c>
    </row>
    <row r="66" spans="1:8" x14ac:dyDescent="0.25">
      <c r="A66" s="29">
        <v>21</v>
      </c>
      <c r="B66" s="29">
        <f>IFERROR(IF(SUMIFS(tblDaily[Admissions],tblDaily[EntryDate],DATE(2026,2,21),tblDaily[WardCode],"NICU")=0,"",SUMIFS(tblDaily[Admissions],tblDaily[EntryDate],DATE(2026,2,21),tblDaily[WardCode],"NICU")),"")</f>
        <v>2</v>
      </c>
      <c r="C66" s="29" t="str">
        <f>IFERROR(IF(SUMIFS(tblDaily[Discharges],tblDaily[EntryDate],DATE(2026,2,21),tblDaily[WardCode],"NICU")=0,"",SUMIFS(tblDaily[Discharges],tblDaily[EntryDate],DATE(2026,2,21),tblDaily[WardCode],"NICU")),"")</f>
        <v/>
      </c>
      <c r="D66" s="29">
        <f>IFERROR(IF(SUMIFS(tblDaily[Deaths],tblDaily[EntryDate],DATE(2026,2,21),tblDaily[WardCode],"NICU")=0,"",SUMIFS(tblDaily[Deaths],tblDaily[EntryDate],DATE(2026,2,21),tblDaily[WardCode],"NICU")),"")</f>
        <v>1</v>
      </c>
      <c r="E66" s="29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29" t="str">
        <f>IFERROR(IF(SUMIFS(tblDaily[TransfersIn],tblDaily[EntryDate],DATE(2026,2,21),tblDaily[WardCode],"NICU")=0,"",SUMIFS(tblDaily[TransfersIn],tblDaily[EntryDate],DATE(2026,2,21),tblDaily[WardCode],"NICU")),"")</f>
        <v/>
      </c>
      <c r="G66" s="29" t="str">
        <f>IFERROR(IF(SUMIFS(tblDaily[TransfersOut],tblDaily[EntryDate],DATE(2026,2,21),tblDaily[WardCode],"NICU")=0,"",SUMIFS(tblDaily[TransfersOut],tblDaily[EntryDate],DATE(2026,2,21),tblDaily[WardCode],"NICU")),"")</f>
        <v/>
      </c>
      <c r="H66" s="29">
        <f>IFERROR(IF(SUMIFS(tblDaily[Remaining],tblDaily[EntryDate],DATE(2026,2,21),tblDaily[WardCode],"NICU")=0,"",SUMIFS(tblDaily[Remaining],tblDaily[EntryDate],DATE(2026,2,21),tblDaily[WardCode],"NICU")),"")</f>
        <v>16</v>
      </c>
    </row>
    <row r="67" spans="1:8" x14ac:dyDescent="0.25">
      <c r="A67" s="29">
        <v>22</v>
      </c>
      <c r="B67" s="29" t="str">
        <f>IFERROR(IF(SUMIFS(tblDaily[Admissions],tblDaily[EntryDate],DATE(2026,2,22),tblDaily[WardCode],"NICU")=0,"",SUMIFS(tblDaily[Admissions],tblDaily[EntryDate],DATE(2026,2,22),tblDaily[WardCode],"NICU")),"")</f>
        <v/>
      </c>
      <c r="C67" s="29">
        <f>IFERROR(IF(SUMIFS(tblDaily[Discharges],tblDaily[EntryDate],DATE(2026,2,22),tblDaily[WardCode],"NICU")=0,"",SUMIFS(tblDaily[Discharges],tblDaily[EntryDate],DATE(2026,2,22),tblDaily[WardCode],"NICU")),"")</f>
        <v>1</v>
      </c>
      <c r="D67" s="29" t="str">
        <f>IFERROR(IF(SUMIFS(tblDaily[Deaths],tblDaily[EntryDate],DATE(2026,2,22),tblDaily[WardCode],"NICU")=0,"",SUMIFS(tblDaily[Deaths],tblDaily[EntryDate],DATE(2026,2,22),tblDaily[WardCode],"NICU")),"")</f>
        <v/>
      </c>
      <c r="E67" s="29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29" t="str">
        <f>IFERROR(IF(SUMIFS(tblDaily[TransfersIn],tblDaily[EntryDate],DATE(2026,2,22),tblDaily[WardCode],"NICU")=0,"",SUMIFS(tblDaily[TransfersIn],tblDaily[EntryDate],DATE(2026,2,22),tblDaily[WardCode],"NICU")),"")</f>
        <v/>
      </c>
      <c r="G67" s="29" t="str">
        <f>IFERROR(IF(SUMIFS(tblDaily[TransfersOut],tblDaily[EntryDate],DATE(2026,2,22),tblDaily[WardCode],"NICU")=0,"",SUMIFS(tblDaily[TransfersOut],tblDaily[EntryDate],DATE(2026,2,22),tblDaily[WardCode],"NICU")),"")</f>
        <v/>
      </c>
      <c r="H67" s="29">
        <f>IFERROR(IF(SUMIFS(tblDaily[Remaining],tblDaily[EntryDate],DATE(2026,2,22),tblDaily[WardCode],"NICU")=0,"",SUMIFS(tblDaily[Remaining],tblDaily[EntryDate],DATE(2026,2,22),tblDaily[WardCode],"NICU")),"")</f>
        <v>15</v>
      </c>
    </row>
    <row r="68" spans="1:8" x14ac:dyDescent="0.25">
      <c r="A68" s="29">
        <v>23</v>
      </c>
      <c r="B68" s="29">
        <f>IFERROR(IF(SUMIFS(tblDaily[Admissions],tblDaily[EntryDate],DATE(2026,2,23),tblDaily[WardCode],"NICU")=0,"",SUMIFS(tblDaily[Admissions],tblDaily[EntryDate],DATE(2026,2,23),tblDaily[WardCode],"NICU")),"")</f>
        <v>4</v>
      </c>
      <c r="C68" s="29">
        <f>IFERROR(IF(SUMIFS(tblDaily[Discharges],tblDaily[EntryDate],DATE(2026,2,23),tblDaily[WardCode],"NICU")=0,"",SUMIFS(tblDaily[Discharges],tblDaily[EntryDate],DATE(2026,2,23),tblDaily[WardCode],"NICU")),"")</f>
        <v>1</v>
      </c>
      <c r="D68" s="29" t="str">
        <f>IFERROR(IF(SUMIFS(tblDaily[Deaths],tblDaily[EntryDate],DATE(2026,2,23),tblDaily[WardCode],"NICU")=0,"",SUMIFS(tblDaily[Deaths],tblDaily[EntryDate],DATE(2026,2,23),tblDaily[WardCode],"NICU")),"")</f>
        <v/>
      </c>
      <c r="E68" s="29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29" t="str">
        <f>IFERROR(IF(SUMIFS(tblDaily[TransfersIn],tblDaily[EntryDate],DATE(2026,2,23),tblDaily[WardCode],"NICU")=0,"",SUMIFS(tblDaily[TransfersIn],tblDaily[EntryDate],DATE(2026,2,23),tblDaily[WardCode],"NICU")),"")</f>
        <v/>
      </c>
      <c r="G68" s="29" t="str">
        <f>IFERROR(IF(SUMIFS(tblDaily[TransfersOut],tblDaily[EntryDate],DATE(2026,2,23),tblDaily[WardCode],"NICU")=0,"",SUMIFS(tblDaily[TransfersOut],tblDaily[EntryDate],DATE(2026,2,23),tblDaily[WardCode],"NICU")),"")</f>
        <v/>
      </c>
      <c r="H68" s="29">
        <f>IFERROR(IF(SUMIFS(tblDaily[Remaining],tblDaily[EntryDate],DATE(2026,2,23),tblDaily[WardCode],"NICU")=0,"",SUMIFS(tblDaily[Remaining],tblDaily[EntryDate],DATE(2026,2,23),tblDaily[WardCode],"NICU")),"")</f>
        <v>18</v>
      </c>
    </row>
    <row r="69" spans="1:8" x14ac:dyDescent="0.25">
      <c r="A69" s="29">
        <v>24</v>
      </c>
      <c r="B69" s="29" t="str">
        <f>IFERROR(IF(SUMIFS(tblDaily[Admissions],tblDaily[EntryDate],DATE(2026,2,24),tblDaily[WardCode],"NICU")=0,"",SUMIFS(tblDaily[Admissions],tblDaily[EntryDate],DATE(2026,2,24),tblDaily[WardCode],"NICU")),"")</f>
        <v/>
      </c>
      <c r="C69" s="29">
        <f>IFERROR(IF(SUMIFS(tblDaily[Discharges],tblDaily[EntryDate],DATE(2026,2,24),tblDaily[WardCode],"NICU")=0,"",SUMIFS(tblDaily[Discharges],tblDaily[EntryDate],DATE(2026,2,24),tblDaily[WardCode],"NICU")),"")</f>
        <v>5</v>
      </c>
      <c r="D69" s="29" t="str">
        <f>IFERROR(IF(SUMIFS(tblDaily[Deaths],tblDaily[EntryDate],DATE(2026,2,24),tblDaily[WardCode],"NICU")=0,"",SUMIFS(tblDaily[Deaths],tblDaily[EntryDate],DATE(2026,2,24),tblDaily[WardCode],"NICU")),"")</f>
        <v/>
      </c>
      <c r="E69" s="29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29" t="str">
        <f>IFERROR(IF(SUMIFS(tblDaily[TransfersIn],tblDaily[EntryDate],DATE(2026,2,24),tblDaily[WardCode],"NICU")=0,"",SUMIFS(tblDaily[TransfersIn],tblDaily[EntryDate],DATE(2026,2,24),tblDaily[WardCode],"NICU")),"")</f>
        <v/>
      </c>
      <c r="G69" s="29" t="str">
        <f>IFERROR(IF(SUMIFS(tblDaily[TransfersOut],tblDaily[EntryDate],DATE(2026,2,24),tblDaily[WardCode],"NICU")=0,"",SUMIFS(tblDaily[TransfersOut],tblDaily[EntryDate],DATE(2026,2,24),tblDaily[WardCode],"NICU")),"")</f>
        <v/>
      </c>
      <c r="H69" s="29">
        <f>IFERROR(IF(SUMIFS(tblDaily[Remaining],tblDaily[EntryDate],DATE(2026,2,24),tblDaily[WardCode],"NICU")=0,"",SUMIFS(tblDaily[Remaining],tblDaily[EntryDate],DATE(2026,2,24),tblDaily[WardCode],"NICU")),"")</f>
        <v>13</v>
      </c>
    </row>
    <row r="70" spans="1:8" x14ac:dyDescent="0.25">
      <c r="A70" s="29">
        <v>25</v>
      </c>
      <c r="B70" s="29">
        <f>IFERROR(IF(SUMIFS(tblDaily[Admissions],tblDaily[EntryDate],DATE(2026,2,25),tblDaily[WardCode],"NICU")=0,"",SUMIFS(tblDaily[Admissions],tblDaily[EntryDate],DATE(2026,2,25),tblDaily[WardCode],"NICU")),"")</f>
        <v>4</v>
      </c>
      <c r="C70" s="29">
        <f>IFERROR(IF(SUMIFS(tblDaily[Discharges],tblDaily[EntryDate],DATE(2026,2,25),tblDaily[WardCode],"NICU")=0,"",SUMIFS(tblDaily[Discharges],tblDaily[EntryDate],DATE(2026,2,25),tblDaily[WardCode],"NICU")),"")</f>
        <v>1</v>
      </c>
      <c r="D70" s="29" t="str">
        <f>IFERROR(IF(SUMIFS(tblDaily[Deaths],tblDaily[EntryDate],DATE(2026,2,25),tblDaily[WardCode],"NICU")=0,"",SUMIFS(tblDaily[Deaths],tblDaily[EntryDate],DATE(2026,2,25),tblDaily[WardCode],"NICU")),"")</f>
        <v/>
      </c>
      <c r="E70" s="29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29" t="str">
        <f>IFERROR(IF(SUMIFS(tblDaily[TransfersIn],tblDaily[EntryDate],DATE(2026,2,25),tblDaily[WardCode],"NICU")=0,"",SUMIFS(tblDaily[TransfersIn],tblDaily[EntryDate],DATE(2026,2,25),tblDaily[WardCode],"NICU")),"")</f>
        <v/>
      </c>
      <c r="G70" s="29" t="str">
        <f>IFERROR(IF(SUMIFS(tblDaily[TransfersOut],tblDaily[EntryDate],DATE(2026,2,25),tblDaily[WardCode],"NICU")=0,"",SUMIFS(tblDaily[TransfersOut],tblDaily[EntryDate],DATE(2026,2,25),tblDaily[WardCode],"NICU")),"")</f>
        <v/>
      </c>
      <c r="H70" s="29">
        <f>IFERROR(IF(SUMIFS(tblDaily[Remaining],tblDaily[EntryDate],DATE(2026,2,25),tblDaily[WardCode],"NICU")=0,"",SUMIFS(tblDaily[Remaining],tblDaily[EntryDate],DATE(2026,2,25),tblDaily[WardCode],"NICU")),"")</f>
        <v>16</v>
      </c>
    </row>
    <row r="71" spans="1:8" x14ac:dyDescent="0.25">
      <c r="A71" s="29">
        <v>26</v>
      </c>
      <c r="B71" s="29">
        <f>IFERROR(IF(SUMIFS(tblDaily[Admissions],tblDaily[EntryDate],DATE(2026,2,26),tblDaily[WardCode],"NICU")=0,"",SUMIFS(tblDaily[Admissions],tblDaily[EntryDate],DATE(2026,2,26),tblDaily[WardCode],"NICU")),"")</f>
        <v>2</v>
      </c>
      <c r="C71" s="29">
        <f>IFERROR(IF(SUMIFS(tblDaily[Discharges],tblDaily[EntryDate],DATE(2026,2,26),tblDaily[WardCode],"NICU")=0,"",SUMIFS(tblDaily[Discharges],tblDaily[EntryDate],DATE(2026,2,26),tblDaily[WardCode],"NICU")),"")</f>
        <v>3</v>
      </c>
      <c r="D71" s="29" t="str">
        <f>IFERROR(IF(SUMIFS(tblDaily[Deaths],tblDaily[EntryDate],DATE(2026,2,26),tblDaily[WardCode],"NICU")=0,"",SUMIFS(tblDaily[Deaths],tblDaily[EntryDate],DATE(2026,2,26),tblDaily[WardCode],"NICU")),"")</f>
        <v/>
      </c>
      <c r="E71" s="29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29" t="str">
        <f>IFERROR(IF(SUMIFS(tblDaily[TransfersIn],tblDaily[EntryDate],DATE(2026,2,26),tblDaily[WardCode],"NICU")=0,"",SUMIFS(tblDaily[TransfersIn],tblDaily[EntryDate],DATE(2026,2,26),tblDaily[WardCode],"NICU")),"")</f>
        <v/>
      </c>
      <c r="G71" s="29" t="str">
        <f>IFERROR(IF(SUMIFS(tblDaily[TransfersOut],tblDaily[EntryDate],DATE(2026,2,26),tblDaily[WardCode],"NICU")=0,"",SUMIFS(tblDaily[TransfersOut],tblDaily[EntryDate],DATE(2026,2,26),tblDaily[WardCode],"NICU")),"")</f>
        <v/>
      </c>
      <c r="H71" s="29">
        <f>IFERROR(IF(SUMIFS(tblDaily[Remaining],tblDaily[EntryDate],DATE(2026,2,26),tblDaily[WardCode],"NICU")=0,"",SUMIFS(tblDaily[Remaining],tblDaily[EntryDate],DATE(2026,2,26),tblDaily[WardCode],"NICU")),"")</f>
        <v>15</v>
      </c>
    </row>
    <row r="72" spans="1:8" x14ac:dyDescent="0.25">
      <c r="A72" s="29">
        <v>27</v>
      </c>
      <c r="B72" s="29">
        <f>IFERROR(IF(SUMIFS(tblDaily[Admissions],tblDaily[EntryDate],DATE(2026,2,27),tblDaily[WardCode],"NICU")=0,"",SUMIFS(tblDaily[Admissions],tblDaily[EntryDate],DATE(2026,2,27),tblDaily[WardCode],"NICU")),"")</f>
        <v>3</v>
      </c>
      <c r="C72" s="29" t="str">
        <f>IFERROR(IF(SUMIFS(tblDaily[Discharges],tblDaily[EntryDate],DATE(2026,2,27),tblDaily[WardCode],"NICU")=0,"",SUMIFS(tblDaily[Discharges],tblDaily[EntryDate],DATE(2026,2,27),tblDaily[WardCode],"NICU")),"")</f>
        <v/>
      </c>
      <c r="D72" s="29" t="str">
        <f>IFERROR(IF(SUMIFS(tblDaily[Deaths],tblDaily[EntryDate],DATE(2026,2,27),tblDaily[WardCode],"NICU")=0,"",SUMIFS(tblDaily[Deaths],tblDaily[EntryDate],DATE(2026,2,27),tblDaily[WardCode],"NICU")),"")</f>
        <v/>
      </c>
      <c r="E72" s="29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29" t="str">
        <f>IFERROR(IF(SUMIFS(tblDaily[TransfersIn],tblDaily[EntryDate],DATE(2026,2,27),tblDaily[WardCode],"NICU")=0,"",SUMIFS(tblDaily[TransfersIn],tblDaily[EntryDate],DATE(2026,2,27),tblDaily[WardCode],"NICU")),"")</f>
        <v/>
      </c>
      <c r="G72" s="29" t="str">
        <f>IFERROR(IF(SUMIFS(tblDaily[TransfersOut],tblDaily[EntryDate],DATE(2026,2,27),tblDaily[WardCode],"NICU")=0,"",SUMIFS(tblDaily[TransfersOut],tblDaily[EntryDate],DATE(2026,2,27),tblDaily[WardCode],"NICU")),"")</f>
        <v/>
      </c>
      <c r="H72" s="29">
        <f>IFERROR(IF(SUMIFS(tblDaily[Remaining],tblDaily[EntryDate],DATE(2026,2,27),tblDaily[WardCode],"NICU")=0,"",SUMIFS(tblDaily[Remaining],tblDaily[EntryDate],DATE(2026,2,27),tblDaily[WardCode],"NICU")),"")</f>
        <v>18</v>
      </c>
    </row>
    <row r="73" spans="1:8" x14ac:dyDescent="0.25">
      <c r="A73" s="29">
        <v>28</v>
      </c>
      <c r="B73" s="29">
        <f>IFERROR(IF(SUMIFS(tblDaily[Admissions],tblDaily[EntryDate],DATE(2026,2,28),tblDaily[WardCode],"NICU")=0,"",SUMIFS(tblDaily[Admissions],tblDaily[EntryDate],DATE(2026,2,28),tblDaily[WardCode],"NICU")),"")</f>
        <v>1</v>
      </c>
      <c r="C73" s="29">
        <f>IFERROR(IF(SUMIFS(tblDaily[Discharges],tblDaily[EntryDate],DATE(2026,2,28),tblDaily[WardCode],"NICU")=0,"",SUMIFS(tblDaily[Discharges],tblDaily[EntryDate],DATE(2026,2,28),tblDaily[WardCode],"NICU")),"")</f>
        <v>1</v>
      </c>
      <c r="D73" s="29" t="str">
        <f>IFERROR(IF(SUMIFS(tblDaily[Deaths],tblDaily[EntryDate],DATE(2026,2,28),tblDaily[WardCode],"NICU")=0,"",SUMIFS(tblDaily[Deaths],tblDaily[EntryDate],DATE(2026,2,28),tblDaily[WardCode],"NICU")),"")</f>
        <v/>
      </c>
      <c r="E73" s="29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29" t="str">
        <f>IFERROR(IF(SUMIFS(tblDaily[TransfersIn],tblDaily[EntryDate],DATE(2026,2,28),tblDaily[WardCode],"NICU")=0,"",SUMIFS(tblDaily[TransfersIn],tblDaily[EntryDate],DATE(2026,2,28),tblDaily[WardCode],"NICU")),"")</f>
        <v/>
      </c>
      <c r="G73" s="29" t="str">
        <f>IFERROR(IF(SUMIFS(tblDaily[TransfersOut],tblDaily[EntryDate],DATE(2026,2,28),tblDaily[WardCode],"NICU")=0,"",SUMIFS(tblDaily[TransfersOut],tblDaily[EntryDate],DATE(2026,2,28),tblDaily[WardCode],"NICU")),"")</f>
        <v/>
      </c>
      <c r="H73" s="29">
        <f>IFERROR(IF(SUMIFS(tblDaily[Remaining],tblDaily[EntryDate],DATE(2026,2,28),tblDaily[WardCode],"NICU")=0,"",SUMIFS(tblDaily[Remaining],tblDaily[EntryDate],DATE(2026,2,28),tblDaily[WardCode],"NICU")),"")</f>
        <v>18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SUMIFS(tblDaily[Admissions],tblDaily[Month],2,tblDaily[WardCode],"NICU") - SUMIFS(tblDaily[DeathsUnder24Hrs],tblDaily[Month],2,tblDaily[WardCode],"NICU")</f>
        <v>53</v>
      </c>
      <c r="C77" s="30">
        <f>SUMIFS(tblDaily[Discharges],tblDaily[Month],2,tblDaily[WardCode],"NICU")</f>
        <v>39</v>
      </c>
      <c r="D77" s="30">
        <f>SUMIFS(tblDaily[Deaths],tblDaily[Month],2,tblDaily[WardCode],"NICU")</f>
        <v>3</v>
      </c>
      <c r="E77" s="30">
        <f>SUMIFS(tblDaily[DeathsUnder24Hrs],tblDaily[Month],2,tblDaily[WardCode],"NICU")</f>
        <v>0</v>
      </c>
      <c r="F77" s="30">
        <f>SUMIFS(tblDaily[TransfersIn],tblDaily[Month],2,tblDaily[WardCode],"NICU")</f>
        <v>0</v>
      </c>
      <c r="G77" s="30">
        <f>SUMIFS(tblDaily[TransfersOut],tblDaily[Month],2,tblDaily[WardCode],"NICU")</f>
        <v>0</v>
      </c>
      <c r="H77" s="30">
        <f>SUMIFS(tblDaily[Remaining],tblDaily[Month],2,tblDaily[WardCode],"NICU")</f>
        <v>368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121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IFERROR(SUMIFS(tblDaily[Remaining],tblDaily[EntryDate],DATE(2026,2,28),tblDaily[WardCode],"NICU"),0)</f>
        <v>18</v>
      </c>
    </row>
    <row r="83" spans="1:8" x14ac:dyDescent="0.25">
      <c r="A83" s="24" t="s">
        <v>109</v>
      </c>
      <c r="H83" s="27">
        <f>IFERROR(INDEX(tblWardConfig[BedComplement],MATCH("NICU",tblWardConfig[WardCode],0)),0)</f>
        <v>15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>
        <f>IFERROR(IF(SUMIFS(tblDaily[Admissions],tblDaily[EntryDate],DATE(2026,3,1),tblDaily[WardCode],"NICU")=0,"",SUMIFS(tblDaily[Admissions],tblDaily[EntryDate],DATE(2026,3,1),tblDaily[WardCode],"NICU")),"")</f>
        <v>1</v>
      </c>
      <c r="C85" s="29">
        <f>IFERROR(IF(SUMIFS(tblDaily[Discharges],tblDaily[EntryDate],DATE(2026,3,1),tblDaily[WardCode],"NICU")=0,"",SUMIFS(tblDaily[Discharges],tblDaily[EntryDate],DATE(2026,3,1),tblDaily[WardCode],"NICU")),"")</f>
        <v>6</v>
      </c>
      <c r="D85" s="29" t="str">
        <f>IFERROR(IF(SUMIFS(tblDaily[Deaths],tblDaily[EntryDate],DATE(2026,3,1),tblDaily[WardCode],"NICU")=0,"",SUMIFS(tblDaily[Deaths],tblDaily[EntryDate],DATE(2026,3,1),tblDaily[WardCode],"NICU")),"")</f>
        <v/>
      </c>
      <c r="E85" s="29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29" t="str">
        <f>IFERROR(IF(SUMIFS(tblDaily[TransfersIn],tblDaily[EntryDate],DATE(2026,3,1),tblDaily[WardCode],"NICU")=0,"",SUMIFS(tblDaily[TransfersIn],tblDaily[EntryDate],DATE(2026,3,1),tblDaily[WardCode],"NICU")),"")</f>
        <v/>
      </c>
      <c r="G85" s="29" t="str">
        <f>IFERROR(IF(SUMIFS(tblDaily[TransfersOut],tblDaily[EntryDate],DATE(2026,3,1),tblDaily[WardCode],"NICU")=0,"",SUMIFS(tblDaily[TransfersOut],tblDaily[EntryDate],DATE(2026,3,1),tblDaily[WardCode],"NICU")),"")</f>
        <v/>
      </c>
      <c r="H85" s="29">
        <f>IFERROR(IF(SUMIFS(tblDaily[Remaining],tblDaily[EntryDate],DATE(2026,3,1),tblDaily[WardCode],"NICU")=0,"",SUMIFS(tblDaily[Remaining],tblDaily[EntryDate],DATE(2026,3,1),tblDaily[WardCode],"NICU")),"")</f>
        <v>13</v>
      </c>
    </row>
    <row r="86" spans="1:8" x14ac:dyDescent="0.25">
      <c r="A86" s="29">
        <v>2</v>
      </c>
      <c r="B86" s="29">
        <f>IFERROR(IF(SUMIFS(tblDaily[Admissions],tblDaily[EntryDate],DATE(2026,3,2),tblDaily[WardCode],"NICU")=0,"",SUMIFS(tblDaily[Admissions],tblDaily[EntryDate],DATE(2026,3,2),tblDaily[WardCode],"NICU")),"")</f>
        <v>3</v>
      </c>
      <c r="C86" s="29" t="str">
        <f>IFERROR(IF(SUMIFS(tblDaily[Discharges],tblDaily[EntryDate],DATE(2026,3,2),tblDaily[WardCode],"NICU")=0,"",SUMIFS(tblDaily[Discharges],tblDaily[EntryDate],DATE(2026,3,2),tblDaily[WardCode],"NICU")),"")</f>
        <v/>
      </c>
      <c r="D86" s="29" t="str">
        <f>IFERROR(IF(SUMIFS(tblDaily[Deaths],tblDaily[EntryDate],DATE(2026,3,2),tblDaily[WardCode],"NICU")=0,"",SUMIFS(tblDaily[Deaths],tblDaily[EntryDate],DATE(2026,3,2),tblDaily[WardCode],"NICU")),"")</f>
        <v/>
      </c>
      <c r="E86" s="29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29" t="str">
        <f>IFERROR(IF(SUMIFS(tblDaily[TransfersIn],tblDaily[EntryDate],DATE(2026,3,2),tblDaily[WardCode],"NICU")=0,"",SUMIFS(tblDaily[TransfersIn],tblDaily[EntryDate],DATE(2026,3,2),tblDaily[WardCode],"NICU")),"")</f>
        <v/>
      </c>
      <c r="G86" s="29" t="str">
        <f>IFERROR(IF(SUMIFS(tblDaily[TransfersOut],tblDaily[EntryDate],DATE(2026,3,2),tblDaily[WardCode],"NICU")=0,"",SUMIFS(tblDaily[TransfersOut],tblDaily[EntryDate],DATE(2026,3,2),tblDaily[WardCode],"NICU")),"")</f>
        <v/>
      </c>
      <c r="H86" s="29">
        <f>IFERROR(IF(SUMIFS(tblDaily[Remaining],tblDaily[EntryDate],DATE(2026,3,2),tblDaily[WardCode],"NICU")=0,"",SUMIFS(tblDaily[Remaining],tblDaily[EntryDate],DATE(2026,3,2),tblDaily[WardCode],"NICU")),"")</f>
        <v>16</v>
      </c>
    </row>
    <row r="87" spans="1:8" x14ac:dyDescent="0.25">
      <c r="A87" s="29">
        <v>3</v>
      </c>
      <c r="B87" s="29">
        <f>IFERROR(IF(SUMIFS(tblDaily[Admissions],tblDaily[EntryDate],DATE(2026,3,3),tblDaily[WardCode],"NICU")=0,"",SUMIFS(tblDaily[Admissions],tblDaily[EntryDate],DATE(2026,3,3),tblDaily[WardCode],"NICU")),"")</f>
        <v>1</v>
      </c>
      <c r="C87" s="29">
        <f>IFERROR(IF(SUMIFS(tblDaily[Discharges],tblDaily[EntryDate],DATE(2026,3,3),tblDaily[WardCode],"NICU")=0,"",SUMIFS(tblDaily[Discharges],tblDaily[EntryDate],DATE(2026,3,3),tblDaily[WardCode],"NICU")),"")</f>
        <v>3</v>
      </c>
      <c r="D87" s="29" t="str">
        <f>IFERROR(IF(SUMIFS(tblDaily[Deaths],tblDaily[EntryDate],DATE(2026,3,3),tblDaily[WardCode],"NICU")=0,"",SUMIFS(tblDaily[Deaths],tblDaily[EntryDate],DATE(2026,3,3),tblDaily[WardCode],"NICU")),"")</f>
        <v/>
      </c>
      <c r="E87" s="29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29" t="str">
        <f>IFERROR(IF(SUMIFS(tblDaily[TransfersIn],tblDaily[EntryDate],DATE(2026,3,3),tblDaily[WardCode],"NICU")=0,"",SUMIFS(tblDaily[TransfersIn],tblDaily[EntryDate],DATE(2026,3,3),tblDaily[WardCode],"NICU")),"")</f>
        <v/>
      </c>
      <c r="G87" s="29" t="str">
        <f>IFERROR(IF(SUMIFS(tblDaily[TransfersOut],tblDaily[EntryDate],DATE(2026,3,3),tblDaily[WardCode],"NICU")=0,"",SUMIFS(tblDaily[TransfersOut],tblDaily[EntryDate],DATE(2026,3,3),tblDaily[WardCode],"NICU")),"")</f>
        <v/>
      </c>
      <c r="H87" s="29">
        <f>IFERROR(IF(SUMIFS(tblDaily[Remaining],tblDaily[EntryDate],DATE(2026,3,3),tblDaily[WardCode],"NICU")=0,"",SUMIFS(tblDaily[Remaining],tblDaily[EntryDate],DATE(2026,3,3),tblDaily[WardCode],"NICU")),"")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IFERROR(IF(SUMIFS(tblDaily[Admissions],tblDaily[EntryDate],DATE(2026,3,4),tblDaily[WardCode],"NICU")=0,"",SUMIFS(tblDaily[Admissions],tblDaily[EntryDate],DATE(2026,3,4),tblDaily[WardCode],"NICU")),"")</f>
        <v>2</v>
      </c>
      <c r="C88" s="29" t="str">
        <f>IFERROR(IF(SUMIFS(tblDaily[Discharges],tblDaily[EntryDate],DATE(2026,3,4),tblDaily[WardCode],"NICU")=0,"",SUMIFS(tblDaily[Discharges],tblDaily[EntryDate],DATE(2026,3,4),tblDaily[WardCode],"NICU")),"")</f>
        <v/>
      </c>
      <c r="D88" s="29" t="str">
        <f>IFERROR(IF(SUMIFS(tblDaily[Deaths],tblDaily[EntryDate],DATE(2026,3,4),tblDaily[WardCode],"NICU")=0,"",SUMIFS(tblDaily[Deaths],tblDaily[EntryDate],DATE(2026,3,4),tblDaily[WardCode],"NICU")),"")</f>
        <v/>
      </c>
      <c r="E88" s="29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29" t="str">
        <f>IFERROR(IF(SUMIFS(tblDaily[TransfersIn],tblDaily[EntryDate],DATE(2026,3,4),tblDaily[WardCode],"NICU")=0,"",SUMIFS(tblDaily[TransfersIn],tblDaily[EntryDate],DATE(2026,3,4),tblDaily[WardCode],"NICU")),"")</f>
        <v/>
      </c>
      <c r="G88" s="29" t="str">
        <f>IFERROR(IF(SUMIFS(tblDaily[TransfersOut],tblDaily[EntryDate],DATE(2026,3,4),tblDaily[WardCode],"NICU")=0,"",SUMIFS(tblDaily[TransfersOut],tblDaily[EntryDate],DATE(2026,3,4),tblDaily[WardCode],"NICU")),"")</f>
        <v/>
      </c>
      <c r="H88" s="29">
        <f>IFERROR(IF(SUMIFS(tblDaily[Remaining],tblDaily[EntryDate],DATE(2026,3,4),tblDaily[WardCode],"NICU")=0,"",SUMIFS(tblDaily[Remaining],tblDaily[EntryDate],DATE(2026,3,4),tblDaily[WardCode],"NICU")),"")</f>
        <v>16</v>
      </c>
    </row>
    <row r="89" spans="1:8" x14ac:dyDescent="0.25">
      <c r="A89" s="29">
        <v>5</v>
      </c>
      <c r="B89" s="29">
        <f>IFERROR(IF(SUMIFS(tblDaily[Admissions],tblDaily[EntryDate],DATE(2026,3,5),tblDaily[WardCode],"NICU")=0,"",SUMIFS(tblDaily[Admissions],tblDaily[EntryDate],DATE(2026,3,5),tblDaily[WardCode],"NICU")),"")</f>
        <v>2</v>
      </c>
      <c r="C89" s="29">
        <f>IFERROR(IF(SUMIFS(tblDaily[Discharges],tblDaily[EntryDate],DATE(2026,3,5),tblDaily[WardCode],"NICU")=0,"",SUMIFS(tblDaily[Discharges],tblDaily[EntryDate],DATE(2026,3,5),tblDaily[WardCode],"NICU")),"")</f>
        <v>3</v>
      </c>
      <c r="D89" s="29" t="str">
        <f>IFERROR(IF(SUMIFS(tblDaily[Deaths],tblDaily[EntryDate],DATE(2026,3,5),tblDaily[WardCode],"NICU")=0,"",SUMIFS(tblDaily[Deaths],tblDaily[EntryDate],DATE(2026,3,5),tblDaily[WardCode],"NICU")),"")</f>
        <v/>
      </c>
      <c r="E89" s="29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29" t="str">
        <f>IFERROR(IF(SUMIFS(tblDaily[TransfersIn],tblDaily[EntryDate],DATE(2026,3,5),tblDaily[WardCode],"NICU")=0,"",SUMIFS(tblDaily[TransfersIn],tblDaily[EntryDate],DATE(2026,3,5),tblDaily[WardCode],"NICU")),"")</f>
        <v/>
      </c>
      <c r="G89" s="29" t="str">
        <f>IFERROR(IF(SUMIFS(tblDaily[TransfersOut],tblDaily[EntryDate],DATE(2026,3,5),tblDaily[WardCode],"NICU")=0,"",SUMIFS(tblDaily[TransfersOut],tblDaily[EntryDate],DATE(2026,3,5),tblDaily[WardCode],"NICU")),"")</f>
        <v/>
      </c>
      <c r="H89" s="29">
        <f>IFERROR(IF(SUMIFS(tblDaily[Remaining],tblDaily[EntryDate],DATE(2026,3,5),tblDaily[WardCode],"NICU")=0,"",SUMIFS(tblDaily[Remaining],tblDaily[EntryDate],DATE(2026,3,5),tblDaily[WardCode],"NICU")),"")</f>
        <v>15</v>
      </c>
    </row>
    <row r="90" spans="1:8" x14ac:dyDescent="0.25">
      <c r="A90" s="29">
        <v>6</v>
      </c>
      <c r="B90" s="29">
        <f>IFERROR(IF(SUMIFS(tblDaily[Admissions],tblDaily[EntryDate],DATE(2026,3,6),tblDaily[WardCode],"NICU")=0,"",SUMIFS(tblDaily[Admissions],tblDaily[EntryDate],DATE(2026,3,6),tblDaily[WardCode],"NICU")),"")</f>
        <v>6</v>
      </c>
      <c r="C90" s="29">
        <f>IFERROR(IF(SUMIFS(tblDaily[Discharges],tblDaily[EntryDate],DATE(2026,3,6),tblDaily[WardCode],"NICU")=0,"",SUMIFS(tblDaily[Discharges],tblDaily[EntryDate],DATE(2026,3,6),tblDaily[WardCode],"NICU")),"")</f>
        <v>1</v>
      </c>
      <c r="D90" s="29" t="str">
        <f>IFERROR(IF(SUMIFS(tblDaily[Deaths],tblDaily[EntryDate],DATE(2026,3,6),tblDaily[WardCode],"NICU")=0,"",SUMIFS(tblDaily[Deaths],tblDaily[EntryDate],DATE(2026,3,6),tblDaily[WardCode],"NICU")),"")</f>
        <v/>
      </c>
      <c r="E90" s="29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29" t="str">
        <f>IFERROR(IF(SUMIFS(tblDaily[TransfersIn],tblDaily[EntryDate],DATE(2026,3,6),tblDaily[WardCode],"NICU")=0,"",SUMIFS(tblDaily[TransfersIn],tblDaily[EntryDate],DATE(2026,3,6),tblDaily[WardCode],"NICU")),"")</f>
        <v/>
      </c>
      <c r="G90" s="29" t="str">
        <f>IFERROR(IF(SUMIFS(tblDaily[TransfersOut],tblDaily[EntryDate],DATE(2026,3,6),tblDaily[WardCode],"NICU")=0,"",SUMIFS(tblDaily[TransfersOut],tblDaily[EntryDate],DATE(2026,3,6),tblDaily[WardCode],"NICU")),"")</f>
        <v/>
      </c>
      <c r="H90" s="29">
        <f>IFERROR(IF(SUMIFS(tblDaily[Remaining],tblDaily[EntryDate],DATE(2026,3,6),tblDaily[WardCode],"NICU")=0,"",SUMIFS(tblDaily[Remaining],tblDaily[EntryDate],DATE(2026,3,6),tblDaily[WardCode],"NICU")),"")</f>
        <v>20</v>
      </c>
    </row>
    <row r="91" spans="1:8" x14ac:dyDescent="0.25">
      <c r="A91" s="29">
        <v>7</v>
      </c>
      <c r="B91" s="29" t="str">
        <f>IFERROR(IF(SUMIFS(tblDaily[Admissions],tblDaily[EntryDate],DATE(2026,3,7),tblDaily[WardCode],"NICU")=0,"",SUMIFS(tblDaily[Admissions],tblDaily[EntryDate],DATE(2026,3,7),tblDaily[WardCode],"NICU")),"")</f>
        <v/>
      </c>
      <c r="C91" s="29">
        <f>IFERROR(IF(SUMIFS(tblDaily[Discharges],tblDaily[EntryDate],DATE(2026,3,7),tblDaily[WardCode],"NICU")=0,"",SUMIFS(tblDaily[Discharges],tblDaily[EntryDate],DATE(2026,3,7),tblDaily[WardCode],"NICU")),"")</f>
        <v>2</v>
      </c>
      <c r="D91" s="29" t="str">
        <f>IFERROR(IF(SUMIFS(tblDaily[Deaths],tblDaily[EntryDate],DATE(2026,3,7),tblDaily[WardCode],"NICU")=0,"",SUMIFS(tblDaily[Deaths],tblDaily[EntryDate],DATE(2026,3,7),tblDaily[WardCode],"NICU")),"")</f>
        <v/>
      </c>
      <c r="E91" s="29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29" t="str">
        <f>IFERROR(IF(SUMIFS(tblDaily[TransfersIn],tblDaily[EntryDate],DATE(2026,3,7),tblDaily[WardCode],"NICU")=0,"",SUMIFS(tblDaily[TransfersIn],tblDaily[EntryDate],DATE(2026,3,7),tblDaily[WardCode],"NICU")),"")</f>
        <v/>
      </c>
      <c r="G91" s="29" t="str">
        <f>IFERROR(IF(SUMIFS(tblDaily[TransfersOut],tblDaily[EntryDate],DATE(2026,3,7),tblDaily[WardCode],"NICU")=0,"",SUMIFS(tblDaily[TransfersOut],tblDaily[EntryDate],DATE(2026,3,7),tblDaily[WardCode],"NICU")),"")</f>
        <v/>
      </c>
      <c r="H91" s="29">
        <f>IFERROR(IF(SUMIFS(tblDaily[Remaining],tblDaily[EntryDate],DATE(2026,3,7),tblDaily[WardCode],"NICU")=0,"",SUMIFS(tblDaily[Remaining],tblDaily[EntryDate],DATE(2026,3,7),tblDaily[WardCode],"NICU")),"")</f>
        <v>18</v>
      </c>
    </row>
    <row r="92" spans="1:8" x14ac:dyDescent="0.25">
      <c r="A92" s="29">
        <v>8</v>
      </c>
      <c r="B92" s="29">
        <f>IFERROR(IF(SUMIFS(tblDaily[Admissions],tblDaily[EntryDate],DATE(2026,3,8),tblDaily[WardCode],"NICU")=0,"",SUMIFS(tblDaily[Admissions],tblDaily[EntryDate],DATE(2026,3,8),tblDaily[WardCode],"NICU")),"")</f>
        <v>2</v>
      </c>
      <c r="C92" s="29">
        <f>IFERROR(IF(SUMIFS(tblDaily[Discharges],tblDaily[EntryDate],DATE(2026,3,8),tblDaily[WardCode],"NICU")=0,"",SUMIFS(tblDaily[Discharges],tblDaily[EntryDate],DATE(2026,3,8),tblDaily[WardCode],"NICU")),"")</f>
        <v>3</v>
      </c>
      <c r="D92" s="29" t="str">
        <f>IFERROR(IF(SUMIFS(tblDaily[Deaths],tblDaily[EntryDate],DATE(2026,3,8),tblDaily[WardCode],"NICU")=0,"",SUMIFS(tblDaily[Deaths],tblDaily[EntryDate],DATE(2026,3,8),tblDaily[WardCode],"NICU")),"")</f>
        <v/>
      </c>
      <c r="E92" s="29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29" t="str">
        <f>IFERROR(IF(SUMIFS(tblDaily[TransfersIn],tblDaily[EntryDate],DATE(2026,3,8),tblDaily[WardCode],"NICU")=0,"",SUMIFS(tblDaily[TransfersIn],tblDaily[EntryDate],DATE(2026,3,8),tblDaily[WardCode],"NICU")),"")</f>
        <v/>
      </c>
      <c r="G92" s="29" t="str">
        <f>IFERROR(IF(SUMIFS(tblDaily[TransfersOut],tblDaily[EntryDate],DATE(2026,3,8),tblDaily[WardCode],"NICU")=0,"",SUMIFS(tblDaily[TransfersOut],tblDaily[EntryDate],DATE(2026,3,8),tblDaily[WardCode],"NICU")),"")</f>
        <v/>
      </c>
      <c r="H92" s="29">
        <f>IFERROR(IF(SUMIFS(tblDaily[Remaining],tblDaily[EntryDate],DATE(2026,3,8),tblDaily[WardCode],"NICU")=0,"",SUMIFS(tblDaily[Remaining],tblDaily[EntryDate],DATE(2026,3,8),tblDaily[WardCode],"NICU")),"")</f>
        <v>17</v>
      </c>
    </row>
    <row r="93" spans="1:8" x14ac:dyDescent="0.25">
      <c r="A93" s="29">
        <v>9</v>
      </c>
      <c r="B93" s="29">
        <f>IFERROR(IF(SUMIFS(tblDaily[Admissions],tblDaily[EntryDate],DATE(2026,3,9),tblDaily[WardCode],"NICU")=0,"",SUMIFS(tblDaily[Admissions],tblDaily[EntryDate],DATE(2026,3,9),tblDaily[WardCode],"NICU")),"")</f>
        <v>2</v>
      </c>
      <c r="C93" s="29" t="str">
        <f>IFERROR(IF(SUMIFS(tblDaily[Discharges],tblDaily[EntryDate],DATE(2026,3,9),tblDaily[WardCode],"NICU")=0,"",SUMIFS(tblDaily[Discharges],tblDaily[EntryDate],DATE(2026,3,9),tblDaily[WardCode],"NICU")),"")</f>
        <v/>
      </c>
      <c r="D93" s="29" t="str">
        <f>IFERROR(IF(SUMIFS(tblDaily[Deaths],tblDaily[EntryDate],DATE(2026,3,9),tblDaily[WardCode],"NICU")=0,"",SUMIFS(tblDaily[Deaths],tblDaily[EntryDate],DATE(2026,3,9),tblDaily[WardCode],"NICU")),"")</f>
        <v/>
      </c>
      <c r="E93" s="29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29" t="str">
        <f>IFERROR(IF(SUMIFS(tblDaily[TransfersIn],tblDaily[EntryDate],DATE(2026,3,9),tblDaily[WardCode],"NICU")=0,"",SUMIFS(tblDaily[TransfersIn],tblDaily[EntryDate],DATE(2026,3,9),tblDaily[WardCode],"NICU")),"")</f>
        <v/>
      </c>
      <c r="G93" s="29" t="str">
        <f>IFERROR(IF(SUMIFS(tblDaily[TransfersOut],tblDaily[EntryDate],DATE(2026,3,9),tblDaily[WardCode],"NICU")=0,"",SUMIFS(tblDaily[TransfersOut],tblDaily[EntryDate],DATE(2026,3,9),tblDaily[WardCode],"NICU")),"")</f>
        <v/>
      </c>
      <c r="H93" s="29">
        <f>IFERROR(IF(SUMIFS(tblDaily[Remaining],tblDaily[EntryDate],DATE(2026,3,9),tblDaily[WardCode],"NICU")=0,"",SUMIFS(tblDaily[Remaining],tblDaily[EntryDate],DATE(2026,3,9),tblDaily[WardCode],"NICU")),"")</f>
        <v>19</v>
      </c>
    </row>
    <row r="94" spans="1:8" x14ac:dyDescent="0.25">
      <c r="A94" s="29">
        <v>10</v>
      </c>
      <c r="B94" s="29">
        <f>IFERROR(IF(SUMIFS(tblDaily[Admissions],tblDaily[EntryDate],DATE(2026,3,10),tblDaily[WardCode],"NICU")=0,"",SUMIFS(tblDaily[Admissions],tblDaily[EntryDate],DATE(2026,3,10),tblDaily[WardCode],"NICU")),"")</f>
        <v>4</v>
      </c>
      <c r="C94" s="29">
        <f>IFERROR(IF(SUMIFS(tblDaily[Discharges],tblDaily[EntryDate],DATE(2026,3,10),tblDaily[WardCode],"NICU")=0,"",SUMIFS(tblDaily[Discharges],tblDaily[EntryDate],DATE(2026,3,10),tblDaily[WardCode],"NICU")),"")</f>
        <v>2</v>
      </c>
      <c r="D94" s="29" t="str">
        <f>IFERROR(IF(SUMIFS(tblDaily[Deaths],tblDaily[EntryDate],DATE(2026,3,10),tblDaily[WardCode],"NICU")=0,"",SUMIFS(tblDaily[Deaths],tblDaily[EntryDate],DATE(2026,3,10),tblDaily[WardCode],"NICU")),"")</f>
        <v/>
      </c>
      <c r="E94" s="29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29" t="str">
        <f>IFERROR(IF(SUMIFS(tblDaily[TransfersIn],tblDaily[EntryDate],DATE(2026,3,10),tblDaily[WardCode],"NICU")=0,"",SUMIFS(tblDaily[TransfersIn],tblDaily[EntryDate],DATE(2026,3,10),tblDaily[WardCode],"NICU")),"")</f>
        <v/>
      </c>
      <c r="G94" s="29" t="str">
        <f>IFERROR(IF(SUMIFS(tblDaily[TransfersOut],tblDaily[EntryDate],DATE(2026,3,10),tblDaily[WardCode],"NICU")=0,"",SUMIFS(tblDaily[TransfersOut],tblDaily[EntryDate],DATE(2026,3,10),tblDaily[WardCode],"NICU")),"")</f>
        <v/>
      </c>
      <c r="H94" s="29">
        <f>IFERROR(IF(SUMIFS(tblDaily[Remaining],tblDaily[EntryDate],DATE(2026,3,10),tblDaily[WardCode],"NICU")=0,"",SUMIFS(tblDaily[Remaining],tblDaily[EntryDate],DATE(2026,3,10),tblDaily[WardCode],"NICU")),"")</f>
        <v>21</v>
      </c>
    </row>
    <row r="95" spans="1:8" x14ac:dyDescent="0.25">
      <c r="A95" s="29">
        <v>11</v>
      </c>
      <c r="B95" s="29">
        <f>IFERROR(IF(SUMIFS(tblDaily[Admissions],tblDaily[EntryDate],DATE(2026,3,11),tblDaily[WardCode],"NICU")=0,"",SUMIFS(tblDaily[Admissions],tblDaily[EntryDate],DATE(2026,3,11),tblDaily[WardCode],"NICU")),"")</f>
        <v>1</v>
      </c>
      <c r="C95" s="29">
        <f>IFERROR(IF(SUMIFS(tblDaily[Discharges],tblDaily[EntryDate],DATE(2026,3,11),tblDaily[WardCode],"NICU")=0,"",SUMIFS(tblDaily[Discharges],tblDaily[EntryDate],DATE(2026,3,11),tblDaily[WardCode],"NICU")),"")</f>
        <v>7</v>
      </c>
      <c r="D95" s="29" t="str">
        <f>IFERROR(IF(SUMIFS(tblDaily[Deaths],tblDaily[EntryDate],DATE(2026,3,11),tblDaily[WardCode],"NICU")=0,"",SUMIFS(tblDaily[Deaths],tblDaily[EntryDate],DATE(2026,3,11),tblDaily[WardCode],"NICU")),"")</f>
        <v/>
      </c>
      <c r="E95" s="29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29" t="str">
        <f>IFERROR(IF(SUMIFS(tblDaily[TransfersIn],tblDaily[EntryDate],DATE(2026,3,11),tblDaily[WardCode],"NICU")=0,"",SUMIFS(tblDaily[TransfersIn],tblDaily[EntryDate],DATE(2026,3,11),tblDaily[WardCode],"NICU")),"")</f>
        <v/>
      </c>
      <c r="G95" s="29" t="str">
        <f>IFERROR(IF(SUMIFS(tblDaily[TransfersOut],tblDaily[EntryDate],DATE(2026,3,11),tblDaily[WardCode],"NICU")=0,"",SUMIFS(tblDaily[TransfersOut],tblDaily[EntryDate],DATE(2026,3,11),tblDaily[WardCode],"NICU")),"")</f>
        <v/>
      </c>
      <c r="H95" s="29">
        <f>IFERROR(IF(SUMIFS(tblDaily[Remaining],tblDaily[EntryDate],DATE(2026,3,11),tblDaily[WardCode],"NICU")=0,"",SUMIFS(tblDaily[Remaining],tblDaily[EntryDate],DATE(2026,3,11),tblDaily[WardCode],"NICU")),"")</f>
        <v>15</v>
      </c>
    </row>
    <row r="96" spans="1:8" x14ac:dyDescent="0.25">
      <c r="A96" s="29">
        <v>12</v>
      </c>
      <c r="B96" s="29">
        <f>IFERROR(IF(SUMIFS(tblDaily[Admissions],tblDaily[EntryDate],DATE(2026,3,12),tblDaily[WardCode],"NICU")=0,"",SUMIFS(tblDaily[Admissions],tblDaily[EntryDate],DATE(2026,3,12),tblDaily[WardCode],"NICU")),"")</f>
        <v>2</v>
      </c>
      <c r="C96" s="29">
        <f>IFERROR(IF(SUMIFS(tblDaily[Discharges],tblDaily[EntryDate],DATE(2026,3,12),tblDaily[WardCode],"NICU")=0,"",SUMIFS(tblDaily[Discharges],tblDaily[EntryDate],DATE(2026,3,12),tblDaily[WardCode],"NICU")),"")</f>
        <v>3</v>
      </c>
      <c r="D96" s="29">
        <f>IFERROR(IF(SUMIFS(tblDaily[Deaths],tblDaily[EntryDate],DATE(2026,3,12),tblDaily[WardCode],"NICU")=0,"",SUMIFS(tblDaily[Deaths],tblDaily[EntryDate],DATE(2026,3,12),tblDaily[WardCode],"NICU")),"")</f>
        <v>1</v>
      </c>
      <c r="E96" s="29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29" t="str">
        <f>IFERROR(IF(SUMIFS(tblDaily[TransfersIn],tblDaily[EntryDate],DATE(2026,3,12),tblDaily[WardCode],"NICU")=0,"",SUMIFS(tblDaily[TransfersIn],tblDaily[EntryDate],DATE(2026,3,12),tblDaily[WardCode],"NICU")),"")</f>
        <v/>
      </c>
      <c r="G96" s="29" t="str">
        <f>IFERROR(IF(SUMIFS(tblDaily[TransfersOut],tblDaily[EntryDate],DATE(2026,3,12),tblDaily[WardCode],"NICU")=0,"",SUMIFS(tblDaily[TransfersOut],tblDaily[EntryDate],DATE(2026,3,12),tblDaily[WardCode],"NICU")),"")</f>
        <v/>
      </c>
      <c r="H96" s="29">
        <f>IFERROR(IF(SUMIFS(tblDaily[Remaining],tblDaily[EntryDate],DATE(2026,3,12),tblDaily[WardCode],"NICU")=0,"",SUMIFS(tblDaily[Remaining],tblDaily[EntryDate],DATE(2026,3,12),tblDaily[WardCode],"NICU")),"")</f>
        <v>13</v>
      </c>
    </row>
    <row r="97" spans="1:8" x14ac:dyDescent="0.25">
      <c r="A97" s="29">
        <v>13</v>
      </c>
      <c r="B97" s="29">
        <f>IFERROR(IF(SUMIFS(tblDaily[Admissions],tblDaily[EntryDate],DATE(2026,3,13),tblDaily[WardCode],"NICU")=0,"",SUMIFS(tblDaily[Admissions],tblDaily[EntryDate],DATE(2026,3,13),tblDaily[WardCode],"NICU")),"")</f>
        <v>2</v>
      </c>
      <c r="C97" s="29">
        <f>IFERROR(IF(SUMIFS(tblDaily[Discharges],tblDaily[EntryDate],DATE(2026,3,13),tblDaily[WardCode],"NICU")=0,"",SUMIFS(tblDaily[Discharges],tblDaily[EntryDate],DATE(2026,3,13),tblDaily[WardCode],"NICU")),"")</f>
        <v>2</v>
      </c>
      <c r="D97" s="29">
        <f>IFERROR(IF(SUMIFS(tblDaily[Deaths],tblDaily[EntryDate],DATE(2026,3,13),tblDaily[WardCode],"NICU")=0,"",SUMIFS(tblDaily[Deaths],tblDaily[EntryDate],DATE(2026,3,13),tblDaily[WardCode],"NICU")),"")</f>
        <v>1</v>
      </c>
      <c r="E97" s="29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29" t="str">
        <f>IFERROR(IF(SUMIFS(tblDaily[TransfersIn],tblDaily[EntryDate],DATE(2026,3,13),tblDaily[WardCode],"NICU")=0,"",SUMIFS(tblDaily[TransfersIn],tblDaily[EntryDate],DATE(2026,3,13),tblDaily[WardCode],"NICU")),"")</f>
        <v/>
      </c>
      <c r="G97" s="29" t="str">
        <f>IFERROR(IF(SUMIFS(tblDaily[TransfersOut],tblDaily[EntryDate],DATE(2026,3,13),tblDaily[WardCode],"NICU")=0,"",SUMIFS(tblDaily[TransfersOut],tblDaily[EntryDate],DATE(2026,3,13),tblDaily[WardCode],"NICU")),"")</f>
        <v/>
      </c>
      <c r="H97" s="29">
        <f>IFERROR(IF(SUMIFS(tblDaily[Remaining],tblDaily[EntryDate],DATE(2026,3,13),tblDaily[WardCode],"NICU")=0,"",SUMIFS(tblDaily[Remaining],tblDaily[EntryDate],DATE(2026,3,13),tblDaily[WardCode],"NICU")),"")</f>
        <v>12</v>
      </c>
    </row>
    <row r="98" spans="1:8" x14ac:dyDescent="0.25">
      <c r="A98" s="29">
        <v>14</v>
      </c>
      <c r="B98" s="29">
        <f>IFERROR(IF(SUMIFS(tblDaily[Admissions],tblDaily[EntryDate],DATE(2026,3,14),tblDaily[WardCode],"NICU")=0,"",SUMIFS(tblDaily[Admissions],tblDaily[EntryDate],DATE(2026,3,14),tblDaily[WardCode],"NICU")),"")</f>
        <v>1</v>
      </c>
      <c r="C98" s="29" t="str">
        <f>IFERROR(IF(SUMIFS(tblDaily[Discharges],tblDaily[EntryDate],DATE(2026,3,14),tblDaily[WardCode],"NICU")=0,"",SUMIFS(tblDaily[Discharges],tblDaily[EntryDate],DATE(2026,3,14),tblDaily[WardCode],"NICU")),"")</f>
        <v/>
      </c>
      <c r="D98" s="29" t="str">
        <f>IFERROR(IF(SUMIFS(tblDaily[Deaths],tblDaily[EntryDate],DATE(2026,3,14),tblDaily[WardCode],"NICU")=0,"",SUMIFS(tblDaily[Deaths],tblDaily[EntryDate],DATE(2026,3,14),tblDaily[WardCode],"NICU")),"")</f>
        <v/>
      </c>
      <c r="E98" s="29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29" t="str">
        <f>IFERROR(IF(SUMIFS(tblDaily[TransfersIn],tblDaily[EntryDate],DATE(2026,3,14),tblDaily[WardCode],"NICU")=0,"",SUMIFS(tblDaily[TransfersIn],tblDaily[EntryDate],DATE(2026,3,14),tblDaily[WardCode],"NICU")),"")</f>
        <v/>
      </c>
      <c r="G98" s="29" t="str">
        <f>IFERROR(IF(SUMIFS(tblDaily[TransfersOut],tblDaily[EntryDate],DATE(2026,3,14),tblDaily[WardCode],"NICU")=0,"",SUMIFS(tblDaily[TransfersOut],tblDaily[EntryDate],DATE(2026,3,14),tblDaily[WardCode],"NICU")),"")</f>
        <v/>
      </c>
      <c r="H98" s="29">
        <f>IFERROR(IF(SUMIFS(tblDaily[Remaining],tblDaily[EntryDate],DATE(2026,3,14),tblDaily[WardCode],"NICU")=0,"",SUMIFS(tblDaily[Remaining],tblDaily[EntryDate],DATE(2026,3,14),tblDaily[WardCode],"NICU")),"")</f>
        <v>13</v>
      </c>
    </row>
    <row r="99" spans="1:8" x14ac:dyDescent="0.25">
      <c r="A99" s="29">
        <v>15</v>
      </c>
      <c r="B99" s="29">
        <f>IFERROR(IF(SUMIFS(tblDaily[Admissions],tblDaily[EntryDate],DATE(2026,3,15),tblDaily[WardCode],"NICU")=0,"",SUMIFS(tblDaily[Admissions],tblDaily[EntryDate],DATE(2026,3,15),tblDaily[WardCode],"NICU")),"")</f>
        <v>3</v>
      </c>
      <c r="C99" s="29" t="str">
        <f>IFERROR(IF(SUMIFS(tblDaily[Discharges],tblDaily[EntryDate],DATE(2026,3,15),tblDaily[WardCode],"NICU")=0,"",SUMIFS(tblDaily[Discharges],tblDaily[EntryDate],DATE(2026,3,15),tblDaily[WardCode],"NICU")),"")</f>
        <v/>
      </c>
      <c r="D99" s="29" t="str">
        <f>IFERROR(IF(SUMIFS(tblDaily[Deaths],tblDaily[EntryDate],DATE(2026,3,15),tblDaily[WardCode],"NICU")=0,"",SUMIFS(tblDaily[Deaths],tblDaily[EntryDate],DATE(2026,3,15),tblDaily[WardCode],"NICU")),"")</f>
        <v/>
      </c>
      <c r="E99" s="29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29" t="str">
        <f>IFERROR(IF(SUMIFS(tblDaily[TransfersIn],tblDaily[EntryDate],DATE(2026,3,15),tblDaily[WardCode],"NICU")=0,"",SUMIFS(tblDaily[TransfersIn],tblDaily[EntryDate],DATE(2026,3,15),tblDaily[WardCode],"NICU")),"")</f>
        <v/>
      </c>
      <c r="G99" s="29" t="str">
        <f>IFERROR(IF(SUMIFS(tblDaily[TransfersOut],tblDaily[EntryDate],DATE(2026,3,15),tblDaily[WardCode],"NICU")=0,"",SUMIFS(tblDaily[TransfersOut],tblDaily[EntryDate],DATE(2026,3,15),tblDaily[WardCode],"NICU")),"")</f>
        <v/>
      </c>
      <c r="H99" s="29">
        <f>IFERROR(IF(SUMIFS(tblDaily[Remaining],tblDaily[EntryDate],DATE(2026,3,15),tblDaily[WardCode],"NICU")=0,"",SUMIFS(tblDaily[Remaining],tblDaily[EntryDate],DATE(2026,3,15),tblDaily[WardCode],"NICU")),"")</f>
        <v>16</v>
      </c>
    </row>
    <row r="100" spans="1:8" x14ac:dyDescent="0.25">
      <c r="A100" s="29">
        <v>16</v>
      </c>
      <c r="B100" s="29">
        <f>IFERROR(IF(SUMIFS(tblDaily[Admissions],tblDaily[EntryDate],DATE(2026,3,16),tblDaily[WardCode],"NICU")=0,"",SUMIFS(tblDaily[Admissions],tblDaily[EntryDate],DATE(2026,3,16),tblDaily[WardCode],"NICU")),"")</f>
        <v>2</v>
      </c>
      <c r="C100" s="29" t="str">
        <f>IFERROR(IF(SUMIFS(tblDaily[Discharges],tblDaily[EntryDate],DATE(2026,3,16),tblDaily[WardCode],"NICU")=0,"",SUMIFS(tblDaily[Discharges],tblDaily[EntryDate],DATE(2026,3,16),tblDaily[WardCode],"NICU")),"")</f>
        <v/>
      </c>
      <c r="D100" s="29" t="str">
        <f>IFERROR(IF(SUMIFS(tblDaily[Deaths],tblDaily[EntryDate],DATE(2026,3,16),tblDaily[WardCode],"NICU")=0,"",SUMIFS(tblDaily[Deaths],tblDaily[EntryDate],DATE(2026,3,16),tblDaily[WardCode],"NICU")),"")</f>
        <v/>
      </c>
      <c r="E100" s="29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29" t="str">
        <f>IFERROR(IF(SUMIFS(tblDaily[TransfersIn],tblDaily[EntryDate],DATE(2026,3,16),tblDaily[WardCode],"NICU")=0,"",SUMIFS(tblDaily[TransfersIn],tblDaily[EntryDate],DATE(2026,3,16),tblDaily[WardCode],"NICU")),"")</f>
        <v/>
      </c>
      <c r="G100" s="29" t="str">
        <f>IFERROR(IF(SUMIFS(tblDaily[TransfersOut],tblDaily[EntryDate],DATE(2026,3,16),tblDaily[WardCode],"NICU")=0,"",SUMIFS(tblDaily[TransfersOut],tblDaily[EntryDate],DATE(2026,3,16),tblDaily[WardCode],"NICU")),"")</f>
        <v/>
      </c>
      <c r="H100" s="29">
        <f>IFERROR(IF(SUMIFS(tblDaily[Remaining],tblDaily[EntryDate],DATE(2026,3,16),tblDaily[WardCode],"NICU")=0,"",SUMIFS(tblDaily[Remaining],tblDaily[EntryDate],DATE(2026,3,16),tblDaily[WardCode],"NICU")),"")</f>
        <v>18</v>
      </c>
    </row>
    <row r="101" spans="1:8" x14ac:dyDescent="0.25">
      <c r="A101" s="29">
        <v>17</v>
      </c>
      <c r="B101" s="29">
        <f>IFERROR(IF(SUMIFS(tblDaily[Admissions],tblDaily[EntryDate],DATE(2026,3,17),tblDaily[WardCode],"NICU")=0,"",SUMIFS(tblDaily[Admissions],tblDaily[EntryDate],DATE(2026,3,17),tblDaily[WardCode],"NICU")),"")</f>
        <v>4</v>
      </c>
      <c r="C101" s="29">
        <f>IFERROR(IF(SUMIFS(tblDaily[Discharges],tblDaily[EntryDate],DATE(2026,3,17),tblDaily[WardCode],"NICU")=0,"",SUMIFS(tblDaily[Discharges],tblDaily[EntryDate],DATE(2026,3,17),tblDaily[WardCode],"NICU")),"")</f>
        <v>3</v>
      </c>
      <c r="D101" s="29" t="str">
        <f>IFERROR(IF(SUMIFS(tblDaily[Deaths],tblDaily[EntryDate],DATE(2026,3,17),tblDaily[WardCode],"NICU")=0,"",SUMIFS(tblDaily[Deaths],tblDaily[EntryDate],DATE(2026,3,17),tblDaily[WardCode],"NICU")),"")</f>
        <v/>
      </c>
      <c r="E101" s="29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29" t="str">
        <f>IFERROR(IF(SUMIFS(tblDaily[TransfersIn],tblDaily[EntryDate],DATE(2026,3,17),tblDaily[WardCode],"NICU")=0,"",SUMIFS(tblDaily[TransfersIn],tblDaily[EntryDate],DATE(2026,3,17),tblDaily[WardCode],"NICU")),"")</f>
        <v/>
      </c>
      <c r="G101" s="29" t="str">
        <f>IFERROR(IF(SUMIFS(tblDaily[TransfersOut],tblDaily[EntryDate],DATE(2026,3,17),tblDaily[WardCode],"NICU")=0,"",SUMIFS(tblDaily[TransfersOut],tblDaily[EntryDate],DATE(2026,3,17),tblDaily[WardCode],"NICU")),"")</f>
        <v/>
      </c>
      <c r="H101" s="29">
        <f>IFERROR(IF(SUMIFS(tblDaily[Remaining],tblDaily[EntryDate],DATE(2026,3,17),tblDaily[WardCode],"NICU")=0,"",SUMIFS(tblDaily[Remaining],tblDaily[EntryDate],DATE(2026,3,17),tblDaily[WardCode],"NICU")),"")</f>
        <v>19</v>
      </c>
    </row>
    <row r="102" spans="1:8" x14ac:dyDescent="0.25">
      <c r="A102" s="29">
        <v>18</v>
      </c>
      <c r="B102" s="29" t="str">
        <f>IFERROR(IF(SUMIFS(tblDaily[Admissions],tblDaily[EntryDate],DATE(2026,3,18),tblDaily[WardCode],"NICU")=0,"",SUMIFS(tblDaily[Admissions],tblDaily[EntryDate],DATE(2026,3,18),tblDaily[WardCode],"NICU")),"")</f>
        <v/>
      </c>
      <c r="C102" s="29">
        <f>IFERROR(IF(SUMIFS(tblDaily[Discharges],tblDaily[EntryDate],DATE(2026,3,18),tblDaily[WardCode],"NICU")=0,"",SUMIFS(tblDaily[Discharges],tblDaily[EntryDate],DATE(2026,3,18),tblDaily[WardCode],"NICU")),"")</f>
        <v>2</v>
      </c>
      <c r="D102" s="29" t="str">
        <f>IFERROR(IF(SUMIFS(tblDaily[Deaths],tblDaily[EntryDate],DATE(2026,3,18),tblDaily[WardCode],"NICU")=0,"",SUMIFS(tblDaily[Deaths],tblDaily[EntryDate],DATE(2026,3,18),tblDaily[WardCode],"NICU")),"")</f>
        <v/>
      </c>
      <c r="E102" s="29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29" t="str">
        <f>IFERROR(IF(SUMIFS(tblDaily[TransfersIn],tblDaily[EntryDate],DATE(2026,3,18),tblDaily[WardCode],"NICU")=0,"",SUMIFS(tblDaily[TransfersIn],tblDaily[EntryDate],DATE(2026,3,18),tblDaily[WardCode],"NICU")),"")</f>
        <v/>
      </c>
      <c r="G102" s="29" t="str">
        <f>IFERROR(IF(SUMIFS(tblDaily[TransfersOut],tblDaily[EntryDate],DATE(2026,3,18),tblDaily[WardCode],"NICU")=0,"",SUMIFS(tblDaily[TransfersOut],tblDaily[EntryDate],DATE(2026,3,18),tblDaily[WardCode],"NICU")),"")</f>
        <v/>
      </c>
      <c r="H102" s="29">
        <f>IFERROR(IF(SUMIFS(tblDaily[Remaining],tblDaily[EntryDate],DATE(2026,3,18),tblDaily[WardCode],"NICU")=0,"",SUMIFS(tblDaily[Remaining],tblDaily[EntryDate],DATE(2026,3,18),tblDaily[WardCode],"NICU")),"")</f>
        <v>17</v>
      </c>
    </row>
    <row r="103" spans="1:8" x14ac:dyDescent="0.25">
      <c r="A103" s="29">
        <v>19</v>
      </c>
      <c r="B103" s="29">
        <f>IFERROR(IF(SUMIFS(tblDaily[Admissions],tblDaily[EntryDate],DATE(2026,3,19),tblDaily[WardCode],"NICU")=0,"",SUMIFS(tblDaily[Admissions],tblDaily[EntryDate],DATE(2026,3,19),tblDaily[WardCode],"NICU")),"")</f>
        <v>1</v>
      </c>
      <c r="C103" s="29">
        <f>IFERROR(IF(SUMIFS(tblDaily[Discharges],tblDaily[EntryDate],DATE(2026,3,19),tblDaily[WardCode],"NICU")=0,"",SUMIFS(tblDaily[Discharges],tblDaily[EntryDate],DATE(2026,3,19),tblDaily[WardCode],"NICU")),"")</f>
        <v>4</v>
      </c>
      <c r="D103" s="29" t="str">
        <f>IFERROR(IF(SUMIFS(tblDaily[Deaths],tblDaily[EntryDate],DATE(2026,3,19),tblDaily[WardCode],"NICU")=0,"",SUMIFS(tblDaily[Deaths],tblDaily[EntryDate],DATE(2026,3,19),tblDaily[WardCode],"NICU")),"")</f>
        <v/>
      </c>
      <c r="E103" s="29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29" t="str">
        <f>IFERROR(IF(SUMIFS(tblDaily[TransfersIn],tblDaily[EntryDate],DATE(2026,3,19),tblDaily[WardCode],"NICU")=0,"",SUMIFS(tblDaily[TransfersIn],tblDaily[EntryDate],DATE(2026,3,19),tblDaily[WardCode],"NICU")),"")</f>
        <v/>
      </c>
      <c r="G103" s="29" t="str">
        <f>IFERROR(IF(SUMIFS(tblDaily[TransfersOut],tblDaily[EntryDate],DATE(2026,3,19),tblDaily[WardCode],"NICU")=0,"",SUMIFS(tblDaily[TransfersOut],tblDaily[EntryDate],DATE(2026,3,19),tblDaily[WardCode],"NICU")),"")</f>
        <v/>
      </c>
      <c r="H103" s="29">
        <f>IFERROR(IF(SUMIFS(tblDaily[Remaining],tblDaily[EntryDate],DATE(2026,3,19),tblDaily[WardCode],"NICU")=0,"",SUMIFS(tblDaily[Remaining],tblDaily[EntryDate],DATE(2026,3,19),tblDaily[WardCode],"NICU")),"")</f>
        <v>14</v>
      </c>
    </row>
    <row r="104" spans="1:8" x14ac:dyDescent="0.25">
      <c r="A104" s="29">
        <v>20</v>
      </c>
      <c r="B104" s="29">
        <f>IFERROR(IF(SUMIFS(tblDaily[Admissions],tblDaily[EntryDate],DATE(2026,3,20),tblDaily[WardCode],"NICU")=0,"",SUMIFS(tblDaily[Admissions],tblDaily[EntryDate],DATE(2026,3,20),tblDaily[WardCode],"NICU")),"")</f>
        <v>1</v>
      </c>
      <c r="C104" s="29">
        <f>IFERROR(IF(SUMIFS(tblDaily[Discharges],tblDaily[EntryDate],DATE(2026,3,20),tblDaily[WardCode],"NICU")=0,"",SUMIFS(tblDaily[Discharges],tblDaily[EntryDate],DATE(2026,3,20),tblDaily[WardCode],"NICU")),"")</f>
        <v>3</v>
      </c>
      <c r="D104" s="29" t="str">
        <f>IFERROR(IF(SUMIFS(tblDaily[Deaths],tblDaily[EntryDate],DATE(2026,3,20),tblDaily[WardCode],"NICU")=0,"",SUMIFS(tblDaily[Deaths],tblDaily[EntryDate],DATE(2026,3,20),tblDaily[WardCode],"NICU")),"")</f>
        <v/>
      </c>
      <c r="E104" s="29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29" t="str">
        <f>IFERROR(IF(SUMIFS(tblDaily[TransfersIn],tblDaily[EntryDate],DATE(2026,3,20),tblDaily[WardCode],"NICU")=0,"",SUMIFS(tblDaily[TransfersIn],tblDaily[EntryDate],DATE(2026,3,20),tblDaily[WardCode],"NICU")),"")</f>
        <v/>
      </c>
      <c r="G104" s="29" t="str">
        <f>IFERROR(IF(SUMIFS(tblDaily[TransfersOut],tblDaily[EntryDate],DATE(2026,3,20),tblDaily[WardCode],"NICU")=0,"",SUMIFS(tblDaily[TransfersOut],tblDaily[EntryDate],DATE(2026,3,20),tblDaily[WardCode],"NICU")),"")</f>
        <v/>
      </c>
      <c r="H104" s="29">
        <f>IFERROR(IF(SUMIFS(tblDaily[Remaining],tblDaily[EntryDate],DATE(2026,3,20),tblDaily[WardCode],"NICU")=0,"",SUMIFS(tblDaily[Remaining],tblDaily[EntryDate],DATE(2026,3,20),tblDaily[WardCode],"NICU")),"")</f>
        <v>12</v>
      </c>
    </row>
    <row r="105" spans="1:8" x14ac:dyDescent="0.25">
      <c r="A105" s="29">
        <v>21</v>
      </c>
      <c r="B105" s="29" t="str">
        <f>IFERROR(IF(SUMIFS(tblDaily[Admissions],tblDaily[EntryDate],DATE(2026,3,21),tblDaily[WardCode],"NICU")=0,"",SUMIFS(tblDaily[Admissions],tblDaily[EntryDate],DATE(2026,3,21),tblDaily[WardCode],"NICU")),"")</f>
        <v/>
      </c>
      <c r="C105" s="29" t="str">
        <f>IFERROR(IF(SUMIFS(tblDaily[Discharges],tblDaily[EntryDate],DATE(2026,3,21),tblDaily[WardCode],"NICU")=0,"",SUMIFS(tblDaily[Discharges],tblDaily[EntryDate],DATE(2026,3,21),tblDaily[WardCode],"NICU")),"")</f>
        <v/>
      </c>
      <c r="D105" s="29">
        <f>IFERROR(IF(SUMIFS(tblDaily[Deaths],tblDaily[EntryDate],DATE(2026,3,21),tblDaily[WardCode],"NICU")=0,"",SUMIFS(tblDaily[Deaths],tblDaily[EntryDate],DATE(2026,3,21),tblDaily[WardCode],"NICU")),"")</f>
        <v>1</v>
      </c>
      <c r="E105" s="29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29" t="str">
        <f>IFERROR(IF(SUMIFS(tblDaily[TransfersIn],tblDaily[EntryDate],DATE(2026,3,21),tblDaily[WardCode],"NICU")=0,"",SUMIFS(tblDaily[TransfersIn],tblDaily[EntryDate],DATE(2026,3,21),tblDaily[WardCode],"NICU")),"")</f>
        <v/>
      </c>
      <c r="G105" s="29" t="str">
        <f>IFERROR(IF(SUMIFS(tblDaily[TransfersOut],tblDaily[EntryDate],DATE(2026,3,21),tblDaily[WardCode],"NICU")=0,"",SUMIFS(tblDaily[TransfersOut],tblDaily[EntryDate],DATE(2026,3,21),tblDaily[WardCode],"NICU")),"")</f>
        <v/>
      </c>
      <c r="H105" s="29">
        <f>IFERROR(IF(SUMIFS(tblDaily[Remaining],tblDaily[EntryDate],DATE(2026,3,21),tblDaily[WardCode],"NICU")=0,"",SUMIFS(tblDaily[Remaining],tblDaily[EntryDate],DATE(2026,3,21),tblDaily[WardCode],"NICU")),"")</f>
        <v>11</v>
      </c>
    </row>
    <row r="106" spans="1:8" x14ac:dyDescent="0.25">
      <c r="A106" s="29">
        <v>22</v>
      </c>
      <c r="B106" s="29">
        <f>IFERROR(IF(SUMIFS(tblDaily[Admissions],tblDaily[EntryDate],DATE(2026,3,22),tblDaily[WardCode],"NICU")=0,"",SUMIFS(tblDaily[Admissions],tblDaily[EntryDate],DATE(2026,3,22),tblDaily[WardCode],"NICU")),"")</f>
        <v>1</v>
      </c>
      <c r="C106" s="29">
        <f>IFERROR(IF(SUMIFS(tblDaily[Discharges],tblDaily[EntryDate],DATE(2026,3,22),tblDaily[WardCode],"NICU")=0,"",SUMIFS(tblDaily[Discharges],tblDaily[EntryDate],DATE(2026,3,22),tblDaily[WardCode],"NICU")),"")</f>
        <v>4</v>
      </c>
      <c r="D106" s="29" t="str">
        <f>IFERROR(IF(SUMIFS(tblDaily[Deaths],tblDaily[EntryDate],DATE(2026,3,22),tblDaily[WardCode],"NICU")=0,"",SUMIFS(tblDaily[Deaths],tblDaily[EntryDate],DATE(2026,3,22),tblDaily[WardCode],"NICU")),"")</f>
        <v/>
      </c>
      <c r="E106" s="29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29" t="str">
        <f>IFERROR(IF(SUMIFS(tblDaily[TransfersIn],tblDaily[EntryDate],DATE(2026,3,22),tblDaily[WardCode],"NICU")=0,"",SUMIFS(tblDaily[TransfersIn],tblDaily[EntryDate],DATE(2026,3,22),tblDaily[WardCode],"NICU")),"")</f>
        <v/>
      </c>
      <c r="G106" s="29" t="str">
        <f>IFERROR(IF(SUMIFS(tblDaily[TransfersOut],tblDaily[EntryDate],DATE(2026,3,22),tblDaily[WardCode],"NICU")=0,"",SUMIFS(tblDaily[TransfersOut],tblDaily[EntryDate],DATE(2026,3,22),tblDaily[WardCode],"NICU")),"")</f>
        <v/>
      </c>
      <c r="H106" s="29">
        <f>IFERROR(IF(SUMIFS(tblDaily[Remaining],tblDaily[EntryDate],DATE(2026,3,22),tblDaily[WardCode],"NICU")=0,"",SUMIFS(tblDaily[Remaining],tblDaily[EntryDate],DATE(2026,3,22),tblDaily[WardCode],"NICU")),"")</f>
        <v>8</v>
      </c>
    </row>
    <row r="107" spans="1:8" x14ac:dyDescent="0.25">
      <c r="A107" s="29">
        <v>23</v>
      </c>
      <c r="B107" s="29">
        <f>IFERROR(IF(SUMIFS(tblDaily[Admissions],tblDaily[EntryDate],DATE(2026,3,23),tblDaily[WardCode],"NICU")=0,"",SUMIFS(tblDaily[Admissions],tblDaily[EntryDate],DATE(2026,3,23),tblDaily[WardCode],"NICU")),"")</f>
        <v>4</v>
      </c>
      <c r="C107" s="29" t="str">
        <f>IFERROR(IF(SUMIFS(tblDaily[Discharges],tblDaily[EntryDate],DATE(2026,3,23),tblDaily[WardCode],"NICU")=0,"",SUMIFS(tblDaily[Discharges],tblDaily[EntryDate],DATE(2026,3,23),tblDaily[WardCode],"NICU")),"")</f>
        <v/>
      </c>
      <c r="D107" s="29" t="str">
        <f>IFERROR(IF(SUMIFS(tblDaily[Deaths],tblDaily[EntryDate],DATE(2026,3,23),tblDaily[WardCode],"NICU")=0,"",SUMIFS(tblDaily[Deaths],tblDaily[EntryDate],DATE(2026,3,23),tblDaily[WardCode],"NICU")),"")</f>
        <v/>
      </c>
      <c r="E107" s="29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29" t="str">
        <f>IFERROR(IF(SUMIFS(tblDaily[TransfersIn],tblDaily[EntryDate],DATE(2026,3,23),tblDaily[WardCode],"NICU")=0,"",SUMIFS(tblDaily[TransfersIn],tblDaily[EntryDate],DATE(2026,3,23),tblDaily[WardCode],"NICU")),"")</f>
        <v/>
      </c>
      <c r="G107" s="29" t="str">
        <f>IFERROR(IF(SUMIFS(tblDaily[TransfersOut],tblDaily[EntryDate],DATE(2026,3,23),tblDaily[WardCode],"NICU")=0,"",SUMIFS(tblDaily[TransfersOut],tblDaily[EntryDate],DATE(2026,3,23),tblDaily[WardCode],"NICU")),"")</f>
        <v/>
      </c>
      <c r="H107" s="29">
        <f>IFERROR(IF(SUMIFS(tblDaily[Remaining],tblDaily[EntryDate],DATE(2026,3,23),tblDaily[WardCode],"NICU")=0,"",SUMIFS(tblDaily[Remaining],tblDaily[EntryDate],DATE(2026,3,23),tblDaily[WardCode],"NICU")),"")</f>
        <v>12</v>
      </c>
    </row>
    <row r="108" spans="1:8" x14ac:dyDescent="0.25">
      <c r="A108" s="29">
        <v>24</v>
      </c>
      <c r="B108" s="29">
        <f>IFERROR(IF(SUMIFS(tblDaily[Admissions],tblDaily[EntryDate],DATE(2026,3,24),tblDaily[WardCode],"NICU")=0,"",SUMIFS(tblDaily[Admissions],tblDaily[EntryDate],DATE(2026,3,24),tblDaily[WardCode],"NICU")),"")</f>
        <v>1</v>
      </c>
      <c r="C108" s="29">
        <f>IFERROR(IF(SUMIFS(tblDaily[Discharges],tblDaily[EntryDate],DATE(2026,3,24),tblDaily[WardCode],"NICU")=0,"",SUMIFS(tblDaily[Discharges],tblDaily[EntryDate],DATE(2026,3,24),tblDaily[WardCode],"NICU")),"")</f>
        <v>3</v>
      </c>
      <c r="D108" s="29" t="str">
        <f>IFERROR(IF(SUMIFS(tblDaily[Deaths],tblDaily[EntryDate],DATE(2026,3,24),tblDaily[WardCode],"NICU")=0,"",SUMIFS(tblDaily[Deaths],tblDaily[EntryDate],DATE(2026,3,24),tblDaily[WardCode],"NICU")),"")</f>
        <v/>
      </c>
      <c r="E108" s="29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29" t="str">
        <f>IFERROR(IF(SUMIFS(tblDaily[TransfersIn],tblDaily[EntryDate],DATE(2026,3,24),tblDaily[WardCode],"NICU")=0,"",SUMIFS(tblDaily[TransfersIn],tblDaily[EntryDate],DATE(2026,3,24),tblDaily[WardCode],"NICU")),"")</f>
        <v/>
      </c>
      <c r="G108" s="29" t="str">
        <f>IFERROR(IF(SUMIFS(tblDaily[TransfersOut],tblDaily[EntryDate],DATE(2026,3,24),tblDaily[WardCode],"NICU")=0,"",SUMIFS(tblDaily[TransfersOut],tblDaily[EntryDate],DATE(2026,3,24),tblDaily[WardCode],"NICU")),"")</f>
        <v/>
      </c>
      <c r="H108" s="29">
        <f>IFERROR(IF(SUMIFS(tblDaily[Remaining],tblDaily[EntryDate],DATE(2026,3,24),tblDaily[WardCode],"NICU")=0,"",SUMIFS(tblDaily[Remaining],tblDaily[EntryDate],DATE(2026,3,24),tblDaily[WardCode],"NICU")),"")</f>
        <v>10</v>
      </c>
    </row>
    <row r="109" spans="1:8" x14ac:dyDescent="0.25">
      <c r="A109" s="29">
        <v>25</v>
      </c>
      <c r="B109" s="29">
        <f>IFERROR(IF(SUMIFS(tblDaily[Admissions],tblDaily[EntryDate],DATE(2026,3,25),tblDaily[WardCode],"NICU")=0,"",SUMIFS(tblDaily[Admissions],tblDaily[EntryDate],DATE(2026,3,25),tblDaily[WardCode],"NICU")),"")</f>
        <v>2</v>
      </c>
      <c r="C109" s="29" t="str">
        <f>IFERROR(IF(SUMIFS(tblDaily[Discharges],tblDaily[EntryDate],DATE(2026,3,25),tblDaily[WardCode],"NICU")=0,"",SUMIFS(tblDaily[Discharges],tblDaily[EntryDate],DATE(2026,3,25),tblDaily[WardCode],"NICU")),"")</f>
        <v/>
      </c>
      <c r="D109" s="29" t="str">
        <f>IFERROR(IF(SUMIFS(tblDaily[Deaths],tblDaily[EntryDate],DATE(2026,3,25),tblDaily[WardCode],"NICU")=0,"",SUMIFS(tblDaily[Deaths],tblDaily[EntryDate],DATE(2026,3,25),tblDaily[WardCode],"NICU")),"")</f>
        <v/>
      </c>
      <c r="E109" s="29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29" t="str">
        <f>IFERROR(IF(SUMIFS(tblDaily[TransfersIn],tblDaily[EntryDate],DATE(2026,3,25),tblDaily[WardCode],"NICU")=0,"",SUMIFS(tblDaily[TransfersIn],tblDaily[EntryDate],DATE(2026,3,25),tblDaily[WardCode],"NICU")),"")</f>
        <v/>
      </c>
      <c r="G109" s="29" t="str">
        <f>IFERROR(IF(SUMIFS(tblDaily[TransfersOut],tblDaily[EntryDate],DATE(2026,3,25),tblDaily[WardCode],"NICU")=0,"",SUMIFS(tblDaily[TransfersOut],tblDaily[EntryDate],DATE(2026,3,25),tblDaily[WardCode],"NICU")),"")</f>
        <v/>
      </c>
      <c r="H109" s="29">
        <f>IFERROR(IF(SUMIFS(tblDaily[Remaining],tblDaily[EntryDate],DATE(2026,3,25),tblDaily[WardCode],"NICU")=0,"",SUMIFS(tblDaily[Remaining],tblDaily[EntryDate],DATE(2026,3,25),tblDaily[WardCode],"NICU")),"")</f>
        <v>12</v>
      </c>
    </row>
    <row r="110" spans="1:8" x14ac:dyDescent="0.25">
      <c r="A110" s="29">
        <v>26</v>
      </c>
      <c r="B110" s="29">
        <f>IFERROR(IF(SUMIFS(tblDaily[Admissions],tblDaily[EntryDate],DATE(2026,3,26),tblDaily[WardCode],"NICU")=0,"",SUMIFS(tblDaily[Admissions],tblDaily[EntryDate],DATE(2026,3,26),tblDaily[WardCode],"NICU")),"")</f>
        <v>2</v>
      </c>
      <c r="C110" s="29" t="str">
        <f>IFERROR(IF(SUMIFS(tblDaily[Discharges],tblDaily[EntryDate],DATE(2026,3,26),tblDaily[WardCode],"NICU")=0,"",SUMIFS(tblDaily[Discharges],tblDaily[EntryDate],DATE(2026,3,26),tblDaily[WardCode],"NICU")),"")</f>
        <v/>
      </c>
      <c r="D110" s="29" t="str">
        <f>IFERROR(IF(SUMIFS(tblDaily[Deaths],tblDaily[EntryDate],DATE(2026,3,26),tblDaily[WardCode],"NICU")=0,"",SUMIFS(tblDaily[Deaths],tblDaily[EntryDate],DATE(2026,3,26),tblDaily[WardCode],"NICU")),"")</f>
        <v/>
      </c>
      <c r="E110" s="29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29" t="str">
        <f>IFERROR(IF(SUMIFS(tblDaily[TransfersIn],tblDaily[EntryDate],DATE(2026,3,26),tblDaily[WardCode],"NICU")=0,"",SUMIFS(tblDaily[TransfersIn],tblDaily[EntryDate],DATE(2026,3,26),tblDaily[WardCode],"NICU")),"")</f>
        <v/>
      </c>
      <c r="G110" s="29" t="str">
        <f>IFERROR(IF(SUMIFS(tblDaily[TransfersOut],tblDaily[EntryDate],DATE(2026,3,26),tblDaily[WardCode],"NICU")=0,"",SUMIFS(tblDaily[TransfersOut],tblDaily[EntryDate],DATE(2026,3,26),tblDaily[WardCode],"NICU")),"")</f>
        <v/>
      </c>
      <c r="H110" s="29">
        <f>IFERROR(IF(SUMIFS(tblDaily[Remaining],tblDaily[EntryDate],DATE(2026,3,26),tblDaily[WardCode],"NICU")=0,"",SUMIFS(tblDaily[Remaining],tblDaily[EntryDate],DATE(2026,3,26),tblDaily[WardCode],"NICU")),"")</f>
        <v>14</v>
      </c>
    </row>
    <row r="111" spans="1:8" x14ac:dyDescent="0.25">
      <c r="A111" s="29">
        <v>27</v>
      </c>
      <c r="B111" s="29" t="str">
        <f>IFERROR(IF(SUMIFS(tblDaily[Admissions],tblDaily[EntryDate],DATE(2026,3,27),tblDaily[WardCode],"NICU")=0,"",SUMIFS(tblDaily[Admissions],tblDaily[EntryDate],DATE(2026,3,27),tblDaily[WardCode],"NICU")),"")</f>
        <v/>
      </c>
      <c r="C111" s="29">
        <f>IFERROR(IF(SUMIFS(tblDaily[Discharges],tblDaily[EntryDate],DATE(2026,3,27),tblDaily[WardCode],"NICU")=0,"",SUMIFS(tblDaily[Discharges],tblDaily[EntryDate],DATE(2026,3,27),tblDaily[WardCode],"NICU")),"")</f>
        <v>2</v>
      </c>
      <c r="D111" s="29" t="str">
        <f>IFERROR(IF(SUMIFS(tblDaily[Deaths],tblDaily[EntryDate],DATE(2026,3,27),tblDaily[WardCode],"NICU")=0,"",SUMIFS(tblDaily[Deaths],tblDaily[EntryDate],DATE(2026,3,27),tblDaily[WardCode],"NICU")),"")</f>
        <v/>
      </c>
      <c r="E111" s="29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29" t="str">
        <f>IFERROR(IF(SUMIFS(tblDaily[TransfersIn],tblDaily[EntryDate],DATE(2026,3,27),tblDaily[WardCode],"NICU")=0,"",SUMIFS(tblDaily[TransfersIn],tblDaily[EntryDate],DATE(2026,3,27),tblDaily[WardCode],"NICU")),"")</f>
        <v/>
      </c>
      <c r="G111" s="29" t="str">
        <f>IFERROR(IF(SUMIFS(tblDaily[TransfersOut],tblDaily[EntryDate],DATE(2026,3,27),tblDaily[WardCode],"NICU")=0,"",SUMIFS(tblDaily[TransfersOut],tblDaily[EntryDate],DATE(2026,3,27),tblDaily[WardCode],"NICU")),"")</f>
        <v/>
      </c>
      <c r="H111" s="29">
        <f>IFERROR(IF(SUMIFS(tblDaily[Remaining],tblDaily[EntryDate],DATE(2026,3,27),tblDaily[WardCode],"NICU")=0,"",SUMIFS(tblDaily[Remaining],tblDaily[EntryDate],DATE(2026,3,27),tblDaily[WardCode],"NICU")),"")</f>
        <v>12</v>
      </c>
    </row>
    <row r="112" spans="1:8" x14ac:dyDescent="0.25">
      <c r="A112" s="29">
        <v>28</v>
      </c>
      <c r="B112" s="29">
        <f>IFERROR(IF(SUMIFS(tblDaily[Admissions],tblDaily[EntryDate],DATE(2026,3,28),tblDaily[WardCode],"NICU")=0,"",SUMIFS(tblDaily[Admissions],tblDaily[EntryDate],DATE(2026,3,28),tblDaily[WardCode],"NICU")),"")</f>
        <v>2</v>
      </c>
      <c r="C112" s="29" t="str">
        <f>IFERROR(IF(SUMIFS(tblDaily[Discharges],tblDaily[EntryDate],DATE(2026,3,28),tblDaily[WardCode],"NICU")=0,"",SUMIFS(tblDaily[Discharges],tblDaily[EntryDate],DATE(2026,3,28),tblDaily[WardCode],"NICU")),"")</f>
        <v/>
      </c>
      <c r="D112" s="29" t="str">
        <f>IFERROR(IF(SUMIFS(tblDaily[Deaths],tblDaily[EntryDate],DATE(2026,3,28),tblDaily[WardCode],"NICU")=0,"",SUMIFS(tblDaily[Deaths],tblDaily[EntryDate],DATE(2026,3,28),tblDaily[WardCode],"NICU")),"")</f>
        <v/>
      </c>
      <c r="E112" s="29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29" t="str">
        <f>IFERROR(IF(SUMIFS(tblDaily[TransfersIn],tblDaily[EntryDate],DATE(2026,3,28),tblDaily[WardCode],"NICU")=0,"",SUMIFS(tblDaily[TransfersIn],tblDaily[EntryDate],DATE(2026,3,28),tblDaily[WardCode],"NICU")),"")</f>
        <v/>
      </c>
      <c r="G112" s="29" t="str">
        <f>IFERROR(IF(SUMIFS(tblDaily[TransfersOut],tblDaily[EntryDate],DATE(2026,3,28),tblDaily[WardCode],"NICU")=0,"",SUMIFS(tblDaily[TransfersOut],tblDaily[EntryDate],DATE(2026,3,28),tblDaily[WardCode],"NICU")),"")</f>
        <v/>
      </c>
      <c r="H112" s="29">
        <f>IFERROR(IF(SUMIFS(tblDaily[Remaining],tblDaily[EntryDate],DATE(2026,3,28),tblDaily[WardCode],"NICU")=0,"",SUMIFS(tblDaily[Remaining],tblDaily[EntryDate],DATE(2026,3,28),tblDaily[WardCode],"NICU")),"")</f>
        <v>14</v>
      </c>
    </row>
    <row r="113" spans="1:8" x14ac:dyDescent="0.25">
      <c r="A113" s="29">
        <v>29</v>
      </c>
      <c r="B113" s="29">
        <f>IFERROR(IF(SUMIFS(tblDaily[Admissions],tblDaily[EntryDate],DATE(2026,3,29),tblDaily[WardCode],"NICU")=0,"",SUMIFS(tblDaily[Admissions],tblDaily[EntryDate],DATE(2026,3,29),tblDaily[WardCode],"NICU")),"")</f>
        <v>1</v>
      </c>
      <c r="C113" s="29">
        <f>IFERROR(IF(SUMIFS(tblDaily[Discharges],tblDaily[EntryDate],DATE(2026,3,29),tblDaily[WardCode],"NICU")=0,"",SUMIFS(tblDaily[Discharges],tblDaily[EntryDate],DATE(2026,3,29),tblDaily[WardCode],"NICU")),"")</f>
        <v>1</v>
      </c>
      <c r="D113" s="29" t="str">
        <f>IFERROR(IF(SUMIFS(tblDaily[Deaths],tblDaily[EntryDate],DATE(2026,3,29),tblDaily[WardCode],"NICU")=0,"",SUMIFS(tblDaily[Deaths],tblDaily[EntryDate],DATE(2026,3,29),tblDaily[WardCode],"NICU")),"")</f>
        <v/>
      </c>
      <c r="E113" s="29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29" t="str">
        <f>IFERROR(IF(SUMIFS(tblDaily[TransfersIn],tblDaily[EntryDate],DATE(2026,3,29),tblDaily[WardCode],"NICU")=0,"",SUMIFS(tblDaily[TransfersIn],tblDaily[EntryDate],DATE(2026,3,29),tblDaily[WardCode],"NICU")),"")</f>
        <v/>
      </c>
      <c r="G113" s="29" t="str">
        <f>IFERROR(IF(SUMIFS(tblDaily[TransfersOut],tblDaily[EntryDate],DATE(2026,3,29),tblDaily[WardCode],"NICU")=0,"",SUMIFS(tblDaily[TransfersOut],tblDaily[EntryDate],DATE(2026,3,29),tblDaily[WardCode],"NICU")),"")</f>
        <v/>
      </c>
      <c r="H113" s="29">
        <f>IFERROR(IF(SUMIFS(tblDaily[Remaining],tblDaily[EntryDate],DATE(2026,3,29),tblDaily[WardCode],"NICU")=0,"",SUMIFS(tblDaily[Remaining],tblDaily[EntryDate],DATE(2026,3,29),tblDaily[WardCode],"NICU")),"")</f>
        <v>14</v>
      </c>
    </row>
    <row r="114" spans="1:8" x14ac:dyDescent="0.25">
      <c r="A114" s="29">
        <v>30</v>
      </c>
      <c r="B114" s="29">
        <f>IFERROR(IF(SUMIFS(tblDaily[Admissions],tblDaily[EntryDate],DATE(2026,3,30),tblDaily[WardCode],"NICU")=0,"",SUMIFS(tblDaily[Admissions],tblDaily[EntryDate],DATE(2026,3,30),tblDaily[WardCode],"NICU")),"")</f>
        <v>1</v>
      </c>
      <c r="C114" s="29">
        <f>IFERROR(IF(SUMIFS(tblDaily[Discharges],tblDaily[EntryDate],DATE(2026,3,30),tblDaily[WardCode],"NICU")=0,"",SUMIFS(tblDaily[Discharges],tblDaily[EntryDate],DATE(2026,3,30),tblDaily[WardCode],"NICU")),"")</f>
        <v>2</v>
      </c>
      <c r="D114" s="29" t="str">
        <f>IFERROR(IF(SUMIFS(tblDaily[Deaths],tblDaily[EntryDate],DATE(2026,3,30),tblDaily[WardCode],"NICU")=0,"",SUMIFS(tblDaily[Deaths],tblDaily[EntryDate],DATE(2026,3,30),tblDaily[WardCode],"NICU")),"")</f>
        <v/>
      </c>
      <c r="E114" s="29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29" t="str">
        <f>IFERROR(IF(SUMIFS(tblDaily[TransfersIn],tblDaily[EntryDate],DATE(2026,3,30),tblDaily[WardCode],"NICU")=0,"",SUMIFS(tblDaily[TransfersIn],tblDaily[EntryDate],DATE(2026,3,30),tblDaily[WardCode],"NICU")),"")</f>
        <v/>
      </c>
      <c r="G114" s="29" t="str">
        <f>IFERROR(IF(SUMIFS(tblDaily[TransfersOut],tblDaily[EntryDate],DATE(2026,3,30),tblDaily[WardCode],"NICU")=0,"",SUMIFS(tblDaily[TransfersOut],tblDaily[EntryDate],DATE(2026,3,30),tblDaily[WardCode],"NICU")),"")</f>
        <v/>
      </c>
      <c r="H114" s="29">
        <f>IFERROR(IF(SUMIFS(tblDaily[Remaining],tblDaily[EntryDate],DATE(2026,3,30),tblDaily[WardCode],"NICU")=0,"",SUMIFS(tblDaily[Remaining],tblDaily[EntryDate],DATE(2026,3,30),tblDaily[WardCode],"NICU")),"")</f>
        <v>13</v>
      </c>
    </row>
    <row r="115" spans="1:8" x14ac:dyDescent="0.25">
      <c r="A115" s="29">
        <v>31</v>
      </c>
      <c r="B115" s="29" t="str">
        <f>IFERROR(IF(SUMIFS(tblDaily[Admissions],tblDaily[EntryDate],DATE(2026,3,31),tblDaily[WardCode],"NICU")=0,"",SUMIFS(tblDaily[Admissions],tblDaily[EntryDate],DATE(2026,3,31),tblDaily[WardCode],"NICU")),"")</f>
        <v/>
      </c>
      <c r="C115" s="29">
        <f>IFERROR(IF(SUMIFS(tblDaily[Discharges],tblDaily[EntryDate],DATE(2026,3,31),tblDaily[WardCode],"NICU")=0,"",SUMIFS(tblDaily[Discharges],tblDaily[EntryDate],DATE(2026,3,31),tblDaily[WardCode],"NICU")),"")</f>
        <v>4</v>
      </c>
      <c r="D115" s="29">
        <f>IFERROR(IF(SUMIFS(tblDaily[Deaths],tblDaily[EntryDate],DATE(2026,3,31),tblDaily[WardCode],"NICU")=0,"",SUMIFS(tblDaily[Deaths],tblDaily[EntryDate],DATE(2026,3,31),tblDaily[WardCode],"NICU")),"")</f>
        <v>1</v>
      </c>
      <c r="E115" s="29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29" t="str">
        <f>IFERROR(IF(SUMIFS(tblDaily[TransfersIn],tblDaily[EntryDate],DATE(2026,3,31),tblDaily[WardCode],"NICU")=0,"",SUMIFS(tblDaily[TransfersIn],tblDaily[EntryDate],DATE(2026,3,31),tblDaily[WardCode],"NICU")),"")</f>
        <v/>
      </c>
      <c r="G115" s="29" t="str">
        <f>IFERROR(IF(SUMIFS(tblDaily[TransfersOut],tblDaily[EntryDate],DATE(2026,3,31),tblDaily[WardCode],"NICU")=0,"",SUMIFS(tblDaily[TransfersOut],tblDaily[EntryDate],DATE(2026,3,31),tblDaily[WardCode],"NICU")),"")</f>
        <v/>
      </c>
      <c r="H115" s="29">
        <f>IFERROR(IF(SUMIFS(tblDaily[Remaining],tblDaily[EntryDate],DATE(2026,3,31),tblDaily[WardCode],"NICU")=0,"",SUMIFS(tblDaily[Remaining],tblDaily[EntryDate],DATE(2026,3,31),tblDaily[WardCode],"NICU")),"")</f>
        <v>8</v>
      </c>
    </row>
    <row r="116" spans="1:8" x14ac:dyDescent="0.25">
      <c r="A116" s="30" t="s">
        <v>115</v>
      </c>
      <c r="B116" s="30">
        <f>SUMIFS(tblDaily[Admissions],tblDaily[Month],3,tblDaily[WardCode],"NICU") - SUMIFS(tblDaily[DeathsUnder24Hrs],tblDaily[Month],3,tblDaily[WardCode],"NICU")</f>
        <v>54</v>
      </c>
      <c r="C116" s="30">
        <f>SUMIFS(tblDaily[Discharges],tblDaily[Month],3,tblDaily[WardCode],"NICU")</f>
        <v>60</v>
      </c>
      <c r="D116" s="30">
        <f>SUMIFS(tblDaily[Deaths],tblDaily[Month],3,tblDaily[WardCode],"NICU")</f>
        <v>4</v>
      </c>
      <c r="E116" s="30">
        <f>SUMIFS(tblDaily[DeathsUnder24Hrs],tblDaily[Month],3,tblDaily[WardCode],"NICU")</f>
        <v>0</v>
      </c>
      <c r="F116" s="30">
        <f>SUMIFS(tblDaily[TransfersIn],tblDaily[Month],3,tblDaily[WardCode],"NICU")</f>
        <v>0</v>
      </c>
      <c r="G116" s="30">
        <f>SUMIFS(tblDaily[TransfersOut],tblDaily[Month],3,tblDaily[WardCode],"NICU")</f>
        <v>0</v>
      </c>
      <c r="H116" s="30">
        <f>SUMIFS(tblDaily[Remaining],tblDaily[Month],3,tblDaily[WardCode],"NICU")</f>
        <v>446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121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IFERROR(SUMIFS(tblDaily[Remaining],tblDaily[EntryDate],DATE(2026,3,31),tblDaily[WardCode],"NICU"),0)</f>
        <v>8</v>
      </c>
    </row>
    <row r="122" spans="1:8" x14ac:dyDescent="0.25">
      <c r="A122" s="24" t="s">
        <v>109</v>
      </c>
      <c r="H122" s="27">
        <f>IFERROR(INDEX(tblWardConfig[BedComplement],MATCH("NICU",tblWardConfig[WardCode],0)),0)</f>
        <v>15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IFERROR(IF(SUMIFS(tblDaily[Admissions],tblDaily[EntryDate],DATE(2026,4,1),tblDaily[WardCode],"NICU")=0,"",SUMIFS(tblDaily[Admissions],tblDaily[EntryDate],DATE(2026,4,1),tblDaily[WardCode],"NICU")),"")</f>
        <v>1</v>
      </c>
      <c r="C124" s="29">
        <f>IFERROR(IF(SUMIFS(tblDaily[Discharges],tblDaily[EntryDate],DATE(2026,4,1),tblDaily[WardCode],"NICU")=0,"",SUMIFS(tblDaily[Discharges],tblDaily[EntryDate],DATE(2026,4,1),tblDaily[WardCode],"NICU")),"")</f>
        <v>2</v>
      </c>
      <c r="D124" s="29" t="str">
        <f>IFERROR(IF(SUMIFS(tblDaily[Deaths],tblDaily[EntryDate],DATE(2026,4,1),tblDaily[WardCode],"NICU")=0,"",SUMIFS(tblDaily[Deaths],tblDaily[EntryDate],DATE(2026,4,1),tblDaily[WardCode],"NICU")),"")</f>
        <v/>
      </c>
      <c r="E124" s="29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29" t="str">
        <f>IFERROR(IF(SUMIFS(tblDaily[TransfersIn],tblDaily[EntryDate],DATE(2026,4,1),tblDaily[WardCode],"NICU")=0,"",SUMIFS(tblDaily[TransfersIn],tblDaily[EntryDate],DATE(2026,4,1),tblDaily[WardCode],"NICU")),"")</f>
        <v/>
      </c>
      <c r="G124" s="29" t="str">
        <f>IFERROR(IF(SUMIFS(tblDaily[TransfersOut],tblDaily[EntryDate],DATE(2026,4,1),tblDaily[WardCode],"NICU")=0,"",SUMIFS(tblDaily[TransfersOut],tblDaily[EntryDate],DATE(2026,4,1),tblDaily[WardCode],"NICU")),"")</f>
        <v/>
      </c>
      <c r="H124" s="29">
        <f>IFERROR(IF(SUMIFS(tblDaily[Remaining],tblDaily[EntryDate],DATE(2026,4,1),tblDaily[WardCode],"NICU")=0,"",SUMIFS(tblDaily[Remaining],tblDaily[EntryDate],DATE(2026,4,1),tblDaily[WardCode],"NICU")),"")</f>
        <v>7</v>
      </c>
    </row>
    <row r="125" spans="1:8" x14ac:dyDescent="0.25">
      <c r="A125" s="29">
        <v>2</v>
      </c>
      <c r="B125" s="29">
        <f>IFERROR(IF(SUMIFS(tblDaily[Admissions],tblDaily[EntryDate],DATE(2026,4,2),tblDaily[WardCode],"NICU")=0,"",SUMIFS(tblDaily[Admissions],tblDaily[EntryDate],DATE(2026,4,2),tblDaily[WardCode],"NICU")),"")</f>
        <v>3</v>
      </c>
      <c r="C125" s="29">
        <f>IFERROR(IF(SUMIFS(tblDaily[Discharges],tblDaily[EntryDate],DATE(2026,4,2),tblDaily[WardCode],"NICU")=0,"",SUMIFS(tblDaily[Discharges],tblDaily[EntryDate],DATE(2026,4,2),tblDaily[WardCode],"NICU")),"")</f>
        <v>2</v>
      </c>
      <c r="D125" s="29" t="str">
        <f>IFERROR(IF(SUMIFS(tblDaily[Deaths],tblDaily[EntryDate],DATE(2026,4,2),tblDaily[WardCode],"NICU")=0,"",SUMIFS(tblDaily[Deaths],tblDaily[EntryDate],DATE(2026,4,2),tblDaily[WardCode],"NICU")),"")</f>
        <v/>
      </c>
      <c r="E125" s="29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29" t="str">
        <f>IFERROR(IF(SUMIFS(tblDaily[TransfersIn],tblDaily[EntryDate],DATE(2026,4,2),tblDaily[WardCode],"NICU")=0,"",SUMIFS(tblDaily[TransfersIn],tblDaily[EntryDate],DATE(2026,4,2),tblDaily[WardCode],"NICU")),"")</f>
        <v/>
      </c>
      <c r="G125" s="29" t="str">
        <f>IFERROR(IF(SUMIFS(tblDaily[TransfersOut],tblDaily[EntryDate],DATE(2026,4,2),tblDaily[WardCode],"NICU")=0,"",SUMIFS(tblDaily[TransfersOut],tblDaily[EntryDate],DATE(2026,4,2),tblDaily[WardCode],"NICU")),"")</f>
        <v/>
      </c>
      <c r="H125" s="29">
        <f>IFERROR(IF(SUMIFS(tblDaily[Remaining],tblDaily[EntryDate],DATE(2026,4,2),tblDaily[WardCode],"NICU")=0,"",SUMIFS(tblDaily[Remaining],tblDaily[EntryDate],DATE(2026,4,2),tblDaily[WardCode],"NICU")),"")</f>
        <v>8</v>
      </c>
    </row>
    <row r="126" spans="1:8" x14ac:dyDescent="0.25">
      <c r="A126" s="29">
        <v>3</v>
      </c>
      <c r="B126" s="29" t="str">
        <f>IFERROR(IF(SUMIFS(tblDaily[Admissions],tblDaily[EntryDate],DATE(2026,4,3),tblDaily[WardCode],"NICU")=0,"",SUMIFS(tblDaily[Admissions],tblDaily[EntryDate],DATE(2026,4,3),tblDaily[WardCode],"NICU")),"")</f>
        <v/>
      </c>
      <c r="C126" s="29">
        <f>IFERROR(IF(SUMIFS(tblDaily[Discharges],tblDaily[EntryDate],DATE(2026,4,3),tblDaily[WardCode],"NICU")=0,"",SUMIFS(tblDaily[Discharges],tblDaily[EntryDate],DATE(2026,4,3),tblDaily[WardCode],"NICU")),"")</f>
        <v>2</v>
      </c>
      <c r="D126" s="29" t="str">
        <f>IFERROR(IF(SUMIFS(tblDaily[Deaths],tblDaily[EntryDate],DATE(2026,4,3),tblDaily[WardCode],"NICU")=0,"",SUMIFS(tblDaily[Deaths],tblDaily[EntryDate],DATE(2026,4,3),tblDaily[WardCode],"NICU")),"")</f>
        <v/>
      </c>
      <c r="E126" s="29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29" t="str">
        <f>IFERROR(IF(SUMIFS(tblDaily[TransfersIn],tblDaily[EntryDate],DATE(2026,4,3),tblDaily[WardCode],"NICU")=0,"",SUMIFS(tblDaily[TransfersIn],tblDaily[EntryDate],DATE(2026,4,3),tblDaily[WardCode],"NICU")),"")</f>
        <v/>
      </c>
      <c r="G126" s="29" t="str">
        <f>IFERROR(IF(SUMIFS(tblDaily[TransfersOut],tblDaily[EntryDate],DATE(2026,4,3),tblDaily[WardCode],"NICU")=0,"",SUMIFS(tblDaily[TransfersOut],tblDaily[EntryDate],DATE(2026,4,3),tblDaily[WardCode],"NICU")),"")</f>
        <v/>
      </c>
      <c r="H126" s="29">
        <f>IFERROR(IF(SUMIFS(tblDaily[Remaining],tblDaily[EntryDate],DATE(2026,4,3),tblDaily[WardCode],"NICU")=0,"",SUMIFS(tblDaily[Remaining],tblDaily[EntryDate],DATE(2026,4,3),tblDaily[WardCode],"NICU")),"")</f>
        <v>6</v>
      </c>
    </row>
    <row r="127" spans="1:8" x14ac:dyDescent="0.25">
      <c r="A127" s="29">
        <v>4</v>
      </c>
      <c r="B127" s="29" t="str">
        <f>IFERROR(IF(SUMIFS(tblDaily[Admissions],tblDaily[EntryDate],DATE(2026,4,4),tblDaily[WardCode],"NICU")=0,"",SUMIFS(tblDaily[Admissions],tblDaily[EntryDate],DATE(2026,4,4),tblDaily[WardCode],"NICU")),"")</f>
        <v/>
      </c>
      <c r="C127" s="29">
        <f>IFERROR(IF(SUMIFS(tblDaily[Discharges],tblDaily[EntryDate],DATE(2026,4,4),tblDaily[WardCode],"NICU")=0,"",SUMIFS(tblDaily[Discharges],tblDaily[EntryDate],DATE(2026,4,4),tblDaily[WardCode],"NICU")),"")</f>
        <v>1</v>
      </c>
      <c r="D127" s="29" t="str">
        <f>IFERROR(IF(SUMIFS(tblDaily[Deaths],tblDaily[EntryDate],DATE(2026,4,4),tblDaily[WardCode],"NICU")=0,"",SUMIFS(tblDaily[Deaths],tblDaily[EntryDate],DATE(2026,4,4),tblDaily[WardCode],"NICU")),"")</f>
        <v/>
      </c>
      <c r="E127" s="29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29" t="str">
        <f>IFERROR(IF(SUMIFS(tblDaily[TransfersIn],tblDaily[EntryDate],DATE(2026,4,4),tblDaily[WardCode],"NICU")=0,"",SUMIFS(tblDaily[TransfersIn],tblDaily[EntryDate],DATE(2026,4,4),tblDaily[WardCode],"NICU")),"")</f>
        <v/>
      </c>
      <c r="G127" s="29" t="str">
        <f>IFERROR(IF(SUMIFS(tblDaily[TransfersOut],tblDaily[EntryDate],DATE(2026,4,4),tblDaily[WardCode],"NICU")=0,"",SUMIFS(tblDaily[TransfersOut],tblDaily[EntryDate],DATE(2026,4,4),tblDaily[WardCode],"NICU")),"")</f>
        <v/>
      </c>
      <c r="H127" s="29">
        <f>IFERROR(IF(SUMIFS(tblDaily[Remaining],tblDaily[EntryDate],DATE(2026,4,4),tblDaily[WardCode],"NICU")=0,"",SUMIFS(tblDaily[Remaining],tblDaily[EntryDate],DATE(2026,4,4),tblDaily[WardCode],"NICU")),"")</f>
        <v>5</v>
      </c>
    </row>
    <row r="128" spans="1:8" x14ac:dyDescent="0.25">
      <c r="A128" s="29">
        <v>5</v>
      </c>
      <c r="B128" s="29">
        <f>IFERROR(IF(SUMIFS(tblDaily[Admissions],tblDaily[EntryDate],DATE(2026,4,5),tblDaily[WardCode],"NICU")=0,"",SUMIFS(tblDaily[Admissions],tblDaily[EntryDate],DATE(2026,4,5),tblDaily[WardCode],"NICU")),"")</f>
        <v>1</v>
      </c>
      <c r="C128" s="29" t="str">
        <f>IFERROR(IF(SUMIFS(tblDaily[Discharges],tblDaily[EntryDate],DATE(2026,4,5),tblDaily[WardCode],"NICU")=0,"",SUMIFS(tblDaily[Discharges],tblDaily[EntryDate],DATE(2026,4,5),tblDaily[WardCode],"NICU")),"")</f>
        <v/>
      </c>
      <c r="D128" s="29" t="str">
        <f>IFERROR(IF(SUMIFS(tblDaily[Deaths],tblDaily[EntryDate],DATE(2026,4,5),tblDaily[WardCode],"NICU")=0,"",SUMIFS(tblDaily[Deaths],tblDaily[EntryDate],DATE(2026,4,5),tblDaily[WardCode],"NICU")),"")</f>
        <v/>
      </c>
      <c r="E128" s="29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29" t="str">
        <f>IFERROR(IF(SUMIFS(tblDaily[TransfersIn],tblDaily[EntryDate],DATE(2026,4,5),tblDaily[WardCode],"NICU")=0,"",SUMIFS(tblDaily[TransfersIn],tblDaily[EntryDate],DATE(2026,4,5),tblDaily[WardCode],"NICU")),"")</f>
        <v/>
      </c>
      <c r="G128" s="29" t="str">
        <f>IFERROR(IF(SUMIFS(tblDaily[TransfersOut],tblDaily[EntryDate],DATE(2026,4,5),tblDaily[WardCode],"NICU")=0,"",SUMIFS(tblDaily[TransfersOut],tblDaily[EntryDate],DATE(2026,4,5),tblDaily[WardCode],"NICU")),"")</f>
        <v/>
      </c>
      <c r="H128" s="29">
        <f>IFERROR(IF(SUMIFS(tblDaily[Remaining],tblDaily[EntryDate],DATE(2026,4,5),tblDaily[WardCode],"NICU")=0,"",SUMIFS(tblDaily[Remaining],tblDaily[EntryDate],DATE(2026,4,5),tblDaily[WardCode],"NICU")),"")</f>
        <v>6</v>
      </c>
    </row>
    <row r="129" spans="1:8" x14ac:dyDescent="0.25">
      <c r="A129" s="29">
        <v>6</v>
      </c>
      <c r="B129" s="29">
        <f>IFERROR(IF(SUMIFS(tblDaily[Admissions],tblDaily[EntryDate],DATE(2026,4,6),tblDaily[WardCode],"NICU")=0,"",SUMIFS(tblDaily[Admissions],tblDaily[EntryDate],DATE(2026,4,6),tblDaily[WardCode],"NICU")),"")</f>
        <v>2</v>
      </c>
      <c r="C129" s="29">
        <f>IFERROR(IF(SUMIFS(tblDaily[Discharges],tblDaily[EntryDate],DATE(2026,4,6),tblDaily[WardCode],"NICU")=0,"",SUMIFS(tblDaily[Discharges],tblDaily[EntryDate],DATE(2026,4,6),tblDaily[WardCode],"NICU")),"")</f>
        <v>1</v>
      </c>
      <c r="D129" s="29" t="str">
        <f>IFERROR(IF(SUMIFS(tblDaily[Deaths],tblDaily[EntryDate],DATE(2026,4,6),tblDaily[WardCode],"NICU")=0,"",SUMIFS(tblDaily[Deaths],tblDaily[EntryDate],DATE(2026,4,6),tblDaily[WardCode],"NICU")),"")</f>
        <v/>
      </c>
      <c r="E129" s="29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29" t="str">
        <f>IFERROR(IF(SUMIFS(tblDaily[TransfersIn],tblDaily[EntryDate],DATE(2026,4,6),tblDaily[WardCode],"NICU")=0,"",SUMIFS(tblDaily[TransfersIn],tblDaily[EntryDate],DATE(2026,4,6),tblDaily[WardCode],"NICU")),"")</f>
        <v/>
      </c>
      <c r="G129" s="29" t="str">
        <f>IFERROR(IF(SUMIFS(tblDaily[TransfersOut],tblDaily[EntryDate],DATE(2026,4,6),tblDaily[WardCode],"NICU")=0,"",SUMIFS(tblDaily[TransfersOut],tblDaily[EntryDate],DATE(2026,4,6),tblDaily[WardCode],"NICU")),"")</f>
        <v/>
      </c>
      <c r="H129" s="29">
        <f>IFERROR(IF(SUMIFS(tblDaily[Remaining],tblDaily[EntryDate],DATE(2026,4,6),tblDaily[WardCode],"NICU")=0,"",SUMIFS(tblDaily[Remaining],tblDaily[EntryDate],DATE(2026,4,6),tblDaily[WardCode],"NICU")),"")</f>
        <v>7</v>
      </c>
    </row>
    <row r="130" spans="1:8" x14ac:dyDescent="0.25">
      <c r="A130" s="29">
        <v>7</v>
      </c>
      <c r="B130" s="29" t="str">
        <f>IFERROR(IF(SUMIFS(tblDaily[Admissions],tblDaily[EntryDate],DATE(2026,4,7),tblDaily[WardCode],"NICU")=0,"",SUMIFS(tblDaily[Admissions],tblDaily[EntryDate],DATE(2026,4,7),tblDaily[WardCode],"NICU")),"")</f>
        <v/>
      </c>
      <c r="C130" s="29" t="str">
        <f>IFERROR(IF(SUMIFS(tblDaily[Discharges],tblDaily[EntryDate],DATE(2026,4,7),tblDaily[WardCode],"NICU")=0,"",SUMIFS(tblDaily[Discharges],tblDaily[EntryDate],DATE(2026,4,7),tblDaily[WardCode],"NICU")),"")</f>
        <v/>
      </c>
      <c r="D130" s="29" t="str">
        <f>IFERROR(IF(SUMIFS(tblDaily[Deaths],tblDaily[EntryDate],DATE(2026,4,7),tblDaily[WardCode],"NICU")=0,"",SUMIFS(tblDaily[Deaths],tblDaily[EntryDate],DATE(2026,4,7),tblDaily[WardCode],"NICU")),"")</f>
        <v/>
      </c>
      <c r="E130" s="29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29" t="str">
        <f>IFERROR(IF(SUMIFS(tblDaily[TransfersIn],tblDaily[EntryDate],DATE(2026,4,7),tblDaily[WardCode],"NICU")=0,"",SUMIFS(tblDaily[TransfersIn],tblDaily[EntryDate],DATE(2026,4,7),tblDaily[WardCode],"NICU")),"")</f>
        <v/>
      </c>
      <c r="G130" s="29" t="str">
        <f>IFERROR(IF(SUMIFS(tblDaily[TransfersOut],tblDaily[EntryDate],DATE(2026,4,7),tblDaily[WardCode],"NICU")=0,"",SUMIFS(tblDaily[TransfersOut],tblDaily[EntryDate],DATE(2026,4,7),tblDaily[WardCode],"NICU")),"")</f>
        <v/>
      </c>
      <c r="H130" s="29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IFERROR(IF(SUMIFS(tblDaily[Admissions],tblDaily[EntryDate],DATE(2026,4,8),tblDaily[WardCode],"NICU")=0,"",SUMIFS(tblDaily[Admissions],tblDaily[EntryDate],DATE(2026,4,8),tblDaily[WardCode],"NICU")),"")</f>
        <v/>
      </c>
      <c r="C131" s="29" t="str">
        <f>IFERROR(IF(SUMIFS(tblDaily[Discharges],tblDaily[EntryDate],DATE(2026,4,8),tblDaily[WardCode],"NICU")=0,"",SUMIFS(tblDaily[Discharges],tblDaily[EntryDate],DATE(2026,4,8),tblDaily[WardCode],"NICU")),"")</f>
        <v/>
      </c>
      <c r="D131" s="29" t="str">
        <f>IFERROR(IF(SUMIFS(tblDaily[Deaths],tblDaily[EntryDate],DATE(2026,4,8),tblDaily[WardCode],"NICU")=0,"",SUMIFS(tblDaily[Deaths],tblDaily[EntryDate],DATE(2026,4,8),tblDaily[WardCode],"NICU")),"")</f>
        <v/>
      </c>
      <c r="E131" s="29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29" t="str">
        <f>IFERROR(IF(SUMIFS(tblDaily[TransfersIn],tblDaily[EntryDate],DATE(2026,4,8),tblDaily[WardCode],"NICU")=0,"",SUMIFS(tblDaily[TransfersIn],tblDaily[EntryDate],DATE(2026,4,8),tblDaily[WardCode],"NICU")),"")</f>
        <v/>
      </c>
      <c r="G131" s="29" t="str">
        <f>IFERROR(IF(SUMIFS(tblDaily[TransfersOut],tblDaily[EntryDate],DATE(2026,4,8),tblDaily[WardCode],"NICU")=0,"",SUMIFS(tblDaily[TransfersOut],tblDaily[EntryDate],DATE(2026,4,8),tblDaily[WardCode],"NICU")),"")</f>
        <v/>
      </c>
      <c r="H131" s="29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IFERROR(IF(SUMIFS(tblDaily[Admissions],tblDaily[EntryDate],DATE(2026,4,9),tblDaily[WardCode],"NICU")=0,"",SUMIFS(tblDaily[Admissions],tblDaily[EntryDate],DATE(2026,4,9),tblDaily[WardCode],"NICU")),"")</f>
        <v/>
      </c>
      <c r="C132" s="29" t="str">
        <f>IFERROR(IF(SUMIFS(tblDaily[Discharges],tblDaily[EntryDate],DATE(2026,4,9),tblDaily[WardCode],"NICU")=0,"",SUMIFS(tblDaily[Discharges],tblDaily[EntryDate],DATE(2026,4,9),tblDaily[WardCode],"NICU")),"")</f>
        <v/>
      </c>
      <c r="D132" s="29" t="str">
        <f>IFERROR(IF(SUMIFS(tblDaily[Deaths],tblDaily[EntryDate],DATE(2026,4,9),tblDaily[WardCode],"NICU")=0,"",SUMIFS(tblDaily[Deaths],tblDaily[EntryDate],DATE(2026,4,9),tblDaily[WardCode],"NICU")),"")</f>
        <v/>
      </c>
      <c r="E132" s="29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29" t="str">
        <f>IFERROR(IF(SUMIFS(tblDaily[TransfersIn],tblDaily[EntryDate],DATE(2026,4,9),tblDaily[WardCode],"NICU")=0,"",SUMIFS(tblDaily[TransfersIn],tblDaily[EntryDate],DATE(2026,4,9),tblDaily[WardCode],"NICU")),"")</f>
        <v/>
      </c>
      <c r="G132" s="29" t="str">
        <f>IFERROR(IF(SUMIFS(tblDaily[TransfersOut],tblDaily[EntryDate],DATE(2026,4,9),tblDaily[WardCode],"NICU")=0,"",SUMIFS(tblDaily[TransfersOut],tblDaily[EntryDate],DATE(2026,4,9),tblDaily[WardCode],"NICU")),"")</f>
        <v/>
      </c>
      <c r="H132" s="29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IFERROR(IF(SUMIFS(tblDaily[Admissions],tblDaily[EntryDate],DATE(2026,4,10),tblDaily[WardCode],"NICU")=0,"",SUMIFS(tblDaily[Admissions],tblDaily[EntryDate],DATE(2026,4,10),tblDaily[WardCode],"NICU")),"")</f>
        <v/>
      </c>
      <c r="C133" s="29" t="str">
        <f>IFERROR(IF(SUMIFS(tblDaily[Discharges],tblDaily[EntryDate],DATE(2026,4,10),tblDaily[WardCode],"NICU")=0,"",SUMIFS(tblDaily[Discharges],tblDaily[EntryDate],DATE(2026,4,10),tblDaily[WardCode],"NICU")),"")</f>
        <v/>
      </c>
      <c r="D133" s="29" t="str">
        <f>IFERROR(IF(SUMIFS(tblDaily[Deaths],tblDaily[EntryDate],DATE(2026,4,10),tblDaily[WardCode],"NICU")=0,"",SUMIFS(tblDaily[Deaths],tblDaily[EntryDate],DATE(2026,4,10),tblDaily[WardCode],"NICU")),"")</f>
        <v/>
      </c>
      <c r="E133" s="29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29" t="str">
        <f>IFERROR(IF(SUMIFS(tblDaily[TransfersIn],tblDaily[EntryDate],DATE(2026,4,10),tblDaily[WardCode],"NICU")=0,"",SUMIFS(tblDaily[TransfersIn],tblDaily[EntryDate],DATE(2026,4,10),tblDaily[WardCode],"NICU")),"")</f>
        <v/>
      </c>
      <c r="G133" s="29" t="str">
        <f>IFERROR(IF(SUMIFS(tblDaily[TransfersOut],tblDaily[EntryDate],DATE(2026,4,10),tblDaily[WardCode],"NICU")=0,"",SUMIFS(tblDaily[TransfersOut],tblDaily[EntryDate],DATE(2026,4,10),tblDaily[WardCode],"NICU")),"")</f>
        <v/>
      </c>
      <c r="H133" s="29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IFERROR(IF(SUMIFS(tblDaily[Admissions],tblDaily[EntryDate],DATE(2026,4,11),tblDaily[WardCode],"NICU")=0,"",SUMIFS(tblDaily[Admissions],tblDaily[EntryDate],DATE(2026,4,11),tblDaily[WardCode],"NICU")),"")</f>
        <v/>
      </c>
      <c r="C134" s="29" t="str">
        <f>IFERROR(IF(SUMIFS(tblDaily[Discharges],tblDaily[EntryDate],DATE(2026,4,11),tblDaily[WardCode],"NICU")=0,"",SUMIFS(tblDaily[Discharges],tblDaily[EntryDate],DATE(2026,4,11),tblDaily[WardCode],"NICU")),"")</f>
        <v/>
      </c>
      <c r="D134" s="29" t="str">
        <f>IFERROR(IF(SUMIFS(tblDaily[Deaths],tblDaily[EntryDate],DATE(2026,4,11),tblDaily[WardCode],"NICU")=0,"",SUMIFS(tblDaily[Deaths],tblDaily[EntryDate],DATE(2026,4,11),tblDaily[WardCode],"NICU")),"")</f>
        <v/>
      </c>
      <c r="E134" s="29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29" t="str">
        <f>IFERROR(IF(SUMIFS(tblDaily[TransfersIn],tblDaily[EntryDate],DATE(2026,4,11),tblDaily[WardCode],"NICU")=0,"",SUMIFS(tblDaily[TransfersIn],tblDaily[EntryDate],DATE(2026,4,11),tblDaily[WardCode],"NICU")),"")</f>
        <v/>
      </c>
      <c r="G134" s="29" t="str">
        <f>IFERROR(IF(SUMIFS(tblDaily[TransfersOut],tblDaily[EntryDate],DATE(2026,4,11),tblDaily[WardCode],"NICU")=0,"",SUMIFS(tblDaily[TransfersOut],tblDaily[EntryDate],DATE(2026,4,11),tblDaily[WardCode],"NICU")),"")</f>
        <v/>
      </c>
      <c r="H134" s="29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IFERROR(IF(SUMIFS(tblDaily[Admissions],tblDaily[EntryDate],DATE(2026,4,12),tblDaily[WardCode],"NICU")=0,"",SUMIFS(tblDaily[Admissions],tblDaily[EntryDate],DATE(2026,4,12),tblDaily[WardCode],"NICU")),"")</f>
        <v/>
      </c>
      <c r="C135" s="29" t="str">
        <f>IFERROR(IF(SUMIFS(tblDaily[Discharges],tblDaily[EntryDate],DATE(2026,4,12),tblDaily[WardCode],"NICU")=0,"",SUMIFS(tblDaily[Discharges],tblDaily[EntryDate],DATE(2026,4,12),tblDaily[WardCode],"NICU")),"")</f>
        <v/>
      </c>
      <c r="D135" s="29" t="str">
        <f>IFERROR(IF(SUMIFS(tblDaily[Deaths],tblDaily[EntryDate],DATE(2026,4,12),tblDaily[WardCode],"NICU")=0,"",SUMIFS(tblDaily[Deaths],tblDaily[EntryDate],DATE(2026,4,12),tblDaily[WardCode],"NICU")),"")</f>
        <v/>
      </c>
      <c r="E135" s="29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29" t="str">
        <f>IFERROR(IF(SUMIFS(tblDaily[TransfersIn],tblDaily[EntryDate],DATE(2026,4,12),tblDaily[WardCode],"NICU")=0,"",SUMIFS(tblDaily[TransfersIn],tblDaily[EntryDate],DATE(2026,4,12),tblDaily[WardCode],"NICU")),"")</f>
        <v/>
      </c>
      <c r="G135" s="29" t="str">
        <f>IFERROR(IF(SUMIFS(tblDaily[TransfersOut],tblDaily[EntryDate],DATE(2026,4,12),tblDaily[WardCode],"NICU")=0,"",SUMIFS(tblDaily[TransfersOut],tblDaily[EntryDate],DATE(2026,4,12),tblDaily[WardCode],"NICU")),"")</f>
        <v/>
      </c>
      <c r="H135" s="29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IFERROR(IF(SUMIFS(tblDaily[Admissions],tblDaily[EntryDate],DATE(2026,4,13),tblDaily[WardCode],"NICU")=0,"",SUMIFS(tblDaily[Admissions],tblDaily[EntryDate],DATE(2026,4,13),tblDaily[WardCode],"NICU")),"")</f>
        <v/>
      </c>
      <c r="C136" s="29" t="str">
        <f>IFERROR(IF(SUMIFS(tblDaily[Discharges],tblDaily[EntryDate],DATE(2026,4,13),tblDaily[WardCode],"NICU")=0,"",SUMIFS(tblDaily[Discharges],tblDaily[EntryDate],DATE(2026,4,13),tblDaily[WardCode],"NICU")),"")</f>
        <v/>
      </c>
      <c r="D136" s="29" t="str">
        <f>IFERROR(IF(SUMIFS(tblDaily[Deaths],tblDaily[EntryDate],DATE(2026,4,13),tblDaily[WardCode],"NICU")=0,"",SUMIFS(tblDaily[Deaths],tblDaily[EntryDate],DATE(2026,4,13),tblDaily[WardCode],"NICU")),"")</f>
        <v/>
      </c>
      <c r="E136" s="29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29" t="str">
        <f>IFERROR(IF(SUMIFS(tblDaily[TransfersIn],tblDaily[EntryDate],DATE(2026,4,13),tblDaily[WardCode],"NICU")=0,"",SUMIFS(tblDaily[TransfersIn],tblDaily[EntryDate],DATE(2026,4,13),tblDaily[WardCode],"NICU")),"")</f>
        <v/>
      </c>
      <c r="G136" s="29" t="str">
        <f>IFERROR(IF(SUMIFS(tblDaily[TransfersOut],tblDaily[EntryDate],DATE(2026,4,13),tblDaily[WardCode],"NICU")=0,"",SUMIFS(tblDaily[TransfersOut],tblDaily[EntryDate],DATE(2026,4,13),tblDaily[WardCode],"NICU")),"")</f>
        <v/>
      </c>
      <c r="H136" s="29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IFERROR(IF(SUMIFS(tblDaily[Admissions],tblDaily[EntryDate],DATE(2026,4,14),tblDaily[WardCode],"NICU")=0,"",SUMIFS(tblDaily[Admissions],tblDaily[EntryDate],DATE(2026,4,14),tblDaily[WardCode],"NICU")),"")</f>
        <v/>
      </c>
      <c r="C137" s="29" t="str">
        <f>IFERROR(IF(SUMIFS(tblDaily[Discharges],tblDaily[EntryDate],DATE(2026,4,14),tblDaily[WardCode],"NICU")=0,"",SUMIFS(tblDaily[Discharges],tblDaily[EntryDate],DATE(2026,4,14),tblDaily[WardCode],"NICU")),"")</f>
        <v/>
      </c>
      <c r="D137" s="29" t="str">
        <f>IFERROR(IF(SUMIFS(tblDaily[Deaths],tblDaily[EntryDate],DATE(2026,4,14),tblDaily[WardCode],"NICU")=0,"",SUMIFS(tblDaily[Deaths],tblDaily[EntryDate],DATE(2026,4,14),tblDaily[WardCode],"NICU")),"")</f>
        <v/>
      </c>
      <c r="E137" s="29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29" t="str">
        <f>IFERROR(IF(SUMIFS(tblDaily[TransfersIn],tblDaily[EntryDate],DATE(2026,4,14),tblDaily[WardCode],"NICU")=0,"",SUMIFS(tblDaily[TransfersIn],tblDaily[EntryDate],DATE(2026,4,14),tblDaily[WardCode],"NICU")),"")</f>
        <v/>
      </c>
      <c r="G137" s="29" t="str">
        <f>IFERROR(IF(SUMIFS(tblDaily[TransfersOut],tblDaily[EntryDate],DATE(2026,4,14),tblDaily[WardCode],"NICU")=0,"",SUMIFS(tblDaily[TransfersOut],tblDaily[EntryDate],DATE(2026,4,14),tblDaily[WardCode],"NICU")),"")</f>
        <v/>
      </c>
      <c r="H137" s="29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IFERROR(IF(SUMIFS(tblDaily[Admissions],tblDaily[EntryDate],DATE(2026,4,15),tblDaily[WardCode],"NICU")=0,"",SUMIFS(tblDaily[Admissions],tblDaily[EntryDate],DATE(2026,4,15),tblDaily[WardCode],"NICU")),"")</f>
        <v/>
      </c>
      <c r="C138" s="29" t="str">
        <f>IFERROR(IF(SUMIFS(tblDaily[Discharges],tblDaily[EntryDate],DATE(2026,4,15),tblDaily[WardCode],"NICU")=0,"",SUMIFS(tblDaily[Discharges],tblDaily[EntryDate],DATE(2026,4,15),tblDaily[WardCode],"NICU")),"")</f>
        <v/>
      </c>
      <c r="D138" s="29" t="str">
        <f>IFERROR(IF(SUMIFS(tblDaily[Deaths],tblDaily[EntryDate],DATE(2026,4,15),tblDaily[WardCode],"NICU")=0,"",SUMIFS(tblDaily[Deaths],tblDaily[EntryDate],DATE(2026,4,15),tblDaily[WardCode],"NICU")),"")</f>
        <v/>
      </c>
      <c r="E138" s="29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29" t="str">
        <f>IFERROR(IF(SUMIFS(tblDaily[TransfersIn],tblDaily[EntryDate],DATE(2026,4,15),tblDaily[WardCode],"NICU")=0,"",SUMIFS(tblDaily[TransfersIn],tblDaily[EntryDate],DATE(2026,4,15),tblDaily[WardCode],"NICU")),"")</f>
        <v/>
      </c>
      <c r="G138" s="29" t="str">
        <f>IFERROR(IF(SUMIFS(tblDaily[TransfersOut],tblDaily[EntryDate],DATE(2026,4,15),tblDaily[WardCode],"NICU")=0,"",SUMIFS(tblDaily[TransfersOut],tblDaily[EntryDate],DATE(2026,4,15),tblDaily[WardCode],"NICU")),"")</f>
        <v/>
      </c>
      <c r="H138" s="29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IFERROR(IF(SUMIFS(tblDaily[Admissions],tblDaily[EntryDate],DATE(2026,4,16),tblDaily[WardCode],"NICU")=0,"",SUMIFS(tblDaily[Admissions],tblDaily[EntryDate],DATE(2026,4,16),tblDaily[WardCode],"NICU")),"")</f>
        <v/>
      </c>
      <c r="C139" s="29" t="str">
        <f>IFERROR(IF(SUMIFS(tblDaily[Discharges],tblDaily[EntryDate],DATE(2026,4,16),tblDaily[WardCode],"NICU")=0,"",SUMIFS(tblDaily[Discharges],tblDaily[EntryDate],DATE(2026,4,16),tblDaily[WardCode],"NICU")),"")</f>
        <v/>
      </c>
      <c r="D139" s="29" t="str">
        <f>IFERROR(IF(SUMIFS(tblDaily[Deaths],tblDaily[EntryDate],DATE(2026,4,16),tblDaily[WardCode],"NICU")=0,"",SUMIFS(tblDaily[Deaths],tblDaily[EntryDate],DATE(2026,4,16),tblDaily[WardCode],"NICU")),"")</f>
        <v/>
      </c>
      <c r="E139" s="29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29" t="str">
        <f>IFERROR(IF(SUMIFS(tblDaily[TransfersIn],tblDaily[EntryDate],DATE(2026,4,16),tblDaily[WardCode],"NICU")=0,"",SUMIFS(tblDaily[TransfersIn],tblDaily[EntryDate],DATE(2026,4,16),tblDaily[WardCode],"NICU")),"")</f>
        <v/>
      </c>
      <c r="G139" s="29" t="str">
        <f>IFERROR(IF(SUMIFS(tblDaily[TransfersOut],tblDaily[EntryDate],DATE(2026,4,16),tblDaily[WardCode],"NICU")=0,"",SUMIFS(tblDaily[TransfersOut],tblDaily[EntryDate],DATE(2026,4,16),tblDaily[WardCode],"NICU")),"")</f>
        <v/>
      </c>
      <c r="H139" s="29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IFERROR(IF(SUMIFS(tblDaily[Admissions],tblDaily[EntryDate],DATE(2026,4,17),tblDaily[WardCode],"NICU")=0,"",SUMIFS(tblDaily[Admissions],tblDaily[EntryDate],DATE(2026,4,17),tblDaily[WardCode],"NICU")),"")</f>
        <v/>
      </c>
      <c r="C140" s="29" t="str">
        <f>IFERROR(IF(SUMIFS(tblDaily[Discharges],tblDaily[EntryDate],DATE(2026,4,17),tblDaily[WardCode],"NICU")=0,"",SUMIFS(tblDaily[Discharges],tblDaily[EntryDate],DATE(2026,4,17),tblDaily[WardCode],"NICU")),"")</f>
        <v/>
      </c>
      <c r="D140" s="29" t="str">
        <f>IFERROR(IF(SUMIFS(tblDaily[Deaths],tblDaily[EntryDate],DATE(2026,4,17),tblDaily[WardCode],"NICU")=0,"",SUMIFS(tblDaily[Deaths],tblDaily[EntryDate],DATE(2026,4,17),tblDaily[WardCode],"NICU")),"")</f>
        <v/>
      </c>
      <c r="E140" s="29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29" t="str">
        <f>IFERROR(IF(SUMIFS(tblDaily[TransfersIn],tblDaily[EntryDate],DATE(2026,4,17),tblDaily[WardCode],"NICU")=0,"",SUMIFS(tblDaily[TransfersIn],tblDaily[EntryDate],DATE(2026,4,17),tblDaily[WardCode],"NICU")),"")</f>
        <v/>
      </c>
      <c r="G140" s="29" t="str">
        <f>IFERROR(IF(SUMIFS(tblDaily[TransfersOut],tblDaily[EntryDate],DATE(2026,4,17),tblDaily[WardCode],"NICU")=0,"",SUMIFS(tblDaily[TransfersOut],tblDaily[EntryDate],DATE(2026,4,17),tblDaily[WardCode],"NICU")),"")</f>
        <v/>
      </c>
      <c r="H140" s="29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IFERROR(IF(SUMIFS(tblDaily[Admissions],tblDaily[EntryDate],DATE(2026,4,18),tblDaily[WardCode],"NICU")=0,"",SUMIFS(tblDaily[Admissions],tblDaily[EntryDate],DATE(2026,4,18),tblDaily[WardCode],"NICU")),"")</f>
        <v/>
      </c>
      <c r="C141" s="29" t="str">
        <f>IFERROR(IF(SUMIFS(tblDaily[Discharges],tblDaily[EntryDate],DATE(2026,4,18),tblDaily[WardCode],"NICU")=0,"",SUMIFS(tblDaily[Discharges],tblDaily[EntryDate],DATE(2026,4,18),tblDaily[WardCode],"NICU")),"")</f>
        <v/>
      </c>
      <c r="D141" s="29" t="str">
        <f>IFERROR(IF(SUMIFS(tblDaily[Deaths],tblDaily[EntryDate],DATE(2026,4,18),tblDaily[WardCode],"NICU")=0,"",SUMIFS(tblDaily[Deaths],tblDaily[EntryDate],DATE(2026,4,18),tblDaily[WardCode],"NICU")),"")</f>
        <v/>
      </c>
      <c r="E141" s="29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29" t="str">
        <f>IFERROR(IF(SUMIFS(tblDaily[TransfersIn],tblDaily[EntryDate],DATE(2026,4,18),tblDaily[WardCode],"NICU")=0,"",SUMIFS(tblDaily[TransfersIn],tblDaily[EntryDate],DATE(2026,4,18),tblDaily[WardCode],"NICU")),"")</f>
        <v/>
      </c>
      <c r="G141" s="29" t="str">
        <f>IFERROR(IF(SUMIFS(tblDaily[TransfersOut],tblDaily[EntryDate],DATE(2026,4,18),tblDaily[WardCode],"NICU")=0,"",SUMIFS(tblDaily[TransfersOut],tblDaily[EntryDate],DATE(2026,4,18),tblDaily[WardCode],"NICU")),"")</f>
        <v/>
      </c>
      <c r="H141" s="29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IFERROR(IF(SUMIFS(tblDaily[Admissions],tblDaily[EntryDate],DATE(2026,4,19),tblDaily[WardCode],"NICU")=0,"",SUMIFS(tblDaily[Admissions],tblDaily[EntryDate],DATE(2026,4,19),tblDaily[WardCode],"NICU")),"")</f>
        <v/>
      </c>
      <c r="C142" s="29" t="str">
        <f>IFERROR(IF(SUMIFS(tblDaily[Discharges],tblDaily[EntryDate],DATE(2026,4,19),tblDaily[WardCode],"NICU")=0,"",SUMIFS(tblDaily[Discharges],tblDaily[EntryDate],DATE(2026,4,19),tblDaily[WardCode],"NICU")),"")</f>
        <v/>
      </c>
      <c r="D142" s="29" t="str">
        <f>IFERROR(IF(SUMIFS(tblDaily[Deaths],tblDaily[EntryDate],DATE(2026,4,19),tblDaily[WardCode],"NICU")=0,"",SUMIFS(tblDaily[Deaths],tblDaily[EntryDate],DATE(2026,4,19),tblDaily[WardCode],"NICU")),"")</f>
        <v/>
      </c>
      <c r="E142" s="29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29" t="str">
        <f>IFERROR(IF(SUMIFS(tblDaily[TransfersIn],tblDaily[EntryDate],DATE(2026,4,19),tblDaily[WardCode],"NICU")=0,"",SUMIFS(tblDaily[TransfersIn],tblDaily[EntryDate],DATE(2026,4,19),tblDaily[WardCode],"NICU")),"")</f>
        <v/>
      </c>
      <c r="G142" s="29" t="str">
        <f>IFERROR(IF(SUMIFS(tblDaily[TransfersOut],tblDaily[EntryDate],DATE(2026,4,19),tblDaily[WardCode],"NICU")=0,"",SUMIFS(tblDaily[TransfersOut],tblDaily[EntryDate],DATE(2026,4,19),tblDaily[WardCode],"NICU")),"")</f>
        <v/>
      </c>
      <c r="H142" s="29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IFERROR(IF(SUMIFS(tblDaily[Admissions],tblDaily[EntryDate],DATE(2026,4,20),tblDaily[WardCode],"NICU")=0,"",SUMIFS(tblDaily[Admissions],tblDaily[EntryDate],DATE(2026,4,20),tblDaily[WardCode],"NICU")),"")</f>
        <v/>
      </c>
      <c r="C143" s="29" t="str">
        <f>IFERROR(IF(SUMIFS(tblDaily[Discharges],tblDaily[EntryDate],DATE(2026,4,20),tblDaily[WardCode],"NICU")=0,"",SUMIFS(tblDaily[Discharges],tblDaily[EntryDate],DATE(2026,4,20),tblDaily[WardCode],"NICU")),"")</f>
        <v/>
      </c>
      <c r="D143" s="29" t="str">
        <f>IFERROR(IF(SUMIFS(tblDaily[Deaths],tblDaily[EntryDate],DATE(2026,4,20),tblDaily[WardCode],"NICU")=0,"",SUMIFS(tblDaily[Deaths],tblDaily[EntryDate],DATE(2026,4,20),tblDaily[WardCode],"NICU")),"")</f>
        <v/>
      </c>
      <c r="E143" s="29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29" t="str">
        <f>IFERROR(IF(SUMIFS(tblDaily[TransfersIn],tblDaily[EntryDate],DATE(2026,4,20),tblDaily[WardCode],"NICU")=0,"",SUMIFS(tblDaily[TransfersIn],tblDaily[EntryDate],DATE(2026,4,20),tblDaily[WardCode],"NICU")),"")</f>
        <v/>
      </c>
      <c r="G143" s="29" t="str">
        <f>IFERROR(IF(SUMIFS(tblDaily[TransfersOut],tblDaily[EntryDate],DATE(2026,4,20),tblDaily[WardCode],"NICU")=0,"",SUMIFS(tblDaily[TransfersOut],tblDaily[EntryDate],DATE(2026,4,20),tblDaily[WardCode],"NICU")),"")</f>
        <v/>
      </c>
      <c r="H143" s="29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IFERROR(IF(SUMIFS(tblDaily[Admissions],tblDaily[EntryDate],DATE(2026,4,21),tblDaily[WardCode],"NICU")=0,"",SUMIFS(tblDaily[Admissions],tblDaily[EntryDate],DATE(2026,4,21),tblDaily[WardCode],"NICU")),"")</f>
        <v/>
      </c>
      <c r="C144" s="29" t="str">
        <f>IFERROR(IF(SUMIFS(tblDaily[Discharges],tblDaily[EntryDate],DATE(2026,4,21),tblDaily[WardCode],"NICU")=0,"",SUMIFS(tblDaily[Discharges],tblDaily[EntryDate],DATE(2026,4,21),tblDaily[WardCode],"NICU")),"")</f>
        <v/>
      </c>
      <c r="D144" s="29" t="str">
        <f>IFERROR(IF(SUMIFS(tblDaily[Deaths],tblDaily[EntryDate],DATE(2026,4,21),tblDaily[WardCode],"NICU")=0,"",SUMIFS(tblDaily[Deaths],tblDaily[EntryDate],DATE(2026,4,21),tblDaily[WardCode],"NICU")),"")</f>
        <v/>
      </c>
      <c r="E144" s="29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29" t="str">
        <f>IFERROR(IF(SUMIFS(tblDaily[TransfersIn],tblDaily[EntryDate],DATE(2026,4,21),tblDaily[WardCode],"NICU")=0,"",SUMIFS(tblDaily[TransfersIn],tblDaily[EntryDate],DATE(2026,4,21),tblDaily[WardCode],"NICU")),"")</f>
        <v/>
      </c>
      <c r="G144" s="29" t="str">
        <f>IFERROR(IF(SUMIFS(tblDaily[TransfersOut],tblDaily[EntryDate],DATE(2026,4,21),tblDaily[WardCode],"NICU")=0,"",SUMIFS(tblDaily[TransfersOut],tblDaily[EntryDate],DATE(2026,4,21),tblDaily[WardCode],"NICU")),"")</f>
        <v/>
      </c>
      <c r="H144" s="29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IFERROR(IF(SUMIFS(tblDaily[Admissions],tblDaily[EntryDate],DATE(2026,4,22),tblDaily[WardCode],"NICU")=0,"",SUMIFS(tblDaily[Admissions],tblDaily[EntryDate],DATE(2026,4,22),tblDaily[WardCode],"NICU")),"")</f>
        <v/>
      </c>
      <c r="C145" s="29" t="str">
        <f>IFERROR(IF(SUMIFS(tblDaily[Discharges],tblDaily[EntryDate],DATE(2026,4,22),tblDaily[WardCode],"NICU")=0,"",SUMIFS(tblDaily[Discharges],tblDaily[EntryDate],DATE(2026,4,22),tblDaily[WardCode],"NICU")),"")</f>
        <v/>
      </c>
      <c r="D145" s="29" t="str">
        <f>IFERROR(IF(SUMIFS(tblDaily[Deaths],tblDaily[EntryDate],DATE(2026,4,22),tblDaily[WardCode],"NICU")=0,"",SUMIFS(tblDaily[Deaths],tblDaily[EntryDate],DATE(2026,4,22),tblDaily[WardCode],"NICU")),"")</f>
        <v/>
      </c>
      <c r="E145" s="29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29" t="str">
        <f>IFERROR(IF(SUMIFS(tblDaily[TransfersIn],tblDaily[EntryDate],DATE(2026,4,22),tblDaily[WardCode],"NICU")=0,"",SUMIFS(tblDaily[TransfersIn],tblDaily[EntryDate],DATE(2026,4,22),tblDaily[WardCode],"NICU")),"")</f>
        <v/>
      </c>
      <c r="G145" s="29" t="str">
        <f>IFERROR(IF(SUMIFS(tblDaily[TransfersOut],tblDaily[EntryDate],DATE(2026,4,22),tblDaily[WardCode],"NICU")=0,"",SUMIFS(tblDaily[TransfersOut],tblDaily[EntryDate],DATE(2026,4,22),tblDaily[WardCode],"NICU")),"")</f>
        <v/>
      </c>
      <c r="H145" s="29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IFERROR(IF(SUMIFS(tblDaily[Admissions],tblDaily[EntryDate],DATE(2026,4,23),tblDaily[WardCode],"NICU")=0,"",SUMIFS(tblDaily[Admissions],tblDaily[EntryDate],DATE(2026,4,23),tblDaily[WardCode],"NICU")),"")</f>
        <v/>
      </c>
      <c r="C146" s="29" t="str">
        <f>IFERROR(IF(SUMIFS(tblDaily[Discharges],tblDaily[EntryDate],DATE(2026,4,23),tblDaily[WardCode],"NICU")=0,"",SUMIFS(tblDaily[Discharges],tblDaily[EntryDate],DATE(2026,4,23),tblDaily[WardCode],"NICU")),"")</f>
        <v/>
      </c>
      <c r="D146" s="29" t="str">
        <f>IFERROR(IF(SUMIFS(tblDaily[Deaths],tblDaily[EntryDate],DATE(2026,4,23),tblDaily[WardCode],"NICU")=0,"",SUMIFS(tblDaily[Deaths],tblDaily[EntryDate],DATE(2026,4,23),tblDaily[WardCode],"NICU")),"")</f>
        <v/>
      </c>
      <c r="E146" s="29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29" t="str">
        <f>IFERROR(IF(SUMIFS(tblDaily[TransfersIn],tblDaily[EntryDate],DATE(2026,4,23),tblDaily[WardCode],"NICU")=0,"",SUMIFS(tblDaily[TransfersIn],tblDaily[EntryDate],DATE(2026,4,23),tblDaily[WardCode],"NICU")),"")</f>
        <v/>
      </c>
      <c r="G146" s="29" t="str">
        <f>IFERROR(IF(SUMIFS(tblDaily[TransfersOut],tblDaily[EntryDate],DATE(2026,4,23),tblDaily[WardCode],"NICU")=0,"",SUMIFS(tblDaily[TransfersOut],tblDaily[EntryDate],DATE(2026,4,23),tblDaily[WardCode],"NICU")),"")</f>
        <v/>
      </c>
      <c r="H146" s="29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IFERROR(IF(SUMIFS(tblDaily[Admissions],tblDaily[EntryDate],DATE(2026,4,24),tblDaily[WardCode],"NICU")=0,"",SUMIFS(tblDaily[Admissions],tblDaily[EntryDate],DATE(2026,4,24),tblDaily[WardCode],"NICU")),"")</f>
        <v/>
      </c>
      <c r="C147" s="29" t="str">
        <f>IFERROR(IF(SUMIFS(tblDaily[Discharges],tblDaily[EntryDate],DATE(2026,4,24),tblDaily[WardCode],"NICU")=0,"",SUMIFS(tblDaily[Discharges],tblDaily[EntryDate],DATE(2026,4,24),tblDaily[WardCode],"NICU")),"")</f>
        <v/>
      </c>
      <c r="D147" s="29" t="str">
        <f>IFERROR(IF(SUMIFS(tblDaily[Deaths],tblDaily[EntryDate],DATE(2026,4,24),tblDaily[WardCode],"NICU")=0,"",SUMIFS(tblDaily[Deaths],tblDaily[EntryDate],DATE(2026,4,24),tblDaily[WardCode],"NICU")),"")</f>
        <v/>
      </c>
      <c r="E147" s="29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29" t="str">
        <f>IFERROR(IF(SUMIFS(tblDaily[TransfersIn],tblDaily[EntryDate],DATE(2026,4,24),tblDaily[WardCode],"NICU")=0,"",SUMIFS(tblDaily[TransfersIn],tblDaily[EntryDate],DATE(2026,4,24),tblDaily[WardCode],"NICU")),"")</f>
        <v/>
      </c>
      <c r="G147" s="29" t="str">
        <f>IFERROR(IF(SUMIFS(tblDaily[TransfersOut],tblDaily[EntryDate],DATE(2026,4,24),tblDaily[WardCode],"NICU")=0,"",SUMIFS(tblDaily[TransfersOut],tblDaily[EntryDate],DATE(2026,4,24),tblDaily[WardCode],"NICU")),"")</f>
        <v/>
      </c>
      <c r="H147" s="29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IFERROR(IF(SUMIFS(tblDaily[Admissions],tblDaily[EntryDate],DATE(2026,4,25),tblDaily[WardCode],"NICU")=0,"",SUMIFS(tblDaily[Admissions],tblDaily[EntryDate],DATE(2026,4,25),tblDaily[WardCode],"NICU")),"")</f>
        <v/>
      </c>
      <c r="C148" s="29" t="str">
        <f>IFERROR(IF(SUMIFS(tblDaily[Discharges],tblDaily[EntryDate],DATE(2026,4,25),tblDaily[WardCode],"NICU")=0,"",SUMIFS(tblDaily[Discharges],tblDaily[EntryDate],DATE(2026,4,25),tblDaily[WardCode],"NICU")),"")</f>
        <v/>
      </c>
      <c r="D148" s="29" t="str">
        <f>IFERROR(IF(SUMIFS(tblDaily[Deaths],tblDaily[EntryDate],DATE(2026,4,25),tblDaily[WardCode],"NICU")=0,"",SUMIFS(tblDaily[Deaths],tblDaily[EntryDate],DATE(2026,4,25),tblDaily[WardCode],"NICU")),"")</f>
        <v/>
      </c>
      <c r="E148" s="29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29" t="str">
        <f>IFERROR(IF(SUMIFS(tblDaily[TransfersIn],tblDaily[EntryDate],DATE(2026,4,25),tblDaily[WardCode],"NICU")=0,"",SUMIFS(tblDaily[TransfersIn],tblDaily[EntryDate],DATE(2026,4,25),tblDaily[WardCode],"NICU")),"")</f>
        <v/>
      </c>
      <c r="G148" s="29" t="str">
        <f>IFERROR(IF(SUMIFS(tblDaily[TransfersOut],tblDaily[EntryDate],DATE(2026,4,25),tblDaily[WardCode],"NICU")=0,"",SUMIFS(tblDaily[TransfersOut],tblDaily[EntryDate],DATE(2026,4,25),tblDaily[WardCode],"NICU")),"")</f>
        <v/>
      </c>
      <c r="H148" s="29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IFERROR(IF(SUMIFS(tblDaily[Admissions],tblDaily[EntryDate],DATE(2026,4,26),tblDaily[WardCode],"NICU")=0,"",SUMIFS(tblDaily[Admissions],tblDaily[EntryDate],DATE(2026,4,26),tblDaily[WardCode],"NICU")),"")</f>
        <v/>
      </c>
      <c r="C149" s="29" t="str">
        <f>IFERROR(IF(SUMIFS(tblDaily[Discharges],tblDaily[EntryDate],DATE(2026,4,26),tblDaily[WardCode],"NICU")=0,"",SUMIFS(tblDaily[Discharges],tblDaily[EntryDate],DATE(2026,4,26),tblDaily[WardCode],"NICU")),"")</f>
        <v/>
      </c>
      <c r="D149" s="29" t="str">
        <f>IFERROR(IF(SUMIFS(tblDaily[Deaths],tblDaily[EntryDate],DATE(2026,4,26),tblDaily[WardCode],"NICU")=0,"",SUMIFS(tblDaily[Deaths],tblDaily[EntryDate],DATE(2026,4,26),tblDaily[WardCode],"NICU")),"")</f>
        <v/>
      </c>
      <c r="E149" s="29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29" t="str">
        <f>IFERROR(IF(SUMIFS(tblDaily[TransfersIn],tblDaily[EntryDate],DATE(2026,4,26),tblDaily[WardCode],"NICU")=0,"",SUMIFS(tblDaily[TransfersIn],tblDaily[EntryDate],DATE(2026,4,26),tblDaily[WardCode],"NICU")),"")</f>
        <v/>
      </c>
      <c r="G149" s="29" t="str">
        <f>IFERROR(IF(SUMIFS(tblDaily[TransfersOut],tblDaily[EntryDate],DATE(2026,4,26),tblDaily[WardCode],"NICU")=0,"",SUMIFS(tblDaily[TransfersOut],tblDaily[EntryDate],DATE(2026,4,26),tblDaily[WardCode],"NICU")),"")</f>
        <v/>
      </c>
      <c r="H149" s="29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IFERROR(IF(SUMIFS(tblDaily[Admissions],tblDaily[EntryDate],DATE(2026,4,27),tblDaily[WardCode],"NICU")=0,"",SUMIFS(tblDaily[Admissions],tblDaily[EntryDate],DATE(2026,4,27),tblDaily[WardCode],"NICU")),"")</f>
        <v/>
      </c>
      <c r="C150" s="29" t="str">
        <f>IFERROR(IF(SUMIFS(tblDaily[Discharges],tblDaily[EntryDate],DATE(2026,4,27),tblDaily[WardCode],"NICU")=0,"",SUMIFS(tblDaily[Discharges],tblDaily[EntryDate],DATE(2026,4,27),tblDaily[WardCode],"NICU")),"")</f>
        <v/>
      </c>
      <c r="D150" s="29" t="str">
        <f>IFERROR(IF(SUMIFS(tblDaily[Deaths],tblDaily[EntryDate],DATE(2026,4,27),tblDaily[WardCode],"NICU")=0,"",SUMIFS(tblDaily[Deaths],tblDaily[EntryDate],DATE(2026,4,27),tblDaily[WardCode],"NICU")),"")</f>
        <v/>
      </c>
      <c r="E150" s="29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29" t="str">
        <f>IFERROR(IF(SUMIFS(tblDaily[TransfersIn],tblDaily[EntryDate],DATE(2026,4,27),tblDaily[WardCode],"NICU")=0,"",SUMIFS(tblDaily[TransfersIn],tblDaily[EntryDate],DATE(2026,4,27),tblDaily[WardCode],"NICU")),"")</f>
        <v/>
      </c>
      <c r="G150" s="29" t="str">
        <f>IFERROR(IF(SUMIFS(tblDaily[TransfersOut],tblDaily[EntryDate],DATE(2026,4,27),tblDaily[WardCode],"NICU")=0,"",SUMIFS(tblDaily[TransfersOut],tblDaily[EntryDate],DATE(2026,4,27),tblDaily[WardCode],"NICU")),"")</f>
        <v/>
      </c>
      <c r="H150" s="29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IFERROR(IF(SUMIFS(tblDaily[Admissions],tblDaily[EntryDate],DATE(2026,4,28),tblDaily[WardCode],"NICU")=0,"",SUMIFS(tblDaily[Admissions],tblDaily[EntryDate],DATE(2026,4,28),tblDaily[WardCode],"NICU")),"")</f>
        <v/>
      </c>
      <c r="C151" s="29" t="str">
        <f>IFERROR(IF(SUMIFS(tblDaily[Discharges],tblDaily[EntryDate],DATE(2026,4,28),tblDaily[WardCode],"NICU")=0,"",SUMIFS(tblDaily[Discharges],tblDaily[EntryDate],DATE(2026,4,28),tblDaily[WardCode],"NICU")),"")</f>
        <v/>
      </c>
      <c r="D151" s="29" t="str">
        <f>IFERROR(IF(SUMIFS(tblDaily[Deaths],tblDaily[EntryDate],DATE(2026,4,28),tblDaily[WardCode],"NICU")=0,"",SUMIFS(tblDaily[Deaths],tblDaily[EntryDate],DATE(2026,4,28),tblDaily[WardCode],"NICU")),"")</f>
        <v/>
      </c>
      <c r="E151" s="29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29" t="str">
        <f>IFERROR(IF(SUMIFS(tblDaily[TransfersIn],tblDaily[EntryDate],DATE(2026,4,28),tblDaily[WardCode],"NICU")=0,"",SUMIFS(tblDaily[TransfersIn],tblDaily[EntryDate],DATE(2026,4,28),tblDaily[WardCode],"NICU")),"")</f>
        <v/>
      </c>
      <c r="G151" s="29" t="str">
        <f>IFERROR(IF(SUMIFS(tblDaily[TransfersOut],tblDaily[EntryDate],DATE(2026,4,28),tblDaily[WardCode],"NICU")=0,"",SUMIFS(tblDaily[TransfersOut],tblDaily[EntryDate],DATE(2026,4,28),tblDaily[WardCode],"NICU")),"")</f>
        <v/>
      </c>
      <c r="H151" s="29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IFERROR(IF(SUMIFS(tblDaily[Admissions],tblDaily[EntryDate],DATE(2026,4,29),tblDaily[WardCode],"NICU")=0,"",SUMIFS(tblDaily[Admissions],tblDaily[EntryDate],DATE(2026,4,29),tblDaily[WardCode],"NICU")),"")</f>
        <v/>
      </c>
      <c r="C152" s="29" t="str">
        <f>IFERROR(IF(SUMIFS(tblDaily[Discharges],tblDaily[EntryDate],DATE(2026,4,29),tblDaily[WardCode],"NICU")=0,"",SUMIFS(tblDaily[Discharges],tblDaily[EntryDate],DATE(2026,4,29),tblDaily[WardCode],"NICU")),"")</f>
        <v/>
      </c>
      <c r="D152" s="29" t="str">
        <f>IFERROR(IF(SUMIFS(tblDaily[Deaths],tblDaily[EntryDate],DATE(2026,4,29),tblDaily[WardCode],"NICU")=0,"",SUMIFS(tblDaily[Deaths],tblDaily[EntryDate],DATE(2026,4,29),tblDaily[WardCode],"NICU")),"")</f>
        <v/>
      </c>
      <c r="E152" s="29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29" t="str">
        <f>IFERROR(IF(SUMIFS(tblDaily[TransfersIn],tblDaily[EntryDate],DATE(2026,4,29),tblDaily[WardCode],"NICU")=0,"",SUMIFS(tblDaily[TransfersIn],tblDaily[EntryDate],DATE(2026,4,29),tblDaily[WardCode],"NICU")),"")</f>
        <v/>
      </c>
      <c r="G152" s="29" t="str">
        <f>IFERROR(IF(SUMIFS(tblDaily[TransfersOut],tblDaily[EntryDate],DATE(2026,4,29),tblDaily[WardCode],"NICU")=0,"",SUMIFS(tblDaily[TransfersOut],tblDaily[EntryDate],DATE(2026,4,29),tblDaily[WardCode],"NICU")),"")</f>
        <v/>
      </c>
      <c r="H152" s="29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IFERROR(IF(SUMIFS(tblDaily[Admissions],tblDaily[EntryDate],DATE(2026,4,30),tblDaily[WardCode],"NICU")=0,"",SUMIFS(tblDaily[Admissions],tblDaily[EntryDate],DATE(2026,4,30),tblDaily[WardCode],"NICU")),"")</f>
        <v/>
      </c>
      <c r="C153" s="29" t="str">
        <f>IFERROR(IF(SUMIFS(tblDaily[Discharges],tblDaily[EntryDate],DATE(2026,4,30),tblDaily[WardCode],"NICU")=0,"",SUMIFS(tblDaily[Discharges],tblDaily[EntryDate],DATE(2026,4,30),tblDaily[WardCode],"NICU")),"")</f>
        <v/>
      </c>
      <c r="D153" s="29" t="str">
        <f>IFERROR(IF(SUMIFS(tblDaily[Deaths],tblDaily[EntryDate],DATE(2026,4,30),tblDaily[WardCode],"NICU")=0,"",SUMIFS(tblDaily[Deaths],tblDaily[EntryDate],DATE(2026,4,30),tblDaily[WardCode],"NICU")),"")</f>
        <v/>
      </c>
      <c r="E153" s="29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29" t="str">
        <f>IFERROR(IF(SUMIFS(tblDaily[TransfersIn],tblDaily[EntryDate],DATE(2026,4,30),tblDaily[WardCode],"NICU")=0,"",SUMIFS(tblDaily[TransfersIn],tblDaily[EntryDate],DATE(2026,4,30),tblDaily[WardCode],"NICU")),"")</f>
        <v/>
      </c>
      <c r="G153" s="29" t="str">
        <f>IFERROR(IF(SUMIFS(tblDaily[TransfersOut],tblDaily[EntryDate],DATE(2026,4,30),tblDaily[WardCode],"NICU")=0,"",SUMIFS(tblDaily[TransfersOut],tblDaily[EntryDate],DATE(2026,4,30),tblDaily[WardCode],"NICU")),"")</f>
        <v/>
      </c>
      <c r="H153" s="29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SUMIFS(tblDaily[Admissions],tblDaily[Month],4,tblDaily[WardCode],"NICU") - SUMIFS(tblDaily[DeathsUnder24Hrs],tblDaily[Month],4,tblDaily[WardCode],"NICU")</f>
        <v>7</v>
      </c>
      <c r="C155" s="30">
        <f>SUMIFS(tblDaily[Discharges],tblDaily[Month],4,tblDaily[WardCode],"NICU")</f>
        <v>8</v>
      </c>
      <c r="D155" s="30">
        <f>SUMIFS(tblDaily[Deaths],tblDaily[Month],4,tblDaily[WardCode],"NICU")</f>
        <v>0</v>
      </c>
      <c r="E155" s="30">
        <f>SUMIFS(tblDaily[DeathsUnder24Hrs],tblDaily[Month],4,tblDaily[WardCode],"NICU")</f>
        <v>0</v>
      </c>
      <c r="F155" s="30">
        <f>SUMIFS(tblDaily[TransfersIn],tblDaily[Month],4,tblDaily[WardCode],"NICU")</f>
        <v>0</v>
      </c>
      <c r="G155" s="30">
        <f>SUMIFS(tblDaily[TransfersOut],tblDaily[Month],4,tblDaily[WardCode],"NICU")</f>
        <v>0</v>
      </c>
      <c r="H155" s="30">
        <f>SUMIFS(tblDaily[Remaining],tblDaily[Month],4,tblDaily[WardCode],"NICU")</f>
        <v>39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121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IFERROR(SUMIFS(tblDaily[Remaining],tblDaily[EntryDate],DATE(2026,4,30),tblDaily[WardCode],"NICU"),0)</f>
        <v>0</v>
      </c>
    </row>
    <row r="161" spans="1:8" x14ac:dyDescent="0.25">
      <c r="A161" s="24" t="s">
        <v>109</v>
      </c>
      <c r="H161" s="27">
        <f>IFERROR(INDEX(tblWardConfig[BedComplement],MATCH("NICU",tblWardConfig[WardCode],0)),0)</f>
        <v>15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IFERROR(IF(SUMIFS(tblDaily[Admissions],tblDaily[EntryDate],DATE(2026,5,1),tblDaily[WardCode],"NICU")=0,"",SUMIFS(tblDaily[Admissions],tblDaily[EntryDate],DATE(2026,5,1),tblDaily[WardCode],"NICU")),"")</f>
        <v/>
      </c>
      <c r="C163" s="29" t="str">
        <f>IFERROR(IF(SUMIFS(tblDaily[Discharges],tblDaily[EntryDate],DATE(2026,5,1),tblDaily[WardCode],"NICU")=0,"",SUMIFS(tblDaily[Discharges],tblDaily[EntryDate],DATE(2026,5,1),tblDaily[WardCode],"NICU")),"")</f>
        <v/>
      </c>
      <c r="D163" s="29" t="str">
        <f>IFERROR(IF(SUMIFS(tblDaily[Deaths],tblDaily[EntryDate],DATE(2026,5,1),tblDaily[WardCode],"NICU")=0,"",SUMIFS(tblDaily[Deaths],tblDaily[EntryDate],DATE(2026,5,1),tblDaily[WardCode],"NICU")),"")</f>
        <v/>
      </c>
      <c r="E163" s="29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29" t="str">
        <f>IFERROR(IF(SUMIFS(tblDaily[TransfersIn],tblDaily[EntryDate],DATE(2026,5,1),tblDaily[WardCode],"NICU")=0,"",SUMIFS(tblDaily[TransfersIn],tblDaily[EntryDate],DATE(2026,5,1),tblDaily[WardCode],"NICU")),"")</f>
        <v/>
      </c>
      <c r="G163" s="29" t="str">
        <f>IFERROR(IF(SUMIFS(tblDaily[TransfersOut],tblDaily[EntryDate],DATE(2026,5,1),tblDaily[WardCode],"NICU")=0,"",SUMIFS(tblDaily[TransfersOut],tblDaily[EntryDate],DATE(2026,5,1),tblDaily[WardCode],"NICU")),"")</f>
        <v/>
      </c>
      <c r="H163" s="29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IFERROR(IF(SUMIFS(tblDaily[Admissions],tblDaily[EntryDate],DATE(2026,5,2),tblDaily[WardCode],"NICU")=0,"",SUMIFS(tblDaily[Admissions],tblDaily[EntryDate],DATE(2026,5,2),tblDaily[WardCode],"NICU")),"")</f>
        <v/>
      </c>
      <c r="C164" s="29" t="str">
        <f>IFERROR(IF(SUMIFS(tblDaily[Discharges],tblDaily[EntryDate],DATE(2026,5,2),tblDaily[WardCode],"NICU")=0,"",SUMIFS(tblDaily[Discharges],tblDaily[EntryDate],DATE(2026,5,2),tblDaily[WardCode],"NICU")),"")</f>
        <v/>
      </c>
      <c r="D164" s="29" t="str">
        <f>IFERROR(IF(SUMIFS(tblDaily[Deaths],tblDaily[EntryDate],DATE(2026,5,2),tblDaily[WardCode],"NICU")=0,"",SUMIFS(tblDaily[Deaths],tblDaily[EntryDate],DATE(2026,5,2),tblDaily[WardCode],"NICU")),"")</f>
        <v/>
      </c>
      <c r="E164" s="29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29" t="str">
        <f>IFERROR(IF(SUMIFS(tblDaily[TransfersIn],tblDaily[EntryDate],DATE(2026,5,2),tblDaily[WardCode],"NICU")=0,"",SUMIFS(tblDaily[TransfersIn],tblDaily[EntryDate],DATE(2026,5,2),tblDaily[WardCode],"NICU")),"")</f>
        <v/>
      </c>
      <c r="G164" s="29" t="str">
        <f>IFERROR(IF(SUMIFS(tblDaily[TransfersOut],tblDaily[EntryDate],DATE(2026,5,2),tblDaily[WardCode],"NICU")=0,"",SUMIFS(tblDaily[TransfersOut],tblDaily[EntryDate],DATE(2026,5,2),tblDaily[WardCode],"NICU")),"")</f>
        <v/>
      </c>
      <c r="H164" s="29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IFERROR(IF(SUMIFS(tblDaily[Admissions],tblDaily[EntryDate],DATE(2026,5,3),tblDaily[WardCode],"NICU")=0,"",SUMIFS(tblDaily[Admissions],tblDaily[EntryDate],DATE(2026,5,3),tblDaily[WardCode],"NICU")),"")</f>
        <v/>
      </c>
      <c r="C165" s="29" t="str">
        <f>IFERROR(IF(SUMIFS(tblDaily[Discharges],tblDaily[EntryDate],DATE(2026,5,3),tblDaily[WardCode],"NICU")=0,"",SUMIFS(tblDaily[Discharges],tblDaily[EntryDate],DATE(2026,5,3),tblDaily[WardCode],"NICU")),"")</f>
        <v/>
      </c>
      <c r="D165" s="29" t="str">
        <f>IFERROR(IF(SUMIFS(tblDaily[Deaths],tblDaily[EntryDate],DATE(2026,5,3),tblDaily[WardCode],"NICU")=0,"",SUMIFS(tblDaily[Deaths],tblDaily[EntryDate],DATE(2026,5,3),tblDaily[WardCode],"NICU")),"")</f>
        <v/>
      </c>
      <c r="E165" s="29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29" t="str">
        <f>IFERROR(IF(SUMIFS(tblDaily[TransfersIn],tblDaily[EntryDate],DATE(2026,5,3),tblDaily[WardCode],"NICU")=0,"",SUMIFS(tblDaily[TransfersIn],tblDaily[EntryDate],DATE(2026,5,3),tblDaily[WardCode],"NICU")),"")</f>
        <v/>
      </c>
      <c r="G165" s="29" t="str">
        <f>IFERROR(IF(SUMIFS(tblDaily[TransfersOut],tblDaily[EntryDate],DATE(2026,5,3),tblDaily[WardCode],"NICU")=0,"",SUMIFS(tblDaily[TransfersOut],tblDaily[EntryDate],DATE(2026,5,3),tblDaily[WardCode],"NICU")),"")</f>
        <v/>
      </c>
      <c r="H165" s="29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IFERROR(IF(SUMIFS(tblDaily[Admissions],tblDaily[EntryDate],DATE(2026,5,4),tblDaily[WardCode],"NICU")=0,"",SUMIFS(tblDaily[Admissions],tblDaily[EntryDate],DATE(2026,5,4),tblDaily[WardCode],"NICU")),"")</f>
        <v/>
      </c>
      <c r="C166" s="29" t="str">
        <f>IFERROR(IF(SUMIFS(tblDaily[Discharges],tblDaily[EntryDate],DATE(2026,5,4),tblDaily[WardCode],"NICU")=0,"",SUMIFS(tblDaily[Discharges],tblDaily[EntryDate],DATE(2026,5,4),tblDaily[WardCode],"NICU")),"")</f>
        <v/>
      </c>
      <c r="D166" s="29" t="str">
        <f>IFERROR(IF(SUMIFS(tblDaily[Deaths],tblDaily[EntryDate],DATE(2026,5,4),tblDaily[WardCode],"NICU")=0,"",SUMIFS(tblDaily[Deaths],tblDaily[EntryDate],DATE(2026,5,4),tblDaily[WardCode],"NICU")),"")</f>
        <v/>
      </c>
      <c r="E166" s="29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29" t="str">
        <f>IFERROR(IF(SUMIFS(tblDaily[TransfersIn],tblDaily[EntryDate],DATE(2026,5,4),tblDaily[WardCode],"NICU")=0,"",SUMIFS(tblDaily[TransfersIn],tblDaily[EntryDate],DATE(2026,5,4),tblDaily[WardCode],"NICU")),"")</f>
        <v/>
      </c>
      <c r="G166" s="29" t="str">
        <f>IFERROR(IF(SUMIFS(tblDaily[TransfersOut],tblDaily[EntryDate],DATE(2026,5,4),tblDaily[WardCode],"NICU")=0,"",SUMIFS(tblDaily[TransfersOut],tblDaily[EntryDate],DATE(2026,5,4),tblDaily[WardCode],"NICU")),"")</f>
        <v/>
      </c>
      <c r="H166" s="29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IFERROR(IF(SUMIFS(tblDaily[Admissions],tblDaily[EntryDate],DATE(2026,5,5),tblDaily[WardCode],"NICU")=0,"",SUMIFS(tblDaily[Admissions],tblDaily[EntryDate],DATE(2026,5,5),tblDaily[WardCode],"NICU")),"")</f>
        <v/>
      </c>
      <c r="C167" s="29" t="str">
        <f>IFERROR(IF(SUMIFS(tblDaily[Discharges],tblDaily[EntryDate],DATE(2026,5,5),tblDaily[WardCode],"NICU")=0,"",SUMIFS(tblDaily[Discharges],tblDaily[EntryDate],DATE(2026,5,5),tblDaily[WardCode],"NICU")),"")</f>
        <v/>
      </c>
      <c r="D167" s="29" t="str">
        <f>IFERROR(IF(SUMIFS(tblDaily[Deaths],tblDaily[EntryDate],DATE(2026,5,5),tblDaily[WardCode],"NICU")=0,"",SUMIFS(tblDaily[Deaths],tblDaily[EntryDate],DATE(2026,5,5),tblDaily[WardCode],"NICU")),"")</f>
        <v/>
      </c>
      <c r="E167" s="29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29" t="str">
        <f>IFERROR(IF(SUMIFS(tblDaily[TransfersIn],tblDaily[EntryDate],DATE(2026,5,5),tblDaily[WardCode],"NICU")=0,"",SUMIFS(tblDaily[TransfersIn],tblDaily[EntryDate],DATE(2026,5,5),tblDaily[WardCode],"NICU")),"")</f>
        <v/>
      </c>
      <c r="G167" s="29" t="str">
        <f>IFERROR(IF(SUMIFS(tblDaily[TransfersOut],tblDaily[EntryDate],DATE(2026,5,5),tblDaily[WardCode],"NICU")=0,"",SUMIFS(tblDaily[TransfersOut],tblDaily[EntryDate],DATE(2026,5,5),tblDaily[WardCode],"NICU")),"")</f>
        <v/>
      </c>
      <c r="H167" s="29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IFERROR(IF(SUMIFS(tblDaily[Admissions],tblDaily[EntryDate],DATE(2026,5,6),tblDaily[WardCode],"NICU")=0,"",SUMIFS(tblDaily[Admissions],tblDaily[EntryDate],DATE(2026,5,6),tblDaily[WardCode],"NICU")),"")</f>
        <v/>
      </c>
      <c r="C168" s="29" t="str">
        <f>IFERROR(IF(SUMIFS(tblDaily[Discharges],tblDaily[EntryDate],DATE(2026,5,6),tblDaily[WardCode],"NICU")=0,"",SUMIFS(tblDaily[Discharges],tblDaily[EntryDate],DATE(2026,5,6),tblDaily[WardCode],"NICU")),"")</f>
        <v/>
      </c>
      <c r="D168" s="29" t="str">
        <f>IFERROR(IF(SUMIFS(tblDaily[Deaths],tblDaily[EntryDate],DATE(2026,5,6),tblDaily[WardCode],"NICU")=0,"",SUMIFS(tblDaily[Deaths],tblDaily[EntryDate],DATE(2026,5,6),tblDaily[WardCode],"NICU")),"")</f>
        <v/>
      </c>
      <c r="E168" s="29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29" t="str">
        <f>IFERROR(IF(SUMIFS(tblDaily[TransfersIn],tblDaily[EntryDate],DATE(2026,5,6),tblDaily[WardCode],"NICU")=0,"",SUMIFS(tblDaily[TransfersIn],tblDaily[EntryDate],DATE(2026,5,6),tblDaily[WardCode],"NICU")),"")</f>
        <v/>
      </c>
      <c r="G168" s="29" t="str">
        <f>IFERROR(IF(SUMIFS(tblDaily[TransfersOut],tblDaily[EntryDate],DATE(2026,5,6),tblDaily[WardCode],"NICU")=0,"",SUMIFS(tblDaily[TransfersOut],tblDaily[EntryDate],DATE(2026,5,6),tblDaily[WardCode],"NICU")),"")</f>
        <v/>
      </c>
      <c r="H168" s="29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IFERROR(IF(SUMIFS(tblDaily[Admissions],tblDaily[EntryDate],DATE(2026,5,7),tblDaily[WardCode],"NICU")=0,"",SUMIFS(tblDaily[Admissions],tblDaily[EntryDate],DATE(2026,5,7),tblDaily[WardCode],"NICU")),"")</f>
        <v/>
      </c>
      <c r="C169" s="29" t="str">
        <f>IFERROR(IF(SUMIFS(tblDaily[Discharges],tblDaily[EntryDate],DATE(2026,5,7),tblDaily[WardCode],"NICU")=0,"",SUMIFS(tblDaily[Discharges],tblDaily[EntryDate],DATE(2026,5,7),tblDaily[WardCode],"NICU")),"")</f>
        <v/>
      </c>
      <c r="D169" s="29" t="str">
        <f>IFERROR(IF(SUMIFS(tblDaily[Deaths],tblDaily[EntryDate],DATE(2026,5,7),tblDaily[WardCode],"NICU")=0,"",SUMIFS(tblDaily[Deaths],tblDaily[EntryDate],DATE(2026,5,7),tblDaily[WardCode],"NICU")),"")</f>
        <v/>
      </c>
      <c r="E169" s="29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29" t="str">
        <f>IFERROR(IF(SUMIFS(tblDaily[TransfersIn],tblDaily[EntryDate],DATE(2026,5,7),tblDaily[WardCode],"NICU")=0,"",SUMIFS(tblDaily[TransfersIn],tblDaily[EntryDate],DATE(2026,5,7),tblDaily[WardCode],"NICU")),"")</f>
        <v/>
      </c>
      <c r="G169" s="29" t="str">
        <f>IFERROR(IF(SUMIFS(tblDaily[TransfersOut],tblDaily[EntryDate],DATE(2026,5,7),tblDaily[WardCode],"NICU")=0,"",SUMIFS(tblDaily[TransfersOut],tblDaily[EntryDate],DATE(2026,5,7),tblDaily[WardCode],"NICU")),"")</f>
        <v/>
      </c>
      <c r="H169" s="29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IFERROR(IF(SUMIFS(tblDaily[Admissions],tblDaily[EntryDate],DATE(2026,5,8),tblDaily[WardCode],"NICU")=0,"",SUMIFS(tblDaily[Admissions],tblDaily[EntryDate],DATE(2026,5,8),tblDaily[WardCode],"NICU")),"")</f>
        <v/>
      </c>
      <c r="C170" s="29" t="str">
        <f>IFERROR(IF(SUMIFS(tblDaily[Discharges],tblDaily[EntryDate],DATE(2026,5,8),tblDaily[WardCode],"NICU")=0,"",SUMIFS(tblDaily[Discharges],tblDaily[EntryDate],DATE(2026,5,8),tblDaily[WardCode],"NICU")),"")</f>
        <v/>
      </c>
      <c r="D170" s="29" t="str">
        <f>IFERROR(IF(SUMIFS(tblDaily[Deaths],tblDaily[EntryDate],DATE(2026,5,8),tblDaily[WardCode],"NICU")=0,"",SUMIFS(tblDaily[Deaths],tblDaily[EntryDate],DATE(2026,5,8),tblDaily[WardCode],"NICU")),"")</f>
        <v/>
      </c>
      <c r="E170" s="29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29" t="str">
        <f>IFERROR(IF(SUMIFS(tblDaily[TransfersIn],tblDaily[EntryDate],DATE(2026,5,8),tblDaily[WardCode],"NICU")=0,"",SUMIFS(tblDaily[TransfersIn],tblDaily[EntryDate],DATE(2026,5,8),tblDaily[WardCode],"NICU")),"")</f>
        <v/>
      </c>
      <c r="G170" s="29" t="str">
        <f>IFERROR(IF(SUMIFS(tblDaily[TransfersOut],tblDaily[EntryDate],DATE(2026,5,8),tblDaily[WardCode],"NICU")=0,"",SUMIFS(tblDaily[TransfersOut],tblDaily[EntryDate],DATE(2026,5,8),tblDaily[WardCode],"NICU")),"")</f>
        <v/>
      </c>
      <c r="H170" s="29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IFERROR(IF(SUMIFS(tblDaily[Admissions],tblDaily[EntryDate],DATE(2026,5,9),tblDaily[WardCode],"NICU")=0,"",SUMIFS(tblDaily[Admissions],tblDaily[EntryDate],DATE(2026,5,9),tblDaily[WardCode],"NICU")),"")</f>
        <v/>
      </c>
      <c r="C171" s="29" t="str">
        <f>IFERROR(IF(SUMIFS(tblDaily[Discharges],tblDaily[EntryDate],DATE(2026,5,9),tblDaily[WardCode],"NICU")=0,"",SUMIFS(tblDaily[Discharges],tblDaily[EntryDate],DATE(2026,5,9),tblDaily[WardCode],"NICU")),"")</f>
        <v/>
      </c>
      <c r="D171" s="29" t="str">
        <f>IFERROR(IF(SUMIFS(tblDaily[Deaths],tblDaily[EntryDate],DATE(2026,5,9),tblDaily[WardCode],"NICU")=0,"",SUMIFS(tblDaily[Deaths],tblDaily[EntryDate],DATE(2026,5,9),tblDaily[WardCode],"NICU")),"")</f>
        <v/>
      </c>
      <c r="E171" s="29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29" t="str">
        <f>IFERROR(IF(SUMIFS(tblDaily[TransfersIn],tblDaily[EntryDate],DATE(2026,5,9),tblDaily[WardCode],"NICU")=0,"",SUMIFS(tblDaily[TransfersIn],tblDaily[EntryDate],DATE(2026,5,9),tblDaily[WardCode],"NICU")),"")</f>
        <v/>
      </c>
      <c r="G171" s="29" t="str">
        <f>IFERROR(IF(SUMIFS(tblDaily[TransfersOut],tblDaily[EntryDate],DATE(2026,5,9),tblDaily[WardCode],"NICU")=0,"",SUMIFS(tblDaily[TransfersOut],tblDaily[EntryDate],DATE(2026,5,9),tblDaily[WardCode],"NICU")),"")</f>
        <v/>
      </c>
      <c r="H171" s="29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IFERROR(IF(SUMIFS(tblDaily[Admissions],tblDaily[EntryDate],DATE(2026,5,10),tblDaily[WardCode],"NICU")=0,"",SUMIFS(tblDaily[Admissions],tblDaily[EntryDate],DATE(2026,5,10),tblDaily[WardCode],"NICU")),"")</f>
        <v/>
      </c>
      <c r="C172" s="29" t="str">
        <f>IFERROR(IF(SUMIFS(tblDaily[Discharges],tblDaily[EntryDate],DATE(2026,5,10),tblDaily[WardCode],"NICU")=0,"",SUMIFS(tblDaily[Discharges],tblDaily[EntryDate],DATE(2026,5,10),tblDaily[WardCode],"NICU")),"")</f>
        <v/>
      </c>
      <c r="D172" s="29" t="str">
        <f>IFERROR(IF(SUMIFS(tblDaily[Deaths],tblDaily[EntryDate],DATE(2026,5,10),tblDaily[WardCode],"NICU")=0,"",SUMIFS(tblDaily[Deaths],tblDaily[EntryDate],DATE(2026,5,10),tblDaily[WardCode],"NICU")),"")</f>
        <v/>
      </c>
      <c r="E172" s="29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29" t="str">
        <f>IFERROR(IF(SUMIFS(tblDaily[TransfersIn],tblDaily[EntryDate],DATE(2026,5,10),tblDaily[WardCode],"NICU")=0,"",SUMIFS(tblDaily[TransfersIn],tblDaily[EntryDate],DATE(2026,5,10),tblDaily[WardCode],"NICU")),"")</f>
        <v/>
      </c>
      <c r="G172" s="29" t="str">
        <f>IFERROR(IF(SUMIFS(tblDaily[TransfersOut],tblDaily[EntryDate],DATE(2026,5,10),tblDaily[WardCode],"NICU")=0,"",SUMIFS(tblDaily[TransfersOut],tblDaily[EntryDate],DATE(2026,5,10),tblDaily[WardCode],"NICU")),"")</f>
        <v/>
      </c>
      <c r="H172" s="29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IFERROR(IF(SUMIFS(tblDaily[Admissions],tblDaily[EntryDate],DATE(2026,5,11),tblDaily[WardCode],"NICU")=0,"",SUMIFS(tblDaily[Admissions],tblDaily[EntryDate],DATE(2026,5,11),tblDaily[WardCode],"NICU")),"")</f>
        <v/>
      </c>
      <c r="C173" s="29" t="str">
        <f>IFERROR(IF(SUMIFS(tblDaily[Discharges],tblDaily[EntryDate],DATE(2026,5,11),tblDaily[WardCode],"NICU")=0,"",SUMIFS(tblDaily[Discharges],tblDaily[EntryDate],DATE(2026,5,11),tblDaily[WardCode],"NICU")),"")</f>
        <v/>
      </c>
      <c r="D173" s="29" t="str">
        <f>IFERROR(IF(SUMIFS(tblDaily[Deaths],tblDaily[EntryDate],DATE(2026,5,11),tblDaily[WardCode],"NICU")=0,"",SUMIFS(tblDaily[Deaths],tblDaily[EntryDate],DATE(2026,5,11),tblDaily[WardCode],"NICU")),"")</f>
        <v/>
      </c>
      <c r="E173" s="29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29" t="str">
        <f>IFERROR(IF(SUMIFS(tblDaily[TransfersIn],tblDaily[EntryDate],DATE(2026,5,11),tblDaily[WardCode],"NICU")=0,"",SUMIFS(tblDaily[TransfersIn],tblDaily[EntryDate],DATE(2026,5,11),tblDaily[WardCode],"NICU")),"")</f>
        <v/>
      </c>
      <c r="G173" s="29" t="str">
        <f>IFERROR(IF(SUMIFS(tblDaily[TransfersOut],tblDaily[EntryDate],DATE(2026,5,11),tblDaily[WardCode],"NICU")=0,"",SUMIFS(tblDaily[TransfersOut],tblDaily[EntryDate],DATE(2026,5,11),tblDaily[WardCode],"NICU")),"")</f>
        <v/>
      </c>
      <c r="H173" s="29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IFERROR(IF(SUMIFS(tblDaily[Admissions],tblDaily[EntryDate],DATE(2026,5,12),tblDaily[WardCode],"NICU")=0,"",SUMIFS(tblDaily[Admissions],tblDaily[EntryDate],DATE(2026,5,12),tblDaily[WardCode],"NICU")),"")</f>
        <v/>
      </c>
      <c r="C174" s="29" t="str">
        <f>IFERROR(IF(SUMIFS(tblDaily[Discharges],tblDaily[EntryDate],DATE(2026,5,12),tblDaily[WardCode],"NICU")=0,"",SUMIFS(tblDaily[Discharges],tblDaily[EntryDate],DATE(2026,5,12),tblDaily[WardCode],"NICU")),"")</f>
        <v/>
      </c>
      <c r="D174" s="29" t="str">
        <f>IFERROR(IF(SUMIFS(tblDaily[Deaths],tblDaily[EntryDate],DATE(2026,5,12),tblDaily[WardCode],"NICU")=0,"",SUMIFS(tblDaily[Deaths],tblDaily[EntryDate],DATE(2026,5,12),tblDaily[WardCode],"NICU")),"")</f>
        <v/>
      </c>
      <c r="E174" s="29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29" t="str">
        <f>IFERROR(IF(SUMIFS(tblDaily[TransfersIn],tblDaily[EntryDate],DATE(2026,5,12),tblDaily[WardCode],"NICU")=0,"",SUMIFS(tblDaily[TransfersIn],tblDaily[EntryDate],DATE(2026,5,12),tblDaily[WardCode],"NICU")),"")</f>
        <v/>
      </c>
      <c r="G174" s="29" t="str">
        <f>IFERROR(IF(SUMIFS(tblDaily[TransfersOut],tblDaily[EntryDate],DATE(2026,5,12),tblDaily[WardCode],"NICU")=0,"",SUMIFS(tblDaily[TransfersOut],tblDaily[EntryDate],DATE(2026,5,12),tblDaily[WardCode],"NICU")),"")</f>
        <v/>
      </c>
      <c r="H174" s="29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IFERROR(IF(SUMIFS(tblDaily[Admissions],tblDaily[EntryDate],DATE(2026,5,13),tblDaily[WardCode],"NICU")=0,"",SUMIFS(tblDaily[Admissions],tblDaily[EntryDate],DATE(2026,5,13),tblDaily[WardCode],"NICU")),"")</f>
        <v/>
      </c>
      <c r="C175" s="29" t="str">
        <f>IFERROR(IF(SUMIFS(tblDaily[Discharges],tblDaily[EntryDate],DATE(2026,5,13),tblDaily[WardCode],"NICU")=0,"",SUMIFS(tblDaily[Discharges],tblDaily[EntryDate],DATE(2026,5,13),tblDaily[WardCode],"NICU")),"")</f>
        <v/>
      </c>
      <c r="D175" s="29" t="str">
        <f>IFERROR(IF(SUMIFS(tblDaily[Deaths],tblDaily[EntryDate],DATE(2026,5,13),tblDaily[WardCode],"NICU")=0,"",SUMIFS(tblDaily[Deaths],tblDaily[EntryDate],DATE(2026,5,13),tblDaily[WardCode],"NICU")),"")</f>
        <v/>
      </c>
      <c r="E175" s="29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29" t="str">
        <f>IFERROR(IF(SUMIFS(tblDaily[TransfersIn],tblDaily[EntryDate],DATE(2026,5,13),tblDaily[WardCode],"NICU")=0,"",SUMIFS(tblDaily[TransfersIn],tblDaily[EntryDate],DATE(2026,5,13),tblDaily[WardCode],"NICU")),"")</f>
        <v/>
      </c>
      <c r="G175" s="29" t="str">
        <f>IFERROR(IF(SUMIFS(tblDaily[TransfersOut],tblDaily[EntryDate],DATE(2026,5,13),tblDaily[WardCode],"NICU")=0,"",SUMIFS(tblDaily[TransfersOut],tblDaily[EntryDate],DATE(2026,5,13),tblDaily[WardCode],"NICU")),"")</f>
        <v/>
      </c>
      <c r="H175" s="29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IFERROR(IF(SUMIFS(tblDaily[Admissions],tblDaily[EntryDate],DATE(2026,5,14),tblDaily[WardCode],"NICU")=0,"",SUMIFS(tblDaily[Admissions],tblDaily[EntryDate],DATE(2026,5,14),tblDaily[WardCode],"NICU")),"")</f>
        <v/>
      </c>
      <c r="C176" s="29" t="str">
        <f>IFERROR(IF(SUMIFS(tblDaily[Discharges],tblDaily[EntryDate],DATE(2026,5,14),tblDaily[WardCode],"NICU")=0,"",SUMIFS(tblDaily[Discharges],tblDaily[EntryDate],DATE(2026,5,14),tblDaily[WardCode],"NICU")),"")</f>
        <v/>
      </c>
      <c r="D176" s="29" t="str">
        <f>IFERROR(IF(SUMIFS(tblDaily[Deaths],tblDaily[EntryDate],DATE(2026,5,14),tblDaily[WardCode],"NICU")=0,"",SUMIFS(tblDaily[Deaths],tblDaily[EntryDate],DATE(2026,5,14),tblDaily[WardCode],"NICU")),"")</f>
        <v/>
      </c>
      <c r="E176" s="29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29" t="str">
        <f>IFERROR(IF(SUMIFS(tblDaily[TransfersIn],tblDaily[EntryDate],DATE(2026,5,14),tblDaily[WardCode],"NICU")=0,"",SUMIFS(tblDaily[TransfersIn],tblDaily[EntryDate],DATE(2026,5,14),tblDaily[WardCode],"NICU")),"")</f>
        <v/>
      </c>
      <c r="G176" s="29" t="str">
        <f>IFERROR(IF(SUMIFS(tblDaily[TransfersOut],tblDaily[EntryDate],DATE(2026,5,14),tblDaily[WardCode],"NICU")=0,"",SUMIFS(tblDaily[TransfersOut],tblDaily[EntryDate],DATE(2026,5,14),tblDaily[WardCode],"NICU")),"")</f>
        <v/>
      </c>
      <c r="H176" s="29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IFERROR(IF(SUMIFS(tblDaily[Admissions],tblDaily[EntryDate],DATE(2026,5,15),tblDaily[WardCode],"NICU")=0,"",SUMIFS(tblDaily[Admissions],tblDaily[EntryDate],DATE(2026,5,15),tblDaily[WardCode],"NICU")),"")</f>
        <v/>
      </c>
      <c r="C177" s="29" t="str">
        <f>IFERROR(IF(SUMIFS(tblDaily[Discharges],tblDaily[EntryDate],DATE(2026,5,15),tblDaily[WardCode],"NICU")=0,"",SUMIFS(tblDaily[Discharges],tblDaily[EntryDate],DATE(2026,5,15),tblDaily[WardCode],"NICU")),"")</f>
        <v/>
      </c>
      <c r="D177" s="29" t="str">
        <f>IFERROR(IF(SUMIFS(tblDaily[Deaths],tblDaily[EntryDate],DATE(2026,5,15),tblDaily[WardCode],"NICU")=0,"",SUMIFS(tblDaily[Deaths],tblDaily[EntryDate],DATE(2026,5,15),tblDaily[WardCode],"NICU")),"")</f>
        <v/>
      </c>
      <c r="E177" s="29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29" t="str">
        <f>IFERROR(IF(SUMIFS(tblDaily[TransfersIn],tblDaily[EntryDate],DATE(2026,5,15),tblDaily[WardCode],"NICU")=0,"",SUMIFS(tblDaily[TransfersIn],tblDaily[EntryDate],DATE(2026,5,15),tblDaily[WardCode],"NICU")),"")</f>
        <v/>
      </c>
      <c r="G177" s="29" t="str">
        <f>IFERROR(IF(SUMIFS(tblDaily[TransfersOut],tblDaily[EntryDate],DATE(2026,5,15),tblDaily[WardCode],"NICU")=0,"",SUMIFS(tblDaily[TransfersOut],tblDaily[EntryDate],DATE(2026,5,15),tblDaily[WardCode],"NICU")),"")</f>
        <v/>
      </c>
      <c r="H177" s="29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IFERROR(IF(SUMIFS(tblDaily[Admissions],tblDaily[EntryDate],DATE(2026,5,16),tblDaily[WardCode],"NICU")=0,"",SUMIFS(tblDaily[Admissions],tblDaily[EntryDate],DATE(2026,5,16),tblDaily[WardCode],"NICU")),"")</f>
        <v/>
      </c>
      <c r="C178" s="29" t="str">
        <f>IFERROR(IF(SUMIFS(tblDaily[Discharges],tblDaily[EntryDate],DATE(2026,5,16),tblDaily[WardCode],"NICU")=0,"",SUMIFS(tblDaily[Discharges],tblDaily[EntryDate],DATE(2026,5,16),tblDaily[WardCode],"NICU")),"")</f>
        <v/>
      </c>
      <c r="D178" s="29" t="str">
        <f>IFERROR(IF(SUMIFS(tblDaily[Deaths],tblDaily[EntryDate],DATE(2026,5,16),tblDaily[WardCode],"NICU")=0,"",SUMIFS(tblDaily[Deaths],tblDaily[EntryDate],DATE(2026,5,16),tblDaily[WardCode],"NICU")),"")</f>
        <v/>
      </c>
      <c r="E178" s="29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29" t="str">
        <f>IFERROR(IF(SUMIFS(tblDaily[TransfersIn],tblDaily[EntryDate],DATE(2026,5,16),tblDaily[WardCode],"NICU")=0,"",SUMIFS(tblDaily[TransfersIn],tblDaily[EntryDate],DATE(2026,5,16),tblDaily[WardCode],"NICU")),"")</f>
        <v/>
      </c>
      <c r="G178" s="29" t="str">
        <f>IFERROR(IF(SUMIFS(tblDaily[TransfersOut],tblDaily[EntryDate],DATE(2026,5,16),tblDaily[WardCode],"NICU")=0,"",SUMIFS(tblDaily[TransfersOut],tblDaily[EntryDate],DATE(2026,5,16),tblDaily[WardCode],"NICU")),"")</f>
        <v/>
      </c>
      <c r="H178" s="29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IFERROR(IF(SUMIFS(tblDaily[Admissions],tblDaily[EntryDate],DATE(2026,5,17),tblDaily[WardCode],"NICU")=0,"",SUMIFS(tblDaily[Admissions],tblDaily[EntryDate],DATE(2026,5,17),tblDaily[WardCode],"NICU")),"")</f>
        <v/>
      </c>
      <c r="C179" s="29" t="str">
        <f>IFERROR(IF(SUMIFS(tblDaily[Discharges],tblDaily[EntryDate],DATE(2026,5,17),tblDaily[WardCode],"NICU")=0,"",SUMIFS(tblDaily[Discharges],tblDaily[EntryDate],DATE(2026,5,17),tblDaily[WardCode],"NICU")),"")</f>
        <v/>
      </c>
      <c r="D179" s="29" t="str">
        <f>IFERROR(IF(SUMIFS(tblDaily[Deaths],tblDaily[EntryDate],DATE(2026,5,17),tblDaily[WardCode],"NICU")=0,"",SUMIFS(tblDaily[Deaths],tblDaily[EntryDate],DATE(2026,5,17),tblDaily[WardCode],"NICU")),"")</f>
        <v/>
      </c>
      <c r="E179" s="29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29" t="str">
        <f>IFERROR(IF(SUMIFS(tblDaily[TransfersIn],tblDaily[EntryDate],DATE(2026,5,17),tblDaily[WardCode],"NICU")=0,"",SUMIFS(tblDaily[TransfersIn],tblDaily[EntryDate],DATE(2026,5,17),tblDaily[WardCode],"NICU")),"")</f>
        <v/>
      </c>
      <c r="G179" s="29" t="str">
        <f>IFERROR(IF(SUMIFS(tblDaily[TransfersOut],tblDaily[EntryDate],DATE(2026,5,17),tblDaily[WardCode],"NICU")=0,"",SUMIFS(tblDaily[TransfersOut],tblDaily[EntryDate],DATE(2026,5,17),tblDaily[WardCode],"NICU")),"")</f>
        <v/>
      </c>
      <c r="H179" s="29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IFERROR(IF(SUMIFS(tblDaily[Admissions],tblDaily[EntryDate],DATE(2026,5,18),tblDaily[WardCode],"NICU")=0,"",SUMIFS(tblDaily[Admissions],tblDaily[EntryDate],DATE(2026,5,18),tblDaily[WardCode],"NICU")),"")</f>
        <v/>
      </c>
      <c r="C180" s="29" t="str">
        <f>IFERROR(IF(SUMIFS(tblDaily[Discharges],tblDaily[EntryDate],DATE(2026,5,18),tblDaily[WardCode],"NICU")=0,"",SUMIFS(tblDaily[Discharges],tblDaily[EntryDate],DATE(2026,5,18),tblDaily[WardCode],"NICU")),"")</f>
        <v/>
      </c>
      <c r="D180" s="29" t="str">
        <f>IFERROR(IF(SUMIFS(tblDaily[Deaths],tblDaily[EntryDate],DATE(2026,5,18),tblDaily[WardCode],"NICU")=0,"",SUMIFS(tblDaily[Deaths],tblDaily[EntryDate],DATE(2026,5,18),tblDaily[WardCode],"NICU")),"")</f>
        <v/>
      </c>
      <c r="E180" s="29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29" t="str">
        <f>IFERROR(IF(SUMIFS(tblDaily[TransfersIn],tblDaily[EntryDate],DATE(2026,5,18),tblDaily[WardCode],"NICU")=0,"",SUMIFS(tblDaily[TransfersIn],tblDaily[EntryDate],DATE(2026,5,18),tblDaily[WardCode],"NICU")),"")</f>
        <v/>
      </c>
      <c r="G180" s="29" t="str">
        <f>IFERROR(IF(SUMIFS(tblDaily[TransfersOut],tblDaily[EntryDate],DATE(2026,5,18),tblDaily[WardCode],"NICU")=0,"",SUMIFS(tblDaily[TransfersOut],tblDaily[EntryDate],DATE(2026,5,18),tblDaily[WardCode],"NICU")),"")</f>
        <v/>
      </c>
      <c r="H180" s="29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IFERROR(IF(SUMIFS(tblDaily[Admissions],tblDaily[EntryDate],DATE(2026,5,19),tblDaily[WardCode],"NICU")=0,"",SUMIFS(tblDaily[Admissions],tblDaily[EntryDate],DATE(2026,5,19),tblDaily[WardCode],"NICU")),"")</f>
        <v/>
      </c>
      <c r="C181" s="29" t="str">
        <f>IFERROR(IF(SUMIFS(tblDaily[Discharges],tblDaily[EntryDate],DATE(2026,5,19),tblDaily[WardCode],"NICU")=0,"",SUMIFS(tblDaily[Discharges],tblDaily[EntryDate],DATE(2026,5,19),tblDaily[WardCode],"NICU")),"")</f>
        <v/>
      </c>
      <c r="D181" s="29" t="str">
        <f>IFERROR(IF(SUMIFS(tblDaily[Deaths],tblDaily[EntryDate],DATE(2026,5,19),tblDaily[WardCode],"NICU")=0,"",SUMIFS(tblDaily[Deaths],tblDaily[EntryDate],DATE(2026,5,19),tblDaily[WardCode],"NICU")),"")</f>
        <v/>
      </c>
      <c r="E181" s="29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29" t="str">
        <f>IFERROR(IF(SUMIFS(tblDaily[TransfersIn],tblDaily[EntryDate],DATE(2026,5,19),tblDaily[WardCode],"NICU")=0,"",SUMIFS(tblDaily[TransfersIn],tblDaily[EntryDate],DATE(2026,5,19),tblDaily[WardCode],"NICU")),"")</f>
        <v/>
      </c>
      <c r="G181" s="29" t="str">
        <f>IFERROR(IF(SUMIFS(tblDaily[TransfersOut],tblDaily[EntryDate],DATE(2026,5,19),tblDaily[WardCode],"NICU")=0,"",SUMIFS(tblDaily[TransfersOut],tblDaily[EntryDate],DATE(2026,5,19),tblDaily[WardCode],"NICU")),"")</f>
        <v/>
      </c>
      <c r="H181" s="29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IFERROR(IF(SUMIFS(tblDaily[Admissions],tblDaily[EntryDate],DATE(2026,5,20),tblDaily[WardCode],"NICU")=0,"",SUMIFS(tblDaily[Admissions],tblDaily[EntryDate],DATE(2026,5,20),tblDaily[WardCode],"NICU")),"")</f>
        <v/>
      </c>
      <c r="C182" s="29" t="str">
        <f>IFERROR(IF(SUMIFS(tblDaily[Discharges],tblDaily[EntryDate],DATE(2026,5,20),tblDaily[WardCode],"NICU")=0,"",SUMIFS(tblDaily[Discharges],tblDaily[EntryDate],DATE(2026,5,20),tblDaily[WardCode],"NICU")),"")</f>
        <v/>
      </c>
      <c r="D182" s="29" t="str">
        <f>IFERROR(IF(SUMIFS(tblDaily[Deaths],tblDaily[EntryDate],DATE(2026,5,20),tblDaily[WardCode],"NICU")=0,"",SUMIFS(tblDaily[Deaths],tblDaily[EntryDate],DATE(2026,5,20),tblDaily[WardCode],"NICU")),"")</f>
        <v/>
      </c>
      <c r="E182" s="29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29" t="str">
        <f>IFERROR(IF(SUMIFS(tblDaily[TransfersIn],tblDaily[EntryDate],DATE(2026,5,20),tblDaily[WardCode],"NICU")=0,"",SUMIFS(tblDaily[TransfersIn],tblDaily[EntryDate],DATE(2026,5,20),tblDaily[WardCode],"NICU")),"")</f>
        <v/>
      </c>
      <c r="G182" s="29" t="str">
        <f>IFERROR(IF(SUMIFS(tblDaily[TransfersOut],tblDaily[EntryDate],DATE(2026,5,20),tblDaily[WardCode],"NICU")=0,"",SUMIFS(tblDaily[TransfersOut],tblDaily[EntryDate],DATE(2026,5,20),tblDaily[WardCode],"NICU")),"")</f>
        <v/>
      </c>
      <c r="H182" s="29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IFERROR(IF(SUMIFS(tblDaily[Admissions],tblDaily[EntryDate],DATE(2026,5,21),tblDaily[WardCode],"NICU")=0,"",SUMIFS(tblDaily[Admissions],tblDaily[EntryDate],DATE(2026,5,21),tblDaily[WardCode],"NICU")),"")</f>
        <v/>
      </c>
      <c r="C183" s="29" t="str">
        <f>IFERROR(IF(SUMIFS(tblDaily[Discharges],tblDaily[EntryDate],DATE(2026,5,21),tblDaily[WardCode],"NICU")=0,"",SUMIFS(tblDaily[Discharges],tblDaily[EntryDate],DATE(2026,5,21),tblDaily[WardCode],"NICU")),"")</f>
        <v/>
      </c>
      <c r="D183" s="29" t="str">
        <f>IFERROR(IF(SUMIFS(tblDaily[Deaths],tblDaily[EntryDate],DATE(2026,5,21),tblDaily[WardCode],"NICU")=0,"",SUMIFS(tblDaily[Deaths],tblDaily[EntryDate],DATE(2026,5,21),tblDaily[WardCode],"NICU")),"")</f>
        <v/>
      </c>
      <c r="E183" s="29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29" t="str">
        <f>IFERROR(IF(SUMIFS(tblDaily[TransfersIn],tblDaily[EntryDate],DATE(2026,5,21),tblDaily[WardCode],"NICU")=0,"",SUMIFS(tblDaily[TransfersIn],tblDaily[EntryDate],DATE(2026,5,21),tblDaily[WardCode],"NICU")),"")</f>
        <v/>
      </c>
      <c r="G183" s="29" t="str">
        <f>IFERROR(IF(SUMIFS(tblDaily[TransfersOut],tblDaily[EntryDate],DATE(2026,5,21),tblDaily[WardCode],"NICU")=0,"",SUMIFS(tblDaily[TransfersOut],tblDaily[EntryDate],DATE(2026,5,21),tblDaily[WardCode],"NICU")),"")</f>
        <v/>
      </c>
      <c r="H183" s="29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IFERROR(IF(SUMIFS(tblDaily[Admissions],tblDaily[EntryDate],DATE(2026,5,22),tblDaily[WardCode],"NICU")=0,"",SUMIFS(tblDaily[Admissions],tblDaily[EntryDate],DATE(2026,5,22),tblDaily[WardCode],"NICU")),"")</f>
        <v/>
      </c>
      <c r="C184" s="29" t="str">
        <f>IFERROR(IF(SUMIFS(tblDaily[Discharges],tblDaily[EntryDate],DATE(2026,5,22),tblDaily[WardCode],"NICU")=0,"",SUMIFS(tblDaily[Discharges],tblDaily[EntryDate],DATE(2026,5,22),tblDaily[WardCode],"NICU")),"")</f>
        <v/>
      </c>
      <c r="D184" s="29" t="str">
        <f>IFERROR(IF(SUMIFS(tblDaily[Deaths],tblDaily[EntryDate],DATE(2026,5,22),tblDaily[WardCode],"NICU")=0,"",SUMIFS(tblDaily[Deaths],tblDaily[EntryDate],DATE(2026,5,22),tblDaily[WardCode],"NICU")),"")</f>
        <v/>
      </c>
      <c r="E184" s="29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29" t="str">
        <f>IFERROR(IF(SUMIFS(tblDaily[TransfersIn],tblDaily[EntryDate],DATE(2026,5,22),tblDaily[WardCode],"NICU")=0,"",SUMIFS(tblDaily[TransfersIn],tblDaily[EntryDate],DATE(2026,5,22),tblDaily[WardCode],"NICU")),"")</f>
        <v/>
      </c>
      <c r="G184" s="29" t="str">
        <f>IFERROR(IF(SUMIFS(tblDaily[TransfersOut],tblDaily[EntryDate],DATE(2026,5,22),tblDaily[WardCode],"NICU")=0,"",SUMIFS(tblDaily[TransfersOut],tblDaily[EntryDate],DATE(2026,5,22),tblDaily[WardCode],"NICU")),"")</f>
        <v/>
      </c>
      <c r="H184" s="29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IFERROR(IF(SUMIFS(tblDaily[Admissions],tblDaily[EntryDate],DATE(2026,5,23),tblDaily[WardCode],"NICU")=0,"",SUMIFS(tblDaily[Admissions],tblDaily[EntryDate],DATE(2026,5,23),tblDaily[WardCode],"NICU")),"")</f>
        <v/>
      </c>
      <c r="C185" s="29" t="str">
        <f>IFERROR(IF(SUMIFS(tblDaily[Discharges],tblDaily[EntryDate],DATE(2026,5,23),tblDaily[WardCode],"NICU")=0,"",SUMIFS(tblDaily[Discharges],tblDaily[EntryDate],DATE(2026,5,23),tblDaily[WardCode],"NICU")),"")</f>
        <v/>
      </c>
      <c r="D185" s="29" t="str">
        <f>IFERROR(IF(SUMIFS(tblDaily[Deaths],tblDaily[EntryDate],DATE(2026,5,23),tblDaily[WardCode],"NICU")=0,"",SUMIFS(tblDaily[Deaths],tblDaily[EntryDate],DATE(2026,5,23),tblDaily[WardCode],"NICU")),"")</f>
        <v/>
      </c>
      <c r="E185" s="29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29" t="str">
        <f>IFERROR(IF(SUMIFS(tblDaily[TransfersIn],tblDaily[EntryDate],DATE(2026,5,23),tblDaily[WardCode],"NICU")=0,"",SUMIFS(tblDaily[TransfersIn],tblDaily[EntryDate],DATE(2026,5,23),tblDaily[WardCode],"NICU")),"")</f>
        <v/>
      </c>
      <c r="G185" s="29" t="str">
        <f>IFERROR(IF(SUMIFS(tblDaily[TransfersOut],tblDaily[EntryDate],DATE(2026,5,23),tblDaily[WardCode],"NICU")=0,"",SUMIFS(tblDaily[TransfersOut],tblDaily[EntryDate],DATE(2026,5,23),tblDaily[WardCode],"NICU")),"")</f>
        <v/>
      </c>
      <c r="H185" s="29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IFERROR(IF(SUMIFS(tblDaily[Admissions],tblDaily[EntryDate],DATE(2026,5,24),tblDaily[WardCode],"NICU")=0,"",SUMIFS(tblDaily[Admissions],tblDaily[EntryDate],DATE(2026,5,24),tblDaily[WardCode],"NICU")),"")</f>
        <v/>
      </c>
      <c r="C186" s="29" t="str">
        <f>IFERROR(IF(SUMIFS(tblDaily[Discharges],tblDaily[EntryDate],DATE(2026,5,24),tblDaily[WardCode],"NICU")=0,"",SUMIFS(tblDaily[Discharges],tblDaily[EntryDate],DATE(2026,5,24),tblDaily[WardCode],"NICU")),"")</f>
        <v/>
      </c>
      <c r="D186" s="29" t="str">
        <f>IFERROR(IF(SUMIFS(tblDaily[Deaths],tblDaily[EntryDate],DATE(2026,5,24),tblDaily[WardCode],"NICU")=0,"",SUMIFS(tblDaily[Deaths],tblDaily[EntryDate],DATE(2026,5,24),tblDaily[WardCode],"NICU")),"")</f>
        <v/>
      </c>
      <c r="E186" s="29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29" t="str">
        <f>IFERROR(IF(SUMIFS(tblDaily[TransfersIn],tblDaily[EntryDate],DATE(2026,5,24),tblDaily[WardCode],"NICU")=0,"",SUMIFS(tblDaily[TransfersIn],tblDaily[EntryDate],DATE(2026,5,24),tblDaily[WardCode],"NICU")),"")</f>
        <v/>
      </c>
      <c r="G186" s="29" t="str">
        <f>IFERROR(IF(SUMIFS(tblDaily[TransfersOut],tblDaily[EntryDate],DATE(2026,5,24),tblDaily[WardCode],"NICU")=0,"",SUMIFS(tblDaily[TransfersOut],tblDaily[EntryDate],DATE(2026,5,24),tblDaily[WardCode],"NICU")),"")</f>
        <v/>
      </c>
      <c r="H186" s="29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IFERROR(IF(SUMIFS(tblDaily[Admissions],tblDaily[EntryDate],DATE(2026,5,25),tblDaily[WardCode],"NICU")=0,"",SUMIFS(tblDaily[Admissions],tblDaily[EntryDate],DATE(2026,5,25),tblDaily[WardCode],"NICU")),"")</f>
        <v/>
      </c>
      <c r="C187" s="29" t="str">
        <f>IFERROR(IF(SUMIFS(tblDaily[Discharges],tblDaily[EntryDate],DATE(2026,5,25),tblDaily[WardCode],"NICU")=0,"",SUMIFS(tblDaily[Discharges],tblDaily[EntryDate],DATE(2026,5,25),tblDaily[WardCode],"NICU")),"")</f>
        <v/>
      </c>
      <c r="D187" s="29" t="str">
        <f>IFERROR(IF(SUMIFS(tblDaily[Deaths],tblDaily[EntryDate],DATE(2026,5,25),tblDaily[WardCode],"NICU")=0,"",SUMIFS(tblDaily[Deaths],tblDaily[EntryDate],DATE(2026,5,25),tblDaily[WardCode],"NICU")),"")</f>
        <v/>
      </c>
      <c r="E187" s="29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29" t="str">
        <f>IFERROR(IF(SUMIFS(tblDaily[TransfersIn],tblDaily[EntryDate],DATE(2026,5,25),tblDaily[WardCode],"NICU")=0,"",SUMIFS(tblDaily[TransfersIn],tblDaily[EntryDate],DATE(2026,5,25),tblDaily[WardCode],"NICU")),"")</f>
        <v/>
      </c>
      <c r="G187" s="29" t="str">
        <f>IFERROR(IF(SUMIFS(tblDaily[TransfersOut],tblDaily[EntryDate],DATE(2026,5,25),tblDaily[WardCode],"NICU")=0,"",SUMIFS(tblDaily[TransfersOut],tblDaily[EntryDate],DATE(2026,5,25),tblDaily[WardCode],"NICU")),"")</f>
        <v/>
      </c>
      <c r="H187" s="29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IFERROR(IF(SUMIFS(tblDaily[Admissions],tblDaily[EntryDate],DATE(2026,5,26),tblDaily[WardCode],"NICU")=0,"",SUMIFS(tblDaily[Admissions],tblDaily[EntryDate],DATE(2026,5,26),tblDaily[WardCode],"NICU")),"")</f>
        <v/>
      </c>
      <c r="C188" s="29" t="str">
        <f>IFERROR(IF(SUMIFS(tblDaily[Discharges],tblDaily[EntryDate],DATE(2026,5,26),tblDaily[WardCode],"NICU")=0,"",SUMIFS(tblDaily[Discharges],tblDaily[EntryDate],DATE(2026,5,26),tblDaily[WardCode],"NICU")),"")</f>
        <v/>
      </c>
      <c r="D188" s="29" t="str">
        <f>IFERROR(IF(SUMIFS(tblDaily[Deaths],tblDaily[EntryDate],DATE(2026,5,26),tblDaily[WardCode],"NICU")=0,"",SUMIFS(tblDaily[Deaths],tblDaily[EntryDate],DATE(2026,5,26),tblDaily[WardCode],"NICU")),"")</f>
        <v/>
      </c>
      <c r="E188" s="29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29" t="str">
        <f>IFERROR(IF(SUMIFS(tblDaily[TransfersIn],tblDaily[EntryDate],DATE(2026,5,26),tblDaily[WardCode],"NICU")=0,"",SUMIFS(tblDaily[TransfersIn],tblDaily[EntryDate],DATE(2026,5,26),tblDaily[WardCode],"NICU")),"")</f>
        <v/>
      </c>
      <c r="G188" s="29" t="str">
        <f>IFERROR(IF(SUMIFS(tblDaily[TransfersOut],tblDaily[EntryDate],DATE(2026,5,26),tblDaily[WardCode],"NICU")=0,"",SUMIFS(tblDaily[TransfersOut],tblDaily[EntryDate],DATE(2026,5,26),tblDaily[WardCode],"NICU")),"")</f>
        <v/>
      </c>
      <c r="H188" s="29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IFERROR(IF(SUMIFS(tblDaily[Admissions],tblDaily[EntryDate],DATE(2026,5,27),tblDaily[WardCode],"NICU")=0,"",SUMIFS(tblDaily[Admissions],tblDaily[EntryDate],DATE(2026,5,27),tblDaily[WardCode],"NICU")),"")</f>
        <v/>
      </c>
      <c r="C189" s="29" t="str">
        <f>IFERROR(IF(SUMIFS(tblDaily[Discharges],tblDaily[EntryDate],DATE(2026,5,27),tblDaily[WardCode],"NICU")=0,"",SUMIFS(tblDaily[Discharges],tblDaily[EntryDate],DATE(2026,5,27),tblDaily[WardCode],"NICU")),"")</f>
        <v/>
      </c>
      <c r="D189" s="29" t="str">
        <f>IFERROR(IF(SUMIFS(tblDaily[Deaths],tblDaily[EntryDate],DATE(2026,5,27),tblDaily[WardCode],"NICU")=0,"",SUMIFS(tblDaily[Deaths],tblDaily[EntryDate],DATE(2026,5,27),tblDaily[WardCode],"NICU")),"")</f>
        <v/>
      </c>
      <c r="E189" s="29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29" t="str">
        <f>IFERROR(IF(SUMIFS(tblDaily[TransfersIn],tblDaily[EntryDate],DATE(2026,5,27),tblDaily[WardCode],"NICU")=0,"",SUMIFS(tblDaily[TransfersIn],tblDaily[EntryDate],DATE(2026,5,27),tblDaily[WardCode],"NICU")),"")</f>
        <v/>
      </c>
      <c r="G189" s="29" t="str">
        <f>IFERROR(IF(SUMIFS(tblDaily[TransfersOut],tblDaily[EntryDate],DATE(2026,5,27),tblDaily[WardCode],"NICU")=0,"",SUMIFS(tblDaily[TransfersOut],tblDaily[EntryDate],DATE(2026,5,27),tblDaily[WardCode],"NICU")),"")</f>
        <v/>
      </c>
      <c r="H189" s="29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IFERROR(IF(SUMIFS(tblDaily[Admissions],tblDaily[EntryDate],DATE(2026,5,28),tblDaily[WardCode],"NICU")=0,"",SUMIFS(tblDaily[Admissions],tblDaily[EntryDate],DATE(2026,5,28),tblDaily[WardCode],"NICU")),"")</f>
        <v/>
      </c>
      <c r="C190" s="29" t="str">
        <f>IFERROR(IF(SUMIFS(tblDaily[Discharges],tblDaily[EntryDate],DATE(2026,5,28),tblDaily[WardCode],"NICU")=0,"",SUMIFS(tblDaily[Discharges],tblDaily[EntryDate],DATE(2026,5,28),tblDaily[WardCode],"NICU")),"")</f>
        <v/>
      </c>
      <c r="D190" s="29" t="str">
        <f>IFERROR(IF(SUMIFS(tblDaily[Deaths],tblDaily[EntryDate],DATE(2026,5,28),tblDaily[WardCode],"NICU")=0,"",SUMIFS(tblDaily[Deaths],tblDaily[EntryDate],DATE(2026,5,28),tblDaily[WardCode],"NICU")),"")</f>
        <v/>
      </c>
      <c r="E190" s="29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29" t="str">
        <f>IFERROR(IF(SUMIFS(tblDaily[TransfersIn],tblDaily[EntryDate],DATE(2026,5,28),tblDaily[WardCode],"NICU")=0,"",SUMIFS(tblDaily[TransfersIn],tblDaily[EntryDate],DATE(2026,5,28),tblDaily[WardCode],"NICU")),"")</f>
        <v/>
      </c>
      <c r="G190" s="29" t="str">
        <f>IFERROR(IF(SUMIFS(tblDaily[TransfersOut],tblDaily[EntryDate],DATE(2026,5,28),tblDaily[WardCode],"NICU")=0,"",SUMIFS(tblDaily[TransfersOut],tblDaily[EntryDate],DATE(2026,5,28),tblDaily[WardCode],"NICU")),"")</f>
        <v/>
      </c>
      <c r="H190" s="29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IFERROR(IF(SUMIFS(tblDaily[Admissions],tblDaily[EntryDate],DATE(2026,5,29),tblDaily[WardCode],"NICU")=0,"",SUMIFS(tblDaily[Admissions],tblDaily[EntryDate],DATE(2026,5,29),tblDaily[WardCode],"NICU")),"")</f>
        <v/>
      </c>
      <c r="C191" s="29" t="str">
        <f>IFERROR(IF(SUMIFS(tblDaily[Discharges],tblDaily[EntryDate],DATE(2026,5,29),tblDaily[WardCode],"NICU")=0,"",SUMIFS(tblDaily[Discharges],tblDaily[EntryDate],DATE(2026,5,29),tblDaily[WardCode],"NICU")),"")</f>
        <v/>
      </c>
      <c r="D191" s="29" t="str">
        <f>IFERROR(IF(SUMIFS(tblDaily[Deaths],tblDaily[EntryDate],DATE(2026,5,29),tblDaily[WardCode],"NICU")=0,"",SUMIFS(tblDaily[Deaths],tblDaily[EntryDate],DATE(2026,5,29),tblDaily[WardCode],"NICU")),"")</f>
        <v/>
      </c>
      <c r="E191" s="29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29" t="str">
        <f>IFERROR(IF(SUMIFS(tblDaily[TransfersIn],tblDaily[EntryDate],DATE(2026,5,29),tblDaily[WardCode],"NICU")=0,"",SUMIFS(tblDaily[TransfersIn],tblDaily[EntryDate],DATE(2026,5,29),tblDaily[WardCode],"NICU")),"")</f>
        <v/>
      </c>
      <c r="G191" s="29" t="str">
        <f>IFERROR(IF(SUMIFS(tblDaily[TransfersOut],tblDaily[EntryDate],DATE(2026,5,29),tblDaily[WardCode],"NICU")=0,"",SUMIFS(tblDaily[TransfersOut],tblDaily[EntryDate],DATE(2026,5,29),tblDaily[WardCode],"NICU")),"")</f>
        <v/>
      </c>
      <c r="H191" s="29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IFERROR(IF(SUMIFS(tblDaily[Admissions],tblDaily[EntryDate],DATE(2026,5,30),tblDaily[WardCode],"NICU")=0,"",SUMIFS(tblDaily[Admissions],tblDaily[EntryDate],DATE(2026,5,30),tblDaily[WardCode],"NICU")),"")</f>
        <v/>
      </c>
      <c r="C192" s="29" t="str">
        <f>IFERROR(IF(SUMIFS(tblDaily[Discharges],tblDaily[EntryDate],DATE(2026,5,30),tblDaily[WardCode],"NICU")=0,"",SUMIFS(tblDaily[Discharges],tblDaily[EntryDate],DATE(2026,5,30),tblDaily[WardCode],"NICU")),"")</f>
        <v/>
      </c>
      <c r="D192" s="29" t="str">
        <f>IFERROR(IF(SUMIFS(tblDaily[Deaths],tblDaily[EntryDate],DATE(2026,5,30),tblDaily[WardCode],"NICU")=0,"",SUMIFS(tblDaily[Deaths],tblDaily[EntryDate],DATE(2026,5,30),tblDaily[WardCode],"NICU")),"")</f>
        <v/>
      </c>
      <c r="E192" s="29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29" t="str">
        <f>IFERROR(IF(SUMIFS(tblDaily[TransfersIn],tblDaily[EntryDate],DATE(2026,5,30),tblDaily[WardCode],"NICU")=0,"",SUMIFS(tblDaily[TransfersIn],tblDaily[EntryDate],DATE(2026,5,30),tblDaily[WardCode],"NICU")),"")</f>
        <v/>
      </c>
      <c r="G192" s="29" t="str">
        <f>IFERROR(IF(SUMIFS(tblDaily[TransfersOut],tblDaily[EntryDate],DATE(2026,5,30),tblDaily[WardCode],"NICU")=0,"",SUMIFS(tblDaily[TransfersOut],tblDaily[EntryDate],DATE(2026,5,30),tblDaily[WardCode],"NICU")),"")</f>
        <v/>
      </c>
      <c r="H192" s="29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IFERROR(IF(SUMIFS(tblDaily[Admissions],tblDaily[EntryDate],DATE(2026,5,31),tblDaily[WardCode],"NICU")=0,"",SUMIFS(tblDaily[Admissions],tblDaily[EntryDate],DATE(2026,5,31),tblDaily[WardCode],"NICU")),"")</f>
        <v/>
      </c>
      <c r="C193" s="29" t="str">
        <f>IFERROR(IF(SUMIFS(tblDaily[Discharges],tblDaily[EntryDate],DATE(2026,5,31),tblDaily[WardCode],"NICU")=0,"",SUMIFS(tblDaily[Discharges],tblDaily[EntryDate],DATE(2026,5,31),tblDaily[WardCode],"NICU")),"")</f>
        <v/>
      </c>
      <c r="D193" s="29" t="str">
        <f>IFERROR(IF(SUMIFS(tblDaily[Deaths],tblDaily[EntryDate],DATE(2026,5,31),tblDaily[WardCode],"NICU")=0,"",SUMIFS(tblDaily[Deaths],tblDaily[EntryDate],DATE(2026,5,31),tblDaily[WardCode],"NICU")),"")</f>
        <v/>
      </c>
      <c r="E193" s="29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29" t="str">
        <f>IFERROR(IF(SUMIFS(tblDaily[TransfersIn],tblDaily[EntryDate],DATE(2026,5,31),tblDaily[WardCode],"NICU")=0,"",SUMIFS(tblDaily[TransfersIn],tblDaily[EntryDate],DATE(2026,5,31),tblDaily[WardCode],"NICU")),"")</f>
        <v/>
      </c>
      <c r="G193" s="29" t="str">
        <f>IFERROR(IF(SUMIFS(tblDaily[TransfersOut],tblDaily[EntryDate],DATE(2026,5,31),tblDaily[WardCode],"NICU")=0,"",SUMIFS(tblDaily[TransfersOut],tblDaily[EntryDate],DATE(2026,5,31),tblDaily[WardCode],"NICU")),"")</f>
        <v/>
      </c>
      <c r="H193" s="29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30" t="s">
        <v>115</v>
      </c>
      <c r="B194" s="30">
        <f>SUMIFS(tblDaily[Admissions],tblDaily[Month],5,tblDaily[WardCode],"NICU") - SUMIFS(tblDaily[DeathsUnder24Hrs],tblDaily[Month],5,tblDaily[WardCode],"NICU")</f>
        <v>0</v>
      </c>
      <c r="C194" s="30">
        <f>SUMIFS(tblDaily[Discharges],tblDaily[Month],5,tblDaily[WardCode],"NICU")</f>
        <v>0</v>
      </c>
      <c r="D194" s="30">
        <f>SUMIFS(tblDaily[Deaths],tblDaily[Month],5,tblDaily[WardCode],"NICU")</f>
        <v>0</v>
      </c>
      <c r="E194" s="30">
        <f>SUMIFS(tblDaily[DeathsUnder24Hrs],tblDaily[Month],5,tblDaily[WardCode],"NICU")</f>
        <v>0</v>
      </c>
      <c r="F194" s="30">
        <f>SUMIFS(tblDaily[TransfersIn],tblDaily[Month],5,tblDaily[WardCode],"NICU")</f>
        <v>0</v>
      </c>
      <c r="G194" s="30">
        <f>SUMIFS(tblDaily[TransfersOut],tblDaily[Month],5,tblDaily[WardCode],"NICU")</f>
        <v>0</v>
      </c>
      <c r="H194" s="30">
        <f>SUMIFS(tblDaily[Remaining],tblDaily[Month],5,tblDaily[WardCode],"NICU")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121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IFERROR(SUMIFS(tblDaily[Remaining],tblDaily[EntryDate],DATE(2026,5,31),tblDaily[WardCode],"NICU"),0)</f>
        <v>0</v>
      </c>
    </row>
    <row r="200" spans="1:8" x14ac:dyDescent="0.25">
      <c r="A200" s="24" t="s">
        <v>109</v>
      </c>
      <c r="H200" s="27">
        <f>IFERROR(INDEX(tblWardConfig[BedComplement],MATCH("NICU",tblWardConfig[WardCode],0)),0)</f>
        <v>15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IFERROR(IF(SUMIFS(tblDaily[Admissions],tblDaily[EntryDate],DATE(2026,6,1),tblDaily[WardCode],"NICU")=0,"",SUMIFS(tblDaily[Admissions],tblDaily[EntryDate],DATE(2026,6,1),tblDaily[WardCode],"NICU")),"")</f>
        <v/>
      </c>
      <c r="C202" s="29" t="str">
        <f>IFERROR(IF(SUMIFS(tblDaily[Discharges],tblDaily[EntryDate],DATE(2026,6,1),tblDaily[WardCode],"NICU")=0,"",SUMIFS(tblDaily[Discharges],tblDaily[EntryDate],DATE(2026,6,1),tblDaily[WardCode],"NICU")),"")</f>
        <v/>
      </c>
      <c r="D202" s="29" t="str">
        <f>IFERROR(IF(SUMIFS(tblDaily[Deaths],tblDaily[EntryDate],DATE(2026,6,1),tblDaily[WardCode],"NICU")=0,"",SUMIFS(tblDaily[Deaths],tblDaily[EntryDate],DATE(2026,6,1),tblDaily[WardCode],"NICU")),"")</f>
        <v/>
      </c>
      <c r="E202" s="29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29" t="str">
        <f>IFERROR(IF(SUMIFS(tblDaily[TransfersIn],tblDaily[EntryDate],DATE(2026,6,1),tblDaily[WardCode],"NICU")=0,"",SUMIFS(tblDaily[TransfersIn],tblDaily[EntryDate],DATE(2026,6,1),tblDaily[WardCode],"NICU")),"")</f>
        <v/>
      </c>
      <c r="G202" s="29" t="str">
        <f>IFERROR(IF(SUMIFS(tblDaily[TransfersOut],tblDaily[EntryDate],DATE(2026,6,1),tblDaily[WardCode],"NICU")=0,"",SUMIFS(tblDaily[TransfersOut],tblDaily[EntryDate],DATE(2026,6,1),tblDaily[WardCode],"NICU")),"")</f>
        <v/>
      </c>
      <c r="H202" s="29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IFERROR(IF(SUMIFS(tblDaily[Admissions],tblDaily[EntryDate],DATE(2026,6,2),tblDaily[WardCode],"NICU")=0,"",SUMIFS(tblDaily[Admissions],tblDaily[EntryDate],DATE(2026,6,2),tblDaily[WardCode],"NICU")),"")</f>
        <v/>
      </c>
      <c r="C203" s="29" t="str">
        <f>IFERROR(IF(SUMIFS(tblDaily[Discharges],tblDaily[EntryDate],DATE(2026,6,2),tblDaily[WardCode],"NICU")=0,"",SUMIFS(tblDaily[Discharges],tblDaily[EntryDate],DATE(2026,6,2),tblDaily[WardCode],"NICU")),"")</f>
        <v/>
      </c>
      <c r="D203" s="29" t="str">
        <f>IFERROR(IF(SUMIFS(tblDaily[Deaths],tblDaily[EntryDate],DATE(2026,6,2),tblDaily[WardCode],"NICU")=0,"",SUMIFS(tblDaily[Deaths],tblDaily[EntryDate],DATE(2026,6,2),tblDaily[WardCode],"NICU")),"")</f>
        <v/>
      </c>
      <c r="E203" s="29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29" t="str">
        <f>IFERROR(IF(SUMIFS(tblDaily[TransfersIn],tblDaily[EntryDate],DATE(2026,6,2),tblDaily[WardCode],"NICU")=0,"",SUMIFS(tblDaily[TransfersIn],tblDaily[EntryDate],DATE(2026,6,2),tblDaily[WardCode],"NICU")),"")</f>
        <v/>
      </c>
      <c r="G203" s="29" t="str">
        <f>IFERROR(IF(SUMIFS(tblDaily[TransfersOut],tblDaily[EntryDate],DATE(2026,6,2),tblDaily[WardCode],"NICU")=0,"",SUMIFS(tblDaily[TransfersOut],tblDaily[EntryDate],DATE(2026,6,2),tblDaily[WardCode],"NICU")),"")</f>
        <v/>
      </c>
      <c r="H203" s="29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IFERROR(IF(SUMIFS(tblDaily[Admissions],tblDaily[EntryDate],DATE(2026,6,3),tblDaily[WardCode],"NICU")=0,"",SUMIFS(tblDaily[Admissions],tblDaily[EntryDate],DATE(2026,6,3),tblDaily[WardCode],"NICU")),"")</f>
        <v/>
      </c>
      <c r="C204" s="29" t="str">
        <f>IFERROR(IF(SUMIFS(tblDaily[Discharges],tblDaily[EntryDate],DATE(2026,6,3),tblDaily[WardCode],"NICU")=0,"",SUMIFS(tblDaily[Discharges],tblDaily[EntryDate],DATE(2026,6,3),tblDaily[WardCode],"NICU")),"")</f>
        <v/>
      </c>
      <c r="D204" s="29" t="str">
        <f>IFERROR(IF(SUMIFS(tblDaily[Deaths],tblDaily[EntryDate],DATE(2026,6,3),tblDaily[WardCode],"NICU")=0,"",SUMIFS(tblDaily[Deaths],tblDaily[EntryDate],DATE(2026,6,3),tblDaily[WardCode],"NICU")),"")</f>
        <v/>
      </c>
      <c r="E204" s="29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29" t="str">
        <f>IFERROR(IF(SUMIFS(tblDaily[TransfersIn],tblDaily[EntryDate],DATE(2026,6,3),tblDaily[WardCode],"NICU")=0,"",SUMIFS(tblDaily[TransfersIn],tblDaily[EntryDate],DATE(2026,6,3),tblDaily[WardCode],"NICU")),"")</f>
        <v/>
      </c>
      <c r="G204" s="29" t="str">
        <f>IFERROR(IF(SUMIFS(tblDaily[TransfersOut],tblDaily[EntryDate],DATE(2026,6,3),tblDaily[WardCode],"NICU")=0,"",SUMIFS(tblDaily[TransfersOut],tblDaily[EntryDate],DATE(2026,6,3),tblDaily[WardCode],"NICU")),"")</f>
        <v/>
      </c>
      <c r="H204" s="29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IFERROR(IF(SUMIFS(tblDaily[Admissions],tblDaily[EntryDate],DATE(2026,6,4),tblDaily[WardCode],"NICU")=0,"",SUMIFS(tblDaily[Admissions],tblDaily[EntryDate],DATE(2026,6,4),tblDaily[WardCode],"NICU")),"")</f>
        <v/>
      </c>
      <c r="C205" s="29" t="str">
        <f>IFERROR(IF(SUMIFS(tblDaily[Discharges],tblDaily[EntryDate],DATE(2026,6,4),tblDaily[WardCode],"NICU")=0,"",SUMIFS(tblDaily[Discharges],tblDaily[EntryDate],DATE(2026,6,4),tblDaily[WardCode],"NICU")),"")</f>
        <v/>
      </c>
      <c r="D205" s="29" t="str">
        <f>IFERROR(IF(SUMIFS(tblDaily[Deaths],tblDaily[EntryDate],DATE(2026,6,4),tblDaily[WardCode],"NICU")=0,"",SUMIFS(tblDaily[Deaths],tblDaily[EntryDate],DATE(2026,6,4),tblDaily[WardCode],"NICU")),"")</f>
        <v/>
      </c>
      <c r="E205" s="29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29" t="str">
        <f>IFERROR(IF(SUMIFS(tblDaily[TransfersIn],tblDaily[EntryDate],DATE(2026,6,4),tblDaily[WardCode],"NICU")=0,"",SUMIFS(tblDaily[TransfersIn],tblDaily[EntryDate],DATE(2026,6,4),tblDaily[WardCode],"NICU")),"")</f>
        <v/>
      </c>
      <c r="G205" s="29" t="str">
        <f>IFERROR(IF(SUMIFS(tblDaily[TransfersOut],tblDaily[EntryDate],DATE(2026,6,4),tblDaily[WardCode],"NICU")=0,"",SUMIFS(tblDaily[TransfersOut],tblDaily[EntryDate],DATE(2026,6,4),tblDaily[WardCode],"NICU")),"")</f>
        <v/>
      </c>
      <c r="H205" s="29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IFERROR(IF(SUMIFS(tblDaily[Admissions],tblDaily[EntryDate],DATE(2026,6,5),tblDaily[WardCode],"NICU")=0,"",SUMIFS(tblDaily[Admissions],tblDaily[EntryDate],DATE(2026,6,5),tblDaily[WardCode],"NICU")),"")</f>
        <v/>
      </c>
      <c r="C206" s="29" t="str">
        <f>IFERROR(IF(SUMIFS(tblDaily[Discharges],tblDaily[EntryDate],DATE(2026,6,5),tblDaily[WardCode],"NICU")=0,"",SUMIFS(tblDaily[Discharges],tblDaily[EntryDate],DATE(2026,6,5),tblDaily[WardCode],"NICU")),"")</f>
        <v/>
      </c>
      <c r="D206" s="29" t="str">
        <f>IFERROR(IF(SUMIFS(tblDaily[Deaths],tblDaily[EntryDate],DATE(2026,6,5),tblDaily[WardCode],"NICU")=0,"",SUMIFS(tblDaily[Deaths],tblDaily[EntryDate],DATE(2026,6,5),tblDaily[WardCode],"NICU")),"")</f>
        <v/>
      </c>
      <c r="E206" s="29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29" t="str">
        <f>IFERROR(IF(SUMIFS(tblDaily[TransfersIn],tblDaily[EntryDate],DATE(2026,6,5),tblDaily[WardCode],"NICU")=0,"",SUMIFS(tblDaily[TransfersIn],tblDaily[EntryDate],DATE(2026,6,5),tblDaily[WardCode],"NICU")),"")</f>
        <v/>
      </c>
      <c r="G206" s="29" t="str">
        <f>IFERROR(IF(SUMIFS(tblDaily[TransfersOut],tblDaily[EntryDate],DATE(2026,6,5),tblDaily[WardCode],"NICU")=0,"",SUMIFS(tblDaily[TransfersOut],tblDaily[EntryDate],DATE(2026,6,5),tblDaily[WardCode],"NICU")),"")</f>
        <v/>
      </c>
      <c r="H206" s="29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IFERROR(IF(SUMIFS(tblDaily[Admissions],tblDaily[EntryDate],DATE(2026,6,6),tblDaily[WardCode],"NICU")=0,"",SUMIFS(tblDaily[Admissions],tblDaily[EntryDate],DATE(2026,6,6),tblDaily[WardCode],"NICU")),"")</f>
        <v/>
      </c>
      <c r="C207" s="29" t="str">
        <f>IFERROR(IF(SUMIFS(tblDaily[Discharges],tblDaily[EntryDate],DATE(2026,6,6),tblDaily[WardCode],"NICU")=0,"",SUMIFS(tblDaily[Discharges],tblDaily[EntryDate],DATE(2026,6,6),tblDaily[WardCode],"NICU")),"")</f>
        <v/>
      </c>
      <c r="D207" s="29" t="str">
        <f>IFERROR(IF(SUMIFS(tblDaily[Deaths],tblDaily[EntryDate],DATE(2026,6,6),tblDaily[WardCode],"NICU")=0,"",SUMIFS(tblDaily[Deaths],tblDaily[EntryDate],DATE(2026,6,6),tblDaily[WardCode],"NICU")),"")</f>
        <v/>
      </c>
      <c r="E207" s="29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29" t="str">
        <f>IFERROR(IF(SUMIFS(tblDaily[TransfersIn],tblDaily[EntryDate],DATE(2026,6,6),tblDaily[WardCode],"NICU")=0,"",SUMIFS(tblDaily[TransfersIn],tblDaily[EntryDate],DATE(2026,6,6),tblDaily[WardCode],"NICU")),"")</f>
        <v/>
      </c>
      <c r="G207" s="29" t="str">
        <f>IFERROR(IF(SUMIFS(tblDaily[TransfersOut],tblDaily[EntryDate],DATE(2026,6,6),tblDaily[WardCode],"NICU")=0,"",SUMIFS(tblDaily[TransfersOut],tblDaily[EntryDate],DATE(2026,6,6),tblDaily[WardCode],"NICU")),"")</f>
        <v/>
      </c>
      <c r="H207" s="29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IFERROR(IF(SUMIFS(tblDaily[Admissions],tblDaily[EntryDate],DATE(2026,6,7),tblDaily[WardCode],"NICU")=0,"",SUMIFS(tblDaily[Admissions],tblDaily[EntryDate],DATE(2026,6,7),tblDaily[WardCode],"NICU")),"")</f>
        <v/>
      </c>
      <c r="C208" s="29" t="str">
        <f>IFERROR(IF(SUMIFS(tblDaily[Discharges],tblDaily[EntryDate],DATE(2026,6,7),tblDaily[WardCode],"NICU")=0,"",SUMIFS(tblDaily[Discharges],tblDaily[EntryDate],DATE(2026,6,7),tblDaily[WardCode],"NICU")),"")</f>
        <v/>
      </c>
      <c r="D208" s="29" t="str">
        <f>IFERROR(IF(SUMIFS(tblDaily[Deaths],tblDaily[EntryDate],DATE(2026,6,7),tblDaily[WardCode],"NICU")=0,"",SUMIFS(tblDaily[Deaths],tblDaily[EntryDate],DATE(2026,6,7),tblDaily[WardCode],"NICU")),"")</f>
        <v/>
      </c>
      <c r="E208" s="29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29" t="str">
        <f>IFERROR(IF(SUMIFS(tblDaily[TransfersIn],tblDaily[EntryDate],DATE(2026,6,7),tblDaily[WardCode],"NICU")=0,"",SUMIFS(tblDaily[TransfersIn],tblDaily[EntryDate],DATE(2026,6,7),tblDaily[WardCode],"NICU")),"")</f>
        <v/>
      </c>
      <c r="G208" s="29" t="str">
        <f>IFERROR(IF(SUMIFS(tblDaily[TransfersOut],tblDaily[EntryDate],DATE(2026,6,7),tblDaily[WardCode],"NICU")=0,"",SUMIFS(tblDaily[TransfersOut],tblDaily[EntryDate],DATE(2026,6,7),tblDaily[WardCode],"NICU")),"")</f>
        <v/>
      </c>
      <c r="H208" s="29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IFERROR(IF(SUMIFS(tblDaily[Admissions],tblDaily[EntryDate],DATE(2026,6,8),tblDaily[WardCode],"NICU")=0,"",SUMIFS(tblDaily[Admissions],tblDaily[EntryDate],DATE(2026,6,8),tblDaily[WardCode],"NICU")),"")</f>
        <v/>
      </c>
      <c r="C209" s="29" t="str">
        <f>IFERROR(IF(SUMIFS(tblDaily[Discharges],tblDaily[EntryDate],DATE(2026,6,8),tblDaily[WardCode],"NICU")=0,"",SUMIFS(tblDaily[Discharges],tblDaily[EntryDate],DATE(2026,6,8),tblDaily[WardCode],"NICU")),"")</f>
        <v/>
      </c>
      <c r="D209" s="29" t="str">
        <f>IFERROR(IF(SUMIFS(tblDaily[Deaths],tblDaily[EntryDate],DATE(2026,6,8),tblDaily[WardCode],"NICU")=0,"",SUMIFS(tblDaily[Deaths],tblDaily[EntryDate],DATE(2026,6,8),tblDaily[WardCode],"NICU")),"")</f>
        <v/>
      </c>
      <c r="E209" s="29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29" t="str">
        <f>IFERROR(IF(SUMIFS(tblDaily[TransfersIn],tblDaily[EntryDate],DATE(2026,6,8),tblDaily[WardCode],"NICU")=0,"",SUMIFS(tblDaily[TransfersIn],tblDaily[EntryDate],DATE(2026,6,8),tblDaily[WardCode],"NICU")),"")</f>
        <v/>
      </c>
      <c r="G209" s="29" t="str">
        <f>IFERROR(IF(SUMIFS(tblDaily[TransfersOut],tblDaily[EntryDate],DATE(2026,6,8),tblDaily[WardCode],"NICU")=0,"",SUMIFS(tblDaily[TransfersOut],tblDaily[EntryDate],DATE(2026,6,8),tblDaily[WardCode],"NICU")),"")</f>
        <v/>
      </c>
      <c r="H209" s="29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IFERROR(IF(SUMIFS(tblDaily[Admissions],tblDaily[EntryDate],DATE(2026,6,9),tblDaily[WardCode],"NICU")=0,"",SUMIFS(tblDaily[Admissions],tblDaily[EntryDate],DATE(2026,6,9),tblDaily[WardCode],"NICU")),"")</f>
        <v/>
      </c>
      <c r="C210" s="29" t="str">
        <f>IFERROR(IF(SUMIFS(tblDaily[Discharges],tblDaily[EntryDate],DATE(2026,6,9),tblDaily[WardCode],"NICU")=0,"",SUMIFS(tblDaily[Discharges],tblDaily[EntryDate],DATE(2026,6,9),tblDaily[WardCode],"NICU")),"")</f>
        <v/>
      </c>
      <c r="D210" s="29" t="str">
        <f>IFERROR(IF(SUMIFS(tblDaily[Deaths],tblDaily[EntryDate],DATE(2026,6,9),tblDaily[WardCode],"NICU")=0,"",SUMIFS(tblDaily[Deaths],tblDaily[EntryDate],DATE(2026,6,9),tblDaily[WardCode],"NICU")),"")</f>
        <v/>
      </c>
      <c r="E210" s="29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29" t="str">
        <f>IFERROR(IF(SUMIFS(tblDaily[TransfersIn],tblDaily[EntryDate],DATE(2026,6,9),tblDaily[WardCode],"NICU")=0,"",SUMIFS(tblDaily[TransfersIn],tblDaily[EntryDate],DATE(2026,6,9),tblDaily[WardCode],"NICU")),"")</f>
        <v/>
      </c>
      <c r="G210" s="29" t="str">
        <f>IFERROR(IF(SUMIFS(tblDaily[TransfersOut],tblDaily[EntryDate],DATE(2026,6,9),tblDaily[WardCode],"NICU")=0,"",SUMIFS(tblDaily[TransfersOut],tblDaily[EntryDate],DATE(2026,6,9),tblDaily[WardCode],"NICU")),"")</f>
        <v/>
      </c>
      <c r="H210" s="29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IFERROR(IF(SUMIFS(tblDaily[Admissions],tblDaily[EntryDate],DATE(2026,6,10),tblDaily[WardCode],"NICU")=0,"",SUMIFS(tblDaily[Admissions],tblDaily[EntryDate],DATE(2026,6,10),tblDaily[WardCode],"NICU")),"")</f>
        <v/>
      </c>
      <c r="C211" s="29" t="str">
        <f>IFERROR(IF(SUMIFS(tblDaily[Discharges],tblDaily[EntryDate],DATE(2026,6,10),tblDaily[WardCode],"NICU")=0,"",SUMIFS(tblDaily[Discharges],tblDaily[EntryDate],DATE(2026,6,10),tblDaily[WardCode],"NICU")),"")</f>
        <v/>
      </c>
      <c r="D211" s="29" t="str">
        <f>IFERROR(IF(SUMIFS(tblDaily[Deaths],tblDaily[EntryDate],DATE(2026,6,10),tblDaily[WardCode],"NICU")=0,"",SUMIFS(tblDaily[Deaths],tblDaily[EntryDate],DATE(2026,6,10),tblDaily[WardCode],"NICU")),"")</f>
        <v/>
      </c>
      <c r="E211" s="29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29" t="str">
        <f>IFERROR(IF(SUMIFS(tblDaily[TransfersIn],tblDaily[EntryDate],DATE(2026,6,10),tblDaily[WardCode],"NICU")=0,"",SUMIFS(tblDaily[TransfersIn],tblDaily[EntryDate],DATE(2026,6,10),tblDaily[WardCode],"NICU")),"")</f>
        <v/>
      </c>
      <c r="G211" s="29" t="str">
        <f>IFERROR(IF(SUMIFS(tblDaily[TransfersOut],tblDaily[EntryDate],DATE(2026,6,10),tblDaily[WardCode],"NICU")=0,"",SUMIFS(tblDaily[TransfersOut],tblDaily[EntryDate],DATE(2026,6,10),tblDaily[WardCode],"NICU")),"")</f>
        <v/>
      </c>
      <c r="H211" s="29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IFERROR(IF(SUMIFS(tblDaily[Admissions],tblDaily[EntryDate],DATE(2026,6,11),tblDaily[WardCode],"NICU")=0,"",SUMIFS(tblDaily[Admissions],tblDaily[EntryDate],DATE(2026,6,11),tblDaily[WardCode],"NICU")),"")</f>
        <v/>
      </c>
      <c r="C212" s="29" t="str">
        <f>IFERROR(IF(SUMIFS(tblDaily[Discharges],tblDaily[EntryDate],DATE(2026,6,11),tblDaily[WardCode],"NICU")=0,"",SUMIFS(tblDaily[Discharges],tblDaily[EntryDate],DATE(2026,6,11),tblDaily[WardCode],"NICU")),"")</f>
        <v/>
      </c>
      <c r="D212" s="29" t="str">
        <f>IFERROR(IF(SUMIFS(tblDaily[Deaths],tblDaily[EntryDate],DATE(2026,6,11),tblDaily[WardCode],"NICU")=0,"",SUMIFS(tblDaily[Deaths],tblDaily[EntryDate],DATE(2026,6,11),tblDaily[WardCode],"NICU")),"")</f>
        <v/>
      </c>
      <c r="E212" s="29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29" t="str">
        <f>IFERROR(IF(SUMIFS(tblDaily[TransfersIn],tblDaily[EntryDate],DATE(2026,6,11),tblDaily[WardCode],"NICU")=0,"",SUMIFS(tblDaily[TransfersIn],tblDaily[EntryDate],DATE(2026,6,11),tblDaily[WardCode],"NICU")),"")</f>
        <v/>
      </c>
      <c r="G212" s="29" t="str">
        <f>IFERROR(IF(SUMIFS(tblDaily[TransfersOut],tblDaily[EntryDate],DATE(2026,6,11),tblDaily[WardCode],"NICU")=0,"",SUMIFS(tblDaily[TransfersOut],tblDaily[EntryDate],DATE(2026,6,11),tblDaily[WardCode],"NICU")),"")</f>
        <v/>
      </c>
      <c r="H212" s="29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IFERROR(IF(SUMIFS(tblDaily[Admissions],tblDaily[EntryDate],DATE(2026,6,12),tblDaily[WardCode],"NICU")=0,"",SUMIFS(tblDaily[Admissions],tblDaily[EntryDate],DATE(2026,6,12),tblDaily[WardCode],"NICU")),"")</f>
        <v/>
      </c>
      <c r="C213" s="29" t="str">
        <f>IFERROR(IF(SUMIFS(tblDaily[Discharges],tblDaily[EntryDate],DATE(2026,6,12),tblDaily[WardCode],"NICU")=0,"",SUMIFS(tblDaily[Discharges],tblDaily[EntryDate],DATE(2026,6,12),tblDaily[WardCode],"NICU")),"")</f>
        <v/>
      </c>
      <c r="D213" s="29" t="str">
        <f>IFERROR(IF(SUMIFS(tblDaily[Deaths],tblDaily[EntryDate],DATE(2026,6,12),tblDaily[WardCode],"NICU")=0,"",SUMIFS(tblDaily[Deaths],tblDaily[EntryDate],DATE(2026,6,12),tblDaily[WardCode],"NICU")),"")</f>
        <v/>
      </c>
      <c r="E213" s="29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29" t="str">
        <f>IFERROR(IF(SUMIFS(tblDaily[TransfersIn],tblDaily[EntryDate],DATE(2026,6,12),tblDaily[WardCode],"NICU")=0,"",SUMIFS(tblDaily[TransfersIn],tblDaily[EntryDate],DATE(2026,6,12),tblDaily[WardCode],"NICU")),"")</f>
        <v/>
      </c>
      <c r="G213" s="29" t="str">
        <f>IFERROR(IF(SUMIFS(tblDaily[TransfersOut],tblDaily[EntryDate],DATE(2026,6,12),tblDaily[WardCode],"NICU")=0,"",SUMIFS(tblDaily[TransfersOut],tblDaily[EntryDate],DATE(2026,6,12),tblDaily[WardCode],"NICU")),"")</f>
        <v/>
      </c>
      <c r="H213" s="29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IFERROR(IF(SUMIFS(tblDaily[Admissions],tblDaily[EntryDate],DATE(2026,6,13),tblDaily[WardCode],"NICU")=0,"",SUMIFS(tblDaily[Admissions],tblDaily[EntryDate],DATE(2026,6,13),tblDaily[WardCode],"NICU")),"")</f>
        <v/>
      </c>
      <c r="C214" s="29" t="str">
        <f>IFERROR(IF(SUMIFS(tblDaily[Discharges],tblDaily[EntryDate],DATE(2026,6,13),tblDaily[WardCode],"NICU")=0,"",SUMIFS(tblDaily[Discharges],tblDaily[EntryDate],DATE(2026,6,13),tblDaily[WardCode],"NICU")),"")</f>
        <v/>
      </c>
      <c r="D214" s="29" t="str">
        <f>IFERROR(IF(SUMIFS(tblDaily[Deaths],tblDaily[EntryDate],DATE(2026,6,13),tblDaily[WardCode],"NICU")=0,"",SUMIFS(tblDaily[Deaths],tblDaily[EntryDate],DATE(2026,6,13),tblDaily[WardCode],"NICU")),"")</f>
        <v/>
      </c>
      <c r="E214" s="29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29" t="str">
        <f>IFERROR(IF(SUMIFS(tblDaily[TransfersIn],tblDaily[EntryDate],DATE(2026,6,13),tblDaily[WardCode],"NICU")=0,"",SUMIFS(tblDaily[TransfersIn],tblDaily[EntryDate],DATE(2026,6,13),tblDaily[WardCode],"NICU")),"")</f>
        <v/>
      </c>
      <c r="G214" s="29" t="str">
        <f>IFERROR(IF(SUMIFS(tblDaily[TransfersOut],tblDaily[EntryDate],DATE(2026,6,13),tblDaily[WardCode],"NICU")=0,"",SUMIFS(tblDaily[TransfersOut],tblDaily[EntryDate],DATE(2026,6,13),tblDaily[WardCode],"NICU")),"")</f>
        <v/>
      </c>
      <c r="H214" s="29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IFERROR(IF(SUMIFS(tblDaily[Admissions],tblDaily[EntryDate],DATE(2026,6,14),tblDaily[WardCode],"NICU")=0,"",SUMIFS(tblDaily[Admissions],tblDaily[EntryDate],DATE(2026,6,14),tblDaily[WardCode],"NICU")),"")</f>
        <v/>
      </c>
      <c r="C215" s="29" t="str">
        <f>IFERROR(IF(SUMIFS(tblDaily[Discharges],tblDaily[EntryDate],DATE(2026,6,14),tblDaily[WardCode],"NICU")=0,"",SUMIFS(tblDaily[Discharges],tblDaily[EntryDate],DATE(2026,6,14),tblDaily[WardCode],"NICU")),"")</f>
        <v/>
      </c>
      <c r="D215" s="29" t="str">
        <f>IFERROR(IF(SUMIFS(tblDaily[Deaths],tblDaily[EntryDate],DATE(2026,6,14),tblDaily[WardCode],"NICU")=0,"",SUMIFS(tblDaily[Deaths],tblDaily[EntryDate],DATE(2026,6,14),tblDaily[WardCode],"NICU")),"")</f>
        <v/>
      </c>
      <c r="E215" s="29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29" t="str">
        <f>IFERROR(IF(SUMIFS(tblDaily[TransfersIn],tblDaily[EntryDate],DATE(2026,6,14),tblDaily[WardCode],"NICU")=0,"",SUMIFS(tblDaily[TransfersIn],tblDaily[EntryDate],DATE(2026,6,14),tblDaily[WardCode],"NICU")),"")</f>
        <v/>
      </c>
      <c r="G215" s="29" t="str">
        <f>IFERROR(IF(SUMIFS(tblDaily[TransfersOut],tblDaily[EntryDate],DATE(2026,6,14),tblDaily[WardCode],"NICU")=0,"",SUMIFS(tblDaily[TransfersOut],tblDaily[EntryDate],DATE(2026,6,14),tblDaily[WardCode],"NICU")),"")</f>
        <v/>
      </c>
      <c r="H215" s="29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IFERROR(IF(SUMIFS(tblDaily[Admissions],tblDaily[EntryDate],DATE(2026,6,15),tblDaily[WardCode],"NICU")=0,"",SUMIFS(tblDaily[Admissions],tblDaily[EntryDate],DATE(2026,6,15),tblDaily[WardCode],"NICU")),"")</f>
        <v/>
      </c>
      <c r="C216" s="29" t="str">
        <f>IFERROR(IF(SUMIFS(tblDaily[Discharges],tblDaily[EntryDate],DATE(2026,6,15),tblDaily[WardCode],"NICU")=0,"",SUMIFS(tblDaily[Discharges],tblDaily[EntryDate],DATE(2026,6,15),tblDaily[WardCode],"NICU")),"")</f>
        <v/>
      </c>
      <c r="D216" s="29" t="str">
        <f>IFERROR(IF(SUMIFS(tblDaily[Deaths],tblDaily[EntryDate],DATE(2026,6,15),tblDaily[WardCode],"NICU")=0,"",SUMIFS(tblDaily[Deaths],tblDaily[EntryDate],DATE(2026,6,15),tblDaily[WardCode],"NICU")),"")</f>
        <v/>
      </c>
      <c r="E216" s="29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29" t="str">
        <f>IFERROR(IF(SUMIFS(tblDaily[TransfersIn],tblDaily[EntryDate],DATE(2026,6,15),tblDaily[WardCode],"NICU")=0,"",SUMIFS(tblDaily[TransfersIn],tblDaily[EntryDate],DATE(2026,6,15),tblDaily[WardCode],"NICU")),"")</f>
        <v/>
      </c>
      <c r="G216" s="29" t="str">
        <f>IFERROR(IF(SUMIFS(tblDaily[TransfersOut],tblDaily[EntryDate],DATE(2026,6,15),tblDaily[WardCode],"NICU")=0,"",SUMIFS(tblDaily[TransfersOut],tblDaily[EntryDate],DATE(2026,6,15),tblDaily[WardCode],"NICU")),"")</f>
        <v/>
      </c>
      <c r="H216" s="29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IFERROR(IF(SUMIFS(tblDaily[Admissions],tblDaily[EntryDate],DATE(2026,6,16),tblDaily[WardCode],"NICU")=0,"",SUMIFS(tblDaily[Admissions],tblDaily[EntryDate],DATE(2026,6,16),tblDaily[WardCode],"NICU")),"")</f>
        <v/>
      </c>
      <c r="C217" s="29" t="str">
        <f>IFERROR(IF(SUMIFS(tblDaily[Discharges],tblDaily[EntryDate],DATE(2026,6,16),tblDaily[WardCode],"NICU")=0,"",SUMIFS(tblDaily[Discharges],tblDaily[EntryDate],DATE(2026,6,16),tblDaily[WardCode],"NICU")),"")</f>
        <v/>
      </c>
      <c r="D217" s="29" t="str">
        <f>IFERROR(IF(SUMIFS(tblDaily[Deaths],tblDaily[EntryDate],DATE(2026,6,16),tblDaily[WardCode],"NICU")=0,"",SUMIFS(tblDaily[Deaths],tblDaily[EntryDate],DATE(2026,6,16),tblDaily[WardCode],"NICU")),"")</f>
        <v/>
      </c>
      <c r="E217" s="29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29" t="str">
        <f>IFERROR(IF(SUMIFS(tblDaily[TransfersIn],tblDaily[EntryDate],DATE(2026,6,16),tblDaily[WardCode],"NICU")=0,"",SUMIFS(tblDaily[TransfersIn],tblDaily[EntryDate],DATE(2026,6,16),tblDaily[WardCode],"NICU")),"")</f>
        <v/>
      </c>
      <c r="G217" s="29" t="str">
        <f>IFERROR(IF(SUMIFS(tblDaily[TransfersOut],tblDaily[EntryDate],DATE(2026,6,16),tblDaily[WardCode],"NICU")=0,"",SUMIFS(tblDaily[TransfersOut],tblDaily[EntryDate],DATE(2026,6,16),tblDaily[WardCode],"NICU")),"")</f>
        <v/>
      </c>
      <c r="H217" s="29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IFERROR(IF(SUMIFS(tblDaily[Admissions],tblDaily[EntryDate],DATE(2026,6,17),tblDaily[WardCode],"NICU")=0,"",SUMIFS(tblDaily[Admissions],tblDaily[EntryDate],DATE(2026,6,17),tblDaily[WardCode],"NICU")),"")</f>
        <v/>
      </c>
      <c r="C218" s="29" t="str">
        <f>IFERROR(IF(SUMIFS(tblDaily[Discharges],tblDaily[EntryDate],DATE(2026,6,17),tblDaily[WardCode],"NICU")=0,"",SUMIFS(tblDaily[Discharges],tblDaily[EntryDate],DATE(2026,6,17),tblDaily[WardCode],"NICU")),"")</f>
        <v/>
      </c>
      <c r="D218" s="29" t="str">
        <f>IFERROR(IF(SUMIFS(tblDaily[Deaths],tblDaily[EntryDate],DATE(2026,6,17),tblDaily[WardCode],"NICU")=0,"",SUMIFS(tblDaily[Deaths],tblDaily[EntryDate],DATE(2026,6,17),tblDaily[WardCode],"NICU")),"")</f>
        <v/>
      </c>
      <c r="E218" s="29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29" t="str">
        <f>IFERROR(IF(SUMIFS(tblDaily[TransfersIn],tblDaily[EntryDate],DATE(2026,6,17),tblDaily[WardCode],"NICU")=0,"",SUMIFS(tblDaily[TransfersIn],tblDaily[EntryDate],DATE(2026,6,17),tblDaily[WardCode],"NICU")),"")</f>
        <v/>
      </c>
      <c r="G218" s="29" t="str">
        <f>IFERROR(IF(SUMIFS(tblDaily[TransfersOut],tblDaily[EntryDate],DATE(2026,6,17),tblDaily[WardCode],"NICU")=0,"",SUMIFS(tblDaily[TransfersOut],tblDaily[EntryDate],DATE(2026,6,17),tblDaily[WardCode],"NICU")),"")</f>
        <v/>
      </c>
      <c r="H218" s="29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IFERROR(IF(SUMIFS(tblDaily[Admissions],tblDaily[EntryDate],DATE(2026,6,18),tblDaily[WardCode],"NICU")=0,"",SUMIFS(tblDaily[Admissions],tblDaily[EntryDate],DATE(2026,6,18),tblDaily[WardCode],"NICU")),"")</f>
        <v/>
      </c>
      <c r="C219" s="29" t="str">
        <f>IFERROR(IF(SUMIFS(tblDaily[Discharges],tblDaily[EntryDate],DATE(2026,6,18),tblDaily[WardCode],"NICU")=0,"",SUMIFS(tblDaily[Discharges],tblDaily[EntryDate],DATE(2026,6,18),tblDaily[WardCode],"NICU")),"")</f>
        <v/>
      </c>
      <c r="D219" s="29" t="str">
        <f>IFERROR(IF(SUMIFS(tblDaily[Deaths],tblDaily[EntryDate],DATE(2026,6,18),tblDaily[WardCode],"NICU")=0,"",SUMIFS(tblDaily[Deaths],tblDaily[EntryDate],DATE(2026,6,18),tblDaily[WardCode],"NICU")),"")</f>
        <v/>
      </c>
      <c r="E219" s="29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29" t="str">
        <f>IFERROR(IF(SUMIFS(tblDaily[TransfersIn],tblDaily[EntryDate],DATE(2026,6,18),tblDaily[WardCode],"NICU")=0,"",SUMIFS(tblDaily[TransfersIn],tblDaily[EntryDate],DATE(2026,6,18),tblDaily[WardCode],"NICU")),"")</f>
        <v/>
      </c>
      <c r="G219" s="29" t="str">
        <f>IFERROR(IF(SUMIFS(tblDaily[TransfersOut],tblDaily[EntryDate],DATE(2026,6,18),tblDaily[WardCode],"NICU")=0,"",SUMIFS(tblDaily[TransfersOut],tblDaily[EntryDate],DATE(2026,6,18),tblDaily[WardCode],"NICU")),"")</f>
        <v/>
      </c>
      <c r="H219" s="29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IFERROR(IF(SUMIFS(tblDaily[Admissions],tblDaily[EntryDate],DATE(2026,6,19),tblDaily[WardCode],"NICU")=0,"",SUMIFS(tblDaily[Admissions],tblDaily[EntryDate],DATE(2026,6,19),tblDaily[WardCode],"NICU")),"")</f>
        <v/>
      </c>
      <c r="C220" s="29" t="str">
        <f>IFERROR(IF(SUMIFS(tblDaily[Discharges],tblDaily[EntryDate],DATE(2026,6,19),tblDaily[WardCode],"NICU")=0,"",SUMIFS(tblDaily[Discharges],tblDaily[EntryDate],DATE(2026,6,19),tblDaily[WardCode],"NICU")),"")</f>
        <v/>
      </c>
      <c r="D220" s="29" t="str">
        <f>IFERROR(IF(SUMIFS(tblDaily[Deaths],tblDaily[EntryDate],DATE(2026,6,19),tblDaily[WardCode],"NICU")=0,"",SUMIFS(tblDaily[Deaths],tblDaily[EntryDate],DATE(2026,6,19),tblDaily[WardCode],"NICU")),"")</f>
        <v/>
      </c>
      <c r="E220" s="29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29" t="str">
        <f>IFERROR(IF(SUMIFS(tblDaily[TransfersIn],tblDaily[EntryDate],DATE(2026,6,19),tblDaily[WardCode],"NICU")=0,"",SUMIFS(tblDaily[TransfersIn],tblDaily[EntryDate],DATE(2026,6,19),tblDaily[WardCode],"NICU")),"")</f>
        <v/>
      </c>
      <c r="G220" s="29" t="str">
        <f>IFERROR(IF(SUMIFS(tblDaily[TransfersOut],tblDaily[EntryDate],DATE(2026,6,19),tblDaily[WardCode],"NICU")=0,"",SUMIFS(tblDaily[TransfersOut],tblDaily[EntryDate],DATE(2026,6,19),tblDaily[WardCode],"NICU")),"")</f>
        <v/>
      </c>
      <c r="H220" s="29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IFERROR(IF(SUMIFS(tblDaily[Admissions],tblDaily[EntryDate],DATE(2026,6,20),tblDaily[WardCode],"NICU")=0,"",SUMIFS(tblDaily[Admissions],tblDaily[EntryDate],DATE(2026,6,20),tblDaily[WardCode],"NICU")),"")</f>
        <v/>
      </c>
      <c r="C221" s="29" t="str">
        <f>IFERROR(IF(SUMIFS(tblDaily[Discharges],tblDaily[EntryDate],DATE(2026,6,20),tblDaily[WardCode],"NICU")=0,"",SUMIFS(tblDaily[Discharges],tblDaily[EntryDate],DATE(2026,6,20),tblDaily[WardCode],"NICU")),"")</f>
        <v/>
      </c>
      <c r="D221" s="29" t="str">
        <f>IFERROR(IF(SUMIFS(tblDaily[Deaths],tblDaily[EntryDate],DATE(2026,6,20),tblDaily[WardCode],"NICU")=0,"",SUMIFS(tblDaily[Deaths],tblDaily[EntryDate],DATE(2026,6,20),tblDaily[WardCode],"NICU")),"")</f>
        <v/>
      </c>
      <c r="E221" s="29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29" t="str">
        <f>IFERROR(IF(SUMIFS(tblDaily[TransfersIn],tblDaily[EntryDate],DATE(2026,6,20),tblDaily[WardCode],"NICU")=0,"",SUMIFS(tblDaily[TransfersIn],tblDaily[EntryDate],DATE(2026,6,20),tblDaily[WardCode],"NICU")),"")</f>
        <v/>
      </c>
      <c r="G221" s="29" t="str">
        <f>IFERROR(IF(SUMIFS(tblDaily[TransfersOut],tblDaily[EntryDate],DATE(2026,6,20),tblDaily[WardCode],"NICU")=0,"",SUMIFS(tblDaily[TransfersOut],tblDaily[EntryDate],DATE(2026,6,20),tblDaily[WardCode],"NICU")),"")</f>
        <v/>
      </c>
      <c r="H221" s="29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IFERROR(IF(SUMIFS(tblDaily[Admissions],tblDaily[EntryDate],DATE(2026,6,21),tblDaily[WardCode],"NICU")=0,"",SUMIFS(tblDaily[Admissions],tblDaily[EntryDate],DATE(2026,6,21),tblDaily[WardCode],"NICU")),"")</f>
        <v/>
      </c>
      <c r="C222" s="29" t="str">
        <f>IFERROR(IF(SUMIFS(tblDaily[Discharges],tblDaily[EntryDate],DATE(2026,6,21),tblDaily[WardCode],"NICU")=0,"",SUMIFS(tblDaily[Discharges],tblDaily[EntryDate],DATE(2026,6,21),tblDaily[WardCode],"NICU")),"")</f>
        <v/>
      </c>
      <c r="D222" s="29" t="str">
        <f>IFERROR(IF(SUMIFS(tblDaily[Deaths],tblDaily[EntryDate],DATE(2026,6,21),tblDaily[WardCode],"NICU")=0,"",SUMIFS(tblDaily[Deaths],tblDaily[EntryDate],DATE(2026,6,21),tblDaily[WardCode],"NICU")),"")</f>
        <v/>
      </c>
      <c r="E222" s="29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29" t="str">
        <f>IFERROR(IF(SUMIFS(tblDaily[TransfersIn],tblDaily[EntryDate],DATE(2026,6,21),tblDaily[WardCode],"NICU")=0,"",SUMIFS(tblDaily[TransfersIn],tblDaily[EntryDate],DATE(2026,6,21),tblDaily[WardCode],"NICU")),"")</f>
        <v/>
      </c>
      <c r="G222" s="29" t="str">
        <f>IFERROR(IF(SUMIFS(tblDaily[TransfersOut],tblDaily[EntryDate],DATE(2026,6,21),tblDaily[WardCode],"NICU")=0,"",SUMIFS(tblDaily[TransfersOut],tblDaily[EntryDate],DATE(2026,6,21),tblDaily[WardCode],"NICU")),"")</f>
        <v/>
      </c>
      <c r="H222" s="29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IFERROR(IF(SUMIFS(tblDaily[Admissions],tblDaily[EntryDate],DATE(2026,6,22),tblDaily[WardCode],"NICU")=0,"",SUMIFS(tblDaily[Admissions],tblDaily[EntryDate],DATE(2026,6,22),tblDaily[WardCode],"NICU")),"")</f>
        <v/>
      </c>
      <c r="C223" s="29" t="str">
        <f>IFERROR(IF(SUMIFS(tblDaily[Discharges],tblDaily[EntryDate],DATE(2026,6,22),tblDaily[WardCode],"NICU")=0,"",SUMIFS(tblDaily[Discharges],tblDaily[EntryDate],DATE(2026,6,22),tblDaily[WardCode],"NICU")),"")</f>
        <v/>
      </c>
      <c r="D223" s="29" t="str">
        <f>IFERROR(IF(SUMIFS(tblDaily[Deaths],tblDaily[EntryDate],DATE(2026,6,22),tblDaily[WardCode],"NICU")=0,"",SUMIFS(tblDaily[Deaths],tblDaily[EntryDate],DATE(2026,6,22),tblDaily[WardCode],"NICU")),"")</f>
        <v/>
      </c>
      <c r="E223" s="29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29" t="str">
        <f>IFERROR(IF(SUMIFS(tblDaily[TransfersIn],tblDaily[EntryDate],DATE(2026,6,22),tblDaily[WardCode],"NICU")=0,"",SUMIFS(tblDaily[TransfersIn],tblDaily[EntryDate],DATE(2026,6,22),tblDaily[WardCode],"NICU")),"")</f>
        <v/>
      </c>
      <c r="G223" s="29" t="str">
        <f>IFERROR(IF(SUMIFS(tblDaily[TransfersOut],tblDaily[EntryDate],DATE(2026,6,22),tblDaily[WardCode],"NICU")=0,"",SUMIFS(tblDaily[TransfersOut],tblDaily[EntryDate],DATE(2026,6,22),tblDaily[WardCode],"NICU")),"")</f>
        <v/>
      </c>
      <c r="H223" s="29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IFERROR(IF(SUMIFS(tblDaily[Admissions],tblDaily[EntryDate],DATE(2026,6,23),tblDaily[WardCode],"NICU")=0,"",SUMIFS(tblDaily[Admissions],tblDaily[EntryDate],DATE(2026,6,23),tblDaily[WardCode],"NICU")),"")</f>
        <v/>
      </c>
      <c r="C224" s="29" t="str">
        <f>IFERROR(IF(SUMIFS(tblDaily[Discharges],tblDaily[EntryDate],DATE(2026,6,23),tblDaily[WardCode],"NICU")=0,"",SUMIFS(tblDaily[Discharges],tblDaily[EntryDate],DATE(2026,6,23),tblDaily[WardCode],"NICU")),"")</f>
        <v/>
      </c>
      <c r="D224" s="29" t="str">
        <f>IFERROR(IF(SUMIFS(tblDaily[Deaths],tblDaily[EntryDate],DATE(2026,6,23),tblDaily[WardCode],"NICU")=0,"",SUMIFS(tblDaily[Deaths],tblDaily[EntryDate],DATE(2026,6,23),tblDaily[WardCode],"NICU")),"")</f>
        <v/>
      </c>
      <c r="E224" s="29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29" t="str">
        <f>IFERROR(IF(SUMIFS(tblDaily[TransfersIn],tblDaily[EntryDate],DATE(2026,6,23),tblDaily[WardCode],"NICU")=0,"",SUMIFS(tblDaily[TransfersIn],tblDaily[EntryDate],DATE(2026,6,23),tblDaily[WardCode],"NICU")),"")</f>
        <v/>
      </c>
      <c r="G224" s="29" t="str">
        <f>IFERROR(IF(SUMIFS(tblDaily[TransfersOut],tblDaily[EntryDate],DATE(2026,6,23),tblDaily[WardCode],"NICU")=0,"",SUMIFS(tblDaily[TransfersOut],tblDaily[EntryDate],DATE(2026,6,23),tblDaily[WardCode],"NICU")),"")</f>
        <v/>
      </c>
      <c r="H224" s="29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IFERROR(IF(SUMIFS(tblDaily[Admissions],tblDaily[EntryDate],DATE(2026,6,24),tblDaily[WardCode],"NICU")=0,"",SUMIFS(tblDaily[Admissions],tblDaily[EntryDate],DATE(2026,6,24),tblDaily[WardCode],"NICU")),"")</f>
        <v/>
      </c>
      <c r="C225" s="29" t="str">
        <f>IFERROR(IF(SUMIFS(tblDaily[Discharges],tblDaily[EntryDate],DATE(2026,6,24),tblDaily[WardCode],"NICU")=0,"",SUMIFS(tblDaily[Discharges],tblDaily[EntryDate],DATE(2026,6,24),tblDaily[WardCode],"NICU")),"")</f>
        <v/>
      </c>
      <c r="D225" s="29" t="str">
        <f>IFERROR(IF(SUMIFS(tblDaily[Deaths],tblDaily[EntryDate],DATE(2026,6,24),tblDaily[WardCode],"NICU")=0,"",SUMIFS(tblDaily[Deaths],tblDaily[EntryDate],DATE(2026,6,24),tblDaily[WardCode],"NICU")),"")</f>
        <v/>
      </c>
      <c r="E225" s="29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29" t="str">
        <f>IFERROR(IF(SUMIFS(tblDaily[TransfersIn],tblDaily[EntryDate],DATE(2026,6,24),tblDaily[WardCode],"NICU")=0,"",SUMIFS(tblDaily[TransfersIn],tblDaily[EntryDate],DATE(2026,6,24),tblDaily[WardCode],"NICU")),"")</f>
        <v/>
      </c>
      <c r="G225" s="29" t="str">
        <f>IFERROR(IF(SUMIFS(tblDaily[TransfersOut],tblDaily[EntryDate],DATE(2026,6,24),tblDaily[WardCode],"NICU")=0,"",SUMIFS(tblDaily[TransfersOut],tblDaily[EntryDate],DATE(2026,6,24),tblDaily[WardCode],"NICU")),"")</f>
        <v/>
      </c>
      <c r="H225" s="29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IFERROR(IF(SUMIFS(tblDaily[Admissions],tblDaily[EntryDate],DATE(2026,6,25),tblDaily[WardCode],"NICU")=0,"",SUMIFS(tblDaily[Admissions],tblDaily[EntryDate],DATE(2026,6,25),tblDaily[WardCode],"NICU")),"")</f>
        <v/>
      </c>
      <c r="C226" s="29" t="str">
        <f>IFERROR(IF(SUMIFS(tblDaily[Discharges],tblDaily[EntryDate],DATE(2026,6,25),tblDaily[WardCode],"NICU")=0,"",SUMIFS(tblDaily[Discharges],tblDaily[EntryDate],DATE(2026,6,25),tblDaily[WardCode],"NICU")),"")</f>
        <v/>
      </c>
      <c r="D226" s="29" t="str">
        <f>IFERROR(IF(SUMIFS(tblDaily[Deaths],tblDaily[EntryDate],DATE(2026,6,25),tblDaily[WardCode],"NICU")=0,"",SUMIFS(tblDaily[Deaths],tblDaily[EntryDate],DATE(2026,6,25),tblDaily[WardCode],"NICU")),"")</f>
        <v/>
      </c>
      <c r="E226" s="29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29" t="str">
        <f>IFERROR(IF(SUMIFS(tblDaily[TransfersIn],tblDaily[EntryDate],DATE(2026,6,25),tblDaily[WardCode],"NICU")=0,"",SUMIFS(tblDaily[TransfersIn],tblDaily[EntryDate],DATE(2026,6,25),tblDaily[WardCode],"NICU")),"")</f>
        <v/>
      </c>
      <c r="G226" s="29" t="str">
        <f>IFERROR(IF(SUMIFS(tblDaily[TransfersOut],tblDaily[EntryDate],DATE(2026,6,25),tblDaily[WardCode],"NICU")=0,"",SUMIFS(tblDaily[TransfersOut],tblDaily[EntryDate],DATE(2026,6,25),tblDaily[WardCode],"NICU")),"")</f>
        <v/>
      </c>
      <c r="H226" s="29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IFERROR(IF(SUMIFS(tblDaily[Admissions],tblDaily[EntryDate],DATE(2026,6,26),tblDaily[WardCode],"NICU")=0,"",SUMIFS(tblDaily[Admissions],tblDaily[EntryDate],DATE(2026,6,26),tblDaily[WardCode],"NICU")),"")</f>
        <v/>
      </c>
      <c r="C227" s="29" t="str">
        <f>IFERROR(IF(SUMIFS(tblDaily[Discharges],tblDaily[EntryDate],DATE(2026,6,26),tblDaily[WardCode],"NICU")=0,"",SUMIFS(tblDaily[Discharges],tblDaily[EntryDate],DATE(2026,6,26),tblDaily[WardCode],"NICU")),"")</f>
        <v/>
      </c>
      <c r="D227" s="29" t="str">
        <f>IFERROR(IF(SUMIFS(tblDaily[Deaths],tblDaily[EntryDate],DATE(2026,6,26),tblDaily[WardCode],"NICU")=0,"",SUMIFS(tblDaily[Deaths],tblDaily[EntryDate],DATE(2026,6,26),tblDaily[WardCode],"NICU")),"")</f>
        <v/>
      </c>
      <c r="E227" s="29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29" t="str">
        <f>IFERROR(IF(SUMIFS(tblDaily[TransfersIn],tblDaily[EntryDate],DATE(2026,6,26),tblDaily[WardCode],"NICU")=0,"",SUMIFS(tblDaily[TransfersIn],tblDaily[EntryDate],DATE(2026,6,26),tblDaily[WardCode],"NICU")),"")</f>
        <v/>
      </c>
      <c r="G227" s="29" t="str">
        <f>IFERROR(IF(SUMIFS(tblDaily[TransfersOut],tblDaily[EntryDate],DATE(2026,6,26),tblDaily[WardCode],"NICU")=0,"",SUMIFS(tblDaily[TransfersOut],tblDaily[EntryDate],DATE(2026,6,26),tblDaily[WardCode],"NICU")),"")</f>
        <v/>
      </c>
      <c r="H227" s="29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IFERROR(IF(SUMIFS(tblDaily[Admissions],tblDaily[EntryDate],DATE(2026,6,27),tblDaily[WardCode],"NICU")=0,"",SUMIFS(tblDaily[Admissions],tblDaily[EntryDate],DATE(2026,6,27),tblDaily[WardCode],"NICU")),"")</f>
        <v/>
      </c>
      <c r="C228" s="29" t="str">
        <f>IFERROR(IF(SUMIFS(tblDaily[Discharges],tblDaily[EntryDate],DATE(2026,6,27),tblDaily[WardCode],"NICU")=0,"",SUMIFS(tblDaily[Discharges],tblDaily[EntryDate],DATE(2026,6,27),tblDaily[WardCode],"NICU")),"")</f>
        <v/>
      </c>
      <c r="D228" s="29" t="str">
        <f>IFERROR(IF(SUMIFS(tblDaily[Deaths],tblDaily[EntryDate],DATE(2026,6,27),tblDaily[WardCode],"NICU")=0,"",SUMIFS(tblDaily[Deaths],tblDaily[EntryDate],DATE(2026,6,27),tblDaily[WardCode],"NICU")),"")</f>
        <v/>
      </c>
      <c r="E228" s="29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29" t="str">
        <f>IFERROR(IF(SUMIFS(tblDaily[TransfersIn],tblDaily[EntryDate],DATE(2026,6,27),tblDaily[WardCode],"NICU")=0,"",SUMIFS(tblDaily[TransfersIn],tblDaily[EntryDate],DATE(2026,6,27),tblDaily[WardCode],"NICU")),"")</f>
        <v/>
      </c>
      <c r="G228" s="29" t="str">
        <f>IFERROR(IF(SUMIFS(tblDaily[TransfersOut],tblDaily[EntryDate],DATE(2026,6,27),tblDaily[WardCode],"NICU")=0,"",SUMIFS(tblDaily[TransfersOut],tblDaily[EntryDate],DATE(2026,6,27),tblDaily[WardCode],"NICU")),"")</f>
        <v/>
      </c>
      <c r="H228" s="29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IFERROR(IF(SUMIFS(tblDaily[Admissions],tblDaily[EntryDate],DATE(2026,6,28),tblDaily[WardCode],"NICU")=0,"",SUMIFS(tblDaily[Admissions],tblDaily[EntryDate],DATE(2026,6,28),tblDaily[WardCode],"NICU")),"")</f>
        <v/>
      </c>
      <c r="C229" s="29" t="str">
        <f>IFERROR(IF(SUMIFS(tblDaily[Discharges],tblDaily[EntryDate],DATE(2026,6,28),tblDaily[WardCode],"NICU")=0,"",SUMIFS(tblDaily[Discharges],tblDaily[EntryDate],DATE(2026,6,28),tblDaily[WardCode],"NICU")),"")</f>
        <v/>
      </c>
      <c r="D229" s="29" t="str">
        <f>IFERROR(IF(SUMIFS(tblDaily[Deaths],tblDaily[EntryDate],DATE(2026,6,28),tblDaily[WardCode],"NICU")=0,"",SUMIFS(tblDaily[Deaths],tblDaily[EntryDate],DATE(2026,6,28),tblDaily[WardCode],"NICU")),"")</f>
        <v/>
      </c>
      <c r="E229" s="29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29" t="str">
        <f>IFERROR(IF(SUMIFS(tblDaily[TransfersIn],tblDaily[EntryDate],DATE(2026,6,28),tblDaily[WardCode],"NICU")=0,"",SUMIFS(tblDaily[TransfersIn],tblDaily[EntryDate],DATE(2026,6,28),tblDaily[WardCode],"NICU")),"")</f>
        <v/>
      </c>
      <c r="G229" s="29" t="str">
        <f>IFERROR(IF(SUMIFS(tblDaily[TransfersOut],tblDaily[EntryDate],DATE(2026,6,28),tblDaily[WardCode],"NICU")=0,"",SUMIFS(tblDaily[TransfersOut],tblDaily[EntryDate],DATE(2026,6,28),tblDaily[WardCode],"NICU")),"")</f>
        <v/>
      </c>
      <c r="H229" s="29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IFERROR(IF(SUMIFS(tblDaily[Admissions],tblDaily[EntryDate],DATE(2026,6,29),tblDaily[WardCode],"NICU")=0,"",SUMIFS(tblDaily[Admissions],tblDaily[EntryDate],DATE(2026,6,29),tblDaily[WardCode],"NICU")),"")</f>
        <v/>
      </c>
      <c r="C230" s="29" t="str">
        <f>IFERROR(IF(SUMIFS(tblDaily[Discharges],tblDaily[EntryDate],DATE(2026,6,29),tblDaily[WardCode],"NICU")=0,"",SUMIFS(tblDaily[Discharges],tblDaily[EntryDate],DATE(2026,6,29),tblDaily[WardCode],"NICU")),"")</f>
        <v/>
      </c>
      <c r="D230" s="29" t="str">
        <f>IFERROR(IF(SUMIFS(tblDaily[Deaths],tblDaily[EntryDate],DATE(2026,6,29),tblDaily[WardCode],"NICU")=0,"",SUMIFS(tblDaily[Deaths],tblDaily[EntryDate],DATE(2026,6,29),tblDaily[WardCode],"NICU")),"")</f>
        <v/>
      </c>
      <c r="E230" s="29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29" t="str">
        <f>IFERROR(IF(SUMIFS(tblDaily[TransfersIn],tblDaily[EntryDate],DATE(2026,6,29),tblDaily[WardCode],"NICU")=0,"",SUMIFS(tblDaily[TransfersIn],tblDaily[EntryDate],DATE(2026,6,29),tblDaily[WardCode],"NICU")),"")</f>
        <v/>
      </c>
      <c r="G230" s="29" t="str">
        <f>IFERROR(IF(SUMIFS(tblDaily[TransfersOut],tblDaily[EntryDate],DATE(2026,6,29),tblDaily[WardCode],"NICU")=0,"",SUMIFS(tblDaily[TransfersOut],tblDaily[EntryDate],DATE(2026,6,29),tblDaily[WardCode],"NICU")),"")</f>
        <v/>
      </c>
      <c r="H230" s="29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IFERROR(IF(SUMIFS(tblDaily[Admissions],tblDaily[EntryDate],DATE(2026,6,30),tblDaily[WardCode],"NICU")=0,"",SUMIFS(tblDaily[Admissions],tblDaily[EntryDate],DATE(2026,6,30),tblDaily[WardCode],"NICU")),"")</f>
        <v/>
      </c>
      <c r="C231" s="29" t="str">
        <f>IFERROR(IF(SUMIFS(tblDaily[Discharges],tblDaily[EntryDate],DATE(2026,6,30),tblDaily[WardCode],"NICU")=0,"",SUMIFS(tblDaily[Discharges],tblDaily[EntryDate],DATE(2026,6,30),tblDaily[WardCode],"NICU")),"")</f>
        <v/>
      </c>
      <c r="D231" s="29" t="str">
        <f>IFERROR(IF(SUMIFS(tblDaily[Deaths],tblDaily[EntryDate],DATE(2026,6,30),tblDaily[WardCode],"NICU")=0,"",SUMIFS(tblDaily[Deaths],tblDaily[EntryDate],DATE(2026,6,30),tblDaily[WardCode],"NICU")),"")</f>
        <v/>
      </c>
      <c r="E231" s="29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29" t="str">
        <f>IFERROR(IF(SUMIFS(tblDaily[TransfersIn],tblDaily[EntryDate],DATE(2026,6,30),tblDaily[WardCode],"NICU")=0,"",SUMIFS(tblDaily[TransfersIn],tblDaily[EntryDate],DATE(2026,6,30),tblDaily[WardCode],"NICU")),"")</f>
        <v/>
      </c>
      <c r="G231" s="29" t="str">
        <f>IFERROR(IF(SUMIFS(tblDaily[TransfersOut],tblDaily[EntryDate],DATE(2026,6,30),tblDaily[WardCode],"NICU")=0,"",SUMIFS(tblDaily[TransfersOut],tblDaily[EntryDate],DATE(2026,6,30),tblDaily[WardCode],"NICU")),"")</f>
        <v/>
      </c>
      <c r="H231" s="29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SUMIFS(tblDaily[Admissions],tblDaily[Month],6,tblDaily[WardCode],"NICU") - SUMIFS(tblDaily[DeathsUnder24Hrs],tblDaily[Month],6,tblDaily[WardCode],"NICU")</f>
        <v>0</v>
      </c>
      <c r="C233" s="30">
        <f>SUMIFS(tblDaily[Discharges],tblDaily[Month],6,tblDaily[WardCode],"NICU")</f>
        <v>0</v>
      </c>
      <c r="D233" s="30">
        <f>SUMIFS(tblDaily[Deaths],tblDaily[Month],6,tblDaily[WardCode],"NICU")</f>
        <v>0</v>
      </c>
      <c r="E233" s="30">
        <f>SUMIFS(tblDaily[DeathsUnder24Hrs],tblDaily[Month],6,tblDaily[WardCode],"NICU")</f>
        <v>0</v>
      </c>
      <c r="F233" s="30">
        <f>SUMIFS(tblDaily[TransfersIn],tblDaily[Month],6,tblDaily[WardCode],"NICU")</f>
        <v>0</v>
      </c>
      <c r="G233" s="30">
        <f>SUMIFS(tblDaily[TransfersOut],tblDaily[Month],6,tblDaily[WardCode],"NICU")</f>
        <v>0</v>
      </c>
      <c r="H233" s="30">
        <f>SUMIFS(tblDaily[Remaining],tblDaily[Month],6,tblDaily[WardCode],"NICU")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121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IFERROR(SUMIFS(tblDaily[Remaining],tblDaily[EntryDate],DATE(2026,6,30),tblDaily[WardCode],"NICU"),0)</f>
        <v>0</v>
      </c>
    </row>
    <row r="239" spans="1:8" x14ac:dyDescent="0.25">
      <c r="A239" s="24" t="s">
        <v>109</v>
      </c>
      <c r="H239" s="27">
        <f>IFERROR(INDEX(tblWardConfig[BedComplement],MATCH("NICU",tblWardConfig[WardCode],0)),0)</f>
        <v>15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IFERROR(IF(SUMIFS(tblDaily[Admissions],tblDaily[EntryDate],DATE(2026,7,1),tblDaily[WardCode],"NICU")=0,"",SUMIFS(tblDaily[Admissions],tblDaily[EntryDate],DATE(2026,7,1),tblDaily[WardCode],"NICU")),"")</f>
        <v/>
      </c>
      <c r="C241" s="29" t="str">
        <f>IFERROR(IF(SUMIFS(tblDaily[Discharges],tblDaily[EntryDate],DATE(2026,7,1),tblDaily[WardCode],"NICU")=0,"",SUMIFS(tblDaily[Discharges],tblDaily[EntryDate],DATE(2026,7,1),tblDaily[WardCode],"NICU")),"")</f>
        <v/>
      </c>
      <c r="D241" s="29" t="str">
        <f>IFERROR(IF(SUMIFS(tblDaily[Deaths],tblDaily[EntryDate],DATE(2026,7,1),tblDaily[WardCode],"NICU")=0,"",SUMIFS(tblDaily[Deaths],tblDaily[EntryDate],DATE(2026,7,1),tblDaily[WardCode],"NICU")),"")</f>
        <v/>
      </c>
      <c r="E241" s="29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29" t="str">
        <f>IFERROR(IF(SUMIFS(tblDaily[TransfersIn],tblDaily[EntryDate],DATE(2026,7,1),tblDaily[WardCode],"NICU")=0,"",SUMIFS(tblDaily[TransfersIn],tblDaily[EntryDate],DATE(2026,7,1),tblDaily[WardCode],"NICU")),"")</f>
        <v/>
      </c>
      <c r="G241" s="29" t="str">
        <f>IFERROR(IF(SUMIFS(tblDaily[TransfersOut],tblDaily[EntryDate],DATE(2026,7,1),tblDaily[WardCode],"NICU")=0,"",SUMIFS(tblDaily[TransfersOut],tblDaily[EntryDate],DATE(2026,7,1),tblDaily[WardCode],"NICU")),"")</f>
        <v/>
      </c>
      <c r="H241" s="29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IFERROR(IF(SUMIFS(tblDaily[Admissions],tblDaily[EntryDate],DATE(2026,7,2),tblDaily[WardCode],"NICU")=0,"",SUMIFS(tblDaily[Admissions],tblDaily[EntryDate],DATE(2026,7,2),tblDaily[WardCode],"NICU")),"")</f>
        <v/>
      </c>
      <c r="C242" s="29" t="str">
        <f>IFERROR(IF(SUMIFS(tblDaily[Discharges],tblDaily[EntryDate],DATE(2026,7,2),tblDaily[WardCode],"NICU")=0,"",SUMIFS(tblDaily[Discharges],tblDaily[EntryDate],DATE(2026,7,2),tblDaily[WardCode],"NICU")),"")</f>
        <v/>
      </c>
      <c r="D242" s="29" t="str">
        <f>IFERROR(IF(SUMIFS(tblDaily[Deaths],tblDaily[EntryDate],DATE(2026,7,2),tblDaily[WardCode],"NICU")=0,"",SUMIFS(tblDaily[Deaths],tblDaily[EntryDate],DATE(2026,7,2),tblDaily[WardCode],"NICU")),"")</f>
        <v/>
      </c>
      <c r="E242" s="29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29" t="str">
        <f>IFERROR(IF(SUMIFS(tblDaily[TransfersIn],tblDaily[EntryDate],DATE(2026,7,2),tblDaily[WardCode],"NICU")=0,"",SUMIFS(tblDaily[TransfersIn],tblDaily[EntryDate],DATE(2026,7,2),tblDaily[WardCode],"NICU")),"")</f>
        <v/>
      </c>
      <c r="G242" s="29" t="str">
        <f>IFERROR(IF(SUMIFS(tblDaily[TransfersOut],tblDaily[EntryDate],DATE(2026,7,2),tblDaily[WardCode],"NICU")=0,"",SUMIFS(tblDaily[TransfersOut],tblDaily[EntryDate],DATE(2026,7,2),tblDaily[WardCode],"NICU")),"")</f>
        <v/>
      </c>
      <c r="H242" s="29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IFERROR(IF(SUMIFS(tblDaily[Admissions],tblDaily[EntryDate],DATE(2026,7,3),tblDaily[WardCode],"NICU")=0,"",SUMIFS(tblDaily[Admissions],tblDaily[EntryDate],DATE(2026,7,3),tblDaily[WardCode],"NICU")),"")</f>
        <v/>
      </c>
      <c r="C243" s="29" t="str">
        <f>IFERROR(IF(SUMIFS(tblDaily[Discharges],tblDaily[EntryDate],DATE(2026,7,3),tblDaily[WardCode],"NICU")=0,"",SUMIFS(tblDaily[Discharges],tblDaily[EntryDate],DATE(2026,7,3),tblDaily[WardCode],"NICU")),"")</f>
        <v/>
      </c>
      <c r="D243" s="29" t="str">
        <f>IFERROR(IF(SUMIFS(tblDaily[Deaths],tblDaily[EntryDate],DATE(2026,7,3),tblDaily[WardCode],"NICU")=0,"",SUMIFS(tblDaily[Deaths],tblDaily[EntryDate],DATE(2026,7,3),tblDaily[WardCode],"NICU")),"")</f>
        <v/>
      </c>
      <c r="E243" s="29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29" t="str">
        <f>IFERROR(IF(SUMIFS(tblDaily[TransfersIn],tblDaily[EntryDate],DATE(2026,7,3),tblDaily[WardCode],"NICU")=0,"",SUMIFS(tblDaily[TransfersIn],tblDaily[EntryDate],DATE(2026,7,3),tblDaily[WardCode],"NICU")),"")</f>
        <v/>
      </c>
      <c r="G243" s="29" t="str">
        <f>IFERROR(IF(SUMIFS(tblDaily[TransfersOut],tblDaily[EntryDate],DATE(2026,7,3),tblDaily[WardCode],"NICU")=0,"",SUMIFS(tblDaily[TransfersOut],tblDaily[EntryDate],DATE(2026,7,3),tblDaily[WardCode],"NICU")),"")</f>
        <v/>
      </c>
      <c r="H243" s="29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IFERROR(IF(SUMIFS(tblDaily[Admissions],tblDaily[EntryDate],DATE(2026,7,4),tblDaily[WardCode],"NICU")=0,"",SUMIFS(tblDaily[Admissions],tblDaily[EntryDate],DATE(2026,7,4),tblDaily[WardCode],"NICU")),"")</f>
        <v/>
      </c>
      <c r="C244" s="29" t="str">
        <f>IFERROR(IF(SUMIFS(tblDaily[Discharges],tblDaily[EntryDate],DATE(2026,7,4),tblDaily[WardCode],"NICU")=0,"",SUMIFS(tblDaily[Discharges],tblDaily[EntryDate],DATE(2026,7,4),tblDaily[WardCode],"NICU")),"")</f>
        <v/>
      </c>
      <c r="D244" s="29" t="str">
        <f>IFERROR(IF(SUMIFS(tblDaily[Deaths],tblDaily[EntryDate],DATE(2026,7,4),tblDaily[WardCode],"NICU")=0,"",SUMIFS(tblDaily[Deaths],tblDaily[EntryDate],DATE(2026,7,4),tblDaily[WardCode],"NICU")),"")</f>
        <v/>
      </c>
      <c r="E244" s="29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29" t="str">
        <f>IFERROR(IF(SUMIFS(tblDaily[TransfersIn],tblDaily[EntryDate],DATE(2026,7,4),tblDaily[WardCode],"NICU")=0,"",SUMIFS(tblDaily[TransfersIn],tblDaily[EntryDate],DATE(2026,7,4),tblDaily[WardCode],"NICU")),"")</f>
        <v/>
      </c>
      <c r="G244" s="29" t="str">
        <f>IFERROR(IF(SUMIFS(tblDaily[TransfersOut],tblDaily[EntryDate],DATE(2026,7,4),tblDaily[WardCode],"NICU")=0,"",SUMIFS(tblDaily[TransfersOut],tblDaily[EntryDate],DATE(2026,7,4),tblDaily[WardCode],"NICU")),"")</f>
        <v/>
      </c>
      <c r="H244" s="29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IFERROR(IF(SUMIFS(tblDaily[Admissions],tblDaily[EntryDate],DATE(2026,7,5),tblDaily[WardCode],"NICU")=0,"",SUMIFS(tblDaily[Admissions],tblDaily[EntryDate],DATE(2026,7,5),tblDaily[WardCode],"NICU")),"")</f>
        <v/>
      </c>
      <c r="C245" s="29" t="str">
        <f>IFERROR(IF(SUMIFS(tblDaily[Discharges],tblDaily[EntryDate],DATE(2026,7,5),tblDaily[WardCode],"NICU")=0,"",SUMIFS(tblDaily[Discharges],tblDaily[EntryDate],DATE(2026,7,5),tblDaily[WardCode],"NICU")),"")</f>
        <v/>
      </c>
      <c r="D245" s="29" t="str">
        <f>IFERROR(IF(SUMIFS(tblDaily[Deaths],tblDaily[EntryDate],DATE(2026,7,5),tblDaily[WardCode],"NICU")=0,"",SUMIFS(tblDaily[Deaths],tblDaily[EntryDate],DATE(2026,7,5),tblDaily[WardCode],"NICU")),"")</f>
        <v/>
      </c>
      <c r="E245" s="29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29" t="str">
        <f>IFERROR(IF(SUMIFS(tblDaily[TransfersIn],tblDaily[EntryDate],DATE(2026,7,5),tblDaily[WardCode],"NICU")=0,"",SUMIFS(tblDaily[TransfersIn],tblDaily[EntryDate],DATE(2026,7,5),tblDaily[WardCode],"NICU")),"")</f>
        <v/>
      </c>
      <c r="G245" s="29" t="str">
        <f>IFERROR(IF(SUMIFS(tblDaily[TransfersOut],tblDaily[EntryDate],DATE(2026,7,5),tblDaily[WardCode],"NICU")=0,"",SUMIFS(tblDaily[TransfersOut],tblDaily[EntryDate],DATE(2026,7,5),tblDaily[WardCode],"NICU")),"")</f>
        <v/>
      </c>
      <c r="H245" s="29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IFERROR(IF(SUMIFS(tblDaily[Admissions],tblDaily[EntryDate],DATE(2026,7,6),tblDaily[WardCode],"NICU")=0,"",SUMIFS(tblDaily[Admissions],tblDaily[EntryDate],DATE(2026,7,6),tblDaily[WardCode],"NICU")),"")</f>
        <v/>
      </c>
      <c r="C246" s="29" t="str">
        <f>IFERROR(IF(SUMIFS(tblDaily[Discharges],tblDaily[EntryDate],DATE(2026,7,6),tblDaily[WardCode],"NICU")=0,"",SUMIFS(tblDaily[Discharges],tblDaily[EntryDate],DATE(2026,7,6),tblDaily[WardCode],"NICU")),"")</f>
        <v/>
      </c>
      <c r="D246" s="29" t="str">
        <f>IFERROR(IF(SUMIFS(tblDaily[Deaths],tblDaily[EntryDate],DATE(2026,7,6),tblDaily[WardCode],"NICU")=0,"",SUMIFS(tblDaily[Deaths],tblDaily[EntryDate],DATE(2026,7,6),tblDaily[WardCode],"NICU")),"")</f>
        <v/>
      </c>
      <c r="E246" s="29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29" t="str">
        <f>IFERROR(IF(SUMIFS(tblDaily[TransfersIn],tblDaily[EntryDate],DATE(2026,7,6),tblDaily[WardCode],"NICU")=0,"",SUMIFS(tblDaily[TransfersIn],tblDaily[EntryDate],DATE(2026,7,6),tblDaily[WardCode],"NICU")),"")</f>
        <v/>
      </c>
      <c r="G246" s="29" t="str">
        <f>IFERROR(IF(SUMIFS(tblDaily[TransfersOut],tblDaily[EntryDate],DATE(2026,7,6),tblDaily[WardCode],"NICU")=0,"",SUMIFS(tblDaily[TransfersOut],tblDaily[EntryDate],DATE(2026,7,6),tblDaily[WardCode],"NICU")),"")</f>
        <v/>
      </c>
      <c r="H246" s="29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IFERROR(IF(SUMIFS(tblDaily[Admissions],tblDaily[EntryDate],DATE(2026,7,7),tblDaily[WardCode],"NICU")=0,"",SUMIFS(tblDaily[Admissions],tblDaily[EntryDate],DATE(2026,7,7),tblDaily[WardCode],"NICU")),"")</f>
        <v/>
      </c>
      <c r="C247" s="29" t="str">
        <f>IFERROR(IF(SUMIFS(tblDaily[Discharges],tblDaily[EntryDate],DATE(2026,7,7),tblDaily[WardCode],"NICU")=0,"",SUMIFS(tblDaily[Discharges],tblDaily[EntryDate],DATE(2026,7,7),tblDaily[WardCode],"NICU")),"")</f>
        <v/>
      </c>
      <c r="D247" s="29" t="str">
        <f>IFERROR(IF(SUMIFS(tblDaily[Deaths],tblDaily[EntryDate],DATE(2026,7,7),tblDaily[WardCode],"NICU")=0,"",SUMIFS(tblDaily[Deaths],tblDaily[EntryDate],DATE(2026,7,7),tblDaily[WardCode],"NICU")),"")</f>
        <v/>
      </c>
      <c r="E247" s="29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29" t="str">
        <f>IFERROR(IF(SUMIFS(tblDaily[TransfersIn],tblDaily[EntryDate],DATE(2026,7,7),tblDaily[WardCode],"NICU")=0,"",SUMIFS(tblDaily[TransfersIn],tblDaily[EntryDate],DATE(2026,7,7),tblDaily[WardCode],"NICU")),"")</f>
        <v/>
      </c>
      <c r="G247" s="29" t="str">
        <f>IFERROR(IF(SUMIFS(tblDaily[TransfersOut],tblDaily[EntryDate],DATE(2026,7,7),tblDaily[WardCode],"NICU")=0,"",SUMIFS(tblDaily[TransfersOut],tblDaily[EntryDate],DATE(2026,7,7),tblDaily[WardCode],"NICU")),"")</f>
        <v/>
      </c>
      <c r="H247" s="29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IFERROR(IF(SUMIFS(tblDaily[Admissions],tblDaily[EntryDate],DATE(2026,7,8),tblDaily[WardCode],"NICU")=0,"",SUMIFS(tblDaily[Admissions],tblDaily[EntryDate],DATE(2026,7,8),tblDaily[WardCode],"NICU")),"")</f>
        <v/>
      </c>
      <c r="C248" s="29" t="str">
        <f>IFERROR(IF(SUMIFS(tblDaily[Discharges],tblDaily[EntryDate],DATE(2026,7,8),tblDaily[WardCode],"NICU")=0,"",SUMIFS(tblDaily[Discharges],tblDaily[EntryDate],DATE(2026,7,8),tblDaily[WardCode],"NICU")),"")</f>
        <v/>
      </c>
      <c r="D248" s="29" t="str">
        <f>IFERROR(IF(SUMIFS(tblDaily[Deaths],tblDaily[EntryDate],DATE(2026,7,8),tblDaily[WardCode],"NICU")=0,"",SUMIFS(tblDaily[Deaths],tblDaily[EntryDate],DATE(2026,7,8),tblDaily[WardCode],"NICU")),"")</f>
        <v/>
      </c>
      <c r="E248" s="29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29" t="str">
        <f>IFERROR(IF(SUMIFS(tblDaily[TransfersIn],tblDaily[EntryDate],DATE(2026,7,8),tblDaily[WardCode],"NICU")=0,"",SUMIFS(tblDaily[TransfersIn],tblDaily[EntryDate],DATE(2026,7,8),tblDaily[WardCode],"NICU")),"")</f>
        <v/>
      </c>
      <c r="G248" s="29" t="str">
        <f>IFERROR(IF(SUMIFS(tblDaily[TransfersOut],tblDaily[EntryDate],DATE(2026,7,8),tblDaily[WardCode],"NICU")=0,"",SUMIFS(tblDaily[TransfersOut],tblDaily[EntryDate],DATE(2026,7,8),tblDaily[WardCode],"NICU")),"")</f>
        <v/>
      </c>
      <c r="H248" s="29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IFERROR(IF(SUMIFS(tblDaily[Admissions],tblDaily[EntryDate],DATE(2026,7,9),tblDaily[WardCode],"NICU")=0,"",SUMIFS(tblDaily[Admissions],tblDaily[EntryDate],DATE(2026,7,9),tblDaily[WardCode],"NICU")),"")</f>
        <v/>
      </c>
      <c r="C249" s="29" t="str">
        <f>IFERROR(IF(SUMIFS(tblDaily[Discharges],tblDaily[EntryDate],DATE(2026,7,9),tblDaily[WardCode],"NICU")=0,"",SUMIFS(tblDaily[Discharges],tblDaily[EntryDate],DATE(2026,7,9),tblDaily[WardCode],"NICU")),"")</f>
        <v/>
      </c>
      <c r="D249" s="29" t="str">
        <f>IFERROR(IF(SUMIFS(tblDaily[Deaths],tblDaily[EntryDate],DATE(2026,7,9),tblDaily[WardCode],"NICU")=0,"",SUMIFS(tblDaily[Deaths],tblDaily[EntryDate],DATE(2026,7,9),tblDaily[WardCode],"NICU")),"")</f>
        <v/>
      </c>
      <c r="E249" s="29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29" t="str">
        <f>IFERROR(IF(SUMIFS(tblDaily[TransfersIn],tblDaily[EntryDate],DATE(2026,7,9),tblDaily[WardCode],"NICU")=0,"",SUMIFS(tblDaily[TransfersIn],tblDaily[EntryDate],DATE(2026,7,9),tblDaily[WardCode],"NICU")),"")</f>
        <v/>
      </c>
      <c r="G249" s="29" t="str">
        <f>IFERROR(IF(SUMIFS(tblDaily[TransfersOut],tblDaily[EntryDate],DATE(2026,7,9),tblDaily[WardCode],"NICU")=0,"",SUMIFS(tblDaily[TransfersOut],tblDaily[EntryDate],DATE(2026,7,9),tblDaily[WardCode],"NICU")),"")</f>
        <v/>
      </c>
      <c r="H249" s="29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IFERROR(IF(SUMIFS(tblDaily[Admissions],tblDaily[EntryDate],DATE(2026,7,10),tblDaily[WardCode],"NICU")=0,"",SUMIFS(tblDaily[Admissions],tblDaily[EntryDate],DATE(2026,7,10),tblDaily[WardCode],"NICU")),"")</f>
        <v/>
      </c>
      <c r="C250" s="29" t="str">
        <f>IFERROR(IF(SUMIFS(tblDaily[Discharges],tblDaily[EntryDate],DATE(2026,7,10),tblDaily[WardCode],"NICU")=0,"",SUMIFS(tblDaily[Discharges],tblDaily[EntryDate],DATE(2026,7,10),tblDaily[WardCode],"NICU")),"")</f>
        <v/>
      </c>
      <c r="D250" s="29" t="str">
        <f>IFERROR(IF(SUMIFS(tblDaily[Deaths],tblDaily[EntryDate],DATE(2026,7,10),tblDaily[WardCode],"NICU")=0,"",SUMIFS(tblDaily[Deaths],tblDaily[EntryDate],DATE(2026,7,10),tblDaily[WardCode],"NICU")),"")</f>
        <v/>
      </c>
      <c r="E250" s="29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29" t="str">
        <f>IFERROR(IF(SUMIFS(tblDaily[TransfersIn],tblDaily[EntryDate],DATE(2026,7,10),tblDaily[WardCode],"NICU")=0,"",SUMIFS(tblDaily[TransfersIn],tblDaily[EntryDate],DATE(2026,7,10),tblDaily[WardCode],"NICU")),"")</f>
        <v/>
      </c>
      <c r="G250" s="29" t="str">
        <f>IFERROR(IF(SUMIFS(tblDaily[TransfersOut],tblDaily[EntryDate],DATE(2026,7,10),tblDaily[WardCode],"NICU")=0,"",SUMIFS(tblDaily[TransfersOut],tblDaily[EntryDate],DATE(2026,7,10),tblDaily[WardCode],"NICU")),"")</f>
        <v/>
      </c>
      <c r="H250" s="29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IFERROR(IF(SUMIFS(tblDaily[Admissions],tblDaily[EntryDate],DATE(2026,7,11),tblDaily[WardCode],"NICU")=0,"",SUMIFS(tblDaily[Admissions],tblDaily[EntryDate],DATE(2026,7,11),tblDaily[WardCode],"NICU")),"")</f>
        <v/>
      </c>
      <c r="C251" s="29" t="str">
        <f>IFERROR(IF(SUMIFS(tblDaily[Discharges],tblDaily[EntryDate],DATE(2026,7,11),tblDaily[WardCode],"NICU")=0,"",SUMIFS(tblDaily[Discharges],tblDaily[EntryDate],DATE(2026,7,11),tblDaily[WardCode],"NICU")),"")</f>
        <v/>
      </c>
      <c r="D251" s="29" t="str">
        <f>IFERROR(IF(SUMIFS(tblDaily[Deaths],tblDaily[EntryDate],DATE(2026,7,11),tblDaily[WardCode],"NICU")=0,"",SUMIFS(tblDaily[Deaths],tblDaily[EntryDate],DATE(2026,7,11),tblDaily[WardCode],"NICU")),"")</f>
        <v/>
      </c>
      <c r="E251" s="29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29" t="str">
        <f>IFERROR(IF(SUMIFS(tblDaily[TransfersIn],tblDaily[EntryDate],DATE(2026,7,11),tblDaily[WardCode],"NICU")=0,"",SUMIFS(tblDaily[TransfersIn],tblDaily[EntryDate],DATE(2026,7,11),tblDaily[WardCode],"NICU")),"")</f>
        <v/>
      </c>
      <c r="G251" s="29" t="str">
        <f>IFERROR(IF(SUMIFS(tblDaily[TransfersOut],tblDaily[EntryDate],DATE(2026,7,11),tblDaily[WardCode],"NICU")=0,"",SUMIFS(tblDaily[TransfersOut],tblDaily[EntryDate],DATE(2026,7,11),tblDaily[WardCode],"NICU")),"")</f>
        <v/>
      </c>
      <c r="H251" s="29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IFERROR(IF(SUMIFS(tblDaily[Admissions],tblDaily[EntryDate],DATE(2026,7,12),tblDaily[WardCode],"NICU")=0,"",SUMIFS(tblDaily[Admissions],tblDaily[EntryDate],DATE(2026,7,12),tblDaily[WardCode],"NICU")),"")</f>
        <v/>
      </c>
      <c r="C252" s="29" t="str">
        <f>IFERROR(IF(SUMIFS(tblDaily[Discharges],tblDaily[EntryDate],DATE(2026,7,12),tblDaily[WardCode],"NICU")=0,"",SUMIFS(tblDaily[Discharges],tblDaily[EntryDate],DATE(2026,7,12),tblDaily[WardCode],"NICU")),"")</f>
        <v/>
      </c>
      <c r="D252" s="29" t="str">
        <f>IFERROR(IF(SUMIFS(tblDaily[Deaths],tblDaily[EntryDate],DATE(2026,7,12),tblDaily[WardCode],"NICU")=0,"",SUMIFS(tblDaily[Deaths],tblDaily[EntryDate],DATE(2026,7,12),tblDaily[WardCode],"NICU")),"")</f>
        <v/>
      </c>
      <c r="E252" s="29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29" t="str">
        <f>IFERROR(IF(SUMIFS(tblDaily[TransfersIn],tblDaily[EntryDate],DATE(2026,7,12),tblDaily[WardCode],"NICU")=0,"",SUMIFS(tblDaily[TransfersIn],tblDaily[EntryDate],DATE(2026,7,12),tblDaily[WardCode],"NICU")),"")</f>
        <v/>
      </c>
      <c r="G252" s="29" t="str">
        <f>IFERROR(IF(SUMIFS(tblDaily[TransfersOut],tblDaily[EntryDate],DATE(2026,7,12),tblDaily[WardCode],"NICU")=0,"",SUMIFS(tblDaily[TransfersOut],tblDaily[EntryDate],DATE(2026,7,12),tblDaily[WardCode],"NICU")),"")</f>
        <v/>
      </c>
      <c r="H252" s="29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IFERROR(IF(SUMIFS(tblDaily[Admissions],tblDaily[EntryDate],DATE(2026,7,13),tblDaily[WardCode],"NICU")=0,"",SUMIFS(tblDaily[Admissions],tblDaily[EntryDate],DATE(2026,7,13),tblDaily[WardCode],"NICU")),"")</f>
        <v/>
      </c>
      <c r="C253" s="29" t="str">
        <f>IFERROR(IF(SUMIFS(tblDaily[Discharges],tblDaily[EntryDate],DATE(2026,7,13),tblDaily[WardCode],"NICU")=0,"",SUMIFS(tblDaily[Discharges],tblDaily[EntryDate],DATE(2026,7,13),tblDaily[WardCode],"NICU")),"")</f>
        <v/>
      </c>
      <c r="D253" s="29" t="str">
        <f>IFERROR(IF(SUMIFS(tblDaily[Deaths],tblDaily[EntryDate],DATE(2026,7,13),tblDaily[WardCode],"NICU")=0,"",SUMIFS(tblDaily[Deaths],tblDaily[EntryDate],DATE(2026,7,13),tblDaily[WardCode],"NICU")),"")</f>
        <v/>
      </c>
      <c r="E253" s="29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29" t="str">
        <f>IFERROR(IF(SUMIFS(tblDaily[TransfersIn],tblDaily[EntryDate],DATE(2026,7,13),tblDaily[WardCode],"NICU")=0,"",SUMIFS(tblDaily[TransfersIn],tblDaily[EntryDate],DATE(2026,7,13),tblDaily[WardCode],"NICU")),"")</f>
        <v/>
      </c>
      <c r="G253" s="29" t="str">
        <f>IFERROR(IF(SUMIFS(tblDaily[TransfersOut],tblDaily[EntryDate],DATE(2026,7,13),tblDaily[WardCode],"NICU")=0,"",SUMIFS(tblDaily[TransfersOut],tblDaily[EntryDate],DATE(2026,7,13),tblDaily[WardCode],"NICU")),"")</f>
        <v/>
      </c>
      <c r="H253" s="29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IFERROR(IF(SUMIFS(tblDaily[Admissions],tblDaily[EntryDate],DATE(2026,7,14),tblDaily[WardCode],"NICU")=0,"",SUMIFS(tblDaily[Admissions],tblDaily[EntryDate],DATE(2026,7,14),tblDaily[WardCode],"NICU")),"")</f>
        <v/>
      </c>
      <c r="C254" s="29" t="str">
        <f>IFERROR(IF(SUMIFS(tblDaily[Discharges],tblDaily[EntryDate],DATE(2026,7,14),tblDaily[WardCode],"NICU")=0,"",SUMIFS(tblDaily[Discharges],tblDaily[EntryDate],DATE(2026,7,14),tblDaily[WardCode],"NICU")),"")</f>
        <v/>
      </c>
      <c r="D254" s="29" t="str">
        <f>IFERROR(IF(SUMIFS(tblDaily[Deaths],tblDaily[EntryDate],DATE(2026,7,14),tblDaily[WardCode],"NICU")=0,"",SUMIFS(tblDaily[Deaths],tblDaily[EntryDate],DATE(2026,7,14),tblDaily[WardCode],"NICU")),"")</f>
        <v/>
      </c>
      <c r="E254" s="29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29" t="str">
        <f>IFERROR(IF(SUMIFS(tblDaily[TransfersIn],tblDaily[EntryDate],DATE(2026,7,14),tblDaily[WardCode],"NICU")=0,"",SUMIFS(tblDaily[TransfersIn],tblDaily[EntryDate],DATE(2026,7,14),tblDaily[WardCode],"NICU")),"")</f>
        <v/>
      </c>
      <c r="G254" s="29" t="str">
        <f>IFERROR(IF(SUMIFS(tblDaily[TransfersOut],tblDaily[EntryDate],DATE(2026,7,14),tblDaily[WardCode],"NICU")=0,"",SUMIFS(tblDaily[TransfersOut],tblDaily[EntryDate],DATE(2026,7,14),tblDaily[WardCode],"NICU")),"")</f>
        <v/>
      </c>
      <c r="H254" s="29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IFERROR(IF(SUMIFS(tblDaily[Admissions],tblDaily[EntryDate],DATE(2026,7,15),tblDaily[WardCode],"NICU")=0,"",SUMIFS(tblDaily[Admissions],tblDaily[EntryDate],DATE(2026,7,15),tblDaily[WardCode],"NICU")),"")</f>
        <v/>
      </c>
      <c r="C255" s="29" t="str">
        <f>IFERROR(IF(SUMIFS(tblDaily[Discharges],tblDaily[EntryDate],DATE(2026,7,15),tblDaily[WardCode],"NICU")=0,"",SUMIFS(tblDaily[Discharges],tblDaily[EntryDate],DATE(2026,7,15),tblDaily[WardCode],"NICU")),"")</f>
        <v/>
      </c>
      <c r="D255" s="29" t="str">
        <f>IFERROR(IF(SUMIFS(tblDaily[Deaths],tblDaily[EntryDate],DATE(2026,7,15),tblDaily[WardCode],"NICU")=0,"",SUMIFS(tblDaily[Deaths],tblDaily[EntryDate],DATE(2026,7,15),tblDaily[WardCode],"NICU")),"")</f>
        <v/>
      </c>
      <c r="E255" s="29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29" t="str">
        <f>IFERROR(IF(SUMIFS(tblDaily[TransfersIn],tblDaily[EntryDate],DATE(2026,7,15),tblDaily[WardCode],"NICU")=0,"",SUMIFS(tblDaily[TransfersIn],tblDaily[EntryDate],DATE(2026,7,15),tblDaily[WardCode],"NICU")),"")</f>
        <v/>
      </c>
      <c r="G255" s="29" t="str">
        <f>IFERROR(IF(SUMIFS(tblDaily[TransfersOut],tblDaily[EntryDate],DATE(2026,7,15),tblDaily[WardCode],"NICU")=0,"",SUMIFS(tblDaily[TransfersOut],tblDaily[EntryDate],DATE(2026,7,15),tblDaily[WardCode],"NICU")),"")</f>
        <v/>
      </c>
      <c r="H255" s="29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IFERROR(IF(SUMIFS(tblDaily[Admissions],tblDaily[EntryDate],DATE(2026,7,16),tblDaily[WardCode],"NICU")=0,"",SUMIFS(tblDaily[Admissions],tblDaily[EntryDate],DATE(2026,7,16),tblDaily[WardCode],"NICU")),"")</f>
        <v/>
      </c>
      <c r="C256" s="29" t="str">
        <f>IFERROR(IF(SUMIFS(tblDaily[Discharges],tblDaily[EntryDate],DATE(2026,7,16),tblDaily[WardCode],"NICU")=0,"",SUMIFS(tblDaily[Discharges],tblDaily[EntryDate],DATE(2026,7,16),tblDaily[WardCode],"NICU")),"")</f>
        <v/>
      </c>
      <c r="D256" s="29" t="str">
        <f>IFERROR(IF(SUMIFS(tblDaily[Deaths],tblDaily[EntryDate],DATE(2026,7,16),tblDaily[WardCode],"NICU")=0,"",SUMIFS(tblDaily[Deaths],tblDaily[EntryDate],DATE(2026,7,16),tblDaily[WardCode],"NICU")),"")</f>
        <v/>
      </c>
      <c r="E256" s="29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29" t="str">
        <f>IFERROR(IF(SUMIFS(tblDaily[TransfersIn],tblDaily[EntryDate],DATE(2026,7,16),tblDaily[WardCode],"NICU")=0,"",SUMIFS(tblDaily[TransfersIn],tblDaily[EntryDate],DATE(2026,7,16),tblDaily[WardCode],"NICU")),"")</f>
        <v/>
      </c>
      <c r="G256" s="29" t="str">
        <f>IFERROR(IF(SUMIFS(tblDaily[TransfersOut],tblDaily[EntryDate],DATE(2026,7,16),tblDaily[WardCode],"NICU")=0,"",SUMIFS(tblDaily[TransfersOut],tblDaily[EntryDate],DATE(2026,7,16),tblDaily[WardCode],"NICU")),"")</f>
        <v/>
      </c>
      <c r="H256" s="29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IFERROR(IF(SUMIFS(tblDaily[Admissions],tblDaily[EntryDate],DATE(2026,7,17),tblDaily[WardCode],"NICU")=0,"",SUMIFS(tblDaily[Admissions],tblDaily[EntryDate],DATE(2026,7,17),tblDaily[WardCode],"NICU")),"")</f>
        <v/>
      </c>
      <c r="C257" s="29" t="str">
        <f>IFERROR(IF(SUMIFS(tblDaily[Discharges],tblDaily[EntryDate],DATE(2026,7,17),tblDaily[WardCode],"NICU")=0,"",SUMIFS(tblDaily[Discharges],tblDaily[EntryDate],DATE(2026,7,17),tblDaily[WardCode],"NICU")),"")</f>
        <v/>
      </c>
      <c r="D257" s="29" t="str">
        <f>IFERROR(IF(SUMIFS(tblDaily[Deaths],tblDaily[EntryDate],DATE(2026,7,17),tblDaily[WardCode],"NICU")=0,"",SUMIFS(tblDaily[Deaths],tblDaily[EntryDate],DATE(2026,7,17),tblDaily[WardCode],"NICU")),"")</f>
        <v/>
      </c>
      <c r="E257" s="29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29" t="str">
        <f>IFERROR(IF(SUMIFS(tblDaily[TransfersIn],tblDaily[EntryDate],DATE(2026,7,17),tblDaily[WardCode],"NICU")=0,"",SUMIFS(tblDaily[TransfersIn],tblDaily[EntryDate],DATE(2026,7,17),tblDaily[WardCode],"NICU")),"")</f>
        <v/>
      </c>
      <c r="G257" s="29" t="str">
        <f>IFERROR(IF(SUMIFS(tblDaily[TransfersOut],tblDaily[EntryDate],DATE(2026,7,17),tblDaily[WardCode],"NICU")=0,"",SUMIFS(tblDaily[TransfersOut],tblDaily[EntryDate],DATE(2026,7,17),tblDaily[WardCode],"NICU")),"")</f>
        <v/>
      </c>
      <c r="H257" s="29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IFERROR(IF(SUMIFS(tblDaily[Admissions],tblDaily[EntryDate],DATE(2026,7,18),tblDaily[WardCode],"NICU")=0,"",SUMIFS(tblDaily[Admissions],tblDaily[EntryDate],DATE(2026,7,18),tblDaily[WardCode],"NICU")),"")</f>
        <v/>
      </c>
      <c r="C258" s="29" t="str">
        <f>IFERROR(IF(SUMIFS(tblDaily[Discharges],tblDaily[EntryDate],DATE(2026,7,18),tblDaily[WardCode],"NICU")=0,"",SUMIFS(tblDaily[Discharges],tblDaily[EntryDate],DATE(2026,7,18),tblDaily[WardCode],"NICU")),"")</f>
        <v/>
      </c>
      <c r="D258" s="29" t="str">
        <f>IFERROR(IF(SUMIFS(tblDaily[Deaths],tblDaily[EntryDate],DATE(2026,7,18),tblDaily[WardCode],"NICU")=0,"",SUMIFS(tblDaily[Deaths],tblDaily[EntryDate],DATE(2026,7,18),tblDaily[WardCode],"NICU")),"")</f>
        <v/>
      </c>
      <c r="E258" s="29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29" t="str">
        <f>IFERROR(IF(SUMIFS(tblDaily[TransfersIn],tblDaily[EntryDate],DATE(2026,7,18),tblDaily[WardCode],"NICU")=0,"",SUMIFS(tblDaily[TransfersIn],tblDaily[EntryDate],DATE(2026,7,18),tblDaily[WardCode],"NICU")),"")</f>
        <v/>
      </c>
      <c r="G258" s="29" t="str">
        <f>IFERROR(IF(SUMIFS(tblDaily[TransfersOut],tblDaily[EntryDate],DATE(2026,7,18),tblDaily[WardCode],"NICU")=0,"",SUMIFS(tblDaily[TransfersOut],tblDaily[EntryDate],DATE(2026,7,18),tblDaily[WardCode],"NICU")),"")</f>
        <v/>
      </c>
      <c r="H258" s="29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IFERROR(IF(SUMIFS(tblDaily[Admissions],tblDaily[EntryDate],DATE(2026,7,19),tblDaily[WardCode],"NICU")=0,"",SUMIFS(tblDaily[Admissions],tblDaily[EntryDate],DATE(2026,7,19),tblDaily[WardCode],"NICU")),"")</f>
        <v/>
      </c>
      <c r="C259" s="29" t="str">
        <f>IFERROR(IF(SUMIFS(tblDaily[Discharges],tblDaily[EntryDate],DATE(2026,7,19),tblDaily[WardCode],"NICU")=0,"",SUMIFS(tblDaily[Discharges],tblDaily[EntryDate],DATE(2026,7,19),tblDaily[WardCode],"NICU")),"")</f>
        <v/>
      </c>
      <c r="D259" s="29" t="str">
        <f>IFERROR(IF(SUMIFS(tblDaily[Deaths],tblDaily[EntryDate],DATE(2026,7,19),tblDaily[WardCode],"NICU")=0,"",SUMIFS(tblDaily[Deaths],tblDaily[EntryDate],DATE(2026,7,19),tblDaily[WardCode],"NICU")),"")</f>
        <v/>
      </c>
      <c r="E259" s="29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29" t="str">
        <f>IFERROR(IF(SUMIFS(tblDaily[TransfersIn],tblDaily[EntryDate],DATE(2026,7,19),tblDaily[WardCode],"NICU")=0,"",SUMIFS(tblDaily[TransfersIn],tblDaily[EntryDate],DATE(2026,7,19),tblDaily[WardCode],"NICU")),"")</f>
        <v/>
      </c>
      <c r="G259" s="29" t="str">
        <f>IFERROR(IF(SUMIFS(tblDaily[TransfersOut],tblDaily[EntryDate],DATE(2026,7,19),tblDaily[WardCode],"NICU")=0,"",SUMIFS(tblDaily[TransfersOut],tblDaily[EntryDate],DATE(2026,7,19),tblDaily[WardCode],"NICU")),"")</f>
        <v/>
      </c>
      <c r="H259" s="29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IFERROR(IF(SUMIFS(tblDaily[Admissions],tblDaily[EntryDate],DATE(2026,7,20),tblDaily[WardCode],"NICU")=0,"",SUMIFS(tblDaily[Admissions],tblDaily[EntryDate],DATE(2026,7,20),tblDaily[WardCode],"NICU")),"")</f>
        <v/>
      </c>
      <c r="C260" s="29" t="str">
        <f>IFERROR(IF(SUMIFS(tblDaily[Discharges],tblDaily[EntryDate],DATE(2026,7,20),tblDaily[WardCode],"NICU")=0,"",SUMIFS(tblDaily[Discharges],tblDaily[EntryDate],DATE(2026,7,20),tblDaily[WardCode],"NICU")),"")</f>
        <v/>
      </c>
      <c r="D260" s="29" t="str">
        <f>IFERROR(IF(SUMIFS(tblDaily[Deaths],tblDaily[EntryDate],DATE(2026,7,20),tblDaily[WardCode],"NICU")=0,"",SUMIFS(tblDaily[Deaths],tblDaily[EntryDate],DATE(2026,7,20),tblDaily[WardCode],"NICU")),"")</f>
        <v/>
      </c>
      <c r="E260" s="29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29" t="str">
        <f>IFERROR(IF(SUMIFS(tblDaily[TransfersIn],tblDaily[EntryDate],DATE(2026,7,20),tblDaily[WardCode],"NICU")=0,"",SUMIFS(tblDaily[TransfersIn],tblDaily[EntryDate],DATE(2026,7,20),tblDaily[WardCode],"NICU")),"")</f>
        <v/>
      </c>
      <c r="G260" s="29" t="str">
        <f>IFERROR(IF(SUMIFS(tblDaily[TransfersOut],tblDaily[EntryDate],DATE(2026,7,20),tblDaily[WardCode],"NICU")=0,"",SUMIFS(tblDaily[TransfersOut],tblDaily[EntryDate],DATE(2026,7,20),tblDaily[WardCode],"NICU")),"")</f>
        <v/>
      </c>
      <c r="H260" s="29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IFERROR(IF(SUMIFS(tblDaily[Admissions],tblDaily[EntryDate],DATE(2026,7,21),tblDaily[WardCode],"NICU")=0,"",SUMIFS(tblDaily[Admissions],tblDaily[EntryDate],DATE(2026,7,21),tblDaily[WardCode],"NICU")),"")</f>
        <v/>
      </c>
      <c r="C261" s="29" t="str">
        <f>IFERROR(IF(SUMIFS(tblDaily[Discharges],tblDaily[EntryDate],DATE(2026,7,21),tblDaily[WardCode],"NICU")=0,"",SUMIFS(tblDaily[Discharges],tblDaily[EntryDate],DATE(2026,7,21),tblDaily[WardCode],"NICU")),"")</f>
        <v/>
      </c>
      <c r="D261" s="29" t="str">
        <f>IFERROR(IF(SUMIFS(tblDaily[Deaths],tblDaily[EntryDate],DATE(2026,7,21),tblDaily[WardCode],"NICU")=0,"",SUMIFS(tblDaily[Deaths],tblDaily[EntryDate],DATE(2026,7,21),tblDaily[WardCode],"NICU")),"")</f>
        <v/>
      </c>
      <c r="E261" s="29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29" t="str">
        <f>IFERROR(IF(SUMIFS(tblDaily[TransfersIn],tblDaily[EntryDate],DATE(2026,7,21),tblDaily[WardCode],"NICU")=0,"",SUMIFS(tblDaily[TransfersIn],tblDaily[EntryDate],DATE(2026,7,21),tblDaily[WardCode],"NICU")),"")</f>
        <v/>
      </c>
      <c r="G261" s="29" t="str">
        <f>IFERROR(IF(SUMIFS(tblDaily[TransfersOut],tblDaily[EntryDate],DATE(2026,7,21),tblDaily[WardCode],"NICU")=0,"",SUMIFS(tblDaily[TransfersOut],tblDaily[EntryDate],DATE(2026,7,21),tblDaily[WardCode],"NICU")),"")</f>
        <v/>
      </c>
      <c r="H261" s="29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IFERROR(IF(SUMIFS(tblDaily[Admissions],tblDaily[EntryDate],DATE(2026,7,22),tblDaily[WardCode],"NICU")=0,"",SUMIFS(tblDaily[Admissions],tblDaily[EntryDate],DATE(2026,7,22),tblDaily[WardCode],"NICU")),"")</f>
        <v/>
      </c>
      <c r="C262" s="29" t="str">
        <f>IFERROR(IF(SUMIFS(tblDaily[Discharges],tblDaily[EntryDate],DATE(2026,7,22),tblDaily[WardCode],"NICU")=0,"",SUMIFS(tblDaily[Discharges],tblDaily[EntryDate],DATE(2026,7,22),tblDaily[WardCode],"NICU")),"")</f>
        <v/>
      </c>
      <c r="D262" s="29" t="str">
        <f>IFERROR(IF(SUMIFS(tblDaily[Deaths],tblDaily[EntryDate],DATE(2026,7,22),tblDaily[WardCode],"NICU")=0,"",SUMIFS(tblDaily[Deaths],tblDaily[EntryDate],DATE(2026,7,22),tblDaily[WardCode],"NICU")),"")</f>
        <v/>
      </c>
      <c r="E262" s="29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29" t="str">
        <f>IFERROR(IF(SUMIFS(tblDaily[TransfersIn],tblDaily[EntryDate],DATE(2026,7,22),tblDaily[WardCode],"NICU")=0,"",SUMIFS(tblDaily[TransfersIn],tblDaily[EntryDate],DATE(2026,7,22),tblDaily[WardCode],"NICU")),"")</f>
        <v/>
      </c>
      <c r="G262" s="29" t="str">
        <f>IFERROR(IF(SUMIFS(tblDaily[TransfersOut],tblDaily[EntryDate],DATE(2026,7,22),tblDaily[WardCode],"NICU")=0,"",SUMIFS(tblDaily[TransfersOut],tblDaily[EntryDate],DATE(2026,7,22),tblDaily[WardCode],"NICU")),"")</f>
        <v/>
      </c>
      <c r="H262" s="29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IFERROR(IF(SUMIFS(tblDaily[Admissions],tblDaily[EntryDate],DATE(2026,7,23),tblDaily[WardCode],"NICU")=0,"",SUMIFS(tblDaily[Admissions],tblDaily[EntryDate],DATE(2026,7,23),tblDaily[WardCode],"NICU")),"")</f>
        <v/>
      </c>
      <c r="C263" s="29" t="str">
        <f>IFERROR(IF(SUMIFS(tblDaily[Discharges],tblDaily[EntryDate],DATE(2026,7,23),tblDaily[WardCode],"NICU")=0,"",SUMIFS(tblDaily[Discharges],tblDaily[EntryDate],DATE(2026,7,23),tblDaily[WardCode],"NICU")),"")</f>
        <v/>
      </c>
      <c r="D263" s="29" t="str">
        <f>IFERROR(IF(SUMIFS(tblDaily[Deaths],tblDaily[EntryDate],DATE(2026,7,23),tblDaily[WardCode],"NICU")=0,"",SUMIFS(tblDaily[Deaths],tblDaily[EntryDate],DATE(2026,7,23),tblDaily[WardCode],"NICU")),"")</f>
        <v/>
      </c>
      <c r="E263" s="29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29" t="str">
        <f>IFERROR(IF(SUMIFS(tblDaily[TransfersIn],tblDaily[EntryDate],DATE(2026,7,23),tblDaily[WardCode],"NICU")=0,"",SUMIFS(tblDaily[TransfersIn],tblDaily[EntryDate],DATE(2026,7,23),tblDaily[WardCode],"NICU")),"")</f>
        <v/>
      </c>
      <c r="G263" s="29" t="str">
        <f>IFERROR(IF(SUMIFS(tblDaily[TransfersOut],tblDaily[EntryDate],DATE(2026,7,23),tblDaily[WardCode],"NICU")=0,"",SUMIFS(tblDaily[TransfersOut],tblDaily[EntryDate],DATE(2026,7,23),tblDaily[WardCode],"NICU")),"")</f>
        <v/>
      </c>
      <c r="H263" s="29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IFERROR(IF(SUMIFS(tblDaily[Admissions],tblDaily[EntryDate],DATE(2026,7,24),tblDaily[WardCode],"NICU")=0,"",SUMIFS(tblDaily[Admissions],tblDaily[EntryDate],DATE(2026,7,24),tblDaily[WardCode],"NICU")),"")</f>
        <v/>
      </c>
      <c r="C264" s="29" t="str">
        <f>IFERROR(IF(SUMIFS(tblDaily[Discharges],tblDaily[EntryDate],DATE(2026,7,24),tblDaily[WardCode],"NICU")=0,"",SUMIFS(tblDaily[Discharges],tblDaily[EntryDate],DATE(2026,7,24),tblDaily[WardCode],"NICU")),"")</f>
        <v/>
      </c>
      <c r="D264" s="29" t="str">
        <f>IFERROR(IF(SUMIFS(tblDaily[Deaths],tblDaily[EntryDate],DATE(2026,7,24),tblDaily[WardCode],"NICU")=0,"",SUMIFS(tblDaily[Deaths],tblDaily[EntryDate],DATE(2026,7,24),tblDaily[WardCode],"NICU")),"")</f>
        <v/>
      </c>
      <c r="E264" s="29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29" t="str">
        <f>IFERROR(IF(SUMIFS(tblDaily[TransfersIn],tblDaily[EntryDate],DATE(2026,7,24),tblDaily[WardCode],"NICU")=0,"",SUMIFS(tblDaily[TransfersIn],tblDaily[EntryDate],DATE(2026,7,24),tblDaily[WardCode],"NICU")),"")</f>
        <v/>
      </c>
      <c r="G264" s="29" t="str">
        <f>IFERROR(IF(SUMIFS(tblDaily[TransfersOut],tblDaily[EntryDate],DATE(2026,7,24),tblDaily[WardCode],"NICU")=0,"",SUMIFS(tblDaily[TransfersOut],tblDaily[EntryDate],DATE(2026,7,24),tblDaily[WardCode],"NICU")),"")</f>
        <v/>
      </c>
      <c r="H264" s="29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IFERROR(IF(SUMIFS(tblDaily[Admissions],tblDaily[EntryDate],DATE(2026,7,25),tblDaily[WardCode],"NICU")=0,"",SUMIFS(tblDaily[Admissions],tblDaily[EntryDate],DATE(2026,7,25),tblDaily[WardCode],"NICU")),"")</f>
        <v/>
      </c>
      <c r="C265" s="29" t="str">
        <f>IFERROR(IF(SUMIFS(tblDaily[Discharges],tblDaily[EntryDate],DATE(2026,7,25),tblDaily[WardCode],"NICU")=0,"",SUMIFS(tblDaily[Discharges],tblDaily[EntryDate],DATE(2026,7,25),tblDaily[WardCode],"NICU")),"")</f>
        <v/>
      </c>
      <c r="D265" s="29" t="str">
        <f>IFERROR(IF(SUMIFS(tblDaily[Deaths],tblDaily[EntryDate],DATE(2026,7,25),tblDaily[WardCode],"NICU")=0,"",SUMIFS(tblDaily[Deaths],tblDaily[EntryDate],DATE(2026,7,25),tblDaily[WardCode],"NICU")),"")</f>
        <v/>
      </c>
      <c r="E265" s="29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29" t="str">
        <f>IFERROR(IF(SUMIFS(tblDaily[TransfersIn],tblDaily[EntryDate],DATE(2026,7,25),tblDaily[WardCode],"NICU")=0,"",SUMIFS(tblDaily[TransfersIn],tblDaily[EntryDate],DATE(2026,7,25),tblDaily[WardCode],"NICU")),"")</f>
        <v/>
      </c>
      <c r="G265" s="29" t="str">
        <f>IFERROR(IF(SUMIFS(tblDaily[TransfersOut],tblDaily[EntryDate],DATE(2026,7,25),tblDaily[WardCode],"NICU")=0,"",SUMIFS(tblDaily[TransfersOut],tblDaily[EntryDate],DATE(2026,7,25),tblDaily[WardCode],"NICU")),"")</f>
        <v/>
      </c>
      <c r="H265" s="29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IFERROR(IF(SUMIFS(tblDaily[Admissions],tblDaily[EntryDate],DATE(2026,7,26),tblDaily[WardCode],"NICU")=0,"",SUMIFS(tblDaily[Admissions],tblDaily[EntryDate],DATE(2026,7,26),tblDaily[WardCode],"NICU")),"")</f>
        <v/>
      </c>
      <c r="C266" s="29" t="str">
        <f>IFERROR(IF(SUMIFS(tblDaily[Discharges],tblDaily[EntryDate],DATE(2026,7,26),tblDaily[WardCode],"NICU")=0,"",SUMIFS(tblDaily[Discharges],tblDaily[EntryDate],DATE(2026,7,26),tblDaily[WardCode],"NICU")),"")</f>
        <v/>
      </c>
      <c r="D266" s="29" t="str">
        <f>IFERROR(IF(SUMIFS(tblDaily[Deaths],tblDaily[EntryDate],DATE(2026,7,26),tblDaily[WardCode],"NICU")=0,"",SUMIFS(tblDaily[Deaths],tblDaily[EntryDate],DATE(2026,7,26),tblDaily[WardCode],"NICU")),"")</f>
        <v/>
      </c>
      <c r="E266" s="29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29" t="str">
        <f>IFERROR(IF(SUMIFS(tblDaily[TransfersIn],tblDaily[EntryDate],DATE(2026,7,26),tblDaily[WardCode],"NICU")=0,"",SUMIFS(tblDaily[TransfersIn],tblDaily[EntryDate],DATE(2026,7,26),tblDaily[WardCode],"NICU")),"")</f>
        <v/>
      </c>
      <c r="G266" s="29" t="str">
        <f>IFERROR(IF(SUMIFS(tblDaily[TransfersOut],tblDaily[EntryDate],DATE(2026,7,26),tblDaily[WardCode],"NICU")=0,"",SUMIFS(tblDaily[TransfersOut],tblDaily[EntryDate],DATE(2026,7,26),tblDaily[WardCode],"NICU")),"")</f>
        <v/>
      </c>
      <c r="H266" s="29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IFERROR(IF(SUMIFS(tblDaily[Admissions],tblDaily[EntryDate],DATE(2026,7,27),tblDaily[WardCode],"NICU")=0,"",SUMIFS(tblDaily[Admissions],tblDaily[EntryDate],DATE(2026,7,27),tblDaily[WardCode],"NICU")),"")</f>
        <v/>
      </c>
      <c r="C267" s="29" t="str">
        <f>IFERROR(IF(SUMIFS(tblDaily[Discharges],tblDaily[EntryDate],DATE(2026,7,27),tblDaily[WardCode],"NICU")=0,"",SUMIFS(tblDaily[Discharges],tblDaily[EntryDate],DATE(2026,7,27),tblDaily[WardCode],"NICU")),"")</f>
        <v/>
      </c>
      <c r="D267" s="29" t="str">
        <f>IFERROR(IF(SUMIFS(tblDaily[Deaths],tblDaily[EntryDate],DATE(2026,7,27),tblDaily[WardCode],"NICU")=0,"",SUMIFS(tblDaily[Deaths],tblDaily[EntryDate],DATE(2026,7,27),tblDaily[WardCode],"NICU")),"")</f>
        <v/>
      </c>
      <c r="E267" s="29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29" t="str">
        <f>IFERROR(IF(SUMIFS(tblDaily[TransfersIn],tblDaily[EntryDate],DATE(2026,7,27),tblDaily[WardCode],"NICU")=0,"",SUMIFS(tblDaily[TransfersIn],tblDaily[EntryDate],DATE(2026,7,27),tblDaily[WardCode],"NICU")),"")</f>
        <v/>
      </c>
      <c r="G267" s="29" t="str">
        <f>IFERROR(IF(SUMIFS(tblDaily[TransfersOut],tblDaily[EntryDate],DATE(2026,7,27),tblDaily[WardCode],"NICU")=0,"",SUMIFS(tblDaily[TransfersOut],tblDaily[EntryDate],DATE(2026,7,27),tblDaily[WardCode],"NICU")),"")</f>
        <v/>
      </c>
      <c r="H267" s="29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IFERROR(IF(SUMIFS(tblDaily[Admissions],tblDaily[EntryDate],DATE(2026,7,28),tblDaily[WardCode],"NICU")=0,"",SUMIFS(tblDaily[Admissions],tblDaily[EntryDate],DATE(2026,7,28),tblDaily[WardCode],"NICU")),"")</f>
        <v/>
      </c>
      <c r="C268" s="29" t="str">
        <f>IFERROR(IF(SUMIFS(tblDaily[Discharges],tblDaily[EntryDate],DATE(2026,7,28),tblDaily[WardCode],"NICU")=0,"",SUMIFS(tblDaily[Discharges],tblDaily[EntryDate],DATE(2026,7,28),tblDaily[WardCode],"NICU")),"")</f>
        <v/>
      </c>
      <c r="D268" s="29" t="str">
        <f>IFERROR(IF(SUMIFS(tblDaily[Deaths],tblDaily[EntryDate],DATE(2026,7,28),tblDaily[WardCode],"NICU")=0,"",SUMIFS(tblDaily[Deaths],tblDaily[EntryDate],DATE(2026,7,28),tblDaily[WardCode],"NICU")),"")</f>
        <v/>
      </c>
      <c r="E268" s="29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29" t="str">
        <f>IFERROR(IF(SUMIFS(tblDaily[TransfersIn],tblDaily[EntryDate],DATE(2026,7,28),tblDaily[WardCode],"NICU")=0,"",SUMIFS(tblDaily[TransfersIn],tblDaily[EntryDate],DATE(2026,7,28),tblDaily[WardCode],"NICU")),"")</f>
        <v/>
      </c>
      <c r="G268" s="29" t="str">
        <f>IFERROR(IF(SUMIFS(tblDaily[TransfersOut],tblDaily[EntryDate],DATE(2026,7,28),tblDaily[WardCode],"NICU")=0,"",SUMIFS(tblDaily[TransfersOut],tblDaily[EntryDate],DATE(2026,7,28),tblDaily[WardCode],"NICU")),"")</f>
        <v/>
      </c>
      <c r="H268" s="29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IFERROR(IF(SUMIFS(tblDaily[Admissions],tblDaily[EntryDate],DATE(2026,7,29),tblDaily[WardCode],"NICU")=0,"",SUMIFS(tblDaily[Admissions],tblDaily[EntryDate],DATE(2026,7,29),tblDaily[WardCode],"NICU")),"")</f>
        <v/>
      </c>
      <c r="C269" s="29" t="str">
        <f>IFERROR(IF(SUMIFS(tblDaily[Discharges],tblDaily[EntryDate],DATE(2026,7,29),tblDaily[WardCode],"NICU")=0,"",SUMIFS(tblDaily[Discharges],tblDaily[EntryDate],DATE(2026,7,29),tblDaily[WardCode],"NICU")),"")</f>
        <v/>
      </c>
      <c r="D269" s="29" t="str">
        <f>IFERROR(IF(SUMIFS(tblDaily[Deaths],tblDaily[EntryDate],DATE(2026,7,29),tblDaily[WardCode],"NICU")=0,"",SUMIFS(tblDaily[Deaths],tblDaily[EntryDate],DATE(2026,7,29),tblDaily[WardCode],"NICU")),"")</f>
        <v/>
      </c>
      <c r="E269" s="29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29" t="str">
        <f>IFERROR(IF(SUMIFS(tblDaily[TransfersIn],tblDaily[EntryDate],DATE(2026,7,29),tblDaily[WardCode],"NICU")=0,"",SUMIFS(tblDaily[TransfersIn],tblDaily[EntryDate],DATE(2026,7,29),tblDaily[WardCode],"NICU")),"")</f>
        <v/>
      </c>
      <c r="G269" s="29" t="str">
        <f>IFERROR(IF(SUMIFS(tblDaily[TransfersOut],tblDaily[EntryDate],DATE(2026,7,29),tblDaily[WardCode],"NICU")=0,"",SUMIFS(tblDaily[TransfersOut],tblDaily[EntryDate],DATE(2026,7,29),tblDaily[WardCode],"NICU")),"")</f>
        <v/>
      </c>
      <c r="H269" s="29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IFERROR(IF(SUMIFS(tblDaily[Admissions],tblDaily[EntryDate],DATE(2026,7,30),tblDaily[WardCode],"NICU")=0,"",SUMIFS(tblDaily[Admissions],tblDaily[EntryDate],DATE(2026,7,30),tblDaily[WardCode],"NICU")),"")</f>
        <v/>
      </c>
      <c r="C270" s="29" t="str">
        <f>IFERROR(IF(SUMIFS(tblDaily[Discharges],tblDaily[EntryDate],DATE(2026,7,30),tblDaily[WardCode],"NICU")=0,"",SUMIFS(tblDaily[Discharges],tblDaily[EntryDate],DATE(2026,7,30),tblDaily[WardCode],"NICU")),"")</f>
        <v/>
      </c>
      <c r="D270" s="29" t="str">
        <f>IFERROR(IF(SUMIFS(tblDaily[Deaths],tblDaily[EntryDate],DATE(2026,7,30),tblDaily[WardCode],"NICU")=0,"",SUMIFS(tblDaily[Deaths],tblDaily[EntryDate],DATE(2026,7,30),tblDaily[WardCode],"NICU")),"")</f>
        <v/>
      </c>
      <c r="E270" s="29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29" t="str">
        <f>IFERROR(IF(SUMIFS(tblDaily[TransfersIn],tblDaily[EntryDate],DATE(2026,7,30),tblDaily[WardCode],"NICU")=0,"",SUMIFS(tblDaily[TransfersIn],tblDaily[EntryDate],DATE(2026,7,30),tblDaily[WardCode],"NICU")),"")</f>
        <v/>
      </c>
      <c r="G270" s="29" t="str">
        <f>IFERROR(IF(SUMIFS(tblDaily[TransfersOut],tblDaily[EntryDate],DATE(2026,7,30),tblDaily[WardCode],"NICU")=0,"",SUMIFS(tblDaily[TransfersOut],tblDaily[EntryDate],DATE(2026,7,30),tblDaily[WardCode],"NICU")),"")</f>
        <v/>
      </c>
      <c r="H270" s="29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IFERROR(IF(SUMIFS(tblDaily[Admissions],tblDaily[EntryDate],DATE(2026,7,31),tblDaily[WardCode],"NICU")=0,"",SUMIFS(tblDaily[Admissions],tblDaily[EntryDate],DATE(2026,7,31),tblDaily[WardCode],"NICU")),"")</f>
        <v/>
      </c>
      <c r="C271" s="29" t="str">
        <f>IFERROR(IF(SUMIFS(tblDaily[Discharges],tblDaily[EntryDate],DATE(2026,7,31),tblDaily[WardCode],"NICU")=0,"",SUMIFS(tblDaily[Discharges],tblDaily[EntryDate],DATE(2026,7,31),tblDaily[WardCode],"NICU")),"")</f>
        <v/>
      </c>
      <c r="D271" s="29" t="str">
        <f>IFERROR(IF(SUMIFS(tblDaily[Deaths],tblDaily[EntryDate],DATE(2026,7,31),tblDaily[WardCode],"NICU")=0,"",SUMIFS(tblDaily[Deaths],tblDaily[EntryDate],DATE(2026,7,31),tblDaily[WardCode],"NICU")),"")</f>
        <v/>
      </c>
      <c r="E271" s="29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29" t="str">
        <f>IFERROR(IF(SUMIFS(tblDaily[TransfersIn],tblDaily[EntryDate],DATE(2026,7,31),tblDaily[WardCode],"NICU")=0,"",SUMIFS(tblDaily[TransfersIn],tblDaily[EntryDate],DATE(2026,7,31),tblDaily[WardCode],"NICU")),"")</f>
        <v/>
      </c>
      <c r="G271" s="29" t="str">
        <f>IFERROR(IF(SUMIFS(tblDaily[TransfersOut],tblDaily[EntryDate],DATE(2026,7,31),tblDaily[WardCode],"NICU")=0,"",SUMIFS(tblDaily[TransfersOut],tblDaily[EntryDate],DATE(2026,7,31),tblDaily[WardCode],"NICU")),"")</f>
        <v/>
      </c>
      <c r="H271" s="29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30" t="s">
        <v>115</v>
      </c>
      <c r="B272" s="30">
        <f>SUMIFS(tblDaily[Admissions],tblDaily[Month],7,tblDaily[WardCode],"NICU") - SUMIFS(tblDaily[DeathsUnder24Hrs],tblDaily[Month],7,tblDaily[WardCode],"NICU")</f>
        <v>0</v>
      </c>
      <c r="C272" s="30">
        <f>SUMIFS(tblDaily[Discharges],tblDaily[Month],7,tblDaily[WardCode],"NICU")</f>
        <v>0</v>
      </c>
      <c r="D272" s="30">
        <f>SUMIFS(tblDaily[Deaths],tblDaily[Month],7,tblDaily[WardCode],"NICU")</f>
        <v>0</v>
      </c>
      <c r="E272" s="30">
        <f>SUMIFS(tblDaily[DeathsUnder24Hrs],tblDaily[Month],7,tblDaily[WardCode],"NICU")</f>
        <v>0</v>
      </c>
      <c r="F272" s="30">
        <f>SUMIFS(tblDaily[TransfersIn],tblDaily[Month],7,tblDaily[WardCode],"NICU")</f>
        <v>0</v>
      </c>
      <c r="G272" s="30">
        <f>SUMIFS(tblDaily[TransfersOut],tblDaily[Month],7,tblDaily[WardCode],"NICU")</f>
        <v>0</v>
      </c>
      <c r="H272" s="30">
        <f>SUMIFS(tblDaily[Remaining],tblDaily[Month],7,tblDaily[WardCode],"NICU")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121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IFERROR(SUMIFS(tblDaily[Remaining],tblDaily[EntryDate],DATE(2026,7,31),tblDaily[WardCode],"NICU"),0)</f>
        <v>0</v>
      </c>
    </row>
    <row r="278" spans="1:8" x14ac:dyDescent="0.25">
      <c r="A278" s="24" t="s">
        <v>109</v>
      </c>
      <c r="H278" s="27">
        <f>IFERROR(INDEX(tblWardConfig[BedComplement],MATCH("NICU",tblWardConfig[WardCode],0)),0)</f>
        <v>15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IFERROR(IF(SUMIFS(tblDaily[Admissions],tblDaily[EntryDate],DATE(2026,8,1),tblDaily[WardCode],"NICU")=0,"",SUMIFS(tblDaily[Admissions],tblDaily[EntryDate],DATE(2026,8,1),tblDaily[WardCode],"NICU")),"")</f>
        <v/>
      </c>
      <c r="C280" s="29" t="str">
        <f>IFERROR(IF(SUMIFS(tblDaily[Discharges],tblDaily[EntryDate],DATE(2026,8,1),tblDaily[WardCode],"NICU")=0,"",SUMIFS(tblDaily[Discharges],tblDaily[EntryDate],DATE(2026,8,1),tblDaily[WardCode],"NICU")),"")</f>
        <v/>
      </c>
      <c r="D280" s="29" t="str">
        <f>IFERROR(IF(SUMIFS(tblDaily[Deaths],tblDaily[EntryDate],DATE(2026,8,1),tblDaily[WardCode],"NICU")=0,"",SUMIFS(tblDaily[Deaths],tblDaily[EntryDate],DATE(2026,8,1),tblDaily[WardCode],"NICU")),"")</f>
        <v/>
      </c>
      <c r="E280" s="29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29" t="str">
        <f>IFERROR(IF(SUMIFS(tblDaily[TransfersIn],tblDaily[EntryDate],DATE(2026,8,1),tblDaily[WardCode],"NICU")=0,"",SUMIFS(tblDaily[TransfersIn],tblDaily[EntryDate],DATE(2026,8,1),tblDaily[WardCode],"NICU")),"")</f>
        <v/>
      </c>
      <c r="G280" s="29" t="str">
        <f>IFERROR(IF(SUMIFS(tblDaily[TransfersOut],tblDaily[EntryDate],DATE(2026,8,1),tblDaily[WardCode],"NICU")=0,"",SUMIFS(tblDaily[TransfersOut],tblDaily[EntryDate],DATE(2026,8,1),tblDaily[WardCode],"NICU")),"")</f>
        <v/>
      </c>
      <c r="H280" s="29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IFERROR(IF(SUMIFS(tblDaily[Admissions],tblDaily[EntryDate],DATE(2026,8,2),tblDaily[WardCode],"NICU")=0,"",SUMIFS(tblDaily[Admissions],tblDaily[EntryDate],DATE(2026,8,2),tblDaily[WardCode],"NICU")),"")</f>
        <v/>
      </c>
      <c r="C281" s="29" t="str">
        <f>IFERROR(IF(SUMIFS(tblDaily[Discharges],tblDaily[EntryDate],DATE(2026,8,2),tblDaily[WardCode],"NICU")=0,"",SUMIFS(tblDaily[Discharges],tblDaily[EntryDate],DATE(2026,8,2),tblDaily[WardCode],"NICU")),"")</f>
        <v/>
      </c>
      <c r="D281" s="29" t="str">
        <f>IFERROR(IF(SUMIFS(tblDaily[Deaths],tblDaily[EntryDate],DATE(2026,8,2),tblDaily[WardCode],"NICU")=0,"",SUMIFS(tblDaily[Deaths],tblDaily[EntryDate],DATE(2026,8,2),tblDaily[WardCode],"NICU")),"")</f>
        <v/>
      </c>
      <c r="E281" s="29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29" t="str">
        <f>IFERROR(IF(SUMIFS(tblDaily[TransfersIn],tblDaily[EntryDate],DATE(2026,8,2),tblDaily[WardCode],"NICU")=0,"",SUMIFS(tblDaily[TransfersIn],tblDaily[EntryDate],DATE(2026,8,2),tblDaily[WardCode],"NICU")),"")</f>
        <v/>
      </c>
      <c r="G281" s="29" t="str">
        <f>IFERROR(IF(SUMIFS(tblDaily[TransfersOut],tblDaily[EntryDate],DATE(2026,8,2),tblDaily[WardCode],"NICU")=0,"",SUMIFS(tblDaily[TransfersOut],tblDaily[EntryDate],DATE(2026,8,2),tblDaily[WardCode],"NICU")),"")</f>
        <v/>
      </c>
      <c r="H281" s="29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IFERROR(IF(SUMIFS(tblDaily[Admissions],tblDaily[EntryDate],DATE(2026,8,3),tblDaily[WardCode],"NICU")=0,"",SUMIFS(tblDaily[Admissions],tblDaily[EntryDate],DATE(2026,8,3),tblDaily[WardCode],"NICU")),"")</f>
        <v/>
      </c>
      <c r="C282" s="29" t="str">
        <f>IFERROR(IF(SUMIFS(tblDaily[Discharges],tblDaily[EntryDate],DATE(2026,8,3),tblDaily[WardCode],"NICU")=0,"",SUMIFS(tblDaily[Discharges],tblDaily[EntryDate],DATE(2026,8,3),tblDaily[WardCode],"NICU")),"")</f>
        <v/>
      </c>
      <c r="D282" s="29" t="str">
        <f>IFERROR(IF(SUMIFS(tblDaily[Deaths],tblDaily[EntryDate],DATE(2026,8,3),tblDaily[WardCode],"NICU")=0,"",SUMIFS(tblDaily[Deaths],tblDaily[EntryDate],DATE(2026,8,3),tblDaily[WardCode],"NICU")),"")</f>
        <v/>
      </c>
      <c r="E282" s="29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29" t="str">
        <f>IFERROR(IF(SUMIFS(tblDaily[TransfersIn],tblDaily[EntryDate],DATE(2026,8,3),tblDaily[WardCode],"NICU")=0,"",SUMIFS(tblDaily[TransfersIn],tblDaily[EntryDate],DATE(2026,8,3),tblDaily[WardCode],"NICU")),"")</f>
        <v/>
      </c>
      <c r="G282" s="29" t="str">
        <f>IFERROR(IF(SUMIFS(tblDaily[TransfersOut],tblDaily[EntryDate],DATE(2026,8,3),tblDaily[WardCode],"NICU")=0,"",SUMIFS(tblDaily[TransfersOut],tblDaily[EntryDate],DATE(2026,8,3),tblDaily[WardCode],"NICU")),"")</f>
        <v/>
      </c>
      <c r="H282" s="29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IFERROR(IF(SUMIFS(tblDaily[Admissions],tblDaily[EntryDate],DATE(2026,8,4),tblDaily[WardCode],"NICU")=0,"",SUMIFS(tblDaily[Admissions],tblDaily[EntryDate],DATE(2026,8,4),tblDaily[WardCode],"NICU")),"")</f>
        <v/>
      </c>
      <c r="C283" s="29" t="str">
        <f>IFERROR(IF(SUMIFS(tblDaily[Discharges],tblDaily[EntryDate],DATE(2026,8,4),tblDaily[WardCode],"NICU")=0,"",SUMIFS(tblDaily[Discharges],tblDaily[EntryDate],DATE(2026,8,4),tblDaily[WardCode],"NICU")),"")</f>
        <v/>
      </c>
      <c r="D283" s="29" t="str">
        <f>IFERROR(IF(SUMIFS(tblDaily[Deaths],tblDaily[EntryDate],DATE(2026,8,4),tblDaily[WardCode],"NICU")=0,"",SUMIFS(tblDaily[Deaths],tblDaily[EntryDate],DATE(2026,8,4),tblDaily[WardCode],"NICU")),"")</f>
        <v/>
      </c>
      <c r="E283" s="29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29" t="str">
        <f>IFERROR(IF(SUMIFS(tblDaily[TransfersIn],tblDaily[EntryDate],DATE(2026,8,4),tblDaily[WardCode],"NICU")=0,"",SUMIFS(tblDaily[TransfersIn],tblDaily[EntryDate],DATE(2026,8,4),tblDaily[WardCode],"NICU")),"")</f>
        <v/>
      </c>
      <c r="G283" s="29" t="str">
        <f>IFERROR(IF(SUMIFS(tblDaily[TransfersOut],tblDaily[EntryDate],DATE(2026,8,4),tblDaily[WardCode],"NICU")=0,"",SUMIFS(tblDaily[TransfersOut],tblDaily[EntryDate],DATE(2026,8,4),tblDaily[WardCode],"NICU")),"")</f>
        <v/>
      </c>
      <c r="H283" s="29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IFERROR(IF(SUMIFS(tblDaily[Admissions],tblDaily[EntryDate],DATE(2026,8,5),tblDaily[WardCode],"NICU")=0,"",SUMIFS(tblDaily[Admissions],tblDaily[EntryDate],DATE(2026,8,5),tblDaily[WardCode],"NICU")),"")</f>
        <v/>
      </c>
      <c r="C284" s="29" t="str">
        <f>IFERROR(IF(SUMIFS(tblDaily[Discharges],tblDaily[EntryDate],DATE(2026,8,5),tblDaily[WardCode],"NICU")=0,"",SUMIFS(tblDaily[Discharges],tblDaily[EntryDate],DATE(2026,8,5),tblDaily[WardCode],"NICU")),"")</f>
        <v/>
      </c>
      <c r="D284" s="29" t="str">
        <f>IFERROR(IF(SUMIFS(tblDaily[Deaths],tblDaily[EntryDate],DATE(2026,8,5),tblDaily[WardCode],"NICU")=0,"",SUMIFS(tblDaily[Deaths],tblDaily[EntryDate],DATE(2026,8,5),tblDaily[WardCode],"NICU")),"")</f>
        <v/>
      </c>
      <c r="E284" s="29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29" t="str">
        <f>IFERROR(IF(SUMIFS(tblDaily[TransfersIn],tblDaily[EntryDate],DATE(2026,8,5),tblDaily[WardCode],"NICU")=0,"",SUMIFS(tblDaily[TransfersIn],tblDaily[EntryDate],DATE(2026,8,5),tblDaily[WardCode],"NICU")),"")</f>
        <v/>
      </c>
      <c r="G284" s="29" t="str">
        <f>IFERROR(IF(SUMIFS(tblDaily[TransfersOut],tblDaily[EntryDate],DATE(2026,8,5),tblDaily[WardCode],"NICU")=0,"",SUMIFS(tblDaily[TransfersOut],tblDaily[EntryDate],DATE(2026,8,5),tblDaily[WardCode],"NICU")),"")</f>
        <v/>
      </c>
      <c r="H284" s="29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IFERROR(IF(SUMIFS(tblDaily[Admissions],tblDaily[EntryDate],DATE(2026,8,6),tblDaily[WardCode],"NICU")=0,"",SUMIFS(tblDaily[Admissions],tblDaily[EntryDate],DATE(2026,8,6),tblDaily[WardCode],"NICU")),"")</f>
        <v/>
      </c>
      <c r="C285" s="29" t="str">
        <f>IFERROR(IF(SUMIFS(tblDaily[Discharges],tblDaily[EntryDate],DATE(2026,8,6),tblDaily[WardCode],"NICU")=0,"",SUMIFS(tblDaily[Discharges],tblDaily[EntryDate],DATE(2026,8,6),tblDaily[WardCode],"NICU")),"")</f>
        <v/>
      </c>
      <c r="D285" s="29" t="str">
        <f>IFERROR(IF(SUMIFS(tblDaily[Deaths],tblDaily[EntryDate],DATE(2026,8,6),tblDaily[WardCode],"NICU")=0,"",SUMIFS(tblDaily[Deaths],tblDaily[EntryDate],DATE(2026,8,6),tblDaily[WardCode],"NICU")),"")</f>
        <v/>
      </c>
      <c r="E285" s="29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29" t="str">
        <f>IFERROR(IF(SUMIFS(tblDaily[TransfersIn],tblDaily[EntryDate],DATE(2026,8,6),tblDaily[WardCode],"NICU")=0,"",SUMIFS(tblDaily[TransfersIn],tblDaily[EntryDate],DATE(2026,8,6),tblDaily[WardCode],"NICU")),"")</f>
        <v/>
      </c>
      <c r="G285" s="29" t="str">
        <f>IFERROR(IF(SUMIFS(tblDaily[TransfersOut],tblDaily[EntryDate],DATE(2026,8,6),tblDaily[WardCode],"NICU")=0,"",SUMIFS(tblDaily[TransfersOut],tblDaily[EntryDate],DATE(2026,8,6),tblDaily[WardCode],"NICU")),"")</f>
        <v/>
      </c>
      <c r="H285" s="29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IFERROR(IF(SUMIFS(tblDaily[Admissions],tblDaily[EntryDate],DATE(2026,8,7),tblDaily[WardCode],"NICU")=0,"",SUMIFS(tblDaily[Admissions],tblDaily[EntryDate],DATE(2026,8,7),tblDaily[WardCode],"NICU")),"")</f>
        <v/>
      </c>
      <c r="C286" s="29" t="str">
        <f>IFERROR(IF(SUMIFS(tblDaily[Discharges],tblDaily[EntryDate],DATE(2026,8,7),tblDaily[WardCode],"NICU")=0,"",SUMIFS(tblDaily[Discharges],tblDaily[EntryDate],DATE(2026,8,7),tblDaily[WardCode],"NICU")),"")</f>
        <v/>
      </c>
      <c r="D286" s="29" t="str">
        <f>IFERROR(IF(SUMIFS(tblDaily[Deaths],tblDaily[EntryDate],DATE(2026,8,7),tblDaily[WardCode],"NICU")=0,"",SUMIFS(tblDaily[Deaths],tblDaily[EntryDate],DATE(2026,8,7),tblDaily[WardCode],"NICU")),"")</f>
        <v/>
      </c>
      <c r="E286" s="29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29" t="str">
        <f>IFERROR(IF(SUMIFS(tblDaily[TransfersIn],tblDaily[EntryDate],DATE(2026,8,7),tblDaily[WardCode],"NICU")=0,"",SUMIFS(tblDaily[TransfersIn],tblDaily[EntryDate],DATE(2026,8,7),tblDaily[WardCode],"NICU")),"")</f>
        <v/>
      </c>
      <c r="G286" s="29" t="str">
        <f>IFERROR(IF(SUMIFS(tblDaily[TransfersOut],tblDaily[EntryDate],DATE(2026,8,7),tblDaily[WardCode],"NICU")=0,"",SUMIFS(tblDaily[TransfersOut],tblDaily[EntryDate],DATE(2026,8,7),tblDaily[WardCode],"NICU")),"")</f>
        <v/>
      </c>
      <c r="H286" s="29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IFERROR(IF(SUMIFS(tblDaily[Admissions],tblDaily[EntryDate],DATE(2026,8,8),tblDaily[WardCode],"NICU")=0,"",SUMIFS(tblDaily[Admissions],tblDaily[EntryDate],DATE(2026,8,8),tblDaily[WardCode],"NICU")),"")</f>
        <v/>
      </c>
      <c r="C287" s="29" t="str">
        <f>IFERROR(IF(SUMIFS(tblDaily[Discharges],tblDaily[EntryDate],DATE(2026,8,8),tblDaily[WardCode],"NICU")=0,"",SUMIFS(tblDaily[Discharges],tblDaily[EntryDate],DATE(2026,8,8),tblDaily[WardCode],"NICU")),"")</f>
        <v/>
      </c>
      <c r="D287" s="29" t="str">
        <f>IFERROR(IF(SUMIFS(tblDaily[Deaths],tblDaily[EntryDate],DATE(2026,8,8),tblDaily[WardCode],"NICU")=0,"",SUMIFS(tblDaily[Deaths],tblDaily[EntryDate],DATE(2026,8,8),tblDaily[WardCode],"NICU")),"")</f>
        <v/>
      </c>
      <c r="E287" s="29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29" t="str">
        <f>IFERROR(IF(SUMIFS(tblDaily[TransfersIn],tblDaily[EntryDate],DATE(2026,8,8),tblDaily[WardCode],"NICU")=0,"",SUMIFS(tblDaily[TransfersIn],tblDaily[EntryDate],DATE(2026,8,8),tblDaily[WardCode],"NICU")),"")</f>
        <v/>
      </c>
      <c r="G287" s="29" t="str">
        <f>IFERROR(IF(SUMIFS(tblDaily[TransfersOut],tblDaily[EntryDate],DATE(2026,8,8),tblDaily[WardCode],"NICU")=0,"",SUMIFS(tblDaily[TransfersOut],tblDaily[EntryDate],DATE(2026,8,8),tblDaily[WardCode],"NICU")),"")</f>
        <v/>
      </c>
      <c r="H287" s="29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IFERROR(IF(SUMIFS(tblDaily[Admissions],tblDaily[EntryDate],DATE(2026,8,9),tblDaily[WardCode],"NICU")=0,"",SUMIFS(tblDaily[Admissions],tblDaily[EntryDate],DATE(2026,8,9),tblDaily[WardCode],"NICU")),"")</f>
        <v/>
      </c>
      <c r="C288" s="29" t="str">
        <f>IFERROR(IF(SUMIFS(tblDaily[Discharges],tblDaily[EntryDate],DATE(2026,8,9),tblDaily[WardCode],"NICU")=0,"",SUMIFS(tblDaily[Discharges],tblDaily[EntryDate],DATE(2026,8,9),tblDaily[WardCode],"NICU")),"")</f>
        <v/>
      </c>
      <c r="D288" s="29" t="str">
        <f>IFERROR(IF(SUMIFS(tblDaily[Deaths],tblDaily[EntryDate],DATE(2026,8,9),tblDaily[WardCode],"NICU")=0,"",SUMIFS(tblDaily[Deaths],tblDaily[EntryDate],DATE(2026,8,9),tblDaily[WardCode],"NICU")),"")</f>
        <v/>
      </c>
      <c r="E288" s="29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29" t="str">
        <f>IFERROR(IF(SUMIFS(tblDaily[TransfersIn],tblDaily[EntryDate],DATE(2026,8,9),tblDaily[WardCode],"NICU")=0,"",SUMIFS(tblDaily[TransfersIn],tblDaily[EntryDate],DATE(2026,8,9),tblDaily[WardCode],"NICU")),"")</f>
        <v/>
      </c>
      <c r="G288" s="29" t="str">
        <f>IFERROR(IF(SUMIFS(tblDaily[TransfersOut],tblDaily[EntryDate],DATE(2026,8,9),tblDaily[WardCode],"NICU")=0,"",SUMIFS(tblDaily[TransfersOut],tblDaily[EntryDate],DATE(2026,8,9),tblDaily[WardCode],"NICU")),"")</f>
        <v/>
      </c>
      <c r="H288" s="29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IFERROR(IF(SUMIFS(tblDaily[Admissions],tblDaily[EntryDate],DATE(2026,8,10),tblDaily[WardCode],"NICU")=0,"",SUMIFS(tblDaily[Admissions],tblDaily[EntryDate],DATE(2026,8,10),tblDaily[WardCode],"NICU")),"")</f>
        <v/>
      </c>
      <c r="C289" s="29" t="str">
        <f>IFERROR(IF(SUMIFS(tblDaily[Discharges],tblDaily[EntryDate],DATE(2026,8,10),tblDaily[WardCode],"NICU")=0,"",SUMIFS(tblDaily[Discharges],tblDaily[EntryDate],DATE(2026,8,10),tblDaily[WardCode],"NICU")),"")</f>
        <v/>
      </c>
      <c r="D289" s="29" t="str">
        <f>IFERROR(IF(SUMIFS(tblDaily[Deaths],tblDaily[EntryDate],DATE(2026,8,10),tblDaily[WardCode],"NICU")=0,"",SUMIFS(tblDaily[Deaths],tblDaily[EntryDate],DATE(2026,8,10),tblDaily[WardCode],"NICU")),"")</f>
        <v/>
      </c>
      <c r="E289" s="29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29" t="str">
        <f>IFERROR(IF(SUMIFS(tblDaily[TransfersIn],tblDaily[EntryDate],DATE(2026,8,10),tblDaily[WardCode],"NICU")=0,"",SUMIFS(tblDaily[TransfersIn],tblDaily[EntryDate],DATE(2026,8,10),tblDaily[WardCode],"NICU")),"")</f>
        <v/>
      </c>
      <c r="G289" s="29" t="str">
        <f>IFERROR(IF(SUMIFS(tblDaily[TransfersOut],tblDaily[EntryDate],DATE(2026,8,10),tblDaily[WardCode],"NICU")=0,"",SUMIFS(tblDaily[TransfersOut],tblDaily[EntryDate],DATE(2026,8,10),tblDaily[WardCode],"NICU")),"")</f>
        <v/>
      </c>
      <c r="H289" s="29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IFERROR(IF(SUMIFS(tblDaily[Admissions],tblDaily[EntryDate],DATE(2026,8,11),tblDaily[WardCode],"NICU")=0,"",SUMIFS(tblDaily[Admissions],tblDaily[EntryDate],DATE(2026,8,11),tblDaily[WardCode],"NICU")),"")</f>
        <v/>
      </c>
      <c r="C290" s="29" t="str">
        <f>IFERROR(IF(SUMIFS(tblDaily[Discharges],tblDaily[EntryDate],DATE(2026,8,11),tblDaily[WardCode],"NICU")=0,"",SUMIFS(tblDaily[Discharges],tblDaily[EntryDate],DATE(2026,8,11),tblDaily[WardCode],"NICU")),"")</f>
        <v/>
      </c>
      <c r="D290" s="29" t="str">
        <f>IFERROR(IF(SUMIFS(tblDaily[Deaths],tblDaily[EntryDate],DATE(2026,8,11),tblDaily[WardCode],"NICU")=0,"",SUMIFS(tblDaily[Deaths],tblDaily[EntryDate],DATE(2026,8,11),tblDaily[WardCode],"NICU")),"")</f>
        <v/>
      </c>
      <c r="E290" s="29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29" t="str">
        <f>IFERROR(IF(SUMIFS(tblDaily[TransfersIn],tblDaily[EntryDate],DATE(2026,8,11),tblDaily[WardCode],"NICU")=0,"",SUMIFS(tblDaily[TransfersIn],tblDaily[EntryDate],DATE(2026,8,11),tblDaily[WardCode],"NICU")),"")</f>
        <v/>
      </c>
      <c r="G290" s="29" t="str">
        <f>IFERROR(IF(SUMIFS(tblDaily[TransfersOut],tblDaily[EntryDate],DATE(2026,8,11),tblDaily[WardCode],"NICU")=0,"",SUMIFS(tblDaily[TransfersOut],tblDaily[EntryDate],DATE(2026,8,11),tblDaily[WardCode],"NICU")),"")</f>
        <v/>
      </c>
      <c r="H290" s="29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IFERROR(IF(SUMIFS(tblDaily[Admissions],tblDaily[EntryDate],DATE(2026,8,12),tblDaily[WardCode],"NICU")=0,"",SUMIFS(tblDaily[Admissions],tblDaily[EntryDate],DATE(2026,8,12),tblDaily[WardCode],"NICU")),"")</f>
        <v/>
      </c>
      <c r="C291" s="29" t="str">
        <f>IFERROR(IF(SUMIFS(tblDaily[Discharges],tblDaily[EntryDate],DATE(2026,8,12),tblDaily[WardCode],"NICU")=0,"",SUMIFS(tblDaily[Discharges],tblDaily[EntryDate],DATE(2026,8,12),tblDaily[WardCode],"NICU")),"")</f>
        <v/>
      </c>
      <c r="D291" s="29" t="str">
        <f>IFERROR(IF(SUMIFS(tblDaily[Deaths],tblDaily[EntryDate],DATE(2026,8,12),tblDaily[WardCode],"NICU")=0,"",SUMIFS(tblDaily[Deaths],tblDaily[EntryDate],DATE(2026,8,12),tblDaily[WardCode],"NICU")),"")</f>
        <v/>
      </c>
      <c r="E291" s="29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29" t="str">
        <f>IFERROR(IF(SUMIFS(tblDaily[TransfersIn],tblDaily[EntryDate],DATE(2026,8,12),tblDaily[WardCode],"NICU")=0,"",SUMIFS(tblDaily[TransfersIn],tblDaily[EntryDate],DATE(2026,8,12),tblDaily[WardCode],"NICU")),"")</f>
        <v/>
      </c>
      <c r="G291" s="29" t="str">
        <f>IFERROR(IF(SUMIFS(tblDaily[TransfersOut],tblDaily[EntryDate],DATE(2026,8,12),tblDaily[WardCode],"NICU")=0,"",SUMIFS(tblDaily[TransfersOut],tblDaily[EntryDate],DATE(2026,8,12),tblDaily[WardCode],"NICU")),"")</f>
        <v/>
      </c>
      <c r="H291" s="29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IFERROR(IF(SUMIFS(tblDaily[Admissions],tblDaily[EntryDate],DATE(2026,8,13),tblDaily[WardCode],"NICU")=0,"",SUMIFS(tblDaily[Admissions],tblDaily[EntryDate],DATE(2026,8,13),tblDaily[WardCode],"NICU")),"")</f>
        <v/>
      </c>
      <c r="C292" s="29" t="str">
        <f>IFERROR(IF(SUMIFS(tblDaily[Discharges],tblDaily[EntryDate],DATE(2026,8,13),tblDaily[WardCode],"NICU")=0,"",SUMIFS(tblDaily[Discharges],tblDaily[EntryDate],DATE(2026,8,13),tblDaily[WardCode],"NICU")),"")</f>
        <v/>
      </c>
      <c r="D292" s="29" t="str">
        <f>IFERROR(IF(SUMIFS(tblDaily[Deaths],tblDaily[EntryDate],DATE(2026,8,13),tblDaily[WardCode],"NICU")=0,"",SUMIFS(tblDaily[Deaths],tblDaily[EntryDate],DATE(2026,8,13),tblDaily[WardCode],"NICU")),"")</f>
        <v/>
      </c>
      <c r="E292" s="29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29" t="str">
        <f>IFERROR(IF(SUMIFS(tblDaily[TransfersIn],tblDaily[EntryDate],DATE(2026,8,13),tblDaily[WardCode],"NICU")=0,"",SUMIFS(tblDaily[TransfersIn],tblDaily[EntryDate],DATE(2026,8,13),tblDaily[WardCode],"NICU")),"")</f>
        <v/>
      </c>
      <c r="G292" s="29" t="str">
        <f>IFERROR(IF(SUMIFS(tblDaily[TransfersOut],tblDaily[EntryDate],DATE(2026,8,13),tblDaily[WardCode],"NICU")=0,"",SUMIFS(tblDaily[TransfersOut],tblDaily[EntryDate],DATE(2026,8,13),tblDaily[WardCode],"NICU")),"")</f>
        <v/>
      </c>
      <c r="H292" s="29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IFERROR(IF(SUMIFS(tblDaily[Admissions],tblDaily[EntryDate],DATE(2026,8,14),tblDaily[WardCode],"NICU")=0,"",SUMIFS(tblDaily[Admissions],tblDaily[EntryDate],DATE(2026,8,14),tblDaily[WardCode],"NICU")),"")</f>
        <v/>
      </c>
      <c r="C293" s="29" t="str">
        <f>IFERROR(IF(SUMIFS(tblDaily[Discharges],tblDaily[EntryDate],DATE(2026,8,14),tblDaily[WardCode],"NICU")=0,"",SUMIFS(tblDaily[Discharges],tblDaily[EntryDate],DATE(2026,8,14),tblDaily[WardCode],"NICU")),"")</f>
        <v/>
      </c>
      <c r="D293" s="29" t="str">
        <f>IFERROR(IF(SUMIFS(tblDaily[Deaths],tblDaily[EntryDate],DATE(2026,8,14),tblDaily[WardCode],"NICU")=0,"",SUMIFS(tblDaily[Deaths],tblDaily[EntryDate],DATE(2026,8,14),tblDaily[WardCode],"NICU")),"")</f>
        <v/>
      </c>
      <c r="E293" s="29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29" t="str">
        <f>IFERROR(IF(SUMIFS(tblDaily[TransfersIn],tblDaily[EntryDate],DATE(2026,8,14),tblDaily[WardCode],"NICU")=0,"",SUMIFS(tblDaily[TransfersIn],tblDaily[EntryDate],DATE(2026,8,14),tblDaily[WardCode],"NICU")),"")</f>
        <v/>
      </c>
      <c r="G293" s="29" t="str">
        <f>IFERROR(IF(SUMIFS(tblDaily[TransfersOut],tblDaily[EntryDate],DATE(2026,8,14),tblDaily[WardCode],"NICU")=0,"",SUMIFS(tblDaily[TransfersOut],tblDaily[EntryDate],DATE(2026,8,14),tblDaily[WardCode],"NICU")),"")</f>
        <v/>
      </c>
      <c r="H293" s="29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IFERROR(IF(SUMIFS(tblDaily[Admissions],tblDaily[EntryDate],DATE(2026,8,15),tblDaily[WardCode],"NICU")=0,"",SUMIFS(tblDaily[Admissions],tblDaily[EntryDate],DATE(2026,8,15),tblDaily[WardCode],"NICU")),"")</f>
        <v/>
      </c>
      <c r="C294" s="29" t="str">
        <f>IFERROR(IF(SUMIFS(tblDaily[Discharges],tblDaily[EntryDate],DATE(2026,8,15),tblDaily[WardCode],"NICU")=0,"",SUMIFS(tblDaily[Discharges],tblDaily[EntryDate],DATE(2026,8,15),tblDaily[WardCode],"NICU")),"")</f>
        <v/>
      </c>
      <c r="D294" s="29" t="str">
        <f>IFERROR(IF(SUMIFS(tblDaily[Deaths],tblDaily[EntryDate],DATE(2026,8,15),tblDaily[WardCode],"NICU")=0,"",SUMIFS(tblDaily[Deaths],tblDaily[EntryDate],DATE(2026,8,15),tblDaily[WardCode],"NICU")),"")</f>
        <v/>
      </c>
      <c r="E294" s="29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29" t="str">
        <f>IFERROR(IF(SUMIFS(tblDaily[TransfersIn],tblDaily[EntryDate],DATE(2026,8,15),tblDaily[WardCode],"NICU")=0,"",SUMIFS(tblDaily[TransfersIn],tblDaily[EntryDate],DATE(2026,8,15),tblDaily[WardCode],"NICU")),"")</f>
        <v/>
      </c>
      <c r="G294" s="29" t="str">
        <f>IFERROR(IF(SUMIFS(tblDaily[TransfersOut],tblDaily[EntryDate],DATE(2026,8,15),tblDaily[WardCode],"NICU")=0,"",SUMIFS(tblDaily[TransfersOut],tblDaily[EntryDate],DATE(2026,8,15),tblDaily[WardCode],"NICU")),"")</f>
        <v/>
      </c>
      <c r="H294" s="29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IFERROR(IF(SUMIFS(tblDaily[Admissions],tblDaily[EntryDate],DATE(2026,8,16),tblDaily[WardCode],"NICU")=0,"",SUMIFS(tblDaily[Admissions],tblDaily[EntryDate],DATE(2026,8,16),tblDaily[WardCode],"NICU")),"")</f>
        <v/>
      </c>
      <c r="C295" s="29" t="str">
        <f>IFERROR(IF(SUMIFS(tblDaily[Discharges],tblDaily[EntryDate],DATE(2026,8,16),tblDaily[WardCode],"NICU")=0,"",SUMIFS(tblDaily[Discharges],tblDaily[EntryDate],DATE(2026,8,16),tblDaily[WardCode],"NICU")),"")</f>
        <v/>
      </c>
      <c r="D295" s="29" t="str">
        <f>IFERROR(IF(SUMIFS(tblDaily[Deaths],tblDaily[EntryDate],DATE(2026,8,16),tblDaily[WardCode],"NICU")=0,"",SUMIFS(tblDaily[Deaths],tblDaily[EntryDate],DATE(2026,8,16),tblDaily[WardCode],"NICU")),"")</f>
        <v/>
      </c>
      <c r="E295" s="29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29" t="str">
        <f>IFERROR(IF(SUMIFS(tblDaily[TransfersIn],tblDaily[EntryDate],DATE(2026,8,16),tblDaily[WardCode],"NICU")=0,"",SUMIFS(tblDaily[TransfersIn],tblDaily[EntryDate],DATE(2026,8,16),tblDaily[WardCode],"NICU")),"")</f>
        <v/>
      </c>
      <c r="G295" s="29" t="str">
        <f>IFERROR(IF(SUMIFS(tblDaily[TransfersOut],tblDaily[EntryDate],DATE(2026,8,16),tblDaily[WardCode],"NICU")=0,"",SUMIFS(tblDaily[TransfersOut],tblDaily[EntryDate],DATE(2026,8,16),tblDaily[WardCode],"NICU")),"")</f>
        <v/>
      </c>
      <c r="H295" s="29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IFERROR(IF(SUMIFS(tblDaily[Admissions],tblDaily[EntryDate],DATE(2026,8,17),tblDaily[WardCode],"NICU")=0,"",SUMIFS(tblDaily[Admissions],tblDaily[EntryDate],DATE(2026,8,17),tblDaily[WardCode],"NICU")),"")</f>
        <v/>
      </c>
      <c r="C296" s="29" t="str">
        <f>IFERROR(IF(SUMIFS(tblDaily[Discharges],tblDaily[EntryDate],DATE(2026,8,17),tblDaily[WardCode],"NICU")=0,"",SUMIFS(tblDaily[Discharges],tblDaily[EntryDate],DATE(2026,8,17),tblDaily[WardCode],"NICU")),"")</f>
        <v/>
      </c>
      <c r="D296" s="29" t="str">
        <f>IFERROR(IF(SUMIFS(tblDaily[Deaths],tblDaily[EntryDate],DATE(2026,8,17),tblDaily[WardCode],"NICU")=0,"",SUMIFS(tblDaily[Deaths],tblDaily[EntryDate],DATE(2026,8,17),tblDaily[WardCode],"NICU")),"")</f>
        <v/>
      </c>
      <c r="E296" s="29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29" t="str">
        <f>IFERROR(IF(SUMIFS(tblDaily[TransfersIn],tblDaily[EntryDate],DATE(2026,8,17),tblDaily[WardCode],"NICU")=0,"",SUMIFS(tblDaily[TransfersIn],tblDaily[EntryDate],DATE(2026,8,17),tblDaily[WardCode],"NICU")),"")</f>
        <v/>
      </c>
      <c r="G296" s="29" t="str">
        <f>IFERROR(IF(SUMIFS(tblDaily[TransfersOut],tblDaily[EntryDate],DATE(2026,8,17),tblDaily[WardCode],"NICU")=0,"",SUMIFS(tblDaily[TransfersOut],tblDaily[EntryDate],DATE(2026,8,17),tblDaily[WardCode],"NICU")),"")</f>
        <v/>
      </c>
      <c r="H296" s="29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IFERROR(IF(SUMIFS(tblDaily[Admissions],tblDaily[EntryDate],DATE(2026,8,18),tblDaily[WardCode],"NICU")=0,"",SUMIFS(tblDaily[Admissions],tblDaily[EntryDate],DATE(2026,8,18),tblDaily[WardCode],"NICU")),"")</f>
        <v/>
      </c>
      <c r="C297" s="29" t="str">
        <f>IFERROR(IF(SUMIFS(tblDaily[Discharges],tblDaily[EntryDate],DATE(2026,8,18),tblDaily[WardCode],"NICU")=0,"",SUMIFS(tblDaily[Discharges],tblDaily[EntryDate],DATE(2026,8,18),tblDaily[WardCode],"NICU")),"")</f>
        <v/>
      </c>
      <c r="D297" s="29" t="str">
        <f>IFERROR(IF(SUMIFS(tblDaily[Deaths],tblDaily[EntryDate],DATE(2026,8,18),tblDaily[WardCode],"NICU")=0,"",SUMIFS(tblDaily[Deaths],tblDaily[EntryDate],DATE(2026,8,18),tblDaily[WardCode],"NICU")),"")</f>
        <v/>
      </c>
      <c r="E297" s="29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29" t="str">
        <f>IFERROR(IF(SUMIFS(tblDaily[TransfersIn],tblDaily[EntryDate],DATE(2026,8,18),tblDaily[WardCode],"NICU")=0,"",SUMIFS(tblDaily[TransfersIn],tblDaily[EntryDate],DATE(2026,8,18),tblDaily[WardCode],"NICU")),"")</f>
        <v/>
      </c>
      <c r="G297" s="29" t="str">
        <f>IFERROR(IF(SUMIFS(tblDaily[TransfersOut],tblDaily[EntryDate],DATE(2026,8,18),tblDaily[WardCode],"NICU")=0,"",SUMIFS(tblDaily[TransfersOut],tblDaily[EntryDate],DATE(2026,8,18),tblDaily[WardCode],"NICU")),"")</f>
        <v/>
      </c>
      <c r="H297" s="29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IFERROR(IF(SUMIFS(tblDaily[Admissions],tblDaily[EntryDate],DATE(2026,8,19),tblDaily[WardCode],"NICU")=0,"",SUMIFS(tblDaily[Admissions],tblDaily[EntryDate],DATE(2026,8,19),tblDaily[WardCode],"NICU")),"")</f>
        <v/>
      </c>
      <c r="C298" s="29" t="str">
        <f>IFERROR(IF(SUMIFS(tblDaily[Discharges],tblDaily[EntryDate],DATE(2026,8,19),tblDaily[WardCode],"NICU")=0,"",SUMIFS(tblDaily[Discharges],tblDaily[EntryDate],DATE(2026,8,19),tblDaily[WardCode],"NICU")),"")</f>
        <v/>
      </c>
      <c r="D298" s="29" t="str">
        <f>IFERROR(IF(SUMIFS(tblDaily[Deaths],tblDaily[EntryDate],DATE(2026,8,19),tblDaily[WardCode],"NICU")=0,"",SUMIFS(tblDaily[Deaths],tblDaily[EntryDate],DATE(2026,8,19),tblDaily[WardCode],"NICU")),"")</f>
        <v/>
      </c>
      <c r="E298" s="29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29" t="str">
        <f>IFERROR(IF(SUMIFS(tblDaily[TransfersIn],tblDaily[EntryDate],DATE(2026,8,19),tblDaily[WardCode],"NICU")=0,"",SUMIFS(tblDaily[TransfersIn],tblDaily[EntryDate],DATE(2026,8,19),tblDaily[WardCode],"NICU")),"")</f>
        <v/>
      </c>
      <c r="G298" s="29" t="str">
        <f>IFERROR(IF(SUMIFS(tblDaily[TransfersOut],tblDaily[EntryDate],DATE(2026,8,19),tblDaily[WardCode],"NICU")=0,"",SUMIFS(tblDaily[TransfersOut],tblDaily[EntryDate],DATE(2026,8,19),tblDaily[WardCode],"NICU")),"")</f>
        <v/>
      </c>
      <c r="H298" s="29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IFERROR(IF(SUMIFS(tblDaily[Admissions],tblDaily[EntryDate],DATE(2026,8,20),tblDaily[WardCode],"NICU")=0,"",SUMIFS(tblDaily[Admissions],tblDaily[EntryDate],DATE(2026,8,20),tblDaily[WardCode],"NICU")),"")</f>
        <v/>
      </c>
      <c r="C299" s="29" t="str">
        <f>IFERROR(IF(SUMIFS(tblDaily[Discharges],tblDaily[EntryDate],DATE(2026,8,20),tblDaily[WardCode],"NICU")=0,"",SUMIFS(tblDaily[Discharges],tblDaily[EntryDate],DATE(2026,8,20),tblDaily[WardCode],"NICU")),"")</f>
        <v/>
      </c>
      <c r="D299" s="29" t="str">
        <f>IFERROR(IF(SUMIFS(tblDaily[Deaths],tblDaily[EntryDate],DATE(2026,8,20),tblDaily[WardCode],"NICU")=0,"",SUMIFS(tblDaily[Deaths],tblDaily[EntryDate],DATE(2026,8,20),tblDaily[WardCode],"NICU")),"")</f>
        <v/>
      </c>
      <c r="E299" s="29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29" t="str">
        <f>IFERROR(IF(SUMIFS(tblDaily[TransfersIn],tblDaily[EntryDate],DATE(2026,8,20),tblDaily[WardCode],"NICU")=0,"",SUMIFS(tblDaily[TransfersIn],tblDaily[EntryDate],DATE(2026,8,20),tblDaily[WardCode],"NICU")),"")</f>
        <v/>
      </c>
      <c r="G299" s="29" t="str">
        <f>IFERROR(IF(SUMIFS(tblDaily[TransfersOut],tblDaily[EntryDate],DATE(2026,8,20),tblDaily[WardCode],"NICU")=0,"",SUMIFS(tblDaily[TransfersOut],tblDaily[EntryDate],DATE(2026,8,20),tblDaily[WardCode],"NICU")),"")</f>
        <v/>
      </c>
      <c r="H299" s="29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IFERROR(IF(SUMIFS(tblDaily[Admissions],tblDaily[EntryDate],DATE(2026,8,21),tblDaily[WardCode],"NICU")=0,"",SUMIFS(tblDaily[Admissions],tblDaily[EntryDate],DATE(2026,8,21),tblDaily[WardCode],"NICU")),"")</f>
        <v/>
      </c>
      <c r="C300" s="29" t="str">
        <f>IFERROR(IF(SUMIFS(tblDaily[Discharges],tblDaily[EntryDate],DATE(2026,8,21),tblDaily[WardCode],"NICU")=0,"",SUMIFS(tblDaily[Discharges],tblDaily[EntryDate],DATE(2026,8,21),tblDaily[WardCode],"NICU")),"")</f>
        <v/>
      </c>
      <c r="D300" s="29" t="str">
        <f>IFERROR(IF(SUMIFS(tblDaily[Deaths],tblDaily[EntryDate],DATE(2026,8,21),tblDaily[WardCode],"NICU")=0,"",SUMIFS(tblDaily[Deaths],tblDaily[EntryDate],DATE(2026,8,21),tblDaily[WardCode],"NICU")),"")</f>
        <v/>
      </c>
      <c r="E300" s="29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29" t="str">
        <f>IFERROR(IF(SUMIFS(tblDaily[TransfersIn],tblDaily[EntryDate],DATE(2026,8,21),tblDaily[WardCode],"NICU")=0,"",SUMIFS(tblDaily[TransfersIn],tblDaily[EntryDate],DATE(2026,8,21),tblDaily[WardCode],"NICU")),"")</f>
        <v/>
      </c>
      <c r="G300" s="29" t="str">
        <f>IFERROR(IF(SUMIFS(tblDaily[TransfersOut],tblDaily[EntryDate],DATE(2026,8,21),tblDaily[WardCode],"NICU")=0,"",SUMIFS(tblDaily[TransfersOut],tblDaily[EntryDate],DATE(2026,8,21),tblDaily[WardCode],"NICU")),"")</f>
        <v/>
      </c>
      <c r="H300" s="29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IFERROR(IF(SUMIFS(tblDaily[Admissions],tblDaily[EntryDate],DATE(2026,8,22),tblDaily[WardCode],"NICU")=0,"",SUMIFS(tblDaily[Admissions],tblDaily[EntryDate],DATE(2026,8,22),tblDaily[WardCode],"NICU")),"")</f>
        <v/>
      </c>
      <c r="C301" s="29" t="str">
        <f>IFERROR(IF(SUMIFS(tblDaily[Discharges],tblDaily[EntryDate],DATE(2026,8,22),tblDaily[WardCode],"NICU")=0,"",SUMIFS(tblDaily[Discharges],tblDaily[EntryDate],DATE(2026,8,22),tblDaily[WardCode],"NICU")),"")</f>
        <v/>
      </c>
      <c r="D301" s="29" t="str">
        <f>IFERROR(IF(SUMIFS(tblDaily[Deaths],tblDaily[EntryDate],DATE(2026,8,22),tblDaily[WardCode],"NICU")=0,"",SUMIFS(tblDaily[Deaths],tblDaily[EntryDate],DATE(2026,8,22),tblDaily[WardCode],"NICU")),"")</f>
        <v/>
      </c>
      <c r="E301" s="29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29" t="str">
        <f>IFERROR(IF(SUMIFS(tblDaily[TransfersIn],tblDaily[EntryDate],DATE(2026,8,22),tblDaily[WardCode],"NICU")=0,"",SUMIFS(tblDaily[TransfersIn],tblDaily[EntryDate],DATE(2026,8,22),tblDaily[WardCode],"NICU")),"")</f>
        <v/>
      </c>
      <c r="G301" s="29" t="str">
        <f>IFERROR(IF(SUMIFS(tblDaily[TransfersOut],tblDaily[EntryDate],DATE(2026,8,22),tblDaily[WardCode],"NICU")=0,"",SUMIFS(tblDaily[TransfersOut],tblDaily[EntryDate],DATE(2026,8,22),tblDaily[WardCode],"NICU")),"")</f>
        <v/>
      </c>
      <c r="H301" s="29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IFERROR(IF(SUMIFS(tblDaily[Admissions],tblDaily[EntryDate],DATE(2026,8,23),tblDaily[WardCode],"NICU")=0,"",SUMIFS(tblDaily[Admissions],tblDaily[EntryDate],DATE(2026,8,23),tblDaily[WardCode],"NICU")),"")</f>
        <v/>
      </c>
      <c r="C302" s="29" t="str">
        <f>IFERROR(IF(SUMIFS(tblDaily[Discharges],tblDaily[EntryDate],DATE(2026,8,23),tblDaily[WardCode],"NICU")=0,"",SUMIFS(tblDaily[Discharges],tblDaily[EntryDate],DATE(2026,8,23),tblDaily[WardCode],"NICU")),"")</f>
        <v/>
      </c>
      <c r="D302" s="29" t="str">
        <f>IFERROR(IF(SUMIFS(tblDaily[Deaths],tblDaily[EntryDate],DATE(2026,8,23),tblDaily[WardCode],"NICU")=0,"",SUMIFS(tblDaily[Deaths],tblDaily[EntryDate],DATE(2026,8,23),tblDaily[WardCode],"NICU")),"")</f>
        <v/>
      </c>
      <c r="E302" s="29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29" t="str">
        <f>IFERROR(IF(SUMIFS(tblDaily[TransfersIn],tblDaily[EntryDate],DATE(2026,8,23),tblDaily[WardCode],"NICU")=0,"",SUMIFS(tblDaily[TransfersIn],tblDaily[EntryDate],DATE(2026,8,23),tblDaily[WardCode],"NICU")),"")</f>
        <v/>
      </c>
      <c r="G302" s="29" t="str">
        <f>IFERROR(IF(SUMIFS(tblDaily[TransfersOut],tblDaily[EntryDate],DATE(2026,8,23),tblDaily[WardCode],"NICU")=0,"",SUMIFS(tblDaily[TransfersOut],tblDaily[EntryDate],DATE(2026,8,23),tblDaily[WardCode],"NICU")),"")</f>
        <v/>
      </c>
      <c r="H302" s="29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IFERROR(IF(SUMIFS(tblDaily[Admissions],tblDaily[EntryDate],DATE(2026,8,24),tblDaily[WardCode],"NICU")=0,"",SUMIFS(tblDaily[Admissions],tblDaily[EntryDate],DATE(2026,8,24),tblDaily[WardCode],"NICU")),"")</f>
        <v/>
      </c>
      <c r="C303" s="29" t="str">
        <f>IFERROR(IF(SUMIFS(tblDaily[Discharges],tblDaily[EntryDate],DATE(2026,8,24),tblDaily[WardCode],"NICU")=0,"",SUMIFS(tblDaily[Discharges],tblDaily[EntryDate],DATE(2026,8,24),tblDaily[WardCode],"NICU")),"")</f>
        <v/>
      </c>
      <c r="D303" s="29" t="str">
        <f>IFERROR(IF(SUMIFS(tblDaily[Deaths],tblDaily[EntryDate],DATE(2026,8,24),tblDaily[WardCode],"NICU")=0,"",SUMIFS(tblDaily[Deaths],tblDaily[EntryDate],DATE(2026,8,24),tblDaily[WardCode],"NICU")),"")</f>
        <v/>
      </c>
      <c r="E303" s="29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29" t="str">
        <f>IFERROR(IF(SUMIFS(tblDaily[TransfersIn],tblDaily[EntryDate],DATE(2026,8,24),tblDaily[WardCode],"NICU")=0,"",SUMIFS(tblDaily[TransfersIn],tblDaily[EntryDate],DATE(2026,8,24),tblDaily[WardCode],"NICU")),"")</f>
        <v/>
      </c>
      <c r="G303" s="29" t="str">
        <f>IFERROR(IF(SUMIFS(tblDaily[TransfersOut],tblDaily[EntryDate],DATE(2026,8,24),tblDaily[WardCode],"NICU")=0,"",SUMIFS(tblDaily[TransfersOut],tblDaily[EntryDate],DATE(2026,8,24),tblDaily[WardCode],"NICU")),"")</f>
        <v/>
      </c>
      <c r="H303" s="29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IFERROR(IF(SUMIFS(tblDaily[Admissions],tblDaily[EntryDate],DATE(2026,8,25),tblDaily[WardCode],"NICU")=0,"",SUMIFS(tblDaily[Admissions],tblDaily[EntryDate],DATE(2026,8,25),tblDaily[WardCode],"NICU")),"")</f>
        <v/>
      </c>
      <c r="C304" s="29" t="str">
        <f>IFERROR(IF(SUMIFS(tblDaily[Discharges],tblDaily[EntryDate],DATE(2026,8,25),tblDaily[WardCode],"NICU")=0,"",SUMIFS(tblDaily[Discharges],tblDaily[EntryDate],DATE(2026,8,25),tblDaily[WardCode],"NICU")),"")</f>
        <v/>
      </c>
      <c r="D304" s="29" t="str">
        <f>IFERROR(IF(SUMIFS(tblDaily[Deaths],tblDaily[EntryDate],DATE(2026,8,25),tblDaily[WardCode],"NICU")=0,"",SUMIFS(tblDaily[Deaths],tblDaily[EntryDate],DATE(2026,8,25),tblDaily[WardCode],"NICU")),"")</f>
        <v/>
      </c>
      <c r="E304" s="29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29" t="str">
        <f>IFERROR(IF(SUMIFS(tblDaily[TransfersIn],tblDaily[EntryDate],DATE(2026,8,25),tblDaily[WardCode],"NICU")=0,"",SUMIFS(tblDaily[TransfersIn],tblDaily[EntryDate],DATE(2026,8,25),tblDaily[WardCode],"NICU")),"")</f>
        <v/>
      </c>
      <c r="G304" s="29" t="str">
        <f>IFERROR(IF(SUMIFS(tblDaily[TransfersOut],tblDaily[EntryDate],DATE(2026,8,25),tblDaily[WardCode],"NICU")=0,"",SUMIFS(tblDaily[TransfersOut],tblDaily[EntryDate],DATE(2026,8,25),tblDaily[WardCode],"NICU")),"")</f>
        <v/>
      </c>
      <c r="H304" s="29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IFERROR(IF(SUMIFS(tblDaily[Admissions],tblDaily[EntryDate],DATE(2026,8,26),tblDaily[WardCode],"NICU")=0,"",SUMIFS(tblDaily[Admissions],tblDaily[EntryDate],DATE(2026,8,26),tblDaily[WardCode],"NICU")),"")</f>
        <v/>
      </c>
      <c r="C305" s="29" t="str">
        <f>IFERROR(IF(SUMIFS(tblDaily[Discharges],tblDaily[EntryDate],DATE(2026,8,26),tblDaily[WardCode],"NICU")=0,"",SUMIFS(tblDaily[Discharges],tblDaily[EntryDate],DATE(2026,8,26),tblDaily[WardCode],"NICU")),"")</f>
        <v/>
      </c>
      <c r="D305" s="29" t="str">
        <f>IFERROR(IF(SUMIFS(tblDaily[Deaths],tblDaily[EntryDate],DATE(2026,8,26),tblDaily[WardCode],"NICU")=0,"",SUMIFS(tblDaily[Deaths],tblDaily[EntryDate],DATE(2026,8,26),tblDaily[WardCode],"NICU")),"")</f>
        <v/>
      </c>
      <c r="E305" s="29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29" t="str">
        <f>IFERROR(IF(SUMIFS(tblDaily[TransfersIn],tblDaily[EntryDate],DATE(2026,8,26),tblDaily[WardCode],"NICU")=0,"",SUMIFS(tblDaily[TransfersIn],tblDaily[EntryDate],DATE(2026,8,26),tblDaily[WardCode],"NICU")),"")</f>
        <v/>
      </c>
      <c r="G305" s="29" t="str">
        <f>IFERROR(IF(SUMIFS(tblDaily[TransfersOut],tblDaily[EntryDate],DATE(2026,8,26),tblDaily[WardCode],"NICU")=0,"",SUMIFS(tblDaily[TransfersOut],tblDaily[EntryDate],DATE(2026,8,26),tblDaily[WardCode],"NICU")),"")</f>
        <v/>
      </c>
      <c r="H305" s="29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IFERROR(IF(SUMIFS(tblDaily[Admissions],tblDaily[EntryDate],DATE(2026,8,27),tblDaily[WardCode],"NICU")=0,"",SUMIFS(tblDaily[Admissions],tblDaily[EntryDate],DATE(2026,8,27),tblDaily[WardCode],"NICU")),"")</f>
        <v/>
      </c>
      <c r="C306" s="29" t="str">
        <f>IFERROR(IF(SUMIFS(tblDaily[Discharges],tblDaily[EntryDate],DATE(2026,8,27),tblDaily[WardCode],"NICU")=0,"",SUMIFS(tblDaily[Discharges],tblDaily[EntryDate],DATE(2026,8,27),tblDaily[WardCode],"NICU")),"")</f>
        <v/>
      </c>
      <c r="D306" s="29" t="str">
        <f>IFERROR(IF(SUMIFS(tblDaily[Deaths],tblDaily[EntryDate],DATE(2026,8,27),tblDaily[WardCode],"NICU")=0,"",SUMIFS(tblDaily[Deaths],tblDaily[EntryDate],DATE(2026,8,27),tblDaily[WardCode],"NICU")),"")</f>
        <v/>
      </c>
      <c r="E306" s="29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29" t="str">
        <f>IFERROR(IF(SUMIFS(tblDaily[TransfersIn],tblDaily[EntryDate],DATE(2026,8,27),tblDaily[WardCode],"NICU")=0,"",SUMIFS(tblDaily[TransfersIn],tblDaily[EntryDate],DATE(2026,8,27),tblDaily[WardCode],"NICU")),"")</f>
        <v/>
      </c>
      <c r="G306" s="29" t="str">
        <f>IFERROR(IF(SUMIFS(tblDaily[TransfersOut],tblDaily[EntryDate],DATE(2026,8,27),tblDaily[WardCode],"NICU")=0,"",SUMIFS(tblDaily[TransfersOut],tblDaily[EntryDate],DATE(2026,8,27),tblDaily[WardCode],"NICU")),"")</f>
        <v/>
      </c>
      <c r="H306" s="29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IFERROR(IF(SUMIFS(tblDaily[Admissions],tblDaily[EntryDate],DATE(2026,8,28),tblDaily[WardCode],"NICU")=0,"",SUMIFS(tblDaily[Admissions],tblDaily[EntryDate],DATE(2026,8,28),tblDaily[WardCode],"NICU")),"")</f>
        <v/>
      </c>
      <c r="C307" s="29" t="str">
        <f>IFERROR(IF(SUMIFS(tblDaily[Discharges],tblDaily[EntryDate],DATE(2026,8,28),tblDaily[WardCode],"NICU")=0,"",SUMIFS(tblDaily[Discharges],tblDaily[EntryDate],DATE(2026,8,28),tblDaily[WardCode],"NICU")),"")</f>
        <v/>
      </c>
      <c r="D307" s="29" t="str">
        <f>IFERROR(IF(SUMIFS(tblDaily[Deaths],tblDaily[EntryDate],DATE(2026,8,28),tblDaily[WardCode],"NICU")=0,"",SUMIFS(tblDaily[Deaths],tblDaily[EntryDate],DATE(2026,8,28),tblDaily[WardCode],"NICU")),"")</f>
        <v/>
      </c>
      <c r="E307" s="29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29" t="str">
        <f>IFERROR(IF(SUMIFS(tblDaily[TransfersIn],tblDaily[EntryDate],DATE(2026,8,28),tblDaily[WardCode],"NICU")=0,"",SUMIFS(tblDaily[TransfersIn],tblDaily[EntryDate],DATE(2026,8,28),tblDaily[WardCode],"NICU")),"")</f>
        <v/>
      </c>
      <c r="G307" s="29" t="str">
        <f>IFERROR(IF(SUMIFS(tblDaily[TransfersOut],tblDaily[EntryDate],DATE(2026,8,28),tblDaily[WardCode],"NICU")=0,"",SUMIFS(tblDaily[TransfersOut],tblDaily[EntryDate],DATE(2026,8,28),tblDaily[WardCode],"NICU")),"")</f>
        <v/>
      </c>
      <c r="H307" s="29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IFERROR(IF(SUMIFS(tblDaily[Admissions],tblDaily[EntryDate],DATE(2026,8,29),tblDaily[WardCode],"NICU")=0,"",SUMIFS(tblDaily[Admissions],tblDaily[EntryDate],DATE(2026,8,29),tblDaily[WardCode],"NICU")),"")</f>
        <v/>
      </c>
      <c r="C308" s="29" t="str">
        <f>IFERROR(IF(SUMIFS(tblDaily[Discharges],tblDaily[EntryDate],DATE(2026,8,29),tblDaily[WardCode],"NICU")=0,"",SUMIFS(tblDaily[Discharges],tblDaily[EntryDate],DATE(2026,8,29),tblDaily[WardCode],"NICU")),"")</f>
        <v/>
      </c>
      <c r="D308" s="29" t="str">
        <f>IFERROR(IF(SUMIFS(tblDaily[Deaths],tblDaily[EntryDate],DATE(2026,8,29),tblDaily[WardCode],"NICU")=0,"",SUMIFS(tblDaily[Deaths],tblDaily[EntryDate],DATE(2026,8,29),tblDaily[WardCode],"NICU")),"")</f>
        <v/>
      </c>
      <c r="E308" s="29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29" t="str">
        <f>IFERROR(IF(SUMIFS(tblDaily[TransfersIn],tblDaily[EntryDate],DATE(2026,8,29),tblDaily[WardCode],"NICU")=0,"",SUMIFS(tblDaily[TransfersIn],tblDaily[EntryDate],DATE(2026,8,29),tblDaily[WardCode],"NICU")),"")</f>
        <v/>
      </c>
      <c r="G308" s="29" t="str">
        <f>IFERROR(IF(SUMIFS(tblDaily[TransfersOut],tblDaily[EntryDate],DATE(2026,8,29),tblDaily[WardCode],"NICU")=0,"",SUMIFS(tblDaily[TransfersOut],tblDaily[EntryDate],DATE(2026,8,29),tblDaily[WardCode],"NICU")),"")</f>
        <v/>
      </c>
      <c r="H308" s="29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IFERROR(IF(SUMIFS(tblDaily[Admissions],tblDaily[EntryDate],DATE(2026,8,30),tblDaily[WardCode],"NICU")=0,"",SUMIFS(tblDaily[Admissions],tblDaily[EntryDate],DATE(2026,8,30),tblDaily[WardCode],"NICU")),"")</f>
        <v/>
      </c>
      <c r="C309" s="29" t="str">
        <f>IFERROR(IF(SUMIFS(tblDaily[Discharges],tblDaily[EntryDate],DATE(2026,8,30),tblDaily[WardCode],"NICU")=0,"",SUMIFS(tblDaily[Discharges],tblDaily[EntryDate],DATE(2026,8,30),tblDaily[WardCode],"NICU")),"")</f>
        <v/>
      </c>
      <c r="D309" s="29" t="str">
        <f>IFERROR(IF(SUMIFS(tblDaily[Deaths],tblDaily[EntryDate],DATE(2026,8,30),tblDaily[WardCode],"NICU")=0,"",SUMIFS(tblDaily[Deaths],tblDaily[EntryDate],DATE(2026,8,30),tblDaily[WardCode],"NICU")),"")</f>
        <v/>
      </c>
      <c r="E309" s="29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29" t="str">
        <f>IFERROR(IF(SUMIFS(tblDaily[TransfersIn],tblDaily[EntryDate],DATE(2026,8,30),tblDaily[WardCode],"NICU")=0,"",SUMIFS(tblDaily[TransfersIn],tblDaily[EntryDate],DATE(2026,8,30),tblDaily[WardCode],"NICU")),"")</f>
        <v/>
      </c>
      <c r="G309" s="29" t="str">
        <f>IFERROR(IF(SUMIFS(tblDaily[TransfersOut],tblDaily[EntryDate],DATE(2026,8,30),tblDaily[WardCode],"NICU")=0,"",SUMIFS(tblDaily[TransfersOut],tblDaily[EntryDate],DATE(2026,8,30),tblDaily[WardCode],"NICU")),"")</f>
        <v/>
      </c>
      <c r="H309" s="29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IFERROR(IF(SUMIFS(tblDaily[Admissions],tblDaily[EntryDate],DATE(2026,8,31),tblDaily[WardCode],"NICU")=0,"",SUMIFS(tblDaily[Admissions],tblDaily[EntryDate],DATE(2026,8,31),tblDaily[WardCode],"NICU")),"")</f>
        <v/>
      </c>
      <c r="C310" s="29" t="str">
        <f>IFERROR(IF(SUMIFS(tblDaily[Discharges],tblDaily[EntryDate],DATE(2026,8,31),tblDaily[WardCode],"NICU")=0,"",SUMIFS(tblDaily[Discharges],tblDaily[EntryDate],DATE(2026,8,31),tblDaily[WardCode],"NICU")),"")</f>
        <v/>
      </c>
      <c r="D310" s="29" t="str">
        <f>IFERROR(IF(SUMIFS(tblDaily[Deaths],tblDaily[EntryDate],DATE(2026,8,31),tblDaily[WardCode],"NICU")=0,"",SUMIFS(tblDaily[Deaths],tblDaily[EntryDate],DATE(2026,8,31),tblDaily[WardCode],"NICU")),"")</f>
        <v/>
      </c>
      <c r="E310" s="29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29" t="str">
        <f>IFERROR(IF(SUMIFS(tblDaily[TransfersIn],tblDaily[EntryDate],DATE(2026,8,31),tblDaily[WardCode],"NICU")=0,"",SUMIFS(tblDaily[TransfersIn],tblDaily[EntryDate],DATE(2026,8,31),tblDaily[WardCode],"NICU")),"")</f>
        <v/>
      </c>
      <c r="G310" s="29" t="str">
        <f>IFERROR(IF(SUMIFS(tblDaily[TransfersOut],tblDaily[EntryDate],DATE(2026,8,31),tblDaily[WardCode],"NICU")=0,"",SUMIFS(tblDaily[TransfersOut],tblDaily[EntryDate],DATE(2026,8,31),tblDaily[WardCode],"NICU")),"")</f>
        <v/>
      </c>
      <c r="H310" s="29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30" t="s">
        <v>115</v>
      </c>
      <c r="B311" s="30">
        <f>SUMIFS(tblDaily[Admissions],tblDaily[Month],8,tblDaily[WardCode],"NICU") - SUMIFS(tblDaily[DeathsUnder24Hrs],tblDaily[Month],8,tblDaily[WardCode],"NICU")</f>
        <v>0</v>
      </c>
      <c r="C311" s="30">
        <f>SUMIFS(tblDaily[Discharges],tblDaily[Month],8,tblDaily[WardCode],"NICU")</f>
        <v>0</v>
      </c>
      <c r="D311" s="30">
        <f>SUMIFS(tblDaily[Deaths],tblDaily[Month],8,tblDaily[WardCode],"NICU")</f>
        <v>0</v>
      </c>
      <c r="E311" s="30">
        <f>SUMIFS(tblDaily[DeathsUnder24Hrs],tblDaily[Month],8,tblDaily[WardCode],"NICU")</f>
        <v>0</v>
      </c>
      <c r="F311" s="30">
        <f>SUMIFS(tblDaily[TransfersIn],tblDaily[Month],8,tblDaily[WardCode],"NICU")</f>
        <v>0</v>
      </c>
      <c r="G311" s="30">
        <f>SUMIFS(tblDaily[TransfersOut],tblDaily[Month],8,tblDaily[WardCode],"NICU")</f>
        <v>0</v>
      </c>
      <c r="H311" s="30">
        <f>SUMIFS(tblDaily[Remaining],tblDaily[Month],8,tblDaily[WardCode],"NICU")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121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IFERROR(SUMIFS(tblDaily[Remaining],tblDaily[EntryDate],DATE(2026,8,31),tblDaily[WardCode],"NICU"),0)</f>
        <v>0</v>
      </c>
    </row>
    <row r="317" spans="1:8" x14ac:dyDescent="0.25">
      <c r="A317" s="24" t="s">
        <v>109</v>
      </c>
      <c r="H317" s="27">
        <f>IFERROR(INDEX(tblWardConfig[BedComplement],MATCH("NICU",tblWardConfig[WardCode],0)),0)</f>
        <v>15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IFERROR(IF(SUMIFS(tblDaily[Admissions],tblDaily[EntryDate],DATE(2026,9,1),tblDaily[WardCode],"NICU")=0,"",SUMIFS(tblDaily[Admissions],tblDaily[EntryDate],DATE(2026,9,1),tblDaily[WardCode],"NICU")),"")</f>
        <v/>
      </c>
      <c r="C319" s="29" t="str">
        <f>IFERROR(IF(SUMIFS(tblDaily[Discharges],tblDaily[EntryDate],DATE(2026,9,1),tblDaily[WardCode],"NICU")=0,"",SUMIFS(tblDaily[Discharges],tblDaily[EntryDate],DATE(2026,9,1),tblDaily[WardCode],"NICU")),"")</f>
        <v/>
      </c>
      <c r="D319" s="29" t="str">
        <f>IFERROR(IF(SUMIFS(tblDaily[Deaths],tblDaily[EntryDate],DATE(2026,9,1),tblDaily[WardCode],"NICU")=0,"",SUMIFS(tblDaily[Deaths],tblDaily[EntryDate],DATE(2026,9,1),tblDaily[WardCode],"NICU")),"")</f>
        <v/>
      </c>
      <c r="E319" s="29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29" t="str">
        <f>IFERROR(IF(SUMIFS(tblDaily[TransfersIn],tblDaily[EntryDate],DATE(2026,9,1),tblDaily[WardCode],"NICU")=0,"",SUMIFS(tblDaily[TransfersIn],tblDaily[EntryDate],DATE(2026,9,1),tblDaily[WardCode],"NICU")),"")</f>
        <v/>
      </c>
      <c r="G319" s="29" t="str">
        <f>IFERROR(IF(SUMIFS(tblDaily[TransfersOut],tblDaily[EntryDate],DATE(2026,9,1),tblDaily[WardCode],"NICU")=0,"",SUMIFS(tblDaily[TransfersOut],tblDaily[EntryDate],DATE(2026,9,1),tblDaily[WardCode],"NICU")),"")</f>
        <v/>
      </c>
      <c r="H319" s="29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IFERROR(IF(SUMIFS(tblDaily[Admissions],tblDaily[EntryDate],DATE(2026,9,2),tblDaily[WardCode],"NICU")=0,"",SUMIFS(tblDaily[Admissions],tblDaily[EntryDate],DATE(2026,9,2),tblDaily[WardCode],"NICU")),"")</f>
        <v/>
      </c>
      <c r="C320" s="29" t="str">
        <f>IFERROR(IF(SUMIFS(tblDaily[Discharges],tblDaily[EntryDate],DATE(2026,9,2),tblDaily[WardCode],"NICU")=0,"",SUMIFS(tblDaily[Discharges],tblDaily[EntryDate],DATE(2026,9,2),tblDaily[WardCode],"NICU")),"")</f>
        <v/>
      </c>
      <c r="D320" s="29" t="str">
        <f>IFERROR(IF(SUMIFS(tblDaily[Deaths],tblDaily[EntryDate],DATE(2026,9,2),tblDaily[WardCode],"NICU")=0,"",SUMIFS(tblDaily[Deaths],tblDaily[EntryDate],DATE(2026,9,2),tblDaily[WardCode],"NICU")),"")</f>
        <v/>
      </c>
      <c r="E320" s="29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29" t="str">
        <f>IFERROR(IF(SUMIFS(tblDaily[TransfersIn],tblDaily[EntryDate],DATE(2026,9,2),tblDaily[WardCode],"NICU")=0,"",SUMIFS(tblDaily[TransfersIn],tblDaily[EntryDate],DATE(2026,9,2),tblDaily[WardCode],"NICU")),"")</f>
        <v/>
      </c>
      <c r="G320" s="29" t="str">
        <f>IFERROR(IF(SUMIFS(tblDaily[TransfersOut],tblDaily[EntryDate],DATE(2026,9,2),tblDaily[WardCode],"NICU")=0,"",SUMIFS(tblDaily[TransfersOut],tblDaily[EntryDate],DATE(2026,9,2),tblDaily[WardCode],"NICU")),"")</f>
        <v/>
      </c>
      <c r="H320" s="29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IFERROR(IF(SUMIFS(tblDaily[Admissions],tblDaily[EntryDate],DATE(2026,9,3),tblDaily[WardCode],"NICU")=0,"",SUMIFS(tblDaily[Admissions],tblDaily[EntryDate],DATE(2026,9,3),tblDaily[WardCode],"NICU")),"")</f>
        <v/>
      </c>
      <c r="C321" s="29" t="str">
        <f>IFERROR(IF(SUMIFS(tblDaily[Discharges],tblDaily[EntryDate],DATE(2026,9,3),tblDaily[WardCode],"NICU")=0,"",SUMIFS(tblDaily[Discharges],tblDaily[EntryDate],DATE(2026,9,3),tblDaily[WardCode],"NICU")),"")</f>
        <v/>
      </c>
      <c r="D321" s="29" t="str">
        <f>IFERROR(IF(SUMIFS(tblDaily[Deaths],tblDaily[EntryDate],DATE(2026,9,3),tblDaily[WardCode],"NICU")=0,"",SUMIFS(tblDaily[Deaths],tblDaily[EntryDate],DATE(2026,9,3),tblDaily[WardCode],"NICU")),"")</f>
        <v/>
      </c>
      <c r="E321" s="29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29" t="str">
        <f>IFERROR(IF(SUMIFS(tblDaily[TransfersIn],tblDaily[EntryDate],DATE(2026,9,3),tblDaily[WardCode],"NICU")=0,"",SUMIFS(tblDaily[TransfersIn],tblDaily[EntryDate],DATE(2026,9,3),tblDaily[WardCode],"NICU")),"")</f>
        <v/>
      </c>
      <c r="G321" s="29" t="str">
        <f>IFERROR(IF(SUMIFS(tblDaily[TransfersOut],tblDaily[EntryDate],DATE(2026,9,3),tblDaily[WardCode],"NICU")=0,"",SUMIFS(tblDaily[TransfersOut],tblDaily[EntryDate],DATE(2026,9,3),tblDaily[WardCode],"NICU")),"")</f>
        <v/>
      </c>
      <c r="H321" s="29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IFERROR(IF(SUMIFS(tblDaily[Admissions],tblDaily[EntryDate],DATE(2026,9,4),tblDaily[WardCode],"NICU")=0,"",SUMIFS(tblDaily[Admissions],tblDaily[EntryDate],DATE(2026,9,4),tblDaily[WardCode],"NICU")),"")</f>
        <v/>
      </c>
      <c r="C322" s="29" t="str">
        <f>IFERROR(IF(SUMIFS(tblDaily[Discharges],tblDaily[EntryDate],DATE(2026,9,4),tblDaily[WardCode],"NICU")=0,"",SUMIFS(tblDaily[Discharges],tblDaily[EntryDate],DATE(2026,9,4),tblDaily[WardCode],"NICU")),"")</f>
        <v/>
      </c>
      <c r="D322" s="29" t="str">
        <f>IFERROR(IF(SUMIFS(tblDaily[Deaths],tblDaily[EntryDate],DATE(2026,9,4),tblDaily[WardCode],"NICU")=0,"",SUMIFS(tblDaily[Deaths],tblDaily[EntryDate],DATE(2026,9,4),tblDaily[WardCode],"NICU")),"")</f>
        <v/>
      </c>
      <c r="E322" s="29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29" t="str">
        <f>IFERROR(IF(SUMIFS(tblDaily[TransfersIn],tblDaily[EntryDate],DATE(2026,9,4),tblDaily[WardCode],"NICU")=0,"",SUMIFS(tblDaily[TransfersIn],tblDaily[EntryDate],DATE(2026,9,4),tblDaily[WardCode],"NICU")),"")</f>
        <v/>
      </c>
      <c r="G322" s="29" t="str">
        <f>IFERROR(IF(SUMIFS(tblDaily[TransfersOut],tblDaily[EntryDate],DATE(2026,9,4),tblDaily[WardCode],"NICU")=0,"",SUMIFS(tblDaily[TransfersOut],tblDaily[EntryDate],DATE(2026,9,4),tblDaily[WardCode],"NICU")),"")</f>
        <v/>
      </c>
      <c r="H322" s="29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IFERROR(IF(SUMIFS(tblDaily[Admissions],tblDaily[EntryDate],DATE(2026,9,5),tblDaily[WardCode],"NICU")=0,"",SUMIFS(tblDaily[Admissions],tblDaily[EntryDate],DATE(2026,9,5),tblDaily[WardCode],"NICU")),"")</f>
        <v/>
      </c>
      <c r="C323" s="29" t="str">
        <f>IFERROR(IF(SUMIFS(tblDaily[Discharges],tblDaily[EntryDate],DATE(2026,9,5),tblDaily[WardCode],"NICU")=0,"",SUMIFS(tblDaily[Discharges],tblDaily[EntryDate],DATE(2026,9,5),tblDaily[WardCode],"NICU")),"")</f>
        <v/>
      </c>
      <c r="D323" s="29" t="str">
        <f>IFERROR(IF(SUMIFS(tblDaily[Deaths],tblDaily[EntryDate],DATE(2026,9,5),tblDaily[WardCode],"NICU")=0,"",SUMIFS(tblDaily[Deaths],tblDaily[EntryDate],DATE(2026,9,5),tblDaily[WardCode],"NICU")),"")</f>
        <v/>
      </c>
      <c r="E323" s="29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29" t="str">
        <f>IFERROR(IF(SUMIFS(tblDaily[TransfersIn],tblDaily[EntryDate],DATE(2026,9,5),tblDaily[WardCode],"NICU")=0,"",SUMIFS(tblDaily[TransfersIn],tblDaily[EntryDate],DATE(2026,9,5),tblDaily[WardCode],"NICU")),"")</f>
        <v/>
      </c>
      <c r="G323" s="29" t="str">
        <f>IFERROR(IF(SUMIFS(tblDaily[TransfersOut],tblDaily[EntryDate],DATE(2026,9,5),tblDaily[WardCode],"NICU")=0,"",SUMIFS(tblDaily[TransfersOut],tblDaily[EntryDate],DATE(2026,9,5),tblDaily[WardCode],"NICU")),"")</f>
        <v/>
      </c>
      <c r="H323" s="29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IFERROR(IF(SUMIFS(tblDaily[Admissions],tblDaily[EntryDate],DATE(2026,9,6),tblDaily[WardCode],"NICU")=0,"",SUMIFS(tblDaily[Admissions],tblDaily[EntryDate],DATE(2026,9,6),tblDaily[WardCode],"NICU")),"")</f>
        <v/>
      </c>
      <c r="C324" s="29" t="str">
        <f>IFERROR(IF(SUMIFS(tblDaily[Discharges],tblDaily[EntryDate],DATE(2026,9,6),tblDaily[WardCode],"NICU")=0,"",SUMIFS(tblDaily[Discharges],tblDaily[EntryDate],DATE(2026,9,6),tblDaily[WardCode],"NICU")),"")</f>
        <v/>
      </c>
      <c r="D324" s="29" t="str">
        <f>IFERROR(IF(SUMIFS(tblDaily[Deaths],tblDaily[EntryDate],DATE(2026,9,6),tblDaily[WardCode],"NICU")=0,"",SUMIFS(tblDaily[Deaths],tblDaily[EntryDate],DATE(2026,9,6),tblDaily[WardCode],"NICU")),"")</f>
        <v/>
      </c>
      <c r="E324" s="29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29" t="str">
        <f>IFERROR(IF(SUMIFS(tblDaily[TransfersIn],tblDaily[EntryDate],DATE(2026,9,6),tblDaily[WardCode],"NICU")=0,"",SUMIFS(tblDaily[TransfersIn],tblDaily[EntryDate],DATE(2026,9,6),tblDaily[WardCode],"NICU")),"")</f>
        <v/>
      </c>
      <c r="G324" s="29" t="str">
        <f>IFERROR(IF(SUMIFS(tblDaily[TransfersOut],tblDaily[EntryDate],DATE(2026,9,6),tblDaily[WardCode],"NICU")=0,"",SUMIFS(tblDaily[TransfersOut],tblDaily[EntryDate],DATE(2026,9,6),tblDaily[WardCode],"NICU")),"")</f>
        <v/>
      </c>
      <c r="H324" s="29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IFERROR(IF(SUMIFS(tblDaily[Admissions],tblDaily[EntryDate],DATE(2026,9,7),tblDaily[WardCode],"NICU")=0,"",SUMIFS(tblDaily[Admissions],tblDaily[EntryDate],DATE(2026,9,7),tblDaily[WardCode],"NICU")),"")</f>
        <v/>
      </c>
      <c r="C325" s="29" t="str">
        <f>IFERROR(IF(SUMIFS(tblDaily[Discharges],tblDaily[EntryDate],DATE(2026,9,7),tblDaily[WardCode],"NICU")=0,"",SUMIFS(tblDaily[Discharges],tblDaily[EntryDate],DATE(2026,9,7),tblDaily[WardCode],"NICU")),"")</f>
        <v/>
      </c>
      <c r="D325" s="29" t="str">
        <f>IFERROR(IF(SUMIFS(tblDaily[Deaths],tblDaily[EntryDate],DATE(2026,9,7),tblDaily[WardCode],"NICU")=0,"",SUMIFS(tblDaily[Deaths],tblDaily[EntryDate],DATE(2026,9,7),tblDaily[WardCode],"NICU")),"")</f>
        <v/>
      </c>
      <c r="E325" s="29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29" t="str">
        <f>IFERROR(IF(SUMIFS(tblDaily[TransfersIn],tblDaily[EntryDate],DATE(2026,9,7),tblDaily[WardCode],"NICU")=0,"",SUMIFS(tblDaily[TransfersIn],tblDaily[EntryDate],DATE(2026,9,7),tblDaily[WardCode],"NICU")),"")</f>
        <v/>
      </c>
      <c r="G325" s="29" t="str">
        <f>IFERROR(IF(SUMIFS(tblDaily[TransfersOut],tblDaily[EntryDate],DATE(2026,9,7),tblDaily[WardCode],"NICU")=0,"",SUMIFS(tblDaily[TransfersOut],tblDaily[EntryDate],DATE(2026,9,7),tblDaily[WardCode],"NICU")),"")</f>
        <v/>
      </c>
      <c r="H325" s="29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IFERROR(IF(SUMIFS(tblDaily[Admissions],tblDaily[EntryDate],DATE(2026,9,8),tblDaily[WardCode],"NICU")=0,"",SUMIFS(tblDaily[Admissions],tblDaily[EntryDate],DATE(2026,9,8),tblDaily[WardCode],"NICU")),"")</f>
        <v/>
      </c>
      <c r="C326" s="29" t="str">
        <f>IFERROR(IF(SUMIFS(tblDaily[Discharges],tblDaily[EntryDate],DATE(2026,9,8),tblDaily[WardCode],"NICU")=0,"",SUMIFS(tblDaily[Discharges],tblDaily[EntryDate],DATE(2026,9,8),tblDaily[WardCode],"NICU")),"")</f>
        <v/>
      </c>
      <c r="D326" s="29" t="str">
        <f>IFERROR(IF(SUMIFS(tblDaily[Deaths],tblDaily[EntryDate],DATE(2026,9,8),tblDaily[WardCode],"NICU")=0,"",SUMIFS(tblDaily[Deaths],tblDaily[EntryDate],DATE(2026,9,8),tblDaily[WardCode],"NICU")),"")</f>
        <v/>
      </c>
      <c r="E326" s="29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29" t="str">
        <f>IFERROR(IF(SUMIFS(tblDaily[TransfersIn],tblDaily[EntryDate],DATE(2026,9,8),tblDaily[WardCode],"NICU")=0,"",SUMIFS(tblDaily[TransfersIn],tblDaily[EntryDate],DATE(2026,9,8),tblDaily[WardCode],"NICU")),"")</f>
        <v/>
      </c>
      <c r="G326" s="29" t="str">
        <f>IFERROR(IF(SUMIFS(tblDaily[TransfersOut],tblDaily[EntryDate],DATE(2026,9,8),tblDaily[WardCode],"NICU")=0,"",SUMIFS(tblDaily[TransfersOut],tblDaily[EntryDate],DATE(2026,9,8),tblDaily[WardCode],"NICU")),"")</f>
        <v/>
      </c>
      <c r="H326" s="29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IFERROR(IF(SUMIFS(tblDaily[Admissions],tblDaily[EntryDate],DATE(2026,9,9),tblDaily[WardCode],"NICU")=0,"",SUMIFS(tblDaily[Admissions],tblDaily[EntryDate],DATE(2026,9,9),tblDaily[WardCode],"NICU")),"")</f>
        <v/>
      </c>
      <c r="C327" s="29" t="str">
        <f>IFERROR(IF(SUMIFS(tblDaily[Discharges],tblDaily[EntryDate],DATE(2026,9,9),tblDaily[WardCode],"NICU")=0,"",SUMIFS(tblDaily[Discharges],tblDaily[EntryDate],DATE(2026,9,9),tblDaily[WardCode],"NICU")),"")</f>
        <v/>
      </c>
      <c r="D327" s="29" t="str">
        <f>IFERROR(IF(SUMIFS(tblDaily[Deaths],tblDaily[EntryDate],DATE(2026,9,9),tblDaily[WardCode],"NICU")=0,"",SUMIFS(tblDaily[Deaths],tblDaily[EntryDate],DATE(2026,9,9),tblDaily[WardCode],"NICU")),"")</f>
        <v/>
      </c>
      <c r="E327" s="29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29" t="str">
        <f>IFERROR(IF(SUMIFS(tblDaily[TransfersIn],tblDaily[EntryDate],DATE(2026,9,9),tblDaily[WardCode],"NICU")=0,"",SUMIFS(tblDaily[TransfersIn],tblDaily[EntryDate],DATE(2026,9,9),tblDaily[WardCode],"NICU")),"")</f>
        <v/>
      </c>
      <c r="G327" s="29" t="str">
        <f>IFERROR(IF(SUMIFS(tblDaily[TransfersOut],tblDaily[EntryDate],DATE(2026,9,9),tblDaily[WardCode],"NICU")=0,"",SUMIFS(tblDaily[TransfersOut],tblDaily[EntryDate],DATE(2026,9,9),tblDaily[WardCode],"NICU")),"")</f>
        <v/>
      </c>
      <c r="H327" s="29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IFERROR(IF(SUMIFS(tblDaily[Admissions],tblDaily[EntryDate],DATE(2026,9,10),tblDaily[WardCode],"NICU")=0,"",SUMIFS(tblDaily[Admissions],tblDaily[EntryDate],DATE(2026,9,10),tblDaily[WardCode],"NICU")),"")</f>
        <v/>
      </c>
      <c r="C328" s="29" t="str">
        <f>IFERROR(IF(SUMIFS(tblDaily[Discharges],tblDaily[EntryDate],DATE(2026,9,10),tblDaily[WardCode],"NICU")=0,"",SUMIFS(tblDaily[Discharges],tblDaily[EntryDate],DATE(2026,9,10),tblDaily[WardCode],"NICU")),"")</f>
        <v/>
      </c>
      <c r="D328" s="29" t="str">
        <f>IFERROR(IF(SUMIFS(tblDaily[Deaths],tblDaily[EntryDate],DATE(2026,9,10),tblDaily[WardCode],"NICU")=0,"",SUMIFS(tblDaily[Deaths],tblDaily[EntryDate],DATE(2026,9,10),tblDaily[WardCode],"NICU")),"")</f>
        <v/>
      </c>
      <c r="E328" s="29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29" t="str">
        <f>IFERROR(IF(SUMIFS(tblDaily[TransfersIn],tblDaily[EntryDate],DATE(2026,9,10),tblDaily[WardCode],"NICU")=0,"",SUMIFS(tblDaily[TransfersIn],tblDaily[EntryDate],DATE(2026,9,10),tblDaily[WardCode],"NICU")),"")</f>
        <v/>
      </c>
      <c r="G328" s="29" t="str">
        <f>IFERROR(IF(SUMIFS(tblDaily[TransfersOut],tblDaily[EntryDate],DATE(2026,9,10),tblDaily[WardCode],"NICU")=0,"",SUMIFS(tblDaily[TransfersOut],tblDaily[EntryDate],DATE(2026,9,10),tblDaily[WardCode],"NICU")),"")</f>
        <v/>
      </c>
      <c r="H328" s="29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IFERROR(IF(SUMIFS(tblDaily[Admissions],tblDaily[EntryDate],DATE(2026,9,11),tblDaily[WardCode],"NICU")=0,"",SUMIFS(tblDaily[Admissions],tblDaily[EntryDate],DATE(2026,9,11),tblDaily[WardCode],"NICU")),"")</f>
        <v/>
      </c>
      <c r="C329" s="29" t="str">
        <f>IFERROR(IF(SUMIFS(tblDaily[Discharges],tblDaily[EntryDate],DATE(2026,9,11),tblDaily[WardCode],"NICU")=0,"",SUMIFS(tblDaily[Discharges],tblDaily[EntryDate],DATE(2026,9,11),tblDaily[WardCode],"NICU")),"")</f>
        <v/>
      </c>
      <c r="D329" s="29" t="str">
        <f>IFERROR(IF(SUMIFS(tblDaily[Deaths],tblDaily[EntryDate],DATE(2026,9,11),tblDaily[WardCode],"NICU")=0,"",SUMIFS(tblDaily[Deaths],tblDaily[EntryDate],DATE(2026,9,11),tblDaily[WardCode],"NICU")),"")</f>
        <v/>
      </c>
      <c r="E329" s="29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29" t="str">
        <f>IFERROR(IF(SUMIFS(tblDaily[TransfersIn],tblDaily[EntryDate],DATE(2026,9,11),tblDaily[WardCode],"NICU")=0,"",SUMIFS(tblDaily[TransfersIn],tblDaily[EntryDate],DATE(2026,9,11),tblDaily[WardCode],"NICU")),"")</f>
        <v/>
      </c>
      <c r="G329" s="29" t="str">
        <f>IFERROR(IF(SUMIFS(tblDaily[TransfersOut],tblDaily[EntryDate],DATE(2026,9,11),tblDaily[WardCode],"NICU")=0,"",SUMIFS(tblDaily[TransfersOut],tblDaily[EntryDate],DATE(2026,9,11),tblDaily[WardCode],"NICU")),"")</f>
        <v/>
      </c>
      <c r="H329" s="29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IFERROR(IF(SUMIFS(tblDaily[Admissions],tblDaily[EntryDate],DATE(2026,9,12),tblDaily[WardCode],"NICU")=0,"",SUMIFS(tblDaily[Admissions],tblDaily[EntryDate],DATE(2026,9,12),tblDaily[WardCode],"NICU")),"")</f>
        <v/>
      </c>
      <c r="C330" s="29" t="str">
        <f>IFERROR(IF(SUMIFS(tblDaily[Discharges],tblDaily[EntryDate],DATE(2026,9,12),tblDaily[WardCode],"NICU")=0,"",SUMIFS(tblDaily[Discharges],tblDaily[EntryDate],DATE(2026,9,12),tblDaily[WardCode],"NICU")),"")</f>
        <v/>
      </c>
      <c r="D330" s="29" t="str">
        <f>IFERROR(IF(SUMIFS(tblDaily[Deaths],tblDaily[EntryDate],DATE(2026,9,12),tblDaily[WardCode],"NICU")=0,"",SUMIFS(tblDaily[Deaths],tblDaily[EntryDate],DATE(2026,9,12),tblDaily[WardCode],"NICU")),"")</f>
        <v/>
      </c>
      <c r="E330" s="29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29" t="str">
        <f>IFERROR(IF(SUMIFS(tblDaily[TransfersIn],tblDaily[EntryDate],DATE(2026,9,12),tblDaily[WardCode],"NICU")=0,"",SUMIFS(tblDaily[TransfersIn],tblDaily[EntryDate],DATE(2026,9,12),tblDaily[WardCode],"NICU")),"")</f>
        <v/>
      </c>
      <c r="G330" s="29" t="str">
        <f>IFERROR(IF(SUMIFS(tblDaily[TransfersOut],tblDaily[EntryDate],DATE(2026,9,12),tblDaily[WardCode],"NICU")=0,"",SUMIFS(tblDaily[TransfersOut],tblDaily[EntryDate],DATE(2026,9,12),tblDaily[WardCode],"NICU")),"")</f>
        <v/>
      </c>
      <c r="H330" s="29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IFERROR(IF(SUMIFS(tblDaily[Admissions],tblDaily[EntryDate],DATE(2026,9,13),tblDaily[WardCode],"NICU")=0,"",SUMIFS(tblDaily[Admissions],tblDaily[EntryDate],DATE(2026,9,13),tblDaily[WardCode],"NICU")),"")</f>
        <v/>
      </c>
      <c r="C331" s="29" t="str">
        <f>IFERROR(IF(SUMIFS(tblDaily[Discharges],tblDaily[EntryDate],DATE(2026,9,13),tblDaily[WardCode],"NICU")=0,"",SUMIFS(tblDaily[Discharges],tblDaily[EntryDate],DATE(2026,9,13),tblDaily[WardCode],"NICU")),"")</f>
        <v/>
      </c>
      <c r="D331" s="29" t="str">
        <f>IFERROR(IF(SUMIFS(tblDaily[Deaths],tblDaily[EntryDate],DATE(2026,9,13),tblDaily[WardCode],"NICU")=0,"",SUMIFS(tblDaily[Deaths],tblDaily[EntryDate],DATE(2026,9,13),tblDaily[WardCode],"NICU")),"")</f>
        <v/>
      </c>
      <c r="E331" s="29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29" t="str">
        <f>IFERROR(IF(SUMIFS(tblDaily[TransfersIn],tblDaily[EntryDate],DATE(2026,9,13),tblDaily[WardCode],"NICU")=0,"",SUMIFS(tblDaily[TransfersIn],tblDaily[EntryDate],DATE(2026,9,13),tblDaily[WardCode],"NICU")),"")</f>
        <v/>
      </c>
      <c r="G331" s="29" t="str">
        <f>IFERROR(IF(SUMIFS(tblDaily[TransfersOut],tblDaily[EntryDate],DATE(2026,9,13),tblDaily[WardCode],"NICU")=0,"",SUMIFS(tblDaily[TransfersOut],tblDaily[EntryDate],DATE(2026,9,13),tblDaily[WardCode],"NICU")),"")</f>
        <v/>
      </c>
      <c r="H331" s="29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IFERROR(IF(SUMIFS(tblDaily[Admissions],tblDaily[EntryDate],DATE(2026,9,14),tblDaily[WardCode],"NICU")=0,"",SUMIFS(tblDaily[Admissions],tblDaily[EntryDate],DATE(2026,9,14),tblDaily[WardCode],"NICU")),"")</f>
        <v/>
      </c>
      <c r="C332" s="29" t="str">
        <f>IFERROR(IF(SUMIFS(tblDaily[Discharges],tblDaily[EntryDate],DATE(2026,9,14),tblDaily[WardCode],"NICU")=0,"",SUMIFS(tblDaily[Discharges],tblDaily[EntryDate],DATE(2026,9,14),tblDaily[WardCode],"NICU")),"")</f>
        <v/>
      </c>
      <c r="D332" s="29" t="str">
        <f>IFERROR(IF(SUMIFS(tblDaily[Deaths],tblDaily[EntryDate],DATE(2026,9,14),tblDaily[WardCode],"NICU")=0,"",SUMIFS(tblDaily[Deaths],tblDaily[EntryDate],DATE(2026,9,14),tblDaily[WardCode],"NICU")),"")</f>
        <v/>
      </c>
      <c r="E332" s="29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29" t="str">
        <f>IFERROR(IF(SUMIFS(tblDaily[TransfersIn],tblDaily[EntryDate],DATE(2026,9,14),tblDaily[WardCode],"NICU")=0,"",SUMIFS(tblDaily[TransfersIn],tblDaily[EntryDate],DATE(2026,9,14),tblDaily[WardCode],"NICU")),"")</f>
        <v/>
      </c>
      <c r="G332" s="29" t="str">
        <f>IFERROR(IF(SUMIFS(tblDaily[TransfersOut],tblDaily[EntryDate],DATE(2026,9,14),tblDaily[WardCode],"NICU")=0,"",SUMIFS(tblDaily[TransfersOut],tblDaily[EntryDate],DATE(2026,9,14),tblDaily[WardCode],"NICU")),"")</f>
        <v/>
      </c>
      <c r="H332" s="29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IFERROR(IF(SUMIFS(tblDaily[Admissions],tblDaily[EntryDate],DATE(2026,9,15),tblDaily[WardCode],"NICU")=0,"",SUMIFS(tblDaily[Admissions],tblDaily[EntryDate],DATE(2026,9,15),tblDaily[WardCode],"NICU")),"")</f>
        <v/>
      </c>
      <c r="C333" s="29" t="str">
        <f>IFERROR(IF(SUMIFS(tblDaily[Discharges],tblDaily[EntryDate],DATE(2026,9,15),tblDaily[WardCode],"NICU")=0,"",SUMIFS(tblDaily[Discharges],tblDaily[EntryDate],DATE(2026,9,15),tblDaily[WardCode],"NICU")),"")</f>
        <v/>
      </c>
      <c r="D333" s="29" t="str">
        <f>IFERROR(IF(SUMIFS(tblDaily[Deaths],tblDaily[EntryDate],DATE(2026,9,15),tblDaily[WardCode],"NICU")=0,"",SUMIFS(tblDaily[Deaths],tblDaily[EntryDate],DATE(2026,9,15),tblDaily[WardCode],"NICU")),"")</f>
        <v/>
      </c>
      <c r="E333" s="29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29" t="str">
        <f>IFERROR(IF(SUMIFS(tblDaily[TransfersIn],tblDaily[EntryDate],DATE(2026,9,15),tblDaily[WardCode],"NICU")=0,"",SUMIFS(tblDaily[TransfersIn],tblDaily[EntryDate],DATE(2026,9,15),tblDaily[WardCode],"NICU")),"")</f>
        <v/>
      </c>
      <c r="G333" s="29" t="str">
        <f>IFERROR(IF(SUMIFS(tblDaily[TransfersOut],tblDaily[EntryDate],DATE(2026,9,15),tblDaily[WardCode],"NICU")=0,"",SUMIFS(tblDaily[TransfersOut],tblDaily[EntryDate],DATE(2026,9,15),tblDaily[WardCode],"NICU")),"")</f>
        <v/>
      </c>
      <c r="H333" s="29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IFERROR(IF(SUMIFS(tblDaily[Admissions],tblDaily[EntryDate],DATE(2026,9,16),tblDaily[WardCode],"NICU")=0,"",SUMIFS(tblDaily[Admissions],tblDaily[EntryDate],DATE(2026,9,16),tblDaily[WardCode],"NICU")),"")</f>
        <v/>
      </c>
      <c r="C334" s="29" t="str">
        <f>IFERROR(IF(SUMIFS(tblDaily[Discharges],tblDaily[EntryDate],DATE(2026,9,16),tblDaily[WardCode],"NICU")=0,"",SUMIFS(tblDaily[Discharges],tblDaily[EntryDate],DATE(2026,9,16),tblDaily[WardCode],"NICU")),"")</f>
        <v/>
      </c>
      <c r="D334" s="29" t="str">
        <f>IFERROR(IF(SUMIFS(tblDaily[Deaths],tblDaily[EntryDate],DATE(2026,9,16),tblDaily[WardCode],"NICU")=0,"",SUMIFS(tblDaily[Deaths],tblDaily[EntryDate],DATE(2026,9,16),tblDaily[WardCode],"NICU")),"")</f>
        <v/>
      </c>
      <c r="E334" s="29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29" t="str">
        <f>IFERROR(IF(SUMIFS(tblDaily[TransfersIn],tblDaily[EntryDate],DATE(2026,9,16),tblDaily[WardCode],"NICU")=0,"",SUMIFS(tblDaily[TransfersIn],tblDaily[EntryDate],DATE(2026,9,16),tblDaily[WardCode],"NICU")),"")</f>
        <v/>
      </c>
      <c r="G334" s="29" t="str">
        <f>IFERROR(IF(SUMIFS(tblDaily[TransfersOut],tblDaily[EntryDate],DATE(2026,9,16),tblDaily[WardCode],"NICU")=0,"",SUMIFS(tblDaily[TransfersOut],tblDaily[EntryDate],DATE(2026,9,16),tblDaily[WardCode],"NICU")),"")</f>
        <v/>
      </c>
      <c r="H334" s="29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IFERROR(IF(SUMIFS(tblDaily[Admissions],tblDaily[EntryDate],DATE(2026,9,17),tblDaily[WardCode],"NICU")=0,"",SUMIFS(tblDaily[Admissions],tblDaily[EntryDate],DATE(2026,9,17),tblDaily[WardCode],"NICU")),"")</f>
        <v/>
      </c>
      <c r="C335" s="29" t="str">
        <f>IFERROR(IF(SUMIFS(tblDaily[Discharges],tblDaily[EntryDate],DATE(2026,9,17),tblDaily[WardCode],"NICU")=0,"",SUMIFS(tblDaily[Discharges],tblDaily[EntryDate],DATE(2026,9,17),tblDaily[WardCode],"NICU")),"")</f>
        <v/>
      </c>
      <c r="D335" s="29" t="str">
        <f>IFERROR(IF(SUMIFS(tblDaily[Deaths],tblDaily[EntryDate],DATE(2026,9,17),tblDaily[WardCode],"NICU")=0,"",SUMIFS(tblDaily[Deaths],tblDaily[EntryDate],DATE(2026,9,17),tblDaily[WardCode],"NICU")),"")</f>
        <v/>
      </c>
      <c r="E335" s="29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29" t="str">
        <f>IFERROR(IF(SUMIFS(tblDaily[TransfersIn],tblDaily[EntryDate],DATE(2026,9,17),tblDaily[WardCode],"NICU")=0,"",SUMIFS(tblDaily[TransfersIn],tblDaily[EntryDate],DATE(2026,9,17),tblDaily[WardCode],"NICU")),"")</f>
        <v/>
      </c>
      <c r="G335" s="29" t="str">
        <f>IFERROR(IF(SUMIFS(tblDaily[TransfersOut],tblDaily[EntryDate],DATE(2026,9,17),tblDaily[WardCode],"NICU")=0,"",SUMIFS(tblDaily[TransfersOut],tblDaily[EntryDate],DATE(2026,9,17),tblDaily[WardCode],"NICU")),"")</f>
        <v/>
      </c>
      <c r="H335" s="29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IFERROR(IF(SUMIFS(tblDaily[Admissions],tblDaily[EntryDate],DATE(2026,9,18),tblDaily[WardCode],"NICU")=0,"",SUMIFS(tblDaily[Admissions],tblDaily[EntryDate],DATE(2026,9,18),tblDaily[WardCode],"NICU")),"")</f>
        <v/>
      </c>
      <c r="C336" s="29" t="str">
        <f>IFERROR(IF(SUMIFS(tblDaily[Discharges],tblDaily[EntryDate],DATE(2026,9,18),tblDaily[WardCode],"NICU")=0,"",SUMIFS(tblDaily[Discharges],tblDaily[EntryDate],DATE(2026,9,18),tblDaily[WardCode],"NICU")),"")</f>
        <v/>
      </c>
      <c r="D336" s="29" t="str">
        <f>IFERROR(IF(SUMIFS(tblDaily[Deaths],tblDaily[EntryDate],DATE(2026,9,18),tblDaily[WardCode],"NICU")=0,"",SUMIFS(tblDaily[Deaths],tblDaily[EntryDate],DATE(2026,9,18),tblDaily[WardCode],"NICU")),"")</f>
        <v/>
      </c>
      <c r="E336" s="29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29" t="str">
        <f>IFERROR(IF(SUMIFS(tblDaily[TransfersIn],tblDaily[EntryDate],DATE(2026,9,18),tblDaily[WardCode],"NICU")=0,"",SUMIFS(tblDaily[TransfersIn],tblDaily[EntryDate],DATE(2026,9,18),tblDaily[WardCode],"NICU")),"")</f>
        <v/>
      </c>
      <c r="G336" s="29" t="str">
        <f>IFERROR(IF(SUMIFS(tblDaily[TransfersOut],tblDaily[EntryDate],DATE(2026,9,18),tblDaily[WardCode],"NICU")=0,"",SUMIFS(tblDaily[TransfersOut],tblDaily[EntryDate],DATE(2026,9,18),tblDaily[WardCode],"NICU")),"")</f>
        <v/>
      </c>
      <c r="H336" s="29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IFERROR(IF(SUMIFS(tblDaily[Admissions],tblDaily[EntryDate],DATE(2026,9,19),tblDaily[WardCode],"NICU")=0,"",SUMIFS(tblDaily[Admissions],tblDaily[EntryDate],DATE(2026,9,19),tblDaily[WardCode],"NICU")),"")</f>
        <v/>
      </c>
      <c r="C337" s="29" t="str">
        <f>IFERROR(IF(SUMIFS(tblDaily[Discharges],tblDaily[EntryDate],DATE(2026,9,19),tblDaily[WardCode],"NICU")=0,"",SUMIFS(tblDaily[Discharges],tblDaily[EntryDate],DATE(2026,9,19),tblDaily[WardCode],"NICU")),"")</f>
        <v/>
      </c>
      <c r="D337" s="29" t="str">
        <f>IFERROR(IF(SUMIFS(tblDaily[Deaths],tblDaily[EntryDate],DATE(2026,9,19),tblDaily[WardCode],"NICU")=0,"",SUMIFS(tblDaily[Deaths],tblDaily[EntryDate],DATE(2026,9,19),tblDaily[WardCode],"NICU")),"")</f>
        <v/>
      </c>
      <c r="E337" s="29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29" t="str">
        <f>IFERROR(IF(SUMIFS(tblDaily[TransfersIn],tblDaily[EntryDate],DATE(2026,9,19),tblDaily[WardCode],"NICU")=0,"",SUMIFS(tblDaily[TransfersIn],tblDaily[EntryDate],DATE(2026,9,19),tblDaily[WardCode],"NICU")),"")</f>
        <v/>
      </c>
      <c r="G337" s="29" t="str">
        <f>IFERROR(IF(SUMIFS(tblDaily[TransfersOut],tblDaily[EntryDate],DATE(2026,9,19),tblDaily[WardCode],"NICU")=0,"",SUMIFS(tblDaily[TransfersOut],tblDaily[EntryDate],DATE(2026,9,19),tblDaily[WardCode],"NICU")),"")</f>
        <v/>
      </c>
      <c r="H337" s="29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IFERROR(IF(SUMIFS(tblDaily[Admissions],tblDaily[EntryDate],DATE(2026,9,20),tblDaily[WardCode],"NICU")=0,"",SUMIFS(tblDaily[Admissions],tblDaily[EntryDate],DATE(2026,9,20),tblDaily[WardCode],"NICU")),"")</f>
        <v/>
      </c>
      <c r="C338" s="29" t="str">
        <f>IFERROR(IF(SUMIFS(tblDaily[Discharges],tblDaily[EntryDate],DATE(2026,9,20),tblDaily[WardCode],"NICU")=0,"",SUMIFS(tblDaily[Discharges],tblDaily[EntryDate],DATE(2026,9,20),tblDaily[WardCode],"NICU")),"")</f>
        <v/>
      </c>
      <c r="D338" s="29" t="str">
        <f>IFERROR(IF(SUMIFS(tblDaily[Deaths],tblDaily[EntryDate],DATE(2026,9,20),tblDaily[WardCode],"NICU")=0,"",SUMIFS(tblDaily[Deaths],tblDaily[EntryDate],DATE(2026,9,20),tblDaily[WardCode],"NICU")),"")</f>
        <v/>
      </c>
      <c r="E338" s="29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29" t="str">
        <f>IFERROR(IF(SUMIFS(tblDaily[TransfersIn],tblDaily[EntryDate],DATE(2026,9,20),tblDaily[WardCode],"NICU")=0,"",SUMIFS(tblDaily[TransfersIn],tblDaily[EntryDate],DATE(2026,9,20),tblDaily[WardCode],"NICU")),"")</f>
        <v/>
      </c>
      <c r="G338" s="29" t="str">
        <f>IFERROR(IF(SUMIFS(tblDaily[TransfersOut],tblDaily[EntryDate],DATE(2026,9,20),tblDaily[WardCode],"NICU")=0,"",SUMIFS(tblDaily[TransfersOut],tblDaily[EntryDate],DATE(2026,9,20),tblDaily[WardCode],"NICU")),"")</f>
        <v/>
      </c>
      <c r="H338" s="29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IFERROR(IF(SUMIFS(tblDaily[Admissions],tblDaily[EntryDate],DATE(2026,9,21),tblDaily[WardCode],"NICU")=0,"",SUMIFS(tblDaily[Admissions],tblDaily[EntryDate],DATE(2026,9,21),tblDaily[WardCode],"NICU")),"")</f>
        <v/>
      </c>
      <c r="C339" s="29" t="str">
        <f>IFERROR(IF(SUMIFS(tblDaily[Discharges],tblDaily[EntryDate],DATE(2026,9,21),tblDaily[WardCode],"NICU")=0,"",SUMIFS(tblDaily[Discharges],tblDaily[EntryDate],DATE(2026,9,21),tblDaily[WardCode],"NICU")),"")</f>
        <v/>
      </c>
      <c r="D339" s="29" t="str">
        <f>IFERROR(IF(SUMIFS(tblDaily[Deaths],tblDaily[EntryDate],DATE(2026,9,21),tblDaily[WardCode],"NICU")=0,"",SUMIFS(tblDaily[Deaths],tblDaily[EntryDate],DATE(2026,9,21),tblDaily[WardCode],"NICU")),"")</f>
        <v/>
      </c>
      <c r="E339" s="29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29" t="str">
        <f>IFERROR(IF(SUMIFS(tblDaily[TransfersIn],tblDaily[EntryDate],DATE(2026,9,21),tblDaily[WardCode],"NICU")=0,"",SUMIFS(tblDaily[TransfersIn],tblDaily[EntryDate],DATE(2026,9,21),tblDaily[WardCode],"NICU")),"")</f>
        <v/>
      </c>
      <c r="G339" s="29" t="str">
        <f>IFERROR(IF(SUMIFS(tblDaily[TransfersOut],tblDaily[EntryDate],DATE(2026,9,21),tblDaily[WardCode],"NICU")=0,"",SUMIFS(tblDaily[TransfersOut],tblDaily[EntryDate],DATE(2026,9,21),tblDaily[WardCode],"NICU")),"")</f>
        <v/>
      </c>
      <c r="H339" s="29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IFERROR(IF(SUMIFS(tblDaily[Admissions],tblDaily[EntryDate],DATE(2026,9,22),tblDaily[WardCode],"NICU")=0,"",SUMIFS(tblDaily[Admissions],tblDaily[EntryDate],DATE(2026,9,22),tblDaily[WardCode],"NICU")),"")</f>
        <v/>
      </c>
      <c r="C340" s="29" t="str">
        <f>IFERROR(IF(SUMIFS(tblDaily[Discharges],tblDaily[EntryDate],DATE(2026,9,22),tblDaily[WardCode],"NICU")=0,"",SUMIFS(tblDaily[Discharges],tblDaily[EntryDate],DATE(2026,9,22),tblDaily[WardCode],"NICU")),"")</f>
        <v/>
      </c>
      <c r="D340" s="29" t="str">
        <f>IFERROR(IF(SUMIFS(tblDaily[Deaths],tblDaily[EntryDate],DATE(2026,9,22),tblDaily[WardCode],"NICU")=0,"",SUMIFS(tblDaily[Deaths],tblDaily[EntryDate],DATE(2026,9,22),tblDaily[WardCode],"NICU")),"")</f>
        <v/>
      </c>
      <c r="E340" s="29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29" t="str">
        <f>IFERROR(IF(SUMIFS(tblDaily[TransfersIn],tblDaily[EntryDate],DATE(2026,9,22),tblDaily[WardCode],"NICU")=0,"",SUMIFS(tblDaily[TransfersIn],tblDaily[EntryDate],DATE(2026,9,22),tblDaily[WardCode],"NICU")),"")</f>
        <v/>
      </c>
      <c r="G340" s="29" t="str">
        <f>IFERROR(IF(SUMIFS(tblDaily[TransfersOut],tblDaily[EntryDate],DATE(2026,9,22),tblDaily[WardCode],"NICU")=0,"",SUMIFS(tblDaily[TransfersOut],tblDaily[EntryDate],DATE(2026,9,22),tblDaily[WardCode],"NICU")),"")</f>
        <v/>
      </c>
      <c r="H340" s="29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IFERROR(IF(SUMIFS(tblDaily[Admissions],tblDaily[EntryDate],DATE(2026,9,23),tblDaily[WardCode],"NICU")=0,"",SUMIFS(tblDaily[Admissions],tblDaily[EntryDate],DATE(2026,9,23),tblDaily[WardCode],"NICU")),"")</f>
        <v/>
      </c>
      <c r="C341" s="29" t="str">
        <f>IFERROR(IF(SUMIFS(tblDaily[Discharges],tblDaily[EntryDate],DATE(2026,9,23),tblDaily[WardCode],"NICU")=0,"",SUMIFS(tblDaily[Discharges],tblDaily[EntryDate],DATE(2026,9,23),tblDaily[WardCode],"NICU")),"")</f>
        <v/>
      </c>
      <c r="D341" s="29" t="str">
        <f>IFERROR(IF(SUMIFS(tblDaily[Deaths],tblDaily[EntryDate],DATE(2026,9,23),tblDaily[WardCode],"NICU")=0,"",SUMIFS(tblDaily[Deaths],tblDaily[EntryDate],DATE(2026,9,23),tblDaily[WardCode],"NICU")),"")</f>
        <v/>
      </c>
      <c r="E341" s="29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29" t="str">
        <f>IFERROR(IF(SUMIFS(tblDaily[TransfersIn],tblDaily[EntryDate],DATE(2026,9,23),tblDaily[WardCode],"NICU")=0,"",SUMIFS(tblDaily[TransfersIn],tblDaily[EntryDate],DATE(2026,9,23),tblDaily[WardCode],"NICU")),"")</f>
        <v/>
      </c>
      <c r="G341" s="29" t="str">
        <f>IFERROR(IF(SUMIFS(tblDaily[TransfersOut],tblDaily[EntryDate],DATE(2026,9,23),tblDaily[WardCode],"NICU")=0,"",SUMIFS(tblDaily[TransfersOut],tblDaily[EntryDate],DATE(2026,9,23),tblDaily[WardCode],"NICU")),"")</f>
        <v/>
      </c>
      <c r="H341" s="29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IFERROR(IF(SUMIFS(tblDaily[Admissions],tblDaily[EntryDate],DATE(2026,9,24),tblDaily[WardCode],"NICU")=0,"",SUMIFS(tblDaily[Admissions],tblDaily[EntryDate],DATE(2026,9,24),tblDaily[WardCode],"NICU")),"")</f>
        <v/>
      </c>
      <c r="C342" s="29" t="str">
        <f>IFERROR(IF(SUMIFS(tblDaily[Discharges],tblDaily[EntryDate],DATE(2026,9,24),tblDaily[WardCode],"NICU")=0,"",SUMIFS(tblDaily[Discharges],tblDaily[EntryDate],DATE(2026,9,24),tblDaily[WardCode],"NICU")),"")</f>
        <v/>
      </c>
      <c r="D342" s="29" t="str">
        <f>IFERROR(IF(SUMIFS(tblDaily[Deaths],tblDaily[EntryDate],DATE(2026,9,24),tblDaily[WardCode],"NICU")=0,"",SUMIFS(tblDaily[Deaths],tblDaily[EntryDate],DATE(2026,9,24),tblDaily[WardCode],"NICU")),"")</f>
        <v/>
      </c>
      <c r="E342" s="29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29" t="str">
        <f>IFERROR(IF(SUMIFS(tblDaily[TransfersIn],tblDaily[EntryDate],DATE(2026,9,24),tblDaily[WardCode],"NICU")=0,"",SUMIFS(tblDaily[TransfersIn],tblDaily[EntryDate],DATE(2026,9,24),tblDaily[WardCode],"NICU")),"")</f>
        <v/>
      </c>
      <c r="G342" s="29" t="str">
        <f>IFERROR(IF(SUMIFS(tblDaily[TransfersOut],tblDaily[EntryDate],DATE(2026,9,24),tblDaily[WardCode],"NICU")=0,"",SUMIFS(tblDaily[TransfersOut],tblDaily[EntryDate],DATE(2026,9,24),tblDaily[WardCode],"NICU")),"")</f>
        <v/>
      </c>
      <c r="H342" s="29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IFERROR(IF(SUMIFS(tblDaily[Admissions],tblDaily[EntryDate],DATE(2026,9,25),tblDaily[WardCode],"NICU")=0,"",SUMIFS(tblDaily[Admissions],tblDaily[EntryDate],DATE(2026,9,25),tblDaily[WardCode],"NICU")),"")</f>
        <v/>
      </c>
      <c r="C343" s="29" t="str">
        <f>IFERROR(IF(SUMIFS(tblDaily[Discharges],tblDaily[EntryDate],DATE(2026,9,25),tblDaily[WardCode],"NICU")=0,"",SUMIFS(tblDaily[Discharges],tblDaily[EntryDate],DATE(2026,9,25),tblDaily[WardCode],"NICU")),"")</f>
        <v/>
      </c>
      <c r="D343" s="29" t="str">
        <f>IFERROR(IF(SUMIFS(tblDaily[Deaths],tblDaily[EntryDate],DATE(2026,9,25),tblDaily[WardCode],"NICU")=0,"",SUMIFS(tblDaily[Deaths],tblDaily[EntryDate],DATE(2026,9,25),tblDaily[WardCode],"NICU")),"")</f>
        <v/>
      </c>
      <c r="E343" s="29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29" t="str">
        <f>IFERROR(IF(SUMIFS(tblDaily[TransfersIn],tblDaily[EntryDate],DATE(2026,9,25),tblDaily[WardCode],"NICU")=0,"",SUMIFS(tblDaily[TransfersIn],tblDaily[EntryDate],DATE(2026,9,25),tblDaily[WardCode],"NICU")),"")</f>
        <v/>
      </c>
      <c r="G343" s="29" t="str">
        <f>IFERROR(IF(SUMIFS(tblDaily[TransfersOut],tblDaily[EntryDate],DATE(2026,9,25),tblDaily[WardCode],"NICU")=0,"",SUMIFS(tblDaily[TransfersOut],tblDaily[EntryDate],DATE(2026,9,25),tblDaily[WardCode],"NICU")),"")</f>
        <v/>
      </c>
      <c r="H343" s="29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IFERROR(IF(SUMIFS(tblDaily[Admissions],tblDaily[EntryDate],DATE(2026,9,26),tblDaily[WardCode],"NICU")=0,"",SUMIFS(tblDaily[Admissions],tblDaily[EntryDate],DATE(2026,9,26),tblDaily[WardCode],"NICU")),"")</f>
        <v/>
      </c>
      <c r="C344" s="29" t="str">
        <f>IFERROR(IF(SUMIFS(tblDaily[Discharges],tblDaily[EntryDate],DATE(2026,9,26),tblDaily[WardCode],"NICU")=0,"",SUMIFS(tblDaily[Discharges],tblDaily[EntryDate],DATE(2026,9,26),tblDaily[WardCode],"NICU")),"")</f>
        <v/>
      </c>
      <c r="D344" s="29" t="str">
        <f>IFERROR(IF(SUMIFS(tblDaily[Deaths],tblDaily[EntryDate],DATE(2026,9,26),tblDaily[WardCode],"NICU")=0,"",SUMIFS(tblDaily[Deaths],tblDaily[EntryDate],DATE(2026,9,26),tblDaily[WardCode],"NICU")),"")</f>
        <v/>
      </c>
      <c r="E344" s="29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29" t="str">
        <f>IFERROR(IF(SUMIFS(tblDaily[TransfersIn],tblDaily[EntryDate],DATE(2026,9,26),tblDaily[WardCode],"NICU")=0,"",SUMIFS(tblDaily[TransfersIn],tblDaily[EntryDate],DATE(2026,9,26),tblDaily[WardCode],"NICU")),"")</f>
        <v/>
      </c>
      <c r="G344" s="29" t="str">
        <f>IFERROR(IF(SUMIFS(tblDaily[TransfersOut],tblDaily[EntryDate],DATE(2026,9,26),tblDaily[WardCode],"NICU")=0,"",SUMIFS(tblDaily[TransfersOut],tblDaily[EntryDate],DATE(2026,9,26),tblDaily[WardCode],"NICU")),"")</f>
        <v/>
      </c>
      <c r="H344" s="29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IFERROR(IF(SUMIFS(tblDaily[Admissions],tblDaily[EntryDate],DATE(2026,9,27),tblDaily[WardCode],"NICU")=0,"",SUMIFS(tblDaily[Admissions],tblDaily[EntryDate],DATE(2026,9,27),tblDaily[WardCode],"NICU")),"")</f>
        <v/>
      </c>
      <c r="C345" s="29" t="str">
        <f>IFERROR(IF(SUMIFS(tblDaily[Discharges],tblDaily[EntryDate],DATE(2026,9,27),tblDaily[WardCode],"NICU")=0,"",SUMIFS(tblDaily[Discharges],tblDaily[EntryDate],DATE(2026,9,27),tblDaily[WardCode],"NICU")),"")</f>
        <v/>
      </c>
      <c r="D345" s="29" t="str">
        <f>IFERROR(IF(SUMIFS(tblDaily[Deaths],tblDaily[EntryDate],DATE(2026,9,27),tblDaily[WardCode],"NICU")=0,"",SUMIFS(tblDaily[Deaths],tblDaily[EntryDate],DATE(2026,9,27),tblDaily[WardCode],"NICU")),"")</f>
        <v/>
      </c>
      <c r="E345" s="29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29" t="str">
        <f>IFERROR(IF(SUMIFS(tblDaily[TransfersIn],tblDaily[EntryDate],DATE(2026,9,27),tblDaily[WardCode],"NICU")=0,"",SUMIFS(tblDaily[TransfersIn],tblDaily[EntryDate],DATE(2026,9,27),tblDaily[WardCode],"NICU")),"")</f>
        <v/>
      </c>
      <c r="G345" s="29" t="str">
        <f>IFERROR(IF(SUMIFS(tblDaily[TransfersOut],tblDaily[EntryDate],DATE(2026,9,27),tblDaily[WardCode],"NICU")=0,"",SUMIFS(tblDaily[TransfersOut],tblDaily[EntryDate],DATE(2026,9,27),tblDaily[WardCode],"NICU")),"")</f>
        <v/>
      </c>
      <c r="H345" s="29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IFERROR(IF(SUMIFS(tblDaily[Admissions],tblDaily[EntryDate],DATE(2026,9,28),tblDaily[WardCode],"NICU")=0,"",SUMIFS(tblDaily[Admissions],tblDaily[EntryDate],DATE(2026,9,28),tblDaily[WardCode],"NICU")),"")</f>
        <v/>
      </c>
      <c r="C346" s="29" t="str">
        <f>IFERROR(IF(SUMIFS(tblDaily[Discharges],tblDaily[EntryDate],DATE(2026,9,28),tblDaily[WardCode],"NICU")=0,"",SUMIFS(tblDaily[Discharges],tblDaily[EntryDate],DATE(2026,9,28),tblDaily[WardCode],"NICU")),"")</f>
        <v/>
      </c>
      <c r="D346" s="29" t="str">
        <f>IFERROR(IF(SUMIFS(tblDaily[Deaths],tblDaily[EntryDate],DATE(2026,9,28),tblDaily[WardCode],"NICU")=0,"",SUMIFS(tblDaily[Deaths],tblDaily[EntryDate],DATE(2026,9,28),tblDaily[WardCode],"NICU")),"")</f>
        <v/>
      </c>
      <c r="E346" s="29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29" t="str">
        <f>IFERROR(IF(SUMIFS(tblDaily[TransfersIn],tblDaily[EntryDate],DATE(2026,9,28),tblDaily[WardCode],"NICU")=0,"",SUMIFS(tblDaily[TransfersIn],tblDaily[EntryDate],DATE(2026,9,28),tblDaily[WardCode],"NICU")),"")</f>
        <v/>
      </c>
      <c r="G346" s="29" t="str">
        <f>IFERROR(IF(SUMIFS(tblDaily[TransfersOut],tblDaily[EntryDate],DATE(2026,9,28),tblDaily[WardCode],"NICU")=0,"",SUMIFS(tblDaily[TransfersOut],tblDaily[EntryDate],DATE(2026,9,28),tblDaily[WardCode],"NICU")),"")</f>
        <v/>
      </c>
      <c r="H346" s="29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IFERROR(IF(SUMIFS(tblDaily[Admissions],tblDaily[EntryDate],DATE(2026,9,29),tblDaily[WardCode],"NICU")=0,"",SUMIFS(tblDaily[Admissions],tblDaily[EntryDate],DATE(2026,9,29),tblDaily[WardCode],"NICU")),"")</f>
        <v/>
      </c>
      <c r="C347" s="29" t="str">
        <f>IFERROR(IF(SUMIFS(tblDaily[Discharges],tblDaily[EntryDate],DATE(2026,9,29),tblDaily[WardCode],"NICU")=0,"",SUMIFS(tblDaily[Discharges],tblDaily[EntryDate],DATE(2026,9,29),tblDaily[WardCode],"NICU")),"")</f>
        <v/>
      </c>
      <c r="D347" s="29" t="str">
        <f>IFERROR(IF(SUMIFS(tblDaily[Deaths],tblDaily[EntryDate],DATE(2026,9,29),tblDaily[WardCode],"NICU")=0,"",SUMIFS(tblDaily[Deaths],tblDaily[EntryDate],DATE(2026,9,29),tblDaily[WardCode],"NICU")),"")</f>
        <v/>
      </c>
      <c r="E347" s="29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29" t="str">
        <f>IFERROR(IF(SUMIFS(tblDaily[TransfersIn],tblDaily[EntryDate],DATE(2026,9,29),tblDaily[WardCode],"NICU")=0,"",SUMIFS(tblDaily[TransfersIn],tblDaily[EntryDate],DATE(2026,9,29),tblDaily[WardCode],"NICU")),"")</f>
        <v/>
      </c>
      <c r="G347" s="29" t="str">
        <f>IFERROR(IF(SUMIFS(tblDaily[TransfersOut],tblDaily[EntryDate],DATE(2026,9,29),tblDaily[WardCode],"NICU")=0,"",SUMIFS(tblDaily[TransfersOut],tblDaily[EntryDate],DATE(2026,9,29),tblDaily[WardCode],"NICU")),"")</f>
        <v/>
      </c>
      <c r="H347" s="29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IFERROR(IF(SUMIFS(tblDaily[Admissions],tblDaily[EntryDate],DATE(2026,9,30),tblDaily[WardCode],"NICU")=0,"",SUMIFS(tblDaily[Admissions],tblDaily[EntryDate],DATE(2026,9,30),tblDaily[WardCode],"NICU")),"")</f>
        <v/>
      </c>
      <c r="C348" s="29" t="str">
        <f>IFERROR(IF(SUMIFS(tblDaily[Discharges],tblDaily[EntryDate],DATE(2026,9,30),tblDaily[WardCode],"NICU")=0,"",SUMIFS(tblDaily[Discharges],tblDaily[EntryDate],DATE(2026,9,30),tblDaily[WardCode],"NICU")),"")</f>
        <v/>
      </c>
      <c r="D348" s="29" t="str">
        <f>IFERROR(IF(SUMIFS(tblDaily[Deaths],tblDaily[EntryDate],DATE(2026,9,30),tblDaily[WardCode],"NICU")=0,"",SUMIFS(tblDaily[Deaths],tblDaily[EntryDate],DATE(2026,9,30),tblDaily[WardCode],"NICU")),"")</f>
        <v/>
      </c>
      <c r="E348" s="29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29" t="str">
        <f>IFERROR(IF(SUMIFS(tblDaily[TransfersIn],tblDaily[EntryDate],DATE(2026,9,30),tblDaily[WardCode],"NICU")=0,"",SUMIFS(tblDaily[TransfersIn],tblDaily[EntryDate],DATE(2026,9,30),tblDaily[WardCode],"NICU")),"")</f>
        <v/>
      </c>
      <c r="G348" s="29" t="str">
        <f>IFERROR(IF(SUMIFS(tblDaily[TransfersOut],tblDaily[EntryDate],DATE(2026,9,30),tblDaily[WardCode],"NICU")=0,"",SUMIFS(tblDaily[TransfersOut],tblDaily[EntryDate],DATE(2026,9,30),tblDaily[WardCode],"NICU")),"")</f>
        <v/>
      </c>
      <c r="H348" s="29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SUMIFS(tblDaily[Admissions],tblDaily[Month],9,tblDaily[WardCode],"NICU") - SUMIFS(tblDaily[DeathsUnder24Hrs],tblDaily[Month],9,tblDaily[WardCode],"NICU")</f>
        <v>0</v>
      </c>
      <c r="C350" s="30">
        <f>SUMIFS(tblDaily[Discharges],tblDaily[Month],9,tblDaily[WardCode],"NICU")</f>
        <v>0</v>
      </c>
      <c r="D350" s="30">
        <f>SUMIFS(tblDaily[Deaths],tblDaily[Month],9,tblDaily[WardCode],"NICU")</f>
        <v>0</v>
      </c>
      <c r="E350" s="30">
        <f>SUMIFS(tblDaily[DeathsUnder24Hrs],tblDaily[Month],9,tblDaily[WardCode],"NICU")</f>
        <v>0</v>
      </c>
      <c r="F350" s="30">
        <f>SUMIFS(tblDaily[TransfersIn],tblDaily[Month],9,tblDaily[WardCode],"NICU")</f>
        <v>0</v>
      </c>
      <c r="G350" s="30">
        <f>SUMIFS(tblDaily[TransfersOut],tblDaily[Month],9,tblDaily[WardCode],"NICU")</f>
        <v>0</v>
      </c>
      <c r="H350" s="30">
        <f>SUMIFS(tblDaily[Remaining],tblDaily[Month],9,tblDaily[WardCode],"NICU")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121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IFERROR(SUMIFS(tblDaily[Remaining],tblDaily[EntryDate],DATE(2026,9,30),tblDaily[WardCode],"NICU"),0)</f>
        <v>0</v>
      </c>
    </row>
    <row r="356" spans="1:8" x14ac:dyDescent="0.25">
      <c r="A356" s="24" t="s">
        <v>109</v>
      </c>
      <c r="H356" s="27">
        <f>IFERROR(INDEX(tblWardConfig[BedComplement],MATCH("NICU",tblWardConfig[WardCode],0)),0)</f>
        <v>15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IFERROR(IF(SUMIFS(tblDaily[Admissions],tblDaily[EntryDate],DATE(2026,10,1),tblDaily[WardCode],"NICU")=0,"",SUMIFS(tblDaily[Admissions],tblDaily[EntryDate],DATE(2026,10,1),tblDaily[WardCode],"NICU")),"")</f>
        <v/>
      </c>
      <c r="C358" s="29" t="str">
        <f>IFERROR(IF(SUMIFS(tblDaily[Discharges],tblDaily[EntryDate],DATE(2026,10,1),tblDaily[WardCode],"NICU")=0,"",SUMIFS(tblDaily[Discharges],tblDaily[EntryDate],DATE(2026,10,1),tblDaily[WardCode],"NICU")),"")</f>
        <v/>
      </c>
      <c r="D358" s="29" t="str">
        <f>IFERROR(IF(SUMIFS(tblDaily[Deaths],tblDaily[EntryDate],DATE(2026,10,1),tblDaily[WardCode],"NICU")=0,"",SUMIFS(tblDaily[Deaths],tblDaily[EntryDate],DATE(2026,10,1),tblDaily[WardCode],"NICU")),"")</f>
        <v/>
      </c>
      <c r="E358" s="29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29" t="str">
        <f>IFERROR(IF(SUMIFS(tblDaily[TransfersIn],tblDaily[EntryDate],DATE(2026,10,1),tblDaily[WardCode],"NICU")=0,"",SUMIFS(tblDaily[TransfersIn],tblDaily[EntryDate],DATE(2026,10,1),tblDaily[WardCode],"NICU")),"")</f>
        <v/>
      </c>
      <c r="G358" s="29" t="str">
        <f>IFERROR(IF(SUMIFS(tblDaily[TransfersOut],tblDaily[EntryDate],DATE(2026,10,1),tblDaily[WardCode],"NICU")=0,"",SUMIFS(tblDaily[TransfersOut],tblDaily[EntryDate],DATE(2026,10,1),tblDaily[WardCode],"NICU")),"")</f>
        <v/>
      </c>
      <c r="H358" s="29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IFERROR(IF(SUMIFS(tblDaily[Admissions],tblDaily[EntryDate],DATE(2026,10,2),tblDaily[WardCode],"NICU")=0,"",SUMIFS(tblDaily[Admissions],tblDaily[EntryDate],DATE(2026,10,2),tblDaily[WardCode],"NICU")),"")</f>
        <v/>
      </c>
      <c r="C359" s="29" t="str">
        <f>IFERROR(IF(SUMIFS(tblDaily[Discharges],tblDaily[EntryDate],DATE(2026,10,2),tblDaily[WardCode],"NICU")=0,"",SUMIFS(tblDaily[Discharges],tblDaily[EntryDate],DATE(2026,10,2),tblDaily[WardCode],"NICU")),"")</f>
        <v/>
      </c>
      <c r="D359" s="29" t="str">
        <f>IFERROR(IF(SUMIFS(tblDaily[Deaths],tblDaily[EntryDate],DATE(2026,10,2),tblDaily[WardCode],"NICU")=0,"",SUMIFS(tblDaily[Deaths],tblDaily[EntryDate],DATE(2026,10,2),tblDaily[WardCode],"NICU")),"")</f>
        <v/>
      </c>
      <c r="E359" s="29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29" t="str">
        <f>IFERROR(IF(SUMIFS(tblDaily[TransfersIn],tblDaily[EntryDate],DATE(2026,10,2),tblDaily[WardCode],"NICU")=0,"",SUMIFS(tblDaily[TransfersIn],tblDaily[EntryDate],DATE(2026,10,2),tblDaily[WardCode],"NICU")),"")</f>
        <v/>
      </c>
      <c r="G359" s="29" t="str">
        <f>IFERROR(IF(SUMIFS(tblDaily[TransfersOut],tblDaily[EntryDate],DATE(2026,10,2),tblDaily[WardCode],"NICU")=0,"",SUMIFS(tblDaily[TransfersOut],tblDaily[EntryDate],DATE(2026,10,2),tblDaily[WardCode],"NICU")),"")</f>
        <v/>
      </c>
      <c r="H359" s="29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IFERROR(IF(SUMIFS(tblDaily[Admissions],tblDaily[EntryDate],DATE(2026,10,3),tblDaily[WardCode],"NICU")=0,"",SUMIFS(tblDaily[Admissions],tblDaily[EntryDate],DATE(2026,10,3),tblDaily[WardCode],"NICU")),"")</f>
        <v/>
      </c>
      <c r="C360" s="29" t="str">
        <f>IFERROR(IF(SUMIFS(tblDaily[Discharges],tblDaily[EntryDate],DATE(2026,10,3),tblDaily[WardCode],"NICU")=0,"",SUMIFS(tblDaily[Discharges],tblDaily[EntryDate],DATE(2026,10,3),tblDaily[WardCode],"NICU")),"")</f>
        <v/>
      </c>
      <c r="D360" s="29" t="str">
        <f>IFERROR(IF(SUMIFS(tblDaily[Deaths],tblDaily[EntryDate],DATE(2026,10,3),tblDaily[WardCode],"NICU")=0,"",SUMIFS(tblDaily[Deaths],tblDaily[EntryDate],DATE(2026,10,3),tblDaily[WardCode],"NICU")),"")</f>
        <v/>
      </c>
      <c r="E360" s="29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29" t="str">
        <f>IFERROR(IF(SUMIFS(tblDaily[TransfersIn],tblDaily[EntryDate],DATE(2026,10,3),tblDaily[WardCode],"NICU")=0,"",SUMIFS(tblDaily[TransfersIn],tblDaily[EntryDate],DATE(2026,10,3),tblDaily[WardCode],"NICU")),"")</f>
        <v/>
      </c>
      <c r="G360" s="29" t="str">
        <f>IFERROR(IF(SUMIFS(tblDaily[TransfersOut],tblDaily[EntryDate],DATE(2026,10,3),tblDaily[WardCode],"NICU")=0,"",SUMIFS(tblDaily[TransfersOut],tblDaily[EntryDate],DATE(2026,10,3),tblDaily[WardCode],"NICU")),"")</f>
        <v/>
      </c>
      <c r="H360" s="29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IFERROR(IF(SUMIFS(tblDaily[Admissions],tblDaily[EntryDate],DATE(2026,10,4),tblDaily[WardCode],"NICU")=0,"",SUMIFS(tblDaily[Admissions],tblDaily[EntryDate],DATE(2026,10,4),tblDaily[WardCode],"NICU")),"")</f>
        <v/>
      </c>
      <c r="C361" s="29" t="str">
        <f>IFERROR(IF(SUMIFS(tblDaily[Discharges],tblDaily[EntryDate],DATE(2026,10,4),tblDaily[WardCode],"NICU")=0,"",SUMIFS(tblDaily[Discharges],tblDaily[EntryDate],DATE(2026,10,4),tblDaily[WardCode],"NICU")),"")</f>
        <v/>
      </c>
      <c r="D361" s="29" t="str">
        <f>IFERROR(IF(SUMIFS(tblDaily[Deaths],tblDaily[EntryDate],DATE(2026,10,4),tblDaily[WardCode],"NICU")=0,"",SUMIFS(tblDaily[Deaths],tblDaily[EntryDate],DATE(2026,10,4),tblDaily[WardCode],"NICU")),"")</f>
        <v/>
      </c>
      <c r="E361" s="29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29" t="str">
        <f>IFERROR(IF(SUMIFS(tblDaily[TransfersIn],tblDaily[EntryDate],DATE(2026,10,4),tblDaily[WardCode],"NICU")=0,"",SUMIFS(tblDaily[TransfersIn],tblDaily[EntryDate],DATE(2026,10,4),tblDaily[WardCode],"NICU")),"")</f>
        <v/>
      </c>
      <c r="G361" s="29" t="str">
        <f>IFERROR(IF(SUMIFS(tblDaily[TransfersOut],tblDaily[EntryDate],DATE(2026,10,4),tblDaily[WardCode],"NICU")=0,"",SUMIFS(tblDaily[TransfersOut],tblDaily[EntryDate],DATE(2026,10,4),tblDaily[WardCode],"NICU")),"")</f>
        <v/>
      </c>
      <c r="H361" s="29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IFERROR(IF(SUMIFS(tblDaily[Admissions],tblDaily[EntryDate],DATE(2026,10,5),tblDaily[WardCode],"NICU")=0,"",SUMIFS(tblDaily[Admissions],tblDaily[EntryDate],DATE(2026,10,5),tblDaily[WardCode],"NICU")),"")</f>
        <v/>
      </c>
      <c r="C362" s="29" t="str">
        <f>IFERROR(IF(SUMIFS(tblDaily[Discharges],tblDaily[EntryDate],DATE(2026,10,5),tblDaily[WardCode],"NICU")=0,"",SUMIFS(tblDaily[Discharges],tblDaily[EntryDate],DATE(2026,10,5),tblDaily[WardCode],"NICU")),"")</f>
        <v/>
      </c>
      <c r="D362" s="29" t="str">
        <f>IFERROR(IF(SUMIFS(tblDaily[Deaths],tblDaily[EntryDate],DATE(2026,10,5),tblDaily[WardCode],"NICU")=0,"",SUMIFS(tblDaily[Deaths],tblDaily[EntryDate],DATE(2026,10,5),tblDaily[WardCode],"NICU")),"")</f>
        <v/>
      </c>
      <c r="E362" s="29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29" t="str">
        <f>IFERROR(IF(SUMIFS(tblDaily[TransfersIn],tblDaily[EntryDate],DATE(2026,10,5),tblDaily[WardCode],"NICU")=0,"",SUMIFS(tblDaily[TransfersIn],tblDaily[EntryDate],DATE(2026,10,5),tblDaily[WardCode],"NICU")),"")</f>
        <v/>
      </c>
      <c r="G362" s="29" t="str">
        <f>IFERROR(IF(SUMIFS(tblDaily[TransfersOut],tblDaily[EntryDate],DATE(2026,10,5),tblDaily[WardCode],"NICU")=0,"",SUMIFS(tblDaily[TransfersOut],tblDaily[EntryDate],DATE(2026,10,5),tblDaily[WardCode],"NICU")),"")</f>
        <v/>
      </c>
      <c r="H362" s="29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IFERROR(IF(SUMIFS(tblDaily[Admissions],tblDaily[EntryDate],DATE(2026,10,6),tblDaily[WardCode],"NICU")=0,"",SUMIFS(tblDaily[Admissions],tblDaily[EntryDate],DATE(2026,10,6),tblDaily[WardCode],"NICU")),"")</f>
        <v/>
      </c>
      <c r="C363" s="29" t="str">
        <f>IFERROR(IF(SUMIFS(tblDaily[Discharges],tblDaily[EntryDate],DATE(2026,10,6),tblDaily[WardCode],"NICU")=0,"",SUMIFS(tblDaily[Discharges],tblDaily[EntryDate],DATE(2026,10,6),tblDaily[WardCode],"NICU")),"")</f>
        <v/>
      </c>
      <c r="D363" s="29" t="str">
        <f>IFERROR(IF(SUMIFS(tblDaily[Deaths],tblDaily[EntryDate],DATE(2026,10,6),tblDaily[WardCode],"NICU")=0,"",SUMIFS(tblDaily[Deaths],tblDaily[EntryDate],DATE(2026,10,6),tblDaily[WardCode],"NICU")),"")</f>
        <v/>
      </c>
      <c r="E363" s="29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29" t="str">
        <f>IFERROR(IF(SUMIFS(tblDaily[TransfersIn],tblDaily[EntryDate],DATE(2026,10,6),tblDaily[WardCode],"NICU")=0,"",SUMIFS(tblDaily[TransfersIn],tblDaily[EntryDate],DATE(2026,10,6),tblDaily[WardCode],"NICU")),"")</f>
        <v/>
      </c>
      <c r="G363" s="29" t="str">
        <f>IFERROR(IF(SUMIFS(tblDaily[TransfersOut],tblDaily[EntryDate],DATE(2026,10,6),tblDaily[WardCode],"NICU")=0,"",SUMIFS(tblDaily[TransfersOut],tblDaily[EntryDate],DATE(2026,10,6),tblDaily[WardCode],"NICU")),"")</f>
        <v/>
      </c>
      <c r="H363" s="29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IFERROR(IF(SUMIFS(tblDaily[Admissions],tblDaily[EntryDate],DATE(2026,10,7),tblDaily[WardCode],"NICU")=0,"",SUMIFS(tblDaily[Admissions],tblDaily[EntryDate],DATE(2026,10,7),tblDaily[WardCode],"NICU")),"")</f>
        <v/>
      </c>
      <c r="C364" s="29" t="str">
        <f>IFERROR(IF(SUMIFS(tblDaily[Discharges],tblDaily[EntryDate],DATE(2026,10,7),tblDaily[WardCode],"NICU")=0,"",SUMIFS(tblDaily[Discharges],tblDaily[EntryDate],DATE(2026,10,7),tblDaily[WardCode],"NICU")),"")</f>
        <v/>
      </c>
      <c r="D364" s="29" t="str">
        <f>IFERROR(IF(SUMIFS(tblDaily[Deaths],tblDaily[EntryDate],DATE(2026,10,7),tblDaily[WardCode],"NICU")=0,"",SUMIFS(tblDaily[Deaths],tblDaily[EntryDate],DATE(2026,10,7),tblDaily[WardCode],"NICU")),"")</f>
        <v/>
      </c>
      <c r="E364" s="29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29" t="str">
        <f>IFERROR(IF(SUMIFS(tblDaily[TransfersIn],tblDaily[EntryDate],DATE(2026,10,7),tblDaily[WardCode],"NICU")=0,"",SUMIFS(tblDaily[TransfersIn],tblDaily[EntryDate],DATE(2026,10,7),tblDaily[WardCode],"NICU")),"")</f>
        <v/>
      </c>
      <c r="G364" s="29" t="str">
        <f>IFERROR(IF(SUMIFS(tblDaily[TransfersOut],tblDaily[EntryDate],DATE(2026,10,7),tblDaily[WardCode],"NICU")=0,"",SUMIFS(tblDaily[TransfersOut],tblDaily[EntryDate],DATE(2026,10,7),tblDaily[WardCode],"NICU")),"")</f>
        <v/>
      </c>
      <c r="H364" s="29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IFERROR(IF(SUMIFS(tblDaily[Admissions],tblDaily[EntryDate],DATE(2026,10,8),tblDaily[WardCode],"NICU")=0,"",SUMIFS(tblDaily[Admissions],tblDaily[EntryDate],DATE(2026,10,8),tblDaily[WardCode],"NICU")),"")</f>
        <v/>
      </c>
      <c r="C365" s="29" t="str">
        <f>IFERROR(IF(SUMIFS(tblDaily[Discharges],tblDaily[EntryDate],DATE(2026,10,8),tblDaily[WardCode],"NICU")=0,"",SUMIFS(tblDaily[Discharges],tblDaily[EntryDate],DATE(2026,10,8),tblDaily[WardCode],"NICU")),"")</f>
        <v/>
      </c>
      <c r="D365" s="29" t="str">
        <f>IFERROR(IF(SUMIFS(tblDaily[Deaths],tblDaily[EntryDate],DATE(2026,10,8),tblDaily[WardCode],"NICU")=0,"",SUMIFS(tblDaily[Deaths],tblDaily[EntryDate],DATE(2026,10,8),tblDaily[WardCode],"NICU")),"")</f>
        <v/>
      </c>
      <c r="E365" s="29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29" t="str">
        <f>IFERROR(IF(SUMIFS(tblDaily[TransfersIn],tblDaily[EntryDate],DATE(2026,10,8),tblDaily[WardCode],"NICU")=0,"",SUMIFS(tblDaily[TransfersIn],tblDaily[EntryDate],DATE(2026,10,8),tblDaily[WardCode],"NICU")),"")</f>
        <v/>
      </c>
      <c r="G365" s="29" t="str">
        <f>IFERROR(IF(SUMIFS(tblDaily[TransfersOut],tblDaily[EntryDate],DATE(2026,10,8),tblDaily[WardCode],"NICU")=0,"",SUMIFS(tblDaily[TransfersOut],tblDaily[EntryDate],DATE(2026,10,8),tblDaily[WardCode],"NICU")),"")</f>
        <v/>
      </c>
      <c r="H365" s="29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IFERROR(IF(SUMIFS(tblDaily[Admissions],tblDaily[EntryDate],DATE(2026,10,9),tblDaily[WardCode],"NICU")=0,"",SUMIFS(tblDaily[Admissions],tblDaily[EntryDate],DATE(2026,10,9),tblDaily[WardCode],"NICU")),"")</f>
        <v/>
      </c>
      <c r="C366" s="29" t="str">
        <f>IFERROR(IF(SUMIFS(tblDaily[Discharges],tblDaily[EntryDate],DATE(2026,10,9),tblDaily[WardCode],"NICU")=0,"",SUMIFS(tblDaily[Discharges],tblDaily[EntryDate],DATE(2026,10,9),tblDaily[WardCode],"NICU")),"")</f>
        <v/>
      </c>
      <c r="D366" s="29" t="str">
        <f>IFERROR(IF(SUMIFS(tblDaily[Deaths],tblDaily[EntryDate],DATE(2026,10,9),tblDaily[WardCode],"NICU")=0,"",SUMIFS(tblDaily[Deaths],tblDaily[EntryDate],DATE(2026,10,9),tblDaily[WardCode],"NICU")),"")</f>
        <v/>
      </c>
      <c r="E366" s="29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29" t="str">
        <f>IFERROR(IF(SUMIFS(tblDaily[TransfersIn],tblDaily[EntryDate],DATE(2026,10,9),tblDaily[WardCode],"NICU")=0,"",SUMIFS(tblDaily[TransfersIn],tblDaily[EntryDate],DATE(2026,10,9),tblDaily[WardCode],"NICU")),"")</f>
        <v/>
      </c>
      <c r="G366" s="29" t="str">
        <f>IFERROR(IF(SUMIFS(tblDaily[TransfersOut],tblDaily[EntryDate],DATE(2026,10,9),tblDaily[WardCode],"NICU")=0,"",SUMIFS(tblDaily[TransfersOut],tblDaily[EntryDate],DATE(2026,10,9),tblDaily[WardCode],"NICU")),"")</f>
        <v/>
      </c>
      <c r="H366" s="29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IFERROR(IF(SUMIFS(tblDaily[Admissions],tblDaily[EntryDate],DATE(2026,10,10),tblDaily[WardCode],"NICU")=0,"",SUMIFS(tblDaily[Admissions],tblDaily[EntryDate],DATE(2026,10,10),tblDaily[WardCode],"NICU")),"")</f>
        <v/>
      </c>
      <c r="C367" s="29" t="str">
        <f>IFERROR(IF(SUMIFS(tblDaily[Discharges],tblDaily[EntryDate],DATE(2026,10,10),tblDaily[WardCode],"NICU")=0,"",SUMIFS(tblDaily[Discharges],tblDaily[EntryDate],DATE(2026,10,10),tblDaily[WardCode],"NICU")),"")</f>
        <v/>
      </c>
      <c r="D367" s="29" t="str">
        <f>IFERROR(IF(SUMIFS(tblDaily[Deaths],tblDaily[EntryDate],DATE(2026,10,10),tblDaily[WardCode],"NICU")=0,"",SUMIFS(tblDaily[Deaths],tblDaily[EntryDate],DATE(2026,10,10),tblDaily[WardCode],"NICU")),"")</f>
        <v/>
      </c>
      <c r="E367" s="29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29" t="str">
        <f>IFERROR(IF(SUMIFS(tblDaily[TransfersIn],tblDaily[EntryDate],DATE(2026,10,10),tblDaily[WardCode],"NICU")=0,"",SUMIFS(tblDaily[TransfersIn],tblDaily[EntryDate],DATE(2026,10,10),tblDaily[WardCode],"NICU")),"")</f>
        <v/>
      </c>
      <c r="G367" s="29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29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IFERROR(IF(SUMIFS(tblDaily[Admissions],tblDaily[EntryDate],DATE(2026,10,11),tblDaily[WardCode],"NICU")=0,"",SUMIFS(tblDaily[Admissions],tblDaily[EntryDate],DATE(2026,10,11),tblDaily[WardCode],"NICU")),"")</f>
        <v/>
      </c>
      <c r="C368" s="29" t="str">
        <f>IFERROR(IF(SUMIFS(tblDaily[Discharges],tblDaily[EntryDate],DATE(2026,10,11),tblDaily[WardCode],"NICU")=0,"",SUMIFS(tblDaily[Discharges],tblDaily[EntryDate],DATE(2026,10,11),tblDaily[WardCode],"NICU")),"")</f>
        <v/>
      </c>
      <c r="D368" s="29" t="str">
        <f>IFERROR(IF(SUMIFS(tblDaily[Deaths],tblDaily[EntryDate],DATE(2026,10,11),tblDaily[WardCode],"NICU")=0,"",SUMIFS(tblDaily[Deaths],tblDaily[EntryDate],DATE(2026,10,11),tblDaily[WardCode],"NICU")),"")</f>
        <v/>
      </c>
      <c r="E368" s="29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29" t="str">
        <f>IFERROR(IF(SUMIFS(tblDaily[TransfersIn],tblDaily[EntryDate],DATE(2026,10,11),tblDaily[WardCode],"NICU")=0,"",SUMIFS(tblDaily[TransfersIn],tblDaily[EntryDate],DATE(2026,10,11),tblDaily[WardCode],"NICU")),"")</f>
        <v/>
      </c>
      <c r="G368" s="29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29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IFERROR(IF(SUMIFS(tblDaily[Admissions],tblDaily[EntryDate],DATE(2026,10,12),tblDaily[WardCode],"NICU")=0,"",SUMIFS(tblDaily[Admissions],tblDaily[EntryDate],DATE(2026,10,12),tblDaily[WardCode],"NICU")),"")</f>
        <v/>
      </c>
      <c r="C369" s="29" t="str">
        <f>IFERROR(IF(SUMIFS(tblDaily[Discharges],tblDaily[EntryDate],DATE(2026,10,12),tblDaily[WardCode],"NICU")=0,"",SUMIFS(tblDaily[Discharges],tblDaily[EntryDate],DATE(2026,10,12),tblDaily[WardCode],"NICU")),"")</f>
        <v/>
      </c>
      <c r="D369" s="29" t="str">
        <f>IFERROR(IF(SUMIFS(tblDaily[Deaths],tblDaily[EntryDate],DATE(2026,10,12),tblDaily[WardCode],"NICU")=0,"",SUMIFS(tblDaily[Deaths],tblDaily[EntryDate],DATE(2026,10,12),tblDaily[WardCode],"NICU")),"")</f>
        <v/>
      </c>
      <c r="E369" s="29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29" t="str">
        <f>IFERROR(IF(SUMIFS(tblDaily[TransfersIn],tblDaily[EntryDate],DATE(2026,10,12),tblDaily[WardCode],"NICU")=0,"",SUMIFS(tblDaily[TransfersIn],tblDaily[EntryDate],DATE(2026,10,12),tblDaily[WardCode],"NICU")),"")</f>
        <v/>
      </c>
      <c r="G369" s="29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29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IFERROR(IF(SUMIFS(tblDaily[Admissions],tblDaily[EntryDate],DATE(2026,10,13),tblDaily[WardCode],"NICU")=0,"",SUMIFS(tblDaily[Admissions],tblDaily[EntryDate],DATE(2026,10,13),tblDaily[WardCode],"NICU")),"")</f>
        <v/>
      </c>
      <c r="C370" s="29" t="str">
        <f>IFERROR(IF(SUMIFS(tblDaily[Discharges],tblDaily[EntryDate],DATE(2026,10,13),tblDaily[WardCode],"NICU")=0,"",SUMIFS(tblDaily[Discharges],tblDaily[EntryDate],DATE(2026,10,13),tblDaily[WardCode],"NICU")),"")</f>
        <v/>
      </c>
      <c r="D370" s="29" t="str">
        <f>IFERROR(IF(SUMIFS(tblDaily[Deaths],tblDaily[EntryDate],DATE(2026,10,13),tblDaily[WardCode],"NICU")=0,"",SUMIFS(tblDaily[Deaths],tblDaily[EntryDate],DATE(2026,10,13),tblDaily[WardCode],"NICU")),"")</f>
        <v/>
      </c>
      <c r="E370" s="29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29" t="str">
        <f>IFERROR(IF(SUMIFS(tblDaily[TransfersIn],tblDaily[EntryDate],DATE(2026,10,13),tblDaily[WardCode],"NICU")=0,"",SUMIFS(tblDaily[TransfersIn],tblDaily[EntryDate],DATE(2026,10,13),tblDaily[WardCode],"NICU")),"")</f>
        <v/>
      </c>
      <c r="G370" s="29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29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IFERROR(IF(SUMIFS(tblDaily[Admissions],tblDaily[EntryDate],DATE(2026,10,14),tblDaily[WardCode],"NICU")=0,"",SUMIFS(tblDaily[Admissions],tblDaily[EntryDate],DATE(2026,10,14),tblDaily[WardCode],"NICU")),"")</f>
        <v/>
      </c>
      <c r="C371" s="29" t="str">
        <f>IFERROR(IF(SUMIFS(tblDaily[Discharges],tblDaily[EntryDate],DATE(2026,10,14),tblDaily[WardCode],"NICU")=0,"",SUMIFS(tblDaily[Discharges],tblDaily[EntryDate],DATE(2026,10,14),tblDaily[WardCode],"NICU")),"")</f>
        <v/>
      </c>
      <c r="D371" s="29" t="str">
        <f>IFERROR(IF(SUMIFS(tblDaily[Deaths],tblDaily[EntryDate],DATE(2026,10,14),tblDaily[WardCode],"NICU")=0,"",SUMIFS(tblDaily[Deaths],tblDaily[EntryDate],DATE(2026,10,14),tblDaily[WardCode],"NICU")),"")</f>
        <v/>
      </c>
      <c r="E371" s="29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29" t="str">
        <f>IFERROR(IF(SUMIFS(tblDaily[TransfersIn],tblDaily[EntryDate],DATE(2026,10,14),tblDaily[WardCode],"NICU")=0,"",SUMIFS(tblDaily[TransfersIn],tblDaily[EntryDate],DATE(2026,10,14),tblDaily[WardCode],"NICU")),"")</f>
        <v/>
      </c>
      <c r="G371" s="29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29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IFERROR(IF(SUMIFS(tblDaily[Admissions],tblDaily[EntryDate],DATE(2026,10,15),tblDaily[WardCode],"NICU")=0,"",SUMIFS(tblDaily[Admissions],tblDaily[EntryDate],DATE(2026,10,15),tblDaily[WardCode],"NICU")),"")</f>
        <v/>
      </c>
      <c r="C372" s="29" t="str">
        <f>IFERROR(IF(SUMIFS(tblDaily[Discharges],tblDaily[EntryDate],DATE(2026,10,15),tblDaily[WardCode],"NICU")=0,"",SUMIFS(tblDaily[Discharges],tblDaily[EntryDate],DATE(2026,10,15),tblDaily[WardCode],"NICU")),"")</f>
        <v/>
      </c>
      <c r="D372" s="29" t="str">
        <f>IFERROR(IF(SUMIFS(tblDaily[Deaths],tblDaily[EntryDate],DATE(2026,10,15),tblDaily[WardCode],"NICU")=0,"",SUMIFS(tblDaily[Deaths],tblDaily[EntryDate],DATE(2026,10,15),tblDaily[WardCode],"NICU")),"")</f>
        <v/>
      </c>
      <c r="E372" s="29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29" t="str">
        <f>IFERROR(IF(SUMIFS(tblDaily[TransfersIn],tblDaily[EntryDate],DATE(2026,10,15),tblDaily[WardCode],"NICU")=0,"",SUMIFS(tblDaily[TransfersIn],tblDaily[EntryDate],DATE(2026,10,15),tblDaily[WardCode],"NICU")),"")</f>
        <v/>
      </c>
      <c r="G372" s="29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29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IFERROR(IF(SUMIFS(tblDaily[Admissions],tblDaily[EntryDate],DATE(2026,10,16),tblDaily[WardCode],"NICU")=0,"",SUMIFS(tblDaily[Admissions],tblDaily[EntryDate],DATE(2026,10,16),tblDaily[WardCode],"NICU")),"")</f>
        <v/>
      </c>
      <c r="C373" s="29" t="str">
        <f>IFERROR(IF(SUMIFS(tblDaily[Discharges],tblDaily[EntryDate],DATE(2026,10,16),tblDaily[WardCode],"NICU")=0,"",SUMIFS(tblDaily[Discharges],tblDaily[EntryDate],DATE(2026,10,16),tblDaily[WardCode],"NICU")),"")</f>
        <v/>
      </c>
      <c r="D373" s="29" t="str">
        <f>IFERROR(IF(SUMIFS(tblDaily[Deaths],tblDaily[EntryDate],DATE(2026,10,16),tblDaily[WardCode],"NICU")=0,"",SUMIFS(tblDaily[Deaths],tblDaily[EntryDate],DATE(2026,10,16),tblDaily[WardCode],"NICU")),"")</f>
        <v/>
      </c>
      <c r="E373" s="29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29" t="str">
        <f>IFERROR(IF(SUMIFS(tblDaily[TransfersIn],tblDaily[EntryDate],DATE(2026,10,16),tblDaily[WardCode],"NICU")=0,"",SUMIFS(tblDaily[TransfersIn],tblDaily[EntryDate],DATE(2026,10,16),tblDaily[WardCode],"NICU")),"")</f>
        <v/>
      </c>
      <c r="G373" s="29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29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IFERROR(IF(SUMIFS(tblDaily[Admissions],tblDaily[EntryDate],DATE(2026,10,17),tblDaily[WardCode],"NICU")=0,"",SUMIFS(tblDaily[Admissions],tblDaily[EntryDate],DATE(2026,10,17),tblDaily[WardCode],"NICU")),"")</f>
        <v/>
      </c>
      <c r="C374" s="29" t="str">
        <f>IFERROR(IF(SUMIFS(tblDaily[Discharges],tblDaily[EntryDate],DATE(2026,10,17),tblDaily[WardCode],"NICU")=0,"",SUMIFS(tblDaily[Discharges],tblDaily[EntryDate],DATE(2026,10,17),tblDaily[WardCode],"NICU")),"")</f>
        <v/>
      </c>
      <c r="D374" s="29" t="str">
        <f>IFERROR(IF(SUMIFS(tblDaily[Deaths],tblDaily[EntryDate],DATE(2026,10,17),tblDaily[WardCode],"NICU")=0,"",SUMIFS(tblDaily[Deaths],tblDaily[EntryDate],DATE(2026,10,17),tblDaily[WardCode],"NICU")),"")</f>
        <v/>
      </c>
      <c r="E374" s="29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29" t="str">
        <f>IFERROR(IF(SUMIFS(tblDaily[TransfersIn],tblDaily[EntryDate],DATE(2026,10,17),tblDaily[WardCode],"NICU")=0,"",SUMIFS(tblDaily[TransfersIn],tblDaily[EntryDate],DATE(2026,10,17),tblDaily[WardCode],"NICU")),"")</f>
        <v/>
      </c>
      <c r="G374" s="29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29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IFERROR(IF(SUMIFS(tblDaily[Admissions],tblDaily[EntryDate],DATE(2026,10,18),tblDaily[WardCode],"NICU")=0,"",SUMIFS(tblDaily[Admissions],tblDaily[EntryDate],DATE(2026,10,18),tblDaily[WardCode],"NICU")),"")</f>
        <v/>
      </c>
      <c r="C375" s="29" t="str">
        <f>IFERROR(IF(SUMIFS(tblDaily[Discharges],tblDaily[EntryDate],DATE(2026,10,18),tblDaily[WardCode],"NICU")=0,"",SUMIFS(tblDaily[Discharges],tblDaily[EntryDate],DATE(2026,10,18),tblDaily[WardCode],"NICU")),"")</f>
        <v/>
      </c>
      <c r="D375" s="29" t="str">
        <f>IFERROR(IF(SUMIFS(tblDaily[Deaths],tblDaily[EntryDate],DATE(2026,10,18),tblDaily[WardCode],"NICU")=0,"",SUMIFS(tblDaily[Deaths],tblDaily[EntryDate],DATE(2026,10,18),tblDaily[WardCode],"NICU")),"")</f>
        <v/>
      </c>
      <c r="E375" s="29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29" t="str">
        <f>IFERROR(IF(SUMIFS(tblDaily[TransfersIn],tblDaily[EntryDate],DATE(2026,10,18),tblDaily[WardCode],"NICU")=0,"",SUMIFS(tblDaily[TransfersIn],tblDaily[EntryDate],DATE(2026,10,18),tblDaily[WardCode],"NICU")),"")</f>
        <v/>
      </c>
      <c r="G375" s="29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29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IFERROR(IF(SUMIFS(tblDaily[Admissions],tblDaily[EntryDate],DATE(2026,10,19),tblDaily[WardCode],"NICU")=0,"",SUMIFS(tblDaily[Admissions],tblDaily[EntryDate],DATE(2026,10,19),tblDaily[WardCode],"NICU")),"")</f>
        <v/>
      </c>
      <c r="C376" s="29" t="str">
        <f>IFERROR(IF(SUMIFS(tblDaily[Discharges],tblDaily[EntryDate],DATE(2026,10,19),tblDaily[WardCode],"NICU")=0,"",SUMIFS(tblDaily[Discharges],tblDaily[EntryDate],DATE(2026,10,19),tblDaily[WardCode],"NICU")),"")</f>
        <v/>
      </c>
      <c r="D376" s="29" t="str">
        <f>IFERROR(IF(SUMIFS(tblDaily[Deaths],tblDaily[EntryDate],DATE(2026,10,19),tblDaily[WardCode],"NICU")=0,"",SUMIFS(tblDaily[Deaths],tblDaily[EntryDate],DATE(2026,10,19),tblDaily[WardCode],"NICU")),"")</f>
        <v/>
      </c>
      <c r="E376" s="29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29" t="str">
        <f>IFERROR(IF(SUMIFS(tblDaily[TransfersIn],tblDaily[EntryDate],DATE(2026,10,19),tblDaily[WardCode],"NICU")=0,"",SUMIFS(tblDaily[TransfersIn],tblDaily[EntryDate],DATE(2026,10,19),tblDaily[WardCode],"NICU")),"")</f>
        <v/>
      </c>
      <c r="G376" s="29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29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IFERROR(IF(SUMIFS(tblDaily[Admissions],tblDaily[EntryDate],DATE(2026,10,20),tblDaily[WardCode],"NICU")=0,"",SUMIFS(tblDaily[Admissions],tblDaily[EntryDate],DATE(2026,10,20),tblDaily[WardCode],"NICU")),"")</f>
        <v/>
      </c>
      <c r="C377" s="29" t="str">
        <f>IFERROR(IF(SUMIFS(tblDaily[Discharges],tblDaily[EntryDate],DATE(2026,10,20),tblDaily[WardCode],"NICU")=0,"",SUMIFS(tblDaily[Discharges],tblDaily[EntryDate],DATE(2026,10,20),tblDaily[WardCode],"NICU")),"")</f>
        <v/>
      </c>
      <c r="D377" s="29" t="str">
        <f>IFERROR(IF(SUMIFS(tblDaily[Deaths],tblDaily[EntryDate],DATE(2026,10,20),tblDaily[WardCode],"NICU")=0,"",SUMIFS(tblDaily[Deaths],tblDaily[EntryDate],DATE(2026,10,20),tblDaily[WardCode],"NICU")),"")</f>
        <v/>
      </c>
      <c r="E377" s="29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29" t="str">
        <f>IFERROR(IF(SUMIFS(tblDaily[TransfersIn],tblDaily[EntryDate],DATE(2026,10,20),tblDaily[WardCode],"NICU")=0,"",SUMIFS(tblDaily[TransfersIn],tblDaily[EntryDate],DATE(2026,10,20),tblDaily[WardCode],"NICU")),"")</f>
        <v/>
      </c>
      <c r="G377" s="29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29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IFERROR(IF(SUMIFS(tblDaily[Admissions],tblDaily[EntryDate],DATE(2026,10,21),tblDaily[WardCode],"NICU")=0,"",SUMIFS(tblDaily[Admissions],tblDaily[EntryDate],DATE(2026,10,21),tblDaily[WardCode],"NICU")),"")</f>
        <v/>
      </c>
      <c r="C378" s="29" t="str">
        <f>IFERROR(IF(SUMIFS(tblDaily[Discharges],tblDaily[EntryDate],DATE(2026,10,21),tblDaily[WardCode],"NICU")=0,"",SUMIFS(tblDaily[Discharges],tblDaily[EntryDate],DATE(2026,10,21),tblDaily[WardCode],"NICU")),"")</f>
        <v/>
      </c>
      <c r="D378" s="29" t="str">
        <f>IFERROR(IF(SUMIFS(tblDaily[Deaths],tblDaily[EntryDate],DATE(2026,10,21),tblDaily[WardCode],"NICU")=0,"",SUMIFS(tblDaily[Deaths],tblDaily[EntryDate],DATE(2026,10,21),tblDaily[WardCode],"NICU")),"")</f>
        <v/>
      </c>
      <c r="E378" s="29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29" t="str">
        <f>IFERROR(IF(SUMIFS(tblDaily[TransfersIn],tblDaily[EntryDate],DATE(2026,10,21),tblDaily[WardCode],"NICU")=0,"",SUMIFS(tblDaily[TransfersIn],tblDaily[EntryDate],DATE(2026,10,21),tblDaily[WardCode],"NICU")),"")</f>
        <v/>
      </c>
      <c r="G378" s="29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29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IFERROR(IF(SUMIFS(tblDaily[Admissions],tblDaily[EntryDate],DATE(2026,10,22),tblDaily[WardCode],"NICU")=0,"",SUMIFS(tblDaily[Admissions],tblDaily[EntryDate],DATE(2026,10,22),tblDaily[WardCode],"NICU")),"")</f>
        <v/>
      </c>
      <c r="C379" s="29" t="str">
        <f>IFERROR(IF(SUMIFS(tblDaily[Discharges],tblDaily[EntryDate],DATE(2026,10,22),tblDaily[WardCode],"NICU")=0,"",SUMIFS(tblDaily[Discharges],tblDaily[EntryDate],DATE(2026,10,22),tblDaily[WardCode],"NICU")),"")</f>
        <v/>
      </c>
      <c r="D379" s="29" t="str">
        <f>IFERROR(IF(SUMIFS(tblDaily[Deaths],tblDaily[EntryDate],DATE(2026,10,22),tblDaily[WardCode],"NICU")=0,"",SUMIFS(tblDaily[Deaths],tblDaily[EntryDate],DATE(2026,10,22),tblDaily[WardCode],"NICU")),"")</f>
        <v/>
      </c>
      <c r="E379" s="29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29" t="str">
        <f>IFERROR(IF(SUMIFS(tblDaily[TransfersIn],tblDaily[EntryDate],DATE(2026,10,22),tblDaily[WardCode],"NICU")=0,"",SUMIFS(tblDaily[TransfersIn],tblDaily[EntryDate],DATE(2026,10,22),tblDaily[WardCode],"NICU")),"")</f>
        <v/>
      </c>
      <c r="G379" s="29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29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IFERROR(IF(SUMIFS(tblDaily[Admissions],tblDaily[EntryDate],DATE(2026,10,23),tblDaily[WardCode],"NICU")=0,"",SUMIFS(tblDaily[Admissions],tblDaily[EntryDate],DATE(2026,10,23),tblDaily[WardCode],"NICU")),"")</f>
        <v/>
      </c>
      <c r="C380" s="29" t="str">
        <f>IFERROR(IF(SUMIFS(tblDaily[Discharges],tblDaily[EntryDate],DATE(2026,10,23),tblDaily[WardCode],"NICU")=0,"",SUMIFS(tblDaily[Discharges],tblDaily[EntryDate],DATE(2026,10,23),tblDaily[WardCode],"NICU")),"")</f>
        <v/>
      </c>
      <c r="D380" s="29" t="str">
        <f>IFERROR(IF(SUMIFS(tblDaily[Deaths],tblDaily[EntryDate],DATE(2026,10,23),tblDaily[WardCode],"NICU")=0,"",SUMIFS(tblDaily[Deaths],tblDaily[EntryDate],DATE(2026,10,23),tblDaily[WardCode],"NICU")),"")</f>
        <v/>
      </c>
      <c r="E380" s="29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29" t="str">
        <f>IFERROR(IF(SUMIFS(tblDaily[TransfersIn],tblDaily[EntryDate],DATE(2026,10,23),tblDaily[WardCode],"NICU")=0,"",SUMIFS(tblDaily[TransfersIn],tblDaily[EntryDate],DATE(2026,10,23),tblDaily[WardCode],"NICU")),"")</f>
        <v/>
      </c>
      <c r="G380" s="29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29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IFERROR(IF(SUMIFS(tblDaily[Admissions],tblDaily[EntryDate],DATE(2026,10,24),tblDaily[WardCode],"NICU")=0,"",SUMIFS(tblDaily[Admissions],tblDaily[EntryDate],DATE(2026,10,24),tblDaily[WardCode],"NICU")),"")</f>
        <v/>
      </c>
      <c r="C381" s="29" t="str">
        <f>IFERROR(IF(SUMIFS(tblDaily[Discharges],tblDaily[EntryDate],DATE(2026,10,24),tblDaily[WardCode],"NICU")=0,"",SUMIFS(tblDaily[Discharges],tblDaily[EntryDate],DATE(2026,10,24),tblDaily[WardCode],"NICU")),"")</f>
        <v/>
      </c>
      <c r="D381" s="29" t="str">
        <f>IFERROR(IF(SUMIFS(tblDaily[Deaths],tblDaily[EntryDate],DATE(2026,10,24),tblDaily[WardCode],"NICU")=0,"",SUMIFS(tblDaily[Deaths],tblDaily[EntryDate],DATE(2026,10,24),tblDaily[WardCode],"NICU")),"")</f>
        <v/>
      </c>
      <c r="E381" s="29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29" t="str">
        <f>IFERROR(IF(SUMIFS(tblDaily[TransfersIn],tblDaily[EntryDate],DATE(2026,10,24),tblDaily[WardCode],"NICU")=0,"",SUMIFS(tblDaily[TransfersIn],tblDaily[EntryDate],DATE(2026,10,24),tblDaily[WardCode],"NICU")),"")</f>
        <v/>
      </c>
      <c r="G381" s="29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29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IFERROR(IF(SUMIFS(tblDaily[Admissions],tblDaily[EntryDate],DATE(2026,10,25),tblDaily[WardCode],"NICU")=0,"",SUMIFS(tblDaily[Admissions],tblDaily[EntryDate],DATE(2026,10,25),tblDaily[WardCode],"NICU")),"")</f>
        <v/>
      </c>
      <c r="C382" s="29" t="str">
        <f>IFERROR(IF(SUMIFS(tblDaily[Discharges],tblDaily[EntryDate],DATE(2026,10,25),tblDaily[WardCode],"NICU")=0,"",SUMIFS(tblDaily[Discharges],tblDaily[EntryDate],DATE(2026,10,25),tblDaily[WardCode],"NICU")),"")</f>
        <v/>
      </c>
      <c r="D382" s="29" t="str">
        <f>IFERROR(IF(SUMIFS(tblDaily[Deaths],tblDaily[EntryDate],DATE(2026,10,25),tblDaily[WardCode],"NICU")=0,"",SUMIFS(tblDaily[Deaths],tblDaily[EntryDate],DATE(2026,10,25),tblDaily[WardCode],"NICU")),"")</f>
        <v/>
      </c>
      <c r="E382" s="29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29" t="str">
        <f>IFERROR(IF(SUMIFS(tblDaily[TransfersIn],tblDaily[EntryDate],DATE(2026,10,25),tblDaily[WardCode],"NICU")=0,"",SUMIFS(tblDaily[TransfersIn],tblDaily[EntryDate],DATE(2026,10,25),tblDaily[WardCode],"NICU")),"")</f>
        <v/>
      </c>
      <c r="G382" s="29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29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IFERROR(IF(SUMIFS(tblDaily[Admissions],tblDaily[EntryDate],DATE(2026,10,26),tblDaily[WardCode],"NICU")=0,"",SUMIFS(tblDaily[Admissions],tblDaily[EntryDate],DATE(2026,10,26),tblDaily[WardCode],"NICU")),"")</f>
        <v/>
      </c>
      <c r="C383" s="29" t="str">
        <f>IFERROR(IF(SUMIFS(tblDaily[Discharges],tblDaily[EntryDate],DATE(2026,10,26),tblDaily[WardCode],"NICU")=0,"",SUMIFS(tblDaily[Discharges],tblDaily[EntryDate],DATE(2026,10,26),tblDaily[WardCode],"NICU")),"")</f>
        <v/>
      </c>
      <c r="D383" s="29" t="str">
        <f>IFERROR(IF(SUMIFS(tblDaily[Deaths],tblDaily[EntryDate],DATE(2026,10,26),tblDaily[WardCode],"NICU")=0,"",SUMIFS(tblDaily[Deaths],tblDaily[EntryDate],DATE(2026,10,26),tblDaily[WardCode],"NICU")),"")</f>
        <v/>
      </c>
      <c r="E383" s="29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29" t="str">
        <f>IFERROR(IF(SUMIFS(tblDaily[TransfersIn],tblDaily[EntryDate],DATE(2026,10,26),tblDaily[WardCode],"NICU")=0,"",SUMIFS(tblDaily[TransfersIn],tblDaily[EntryDate],DATE(2026,10,26),tblDaily[WardCode],"NICU")),"")</f>
        <v/>
      </c>
      <c r="G383" s="29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29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IFERROR(IF(SUMIFS(tblDaily[Admissions],tblDaily[EntryDate],DATE(2026,10,27),tblDaily[WardCode],"NICU")=0,"",SUMIFS(tblDaily[Admissions],tblDaily[EntryDate],DATE(2026,10,27),tblDaily[WardCode],"NICU")),"")</f>
        <v/>
      </c>
      <c r="C384" s="29" t="str">
        <f>IFERROR(IF(SUMIFS(tblDaily[Discharges],tblDaily[EntryDate],DATE(2026,10,27),tblDaily[WardCode],"NICU")=0,"",SUMIFS(tblDaily[Discharges],tblDaily[EntryDate],DATE(2026,10,27),tblDaily[WardCode],"NICU")),"")</f>
        <v/>
      </c>
      <c r="D384" s="29" t="str">
        <f>IFERROR(IF(SUMIFS(tblDaily[Deaths],tblDaily[EntryDate],DATE(2026,10,27),tblDaily[WardCode],"NICU")=0,"",SUMIFS(tblDaily[Deaths],tblDaily[EntryDate],DATE(2026,10,27),tblDaily[WardCode],"NICU")),"")</f>
        <v/>
      </c>
      <c r="E384" s="29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29" t="str">
        <f>IFERROR(IF(SUMIFS(tblDaily[TransfersIn],tblDaily[EntryDate],DATE(2026,10,27),tblDaily[WardCode],"NICU")=0,"",SUMIFS(tblDaily[TransfersIn],tblDaily[EntryDate],DATE(2026,10,27),tblDaily[WardCode],"NICU")),"")</f>
        <v/>
      </c>
      <c r="G384" s="29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29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IFERROR(IF(SUMIFS(tblDaily[Admissions],tblDaily[EntryDate],DATE(2026,10,28),tblDaily[WardCode],"NICU")=0,"",SUMIFS(tblDaily[Admissions],tblDaily[EntryDate],DATE(2026,10,28),tblDaily[WardCode],"NICU")),"")</f>
        <v/>
      </c>
      <c r="C385" s="29" t="str">
        <f>IFERROR(IF(SUMIFS(tblDaily[Discharges],tblDaily[EntryDate],DATE(2026,10,28),tblDaily[WardCode],"NICU")=0,"",SUMIFS(tblDaily[Discharges],tblDaily[EntryDate],DATE(2026,10,28),tblDaily[WardCode],"NICU")),"")</f>
        <v/>
      </c>
      <c r="D385" s="29" t="str">
        <f>IFERROR(IF(SUMIFS(tblDaily[Deaths],tblDaily[EntryDate],DATE(2026,10,28),tblDaily[WardCode],"NICU")=0,"",SUMIFS(tblDaily[Deaths],tblDaily[EntryDate],DATE(2026,10,28),tblDaily[WardCode],"NICU")),"")</f>
        <v/>
      </c>
      <c r="E385" s="29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29" t="str">
        <f>IFERROR(IF(SUMIFS(tblDaily[TransfersIn],tblDaily[EntryDate],DATE(2026,10,28),tblDaily[WardCode],"NICU")=0,"",SUMIFS(tblDaily[TransfersIn],tblDaily[EntryDate],DATE(2026,10,28),tblDaily[WardCode],"NICU")),"")</f>
        <v/>
      </c>
      <c r="G385" s="29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29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IFERROR(IF(SUMIFS(tblDaily[Admissions],tblDaily[EntryDate],DATE(2026,10,29),tblDaily[WardCode],"NICU")=0,"",SUMIFS(tblDaily[Admissions],tblDaily[EntryDate],DATE(2026,10,29),tblDaily[WardCode],"NICU")),"")</f>
        <v/>
      </c>
      <c r="C386" s="29" t="str">
        <f>IFERROR(IF(SUMIFS(tblDaily[Discharges],tblDaily[EntryDate],DATE(2026,10,29),tblDaily[WardCode],"NICU")=0,"",SUMIFS(tblDaily[Discharges],tblDaily[EntryDate],DATE(2026,10,29),tblDaily[WardCode],"NICU")),"")</f>
        <v/>
      </c>
      <c r="D386" s="29" t="str">
        <f>IFERROR(IF(SUMIFS(tblDaily[Deaths],tblDaily[EntryDate],DATE(2026,10,29),tblDaily[WardCode],"NICU")=0,"",SUMIFS(tblDaily[Deaths],tblDaily[EntryDate],DATE(2026,10,29),tblDaily[WardCode],"NICU")),"")</f>
        <v/>
      </c>
      <c r="E386" s="29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29" t="str">
        <f>IFERROR(IF(SUMIFS(tblDaily[TransfersIn],tblDaily[EntryDate],DATE(2026,10,29),tblDaily[WardCode],"NICU")=0,"",SUMIFS(tblDaily[TransfersIn],tblDaily[EntryDate],DATE(2026,10,29),tblDaily[WardCode],"NICU")),"")</f>
        <v/>
      </c>
      <c r="G386" s="29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29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IFERROR(IF(SUMIFS(tblDaily[Admissions],tblDaily[EntryDate],DATE(2026,10,30),tblDaily[WardCode],"NICU")=0,"",SUMIFS(tblDaily[Admissions],tblDaily[EntryDate],DATE(2026,10,30),tblDaily[WardCode],"NICU")),"")</f>
        <v/>
      </c>
      <c r="C387" s="29" t="str">
        <f>IFERROR(IF(SUMIFS(tblDaily[Discharges],tblDaily[EntryDate],DATE(2026,10,30),tblDaily[WardCode],"NICU")=0,"",SUMIFS(tblDaily[Discharges],tblDaily[EntryDate],DATE(2026,10,30),tblDaily[WardCode],"NICU")),"")</f>
        <v/>
      </c>
      <c r="D387" s="29" t="str">
        <f>IFERROR(IF(SUMIFS(tblDaily[Deaths],tblDaily[EntryDate],DATE(2026,10,30),tblDaily[WardCode],"NICU")=0,"",SUMIFS(tblDaily[Deaths],tblDaily[EntryDate],DATE(2026,10,30),tblDaily[WardCode],"NICU")),"")</f>
        <v/>
      </c>
      <c r="E387" s="29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29" t="str">
        <f>IFERROR(IF(SUMIFS(tblDaily[TransfersIn],tblDaily[EntryDate],DATE(2026,10,30),tblDaily[WardCode],"NICU")=0,"",SUMIFS(tblDaily[TransfersIn],tblDaily[EntryDate],DATE(2026,10,30),tblDaily[WardCode],"NICU")),"")</f>
        <v/>
      </c>
      <c r="G387" s="29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29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IFERROR(IF(SUMIFS(tblDaily[Admissions],tblDaily[EntryDate],DATE(2026,10,31),tblDaily[WardCode],"NICU")=0,"",SUMIFS(tblDaily[Admissions],tblDaily[EntryDate],DATE(2026,10,31),tblDaily[WardCode],"NICU")),"")</f>
        <v/>
      </c>
      <c r="C388" s="29" t="str">
        <f>IFERROR(IF(SUMIFS(tblDaily[Discharges],tblDaily[EntryDate],DATE(2026,10,31),tblDaily[WardCode],"NICU")=0,"",SUMIFS(tblDaily[Discharges],tblDaily[EntryDate],DATE(2026,10,31),tblDaily[WardCode],"NICU")),"")</f>
        <v/>
      </c>
      <c r="D388" s="29" t="str">
        <f>IFERROR(IF(SUMIFS(tblDaily[Deaths],tblDaily[EntryDate],DATE(2026,10,31),tblDaily[WardCode],"NICU")=0,"",SUMIFS(tblDaily[Deaths],tblDaily[EntryDate],DATE(2026,10,31),tblDaily[WardCode],"NICU")),"")</f>
        <v/>
      </c>
      <c r="E388" s="29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29" t="str">
        <f>IFERROR(IF(SUMIFS(tblDaily[TransfersIn],tblDaily[EntryDate],DATE(2026,10,31),tblDaily[WardCode],"NICU")=0,"",SUMIFS(tblDaily[TransfersIn],tblDaily[EntryDate],DATE(2026,10,31),tblDaily[WardCode],"NICU")),"")</f>
        <v/>
      </c>
      <c r="G388" s="29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29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30" t="s">
        <v>115</v>
      </c>
      <c r="B389" s="30">
        <f>SUMIFS(tblDaily[Admissions],tblDaily[Month],10,tblDaily[WardCode],"NICU") - SUMIFS(tblDaily[DeathsUnder24Hrs],tblDaily[Month],10,tblDaily[WardCode],"NICU")</f>
        <v>0</v>
      </c>
      <c r="C389" s="30">
        <f>SUMIFS(tblDaily[Discharges],tblDaily[Month],10,tblDaily[WardCode],"NICU")</f>
        <v>0</v>
      </c>
      <c r="D389" s="30">
        <f>SUMIFS(tblDaily[Deaths],tblDaily[Month],10,tblDaily[WardCode],"NICU")</f>
        <v>0</v>
      </c>
      <c r="E389" s="30">
        <f>SUMIFS(tblDaily[DeathsUnder24Hrs],tblDaily[Month],10,tblDaily[WardCode],"NICU")</f>
        <v>0</v>
      </c>
      <c r="F389" s="30">
        <f>SUMIFS(tblDaily[TransfersIn],tblDaily[Month],10,tblDaily[WardCode],"NICU")</f>
        <v>0</v>
      </c>
      <c r="G389" s="30">
        <f>SUMIFS(tblDaily[TransfersOut],tblDaily[Month],10,tblDaily[WardCode],"NICU")</f>
        <v>0</v>
      </c>
      <c r="H389" s="30">
        <f>SUMIFS(tblDaily[Remaining],tblDaily[Month],10,tblDaily[WardCode],"NICU")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121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IFERROR(SUMIFS(tblDaily[Remaining],tblDaily[EntryDate],DATE(2026,10,31),tblDaily[WardCode],"NICU"),0)</f>
        <v>0</v>
      </c>
    </row>
    <row r="395" spans="1:8" x14ac:dyDescent="0.25">
      <c r="A395" s="24" t="s">
        <v>109</v>
      </c>
      <c r="H395" s="27">
        <f>IFERROR(INDEX(tblWardConfig[BedComplement],MATCH("NICU",tblWardConfig[WardCode],0)),0)</f>
        <v>15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IFERROR(IF(SUMIFS(tblDaily[Admissions],tblDaily[EntryDate],DATE(2026,11,1),tblDaily[WardCode],"NICU")=0,"",SUMIFS(tblDaily[Admissions],tblDaily[EntryDate],DATE(2026,11,1),tblDaily[WardCode],"NICU")),"")</f>
        <v/>
      </c>
      <c r="C397" s="29" t="str">
        <f>IFERROR(IF(SUMIFS(tblDaily[Discharges],tblDaily[EntryDate],DATE(2026,11,1),tblDaily[WardCode],"NICU")=0,"",SUMIFS(tblDaily[Discharges],tblDaily[EntryDate],DATE(2026,11,1),tblDaily[WardCode],"NICU")),"")</f>
        <v/>
      </c>
      <c r="D397" s="29" t="str">
        <f>IFERROR(IF(SUMIFS(tblDaily[Deaths],tblDaily[EntryDate],DATE(2026,11,1),tblDaily[WardCode],"NICU")=0,"",SUMIFS(tblDaily[Deaths],tblDaily[EntryDate],DATE(2026,11,1),tblDaily[WardCode],"NICU")),"")</f>
        <v/>
      </c>
      <c r="E397" s="29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29" t="str">
        <f>IFERROR(IF(SUMIFS(tblDaily[TransfersIn],tblDaily[EntryDate],DATE(2026,11,1),tblDaily[WardCode],"NICU")=0,"",SUMIFS(tblDaily[TransfersIn],tblDaily[EntryDate],DATE(2026,11,1),tblDaily[WardCode],"NICU")),"")</f>
        <v/>
      </c>
      <c r="G397" s="29" t="str">
        <f>IFERROR(IF(SUMIFS(tblDaily[TransfersOut],tblDaily[EntryDate],DATE(2026,11,1),tblDaily[WardCode],"NICU")=0,"",SUMIFS(tblDaily[TransfersOut],tblDaily[EntryDate],DATE(2026,11,1),tblDaily[WardCode],"NICU")),"")</f>
        <v/>
      </c>
      <c r="H397" s="29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IFERROR(IF(SUMIFS(tblDaily[Admissions],tblDaily[EntryDate],DATE(2026,11,2),tblDaily[WardCode],"NICU")=0,"",SUMIFS(tblDaily[Admissions],tblDaily[EntryDate],DATE(2026,11,2),tblDaily[WardCode],"NICU")),"")</f>
        <v/>
      </c>
      <c r="C398" s="29" t="str">
        <f>IFERROR(IF(SUMIFS(tblDaily[Discharges],tblDaily[EntryDate],DATE(2026,11,2),tblDaily[WardCode],"NICU")=0,"",SUMIFS(tblDaily[Discharges],tblDaily[EntryDate],DATE(2026,11,2),tblDaily[WardCode],"NICU")),"")</f>
        <v/>
      </c>
      <c r="D398" s="29" t="str">
        <f>IFERROR(IF(SUMIFS(tblDaily[Deaths],tblDaily[EntryDate],DATE(2026,11,2),tblDaily[WardCode],"NICU")=0,"",SUMIFS(tblDaily[Deaths],tblDaily[EntryDate],DATE(2026,11,2),tblDaily[WardCode],"NICU")),"")</f>
        <v/>
      </c>
      <c r="E398" s="29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29" t="str">
        <f>IFERROR(IF(SUMIFS(tblDaily[TransfersIn],tblDaily[EntryDate],DATE(2026,11,2),tblDaily[WardCode],"NICU")=0,"",SUMIFS(tblDaily[TransfersIn],tblDaily[EntryDate],DATE(2026,11,2),tblDaily[WardCode],"NICU")),"")</f>
        <v/>
      </c>
      <c r="G398" s="29" t="str">
        <f>IFERROR(IF(SUMIFS(tblDaily[TransfersOut],tblDaily[EntryDate],DATE(2026,11,2),tblDaily[WardCode],"NICU")=0,"",SUMIFS(tblDaily[TransfersOut],tblDaily[EntryDate],DATE(2026,11,2),tblDaily[WardCode],"NICU")),"")</f>
        <v/>
      </c>
      <c r="H398" s="29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IFERROR(IF(SUMIFS(tblDaily[Admissions],tblDaily[EntryDate],DATE(2026,11,3),tblDaily[WardCode],"NICU")=0,"",SUMIFS(tblDaily[Admissions],tblDaily[EntryDate],DATE(2026,11,3),tblDaily[WardCode],"NICU")),"")</f>
        <v/>
      </c>
      <c r="C399" s="29" t="str">
        <f>IFERROR(IF(SUMIFS(tblDaily[Discharges],tblDaily[EntryDate],DATE(2026,11,3),tblDaily[WardCode],"NICU")=0,"",SUMIFS(tblDaily[Discharges],tblDaily[EntryDate],DATE(2026,11,3),tblDaily[WardCode],"NICU")),"")</f>
        <v/>
      </c>
      <c r="D399" s="29" t="str">
        <f>IFERROR(IF(SUMIFS(tblDaily[Deaths],tblDaily[EntryDate],DATE(2026,11,3),tblDaily[WardCode],"NICU")=0,"",SUMIFS(tblDaily[Deaths],tblDaily[EntryDate],DATE(2026,11,3),tblDaily[WardCode],"NICU")),"")</f>
        <v/>
      </c>
      <c r="E399" s="29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29" t="str">
        <f>IFERROR(IF(SUMIFS(tblDaily[TransfersIn],tblDaily[EntryDate],DATE(2026,11,3),tblDaily[WardCode],"NICU")=0,"",SUMIFS(tblDaily[TransfersIn],tblDaily[EntryDate],DATE(2026,11,3),tblDaily[WardCode],"NICU")),"")</f>
        <v/>
      </c>
      <c r="G399" s="29" t="str">
        <f>IFERROR(IF(SUMIFS(tblDaily[TransfersOut],tblDaily[EntryDate],DATE(2026,11,3),tblDaily[WardCode],"NICU")=0,"",SUMIFS(tblDaily[TransfersOut],tblDaily[EntryDate],DATE(2026,11,3),tblDaily[WardCode],"NICU")),"")</f>
        <v/>
      </c>
      <c r="H399" s="29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IFERROR(IF(SUMIFS(tblDaily[Admissions],tblDaily[EntryDate],DATE(2026,11,4),tblDaily[WardCode],"NICU")=0,"",SUMIFS(tblDaily[Admissions],tblDaily[EntryDate],DATE(2026,11,4),tblDaily[WardCode],"NICU")),"")</f>
        <v/>
      </c>
      <c r="C400" s="29" t="str">
        <f>IFERROR(IF(SUMIFS(tblDaily[Discharges],tblDaily[EntryDate],DATE(2026,11,4),tblDaily[WardCode],"NICU")=0,"",SUMIFS(tblDaily[Discharges],tblDaily[EntryDate],DATE(2026,11,4),tblDaily[WardCode],"NICU")),"")</f>
        <v/>
      </c>
      <c r="D400" s="29" t="str">
        <f>IFERROR(IF(SUMIFS(tblDaily[Deaths],tblDaily[EntryDate],DATE(2026,11,4),tblDaily[WardCode],"NICU")=0,"",SUMIFS(tblDaily[Deaths],tblDaily[EntryDate],DATE(2026,11,4),tblDaily[WardCode],"NICU")),"")</f>
        <v/>
      </c>
      <c r="E400" s="29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29" t="str">
        <f>IFERROR(IF(SUMIFS(tblDaily[TransfersIn],tblDaily[EntryDate],DATE(2026,11,4),tblDaily[WardCode],"NICU")=0,"",SUMIFS(tblDaily[TransfersIn],tblDaily[EntryDate],DATE(2026,11,4),tblDaily[WardCode],"NICU")),"")</f>
        <v/>
      </c>
      <c r="G400" s="29" t="str">
        <f>IFERROR(IF(SUMIFS(tblDaily[TransfersOut],tblDaily[EntryDate],DATE(2026,11,4),tblDaily[WardCode],"NICU")=0,"",SUMIFS(tblDaily[TransfersOut],tblDaily[EntryDate],DATE(2026,11,4),tblDaily[WardCode],"NICU")),"")</f>
        <v/>
      </c>
      <c r="H400" s="29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IFERROR(IF(SUMIFS(tblDaily[Admissions],tblDaily[EntryDate],DATE(2026,11,5),tblDaily[WardCode],"NICU")=0,"",SUMIFS(tblDaily[Admissions],tblDaily[EntryDate],DATE(2026,11,5),tblDaily[WardCode],"NICU")),"")</f>
        <v/>
      </c>
      <c r="C401" s="29" t="str">
        <f>IFERROR(IF(SUMIFS(tblDaily[Discharges],tblDaily[EntryDate],DATE(2026,11,5),tblDaily[WardCode],"NICU")=0,"",SUMIFS(tblDaily[Discharges],tblDaily[EntryDate],DATE(2026,11,5),tblDaily[WardCode],"NICU")),"")</f>
        <v/>
      </c>
      <c r="D401" s="29" t="str">
        <f>IFERROR(IF(SUMIFS(tblDaily[Deaths],tblDaily[EntryDate],DATE(2026,11,5),tblDaily[WardCode],"NICU")=0,"",SUMIFS(tblDaily[Deaths],tblDaily[EntryDate],DATE(2026,11,5),tblDaily[WardCode],"NICU")),"")</f>
        <v/>
      </c>
      <c r="E401" s="29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29" t="str">
        <f>IFERROR(IF(SUMIFS(tblDaily[TransfersIn],tblDaily[EntryDate],DATE(2026,11,5),tblDaily[WardCode],"NICU")=0,"",SUMIFS(tblDaily[TransfersIn],tblDaily[EntryDate],DATE(2026,11,5),tblDaily[WardCode],"NICU")),"")</f>
        <v/>
      </c>
      <c r="G401" s="29" t="str">
        <f>IFERROR(IF(SUMIFS(tblDaily[TransfersOut],tblDaily[EntryDate],DATE(2026,11,5),tblDaily[WardCode],"NICU")=0,"",SUMIFS(tblDaily[TransfersOut],tblDaily[EntryDate],DATE(2026,11,5),tblDaily[WardCode],"NICU")),"")</f>
        <v/>
      </c>
      <c r="H401" s="29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IFERROR(IF(SUMIFS(tblDaily[Admissions],tblDaily[EntryDate],DATE(2026,11,6),tblDaily[WardCode],"NICU")=0,"",SUMIFS(tblDaily[Admissions],tblDaily[EntryDate],DATE(2026,11,6),tblDaily[WardCode],"NICU")),"")</f>
        <v/>
      </c>
      <c r="C402" s="29" t="str">
        <f>IFERROR(IF(SUMIFS(tblDaily[Discharges],tblDaily[EntryDate],DATE(2026,11,6),tblDaily[WardCode],"NICU")=0,"",SUMIFS(tblDaily[Discharges],tblDaily[EntryDate],DATE(2026,11,6),tblDaily[WardCode],"NICU")),"")</f>
        <v/>
      </c>
      <c r="D402" s="29" t="str">
        <f>IFERROR(IF(SUMIFS(tblDaily[Deaths],tblDaily[EntryDate],DATE(2026,11,6),tblDaily[WardCode],"NICU")=0,"",SUMIFS(tblDaily[Deaths],tblDaily[EntryDate],DATE(2026,11,6),tblDaily[WardCode],"NICU")),"")</f>
        <v/>
      </c>
      <c r="E402" s="29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29" t="str">
        <f>IFERROR(IF(SUMIFS(tblDaily[TransfersIn],tblDaily[EntryDate],DATE(2026,11,6),tblDaily[WardCode],"NICU")=0,"",SUMIFS(tblDaily[TransfersIn],tblDaily[EntryDate],DATE(2026,11,6),tblDaily[WardCode],"NICU")),"")</f>
        <v/>
      </c>
      <c r="G402" s="29" t="str">
        <f>IFERROR(IF(SUMIFS(tblDaily[TransfersOut],tblDaily[EntryDate],DATE(2026,11,6),tblDaily[WardCode],"NICU")=0,"",SUMIFS(tblDaily[TransfersOut],tblDaily[EntryDate],DATE(2026,11,6),tblDaily[WardCode],"NICU")),"")</f>
        <v/>
      </c>
      <c r="H402" s="29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IFERROR(IF(SUMIFS(tblDaily[Admissions],tblDaily[EntryDate],DATE(2026,11,7),tblDaily[WardCode],"NICU")=0,"",SUMIFS(tblDaily[Admissions],tblDaily[EntryDate],DATE(2026,11,7),tblDaily[WardCode],"NICU")),"")</f>
        <v/>
      </c>
      <c r="C403" s="29" t="str">
        <f>IFERROR(IF(SUMIFS(tblDaily[Discharges],tblDaily[EntryDate],DATE(2026,11,7),tblDaily[WardCode],"NICU")=0,"",SUMIFS(tblDaily[Discharges],tblDaily[EntryDate],DATE(2026,11,7),tblDaily[WardCode],"NICU")),"")</f>
        <v/>
      </c>
      <c r="D403" s="29" t="str">
        <f>IFERROR(IF(SUMIFS(tblDaily[Deaths],tblDaily[EntryDate],DATE(2026,11,7),tblDaily[WardCode],"NICU")=0,"",SUMIFS(tblDaily[Deaths],tblDaily[EntryDate],DATE(2026,11,7),tblDaily[WardCode],"NICU")),"")</f>
        <v/>
      </c>
      <c r="E403" s="29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29" t="str">
        <f>IFERROR(IF(SUMIFS(tblDaily[TransfersIn],tblDaily[EntryDate],DATE(2026,11,7),tblDaily[WardCode],"NICU")=0,"",SUMIFS(tblDaily[TransfersIn],tblDaily[EntryDate],DATE(2026,11,7),tblDaily[WardCode],"NICU")),"")</f>
        <v/>
      </c>
      <c r="G403" s="29" t="str">
        <f>IFERROR(IF(SUMIFS(tblDaily[TransfersOut],tblDaily[EntryDate],DATE(2026,11,7),tblDaily[WardCode],"NICU")=0,"",SUMIFS(tblDaily[TransfersOut],tblDaily[EntryDate],DATE(2026,11,7),tblDaily[WardCode],"NICU")),"")</f>
        <v/>
      </c>
      <c r="H403" s="29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IFERROR(IF(SUMIFS(tblDaily[Admissions],tblDaily[EntryDate],DATE(2026,11,8),tblDaily[WardCode],"NICU")=0,"",SUMIFS(tblDaily[Admissions],tblDaily[EntryDate],DATE(2026,11,8),tblDaily[WardCode],"NICU")),"")</f>
        <v/>
      </c>
      <c r="C404" s="29" t="str">
        <f>IFERROR(IF(SUMIFS(tblDaily[Discharges],tblDaily[EntryDate],DATE(2026,11,8),tblDaily[WardCode],"NICU")=0,"",SUMIFS(tblDaily[Discharges],tblDaily[EntryDate],DATE(2026,11,8),tblDaily[WardCode],"NICU")),"")</f>
        <v/>
      </c>
      <c r="D404" s="29" t="str">
        <f>IFERROR(IF(SUMIFS(tblDaily[Deaths],tblDaily[EntryDate],DATE(2026,11,8),tblDaily[WardCode],"NICU")=0,"",SUMIFS(tblDaily[Deaths],tblDaily[EntryDate],DATE(2026,11,8),tblDaily[WardCode],"NICU")),"")</f>
        <v/>
      </c>
      <c r="E404" s="29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29" t="str">
        <f>IFERROR(IF(SUMIFS(tblDaily[TransfersIn],tblDaily[EntryDate],DATE(2026,11,8),tblDaily[WardCode],"NICU")=0,"",SUMIFS(tblDaily[TransfersIn],tblDaily[EntryDate],DATE(2026,11,8),tblDaily[WardCode],"NICU")),"")</f>
        <v/>
      </c>
      <c r="G404" s="29" t="str">
        <f>IFERROR(IF(SUMIFS(tblDaily[TransfersOut],tblDaily[EntryDate],DATE(2026,11,8),tblDaily[WardCode],"NICU")=0,"",SUMIFS(tblDaily[TransfersOut],tblDaily[EntryDate],DATE(2026,11,8),tblDaily[WardCode],"NICU")),"")</f>
        <v/>
      </c>
      <c r="H404" s="29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IFERROR(IF(SUMIFS(tblDaily[Admissions],tblDaily[EntryDate],DATE(2026,11,9),tblDaily[WardCode],"NICU")=0,"",SUMIFS(tblDaily[Admissions],tblDaily[EntryDate],DATE(2026,11,9),tblDaily[WardCode],"NICU")),"")</f>
        <v/>
      </c>
      <c r="C405" s="29" t="str">
        <f>IFERROR(IF(SUMIFS(tblDaily[Discharges],tblDaily[EntryDate],DATE(2026,11,9),tblDaily[WardCode],"NICU")=0,"",SUMIFS(tblDaily[Discharges],tblDaily[EntryDate],DATE(2026,11,9),tblDaily[WardCode],"NICU")),"")</f>
        <v/>
      </c>
      <c r="D405" s="29" t="str">
        <f>IFERROR(IF(SUMIFS(tblDaily[Deaths],tblDaily[EntryDate],DATE(2026,11,9),tblDaily[WardCode],"NICU")=0,"",SUMIFS(tblDaily[Deaths],tblDaily[EntryDate],DATE(2026,11,9),tblDaily[WardCode],"NICU")),"")</f>
        <v/>
      </c>
      <c r="E405" s="29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29" t="str">
        <f>IFERROR(IF(SUMIFS(tblDaily[TransfersIn],tblDaily[EntryDate],DATE(2026,11,9),tblDaily[WardCode],"NICU")=0,"",SUMIFS(tblDaily[TransfersIn],tblDaily[EntryDate],DATE(2026,11,9),tblDaily[WardCode],"NICU")),"")</f>
        <v/>
      </c>
      <c r="G405" s="29" t="str">
        <f>IFERROR(IF(SUMIFS(tblDaily[TransfersOut],tblDaily[EntryDate],DATE(2026,11,9),tblDaily[WardCode],"NICU")=0,"",SUMIFS(tblDaily[TransfersOut],tblDaily[EntryDate],DATE(2026,11,9),tblDaily[WardCode],"NICU")),"")</f>
        <v/>
      </c>
      <c r="H405" s="29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IFERROR(IF(SUMIFS(tblDaily[Admissions],tblDaily[EntryDate],DATE(2026,11,10),tblDaily[WardCode],"NICU")=0,"",SUMIFS(tblDaily[Admissions],tblDaily[EntryDate],DATE(2026,11,10),tblDaily[WardCode],"NICU")),"")</f>
        <v/>
      </c>
      <c r="C406" s="29" t="str">
        <f>IFERROR(IF(SUMIFS(tblDaily[Discharges],tblDaily[EntryDate],DATE(2026,11,10),tblDaily[WardCode],"NICU")=0,"",SUMIFS(tblDaily[Discharges],tblDaily[EntryDate],DATE(2026,11,10),tblDaily[WardCode],"NICU")),"")</f>
        <v/>
      </c>
      <c r="D406" s="29" t="str">
        <f>IFERROR(IF(SUMIFS(tblDaily[Deaths],tblDaily[EntryDate],DATE(2026,11,10),tblDaily[WardCode],"NICU")=0,"",SUMIFS(tblDaily[Deaths],tblDaily[EntryDate],DATE(2026,11,10),tblDaily[WardCode],"NICU")),"")</f>
        <v/>
      </c>
      <c r="E406" s="29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29" t="str">
        <f>IFERROR(IF(SUMIFS(tblDaily[TransfersIn],tblDaily[EntryDate],DATE(2026,11,10),tblDaily[WardCode],"NICU")=0,"",SUMIFS(tblDaily[TransfersIn],tblDaily[EntryDate],DATE(2026,11,10),tblDaily[WardCode],"NICU")),"")</f>
        <v/>
      </c>
      <c r="G406" s="29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29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IFERROR(IF(SUMIFS(tblDaily[Admissions],tblDaily[EntryDate],DATE(2026,11,11),tblDaily[WardCode],"NICU")=0,"",SUMIFS(tblDaily[Admissions],tblDaily[EntryDate],DATE(2026,11,11),tblDaily[WardCode],"NICU")),"")</f>
        <v/>
      </c>
      <c r="C407" s="29" t="str">
        <f>IFERROR(IF(SUMIFS(tblDaily[Discharges],tblDaily[EntryDate],DATE(2026,11,11),tblDaily[WardCode],"NICU")=0,"",SUMIFS(tblDaily[Discharges],tblDaily[EntryDate],DATE(2026,11,11),tblDaily[WardCode],"NICU")),"")</f>
        <v/>
      </c>
      <c r="D407" s="29" t="str">
        <f>IFERROR(IF(SUMIFS(tblDaily[Deaths],tblDaily[EntryDate],DATE(2026,11,11),tblDaily[WardCode],"NICU")=0,"",SUMIFS(tblDaily[Deaths],tblDaily[EntryDate],DATE(2026,11,11),tblDaily[WardCode],"NICU")),"")</f>
        <v/>
      </c>
      <c r="E407" s="29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29" t="str">
        <f>IFERROR(IF(SUMIFS(tblDaily[TransfersIn],tblDaily[EntryDate],DATE(2026,11,11),tblDaily[WardCode],"NICU")=0,"",SUMIFS(tblDaily[TransfersIn],tblDaily[EntryDate],DATE(2026,11,11),tblDaily[WardCode],"NICU")),"")</f>
        <v/>
      </c>
      <c r="G407" s="29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29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IFERROR(IF(SUMIFS(tblDaily[Admissions],tblDaily[EntryDate],DATE(2026,11,12),tblDaily[WardCode],"NICU")=0,"",SUMIFS(tblDaily[Admissions],tblDaily[EntryDate],DATE(2026,11,12),tblDaily[WardCode],"NICU")),"")</f>
        <v/>
      </c>
      <c r="C408" s="29" t="str">
        <f>IFERROR(IF(SUMIFS(tblDaily[Discharges],tblDaily[EntryDate],DATE(2026,11,12),tblDaily[WardCode],"NICU")=0,"",SUMIFS(tblDaily[Discharges],tblDaily[EntryDate],DATE(2026,11,12),tblDaily[WardCode],"NICU")),"")</f>
        <v/>
      </c>
      <c r="D408" s="29" t="str">
        <f>IFERROR(IF(SUMIFS(tblDaily[Deaths],tblDaily[EntryDate],DATE(2026,11,12),tblDaily[WardCode],"NICU")=0,"",SUMIFS(tblDaily[Deaths],tblDaily[EntryDate],DATE(2026,11,12),tblDaily[WardCode],"NICU")),"")</f>
        <v/>
      </c>
      <c r="E408" s="29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29" t="str">
        <f>IFERROR(IF(SUMIFS(tblDaily[TransfersIn],tblDaily[EntryDate],DATE(2026,11,12),tblDaily[WardCode],"NICU")=0,"",SUMIFS(tblDaily[TransfersIn],tblDaily[EntryDate],DATE(2026,11,12),tblDaily[WardCode],"NICU")),"")</f>
        <v/>
      </c>
      <c r="G408" s="29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29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IFERROR(IF(SUMIFS(tblDaily[Admissions],tblDaily[EntryDate],DATE(2026,11,13),tblDaily[WardCode],"NICU")=0,"",SUMIFS(tblDaily[Admissions],tblDaily[EntryDate],DATE(2026,11,13),tblDaily[WardCode],"NICU")),"")</f>
        <v/>
      </c>
      <c r="C409" s="29" t="str">
        <f>IFERROR(IF(SUMIFS(tblDaily[Discharges],tblDaily[EntryDate],DATE(2026,11,13),tblDaily[WardCode],"NICU")=0,"",SUMIFS(tblDaily[Discharges],tblDaily[EntryDate],DATE(2026,11,13),tblDaily[WardCode],"NICU")),"")</f>
        <v/>
      </c>
      <c r="D409" s="29" t="str">
        <f>IFERROR(IF(SUMIFS(tblDaily[Deaths],tblDaily[EntryDate],DATE(2026,11,13),tblDaily[WardCode],"NICU")=0,"",SUMIFS(tblDaily[Deaths],tblDaily[EntryDate],DATE(2026,11,13),tblDaily[WardCode],"NICU")),"")</f>
        <v/>
      </c>
      <c r="E409" s="29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29" t="str">
        <f>IFERROR(IF(SUMIFS(tblDaily[TransfersIn],tblDaily[EntryDate],DATE(2026,11,13),tblDaily[WardCode],"NICU")=0,"",SUMIFS(tblDaily[TransfersIn],tblDaily[EntryDate],DATE(2026,11,13),tblDaily[WardCode],"NICU")),"")</f>
        <v/>
      </c>
      <c r="G409" s="29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29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IFERROR(IF(SUMIFS(tblDaily[Admissions],tblDaily[EntryDate],DATE(2026,11,14),tblDaily[WardCode],"NICU")=0,"",SUMIFS(tblDaily[Admissions],tblDaily[EntryDate],DATE(2026,11,14),tblDaily[WardCode],"NICU")),"")</f>
        <v/>
      </c>
      <c r="C410" s="29" t="str">
        <f>IFERROR(IF(SUMIFS(tblDaily[Discharges],tblDaily[EntryDate],DATE(2026,11,14),tblDaily[WardCode],"NICU")=0,"",SUMIFS(tblDaily[Discharges],tblDaily[EntryDate],DATE(2026,11,14),tblDaily[WardCode],"NICU")),"")</f>
        <v/>
      </c>
      <c r="D410" s="29" t="str">
        <f>IFERROR(IF(SUMIFS(tblDaily[Deaths],tblDaily[EntryDate],DATE(2026,11,14),tblDaily[WardCode],"NICU")=0,"",SUMIFS(tblDaily[Deaths],tblDaily[EntryDate],DATE(2026,11,14),tblDaily[WardCode],"NICU")),"")</f>
        <v/>
      </c>
      <c r="E410" s="29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29" t="str">
        <f>IFERROR(IF(SUMIFS(tblDaily[TransfersIn],tblDaily[EntryDate],DATE(2026,11,14),tblDaily[WardCode],"NICU")=0,"",SUMIFS(tblDaily[TransfersIn],tblDaily[EntryDate],DATE(2026,11,14),tblDaily[WardCode],"NICU")),"")</f>
        <v/>
      </c>
      <c r="G410" s="29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29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IFERROR(IF(SUMIFS(tblDaily[Admissions],tblDaily[EntryDate],DATE(2026,11,15),tblDaily[WardCode],"NICU")=0,"",SUMIFS(tblDaily[Admissions],tblDaily[EntryDate],DATE(2026,11,15),tblDaily[WardCode],"NICU")),"")</f>
        <v/>
      </c>
      <c r="C411" s="29" t="str">
        <f>IFERROR(IF(SUMIFS(tblDaily[Discharges],tblDaily[EntryDate],DATE(2026,11,15),tblDaily[WardCode],"NICU")=0,"",SUMIFS(tblDaily[Discharges],tblDaily[EntryDate],DATE(2026,11,15),tblDaily[WardCode],"NICU")),"")</f>
        <v/>
      </c>
      <c r="D411" s="29" t="str">
        <f>IFERROR(IF(SUMIFS(tblDaily[Deaths],tblDaily[EntryDate],DATE(2026,11,15),tblDaily[WardCode],"NICU")=0,"",SUMIFS(tblDaily[Deaths],tblDaily[EntryDate],DATE(2026,11,15),tblDaily[WardCode],"NICU")),"")</f>
        <v/>
      </c>
      <c r="E411" s="29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29" t="str">
        <f>IFERROR(IF(SUMIFS(tblDaily[TransfersIn],tblDaily[EntryDate],DATE(2026,11,15),tblDaily[WardCode],"NICU")=0,"",SUMIFS(tblDaily[TransfersIn],tblDaily[EntryDate],DATE(2026,11,15),tblDaily[WardCode],"NICU")),"")</f>
        <v/>
      </c>
      <c r="G411" s="29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29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IFERROR(IF(SUMIFS(tblDaily[Admissions],tblDaily[EntryDate],DATE(2026,11,16),tblDaily[WardCode],"NICU")=0,"",SUMIFS(tblDaily[Admissions],tblDaily[EntryDate],DATE(2026,11,16),tblDaily[WardCode],"NICU")),"")</f>
        <v/>
      </c>
      <c r="C412" s="29" t="str">
        <f>IFERROR(IF(SUMIFS(tblDaily[Discharges],tblDaily[EntryDate],DATE(2026,11,16),tblDaily[WardCode],"NICU")=0,"",SUMIFS(tblDaily[Discharges],tblDaily[EntryDate],DATE(2026,11,16),tblDaily[WardCode],"NICU")),"")</f>
        <v/>
      </c>
      <c r="D412" s="29" t="str">
        <f>IFERROR(IF(SUMIFS(tblDaily[Deaths],tblDaily[EntryDate],DATE(2026,11,16),tblDaily[WardCode],"NICU")=0,"",SUMIFS(tblDaily[Deaths],tblDaily[EntryDate],DATE(2026,11,16),tblDaily[WardCode],"NICU")),"")</f>
        <v/>
      </c>
      <c r="E412" s="29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29" t="str">
        <f>IFERROR(IF(SUMIFS(tblDaily[TransfersIn],tblDaily[EntryDate],DATE(2026,11,16),tblDaily[WardCode],"NICU")=0,"",SUMIFS(tblDaily[TransfersIn],tblDaily[EntryDate],DATE(2026,11,16),tblDaily[WardCode],"NICU")),"")</f>
        <v/>
      </c>
      <c r="G412" s="29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29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IFERROR(IF(SUMIFS(tblDaily[Admissions],tblDaily[EntryDate],DATE(2026,11,17),tblDaily[WardCode],"NICU")=0,"",SUMIFS(tblDaily[Admissions],tblDaily[EntryDate],DATE(2026,11,17),tblDaily[WardCode],"NICU")),"")</f>
        <v/>
      </c>
      <c r="C413" s="29" t="str">
        <f>IFERROR(IF(SUMIFS(tblDaily[Discharges],tblDaily[EntryDate],DATE(2026,11,17),tblDaily[WardCode],"NICU")=0,"",SUMIFS(tblDaily[Discharges],tblDaily[EntryDate],DATE(2026,11,17),tblDaily[WardCode],"NICU")),"")</f>
        <v/>
      </c>
      <c r="D413" s="29" t="str">
        <f>IFERROR(IF(SUMIFS(tblDaily[Deaths],tblDaily[EntryDate],DATE(2026,11,17),tblDaily[WardCode],"NICU")=0,"",SUMIFS(tblDaily[Deaths],tblDaily[EntryDate],DATE(2026,11,17),tblDaily[WardCode],"NICU")),"")</f>
        <v/>
      </c>
      <c r="E413" s="29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29" t="str">
        <f>IFERROR(IF(SUMIFS(tblDaily[TransfersIn],tblDaily[EntryDate],DATE(2026,11,17),tblDaily[WardCode],"NICU")=0,"",SUMIFS(tblDaily[TransfersIn],tblDaily[EntryDate],DATE(2026,11,17),tblDaily[WardCode],"NICU")),"")</f>
        <v/>
      </c>
      <c r="G413" s="29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29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IFERROR(IF(SUMIFS(tblDaily[Admissions],tblDaily[EntryDate],DATE(2026,11,18),tblDaily[WardCode],"NICU")=0,"",SUMIFS(tblDaily[Admissions],tblDaily[EntryDate],DATE(2026,11,18),tblDaily[WardCode],"NICU")),"")</f>
        <v/>
      </c>
      <c r="C414" s="29" t="str">
        <f>IFERROR(IF(SUMIFS(tblDaily[Discharges],tblDaily[EntryDate],DATE(2026,11,18),tblDaily[WardCode],"NICU")=0,"",SUMIFS(tblDaily[Discharges],tblDaily[EntryDate],DATE(2026,11,18),tblDaily[WardCode],"NICU")),"")</f>
        <v/>
      </c>
      <c r="D414" s="29" t="str">
        <f>IFERROR(IF(SUMIFS(tblDaily[Deaths],tblDaily[EntryDate],DATE(2026,11,18),tblDaily[WardCode],"NICU")=0,"",SUMIFS(tblDaily[Deaths],tblDaily[EntryDate],DATE(2026,11,18),tblDaily[WardCode],"NICU")),"")</f>
        <v/>
      </c>
      <c r="E414" s="29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29" t="str">
        <f>IFERROR(IF(SUMIFS(tblDaily[TransfersIn],tblDaily[EntryDate],DATE(2026,11,18),tblDaily[WardCode],"NICU")=0,"",SUMIFS(tblDaily[TransfersIn],tblDaily[EntryDate],DATE(2026,11,18),tblDaily[WardCode],"NICU")),"")</f>
        <v/>
      </c>
      <c r="G414" s="29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29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IFERROR(IF(SUMIFS(tblDaily[Admissions],tblDaily[EntryDate],DATE(2026,11,19),tblDaily[WardCode],"NICU")=0,"",SUMIFS(tblDaily[Admissions],tblDaily[EntryDate],DATE(2026,11,19),tblDaily[WardCode],"NICU")),"")</f>
        <v/>
      </c>
      <c r="C415" s="29" t="str">
        <f>IFERROR(IF(SUMIFS(tblDaily[Discharges],tblDaily[EntryDate],DATE(2026,11,19),tblDaily[WardCode],"NICU")=0,"",SUMIFS(tblDaily[Discharges],tblDaily[EntryDate],DATE(2026,11,19),tblDaily[WardCode],"NICU")),"")</f>
        <v/>
      </c>
      <c r="D415" s="29" t="str">
        <f>IFERROR(IF(SUMIFS(tblDaily[Deaths],tblDaily[EntryDate],DATE(2026,11,19),tblDaily[WardCode],"NICU")=0,"",SUMIFS(tblDaily[Deaths],tblDaily[EntryDate],DATE(2026,11,19),tblDaily[WardCode],"NICU")),"")</f>
        <v/>
      </c>
      <c r="E415" s="29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29" t="str">
        <f>IFERROR(IF(SUMIFS(tblDaily[TransfersIn],tblDaily[EntryDate],DATE(2026,11,19),tblDaily[WardCode],"NICU")=0,"",SUMIFS(tblDaily[TransfersIn],tblDaily[EntryDate],DATE(2026,11,19),tblDaily[WardCode],"NICU")),"")</f>
        <v/>
      </c>
      <c r="G415" s="29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29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IFERROR(IF(SUMIFS(tblDaily[Admissions],tblDaily[EntryDate],DATE(2026,11,20),tblDaily[WardCode],"NICU")=0,"",SUMIFS(tblDaily[Admissions],tblDaily[EntryDate],DATE(2026,11,20),tblDaily[WardCode],"NICU")),"")</f>
        <v/>
      </c>
      <c r="C416" s="29" t="str">
        <f>IFERROR(IF(SUMIFS(tblDaily[Discharges],tblDaily[EntryDate],DATE(2026,11,20),tblDaily[WardCode],"NICU")=0,"",SUMIFS(tblDaily[Discharges],tblDaily[EntryDate],DATE(2026,11,20),tblDaily[WardCode],"NICU")),"")</f>
        <v/>
      </c>
      <c r="D416" s="29" t="str">
        <f>IFERROR(IF(SUMIFS(tblDaily[Deaths],tblDaily[EntryDate],DATE(2026,11,20),tblDaily[WardCode],"NICU")=0,"",SUMIFS(tblDaily[Deaths],tblDaily[EntryDate],DATE(2026,11,20),tblDaily[WardCode],"NICU")),"")</f>
        <v/>
      </c>
      <c r="E416" s="29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29" t="str">
        <f>IFERROR(IF(SUMIFS(tblDaily[TransfersIn],tblDaily[EntryDate],DATE(2026,11,20),tblDaily[WardCode],"NICU")=0,"",SUMIFS(tblDaily[TransfersIn],tblDaily[EntryDate],DATE(2026,11,20),tblDaily[WardCode],"NICU")),"")</f>
        <v/>
      </c>
      <c r="G416" s="29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29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IFERROR(IF(SUMIFS(tblDaily[Admissions],tblDaily[EntryDate],DATE(2026,11,21),tblDaily[WardCode],"NICU")=0,"",SUMIFS(tblDaily[Admissions],tblDaily[EntryDate],DATE(2026,11,21),tblDaily[WardCode],"NICU")),"")</f>
        <v/>
      </c>
      <c r="C417" s="29" t="str">
        <f>IFERROR(IF(SUMIFS(tblDaily[Discharges],tblDaily[EntryDate],DATE(2026,11,21),tblDaily[WardCode],"NICU")=0,"",SUMIFS(tblDaily[Discharges],tblDaily[EntryDate],DATE(2026,11,21),tblDaily[WardCode],"NICU")),"")</f>
        <v/>
      </c>
      <c r="D417" s="29" t="str">
        <f>IFERROR(IF(SUMIFS(tblDaily[Deaths],tblDaily[EntryDate],DATE(2026,11,21),tblDaily[WardCode],"NICU")=0,"",SUMIFS(tblDaily[Deaths],tblDaily[EntryDate],DATE(2026,11,21),tblDaily[WardCode],"NICU")),"")</f>
        <v/>
      </c>
      <c r="E417" s="29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29" t="str">
        <f>IFERROR(IF(SUMIFS(tblDaily[TransfersIn],tblDaily[EntryDate],DATE(2026,11,21),tblDaily[WardCode],"NICU")=0,"",SUMIFS(tblDaily[TransfersIn],tblDaily[EntryDate],DATE(2026,11,21),tblDaily[WardCode],"NICU")),"")</f>
        <v/>
      </c>
      <c r="G417" s="29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29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IFERROR(IF(SUMIFS(tblDaily[Admissions],tblDaily[EntryDate],DATE(2026,11,22),tblDaily[WardCode],"NICU")=0,"",SUMIFS(tblDaily[Admissions],tblDaily[EntryDate],DATE(2026,11,22),tblDaily[WardCode],"NICU")),"")</f>
        <v/>
      </c>
      <c r="C418" s="29" t="str">
        <f>IFERROR(IF(SUMIFS(tblDaily[Discharges],tblDaily[EntryDate],DATE(2026,11,22),tblDaily[WardCode],"NICU")=0,"",SUMIFS(tblDaily[Discharges],tblDaily[EntryDate],DATE(2026,11,22),tblDaily[WardCode],"NICU")),"")</f>
        <v/>
      </c>
      <c r="D418" s="29" t="str">
        <f>IFERROR(IF(SUMIFS(tblDaily[Deaths],tblDaily[EntryDate],DATE(2026,11,22),tblDaily[WardCode],"NICU")=0,"",SUMIFS(tblDaily[Deaths],tblDaily[EntryDate],DATE(2026,11,22),tblDaily[WardCode],"NICU")),"")</f>
        <v/>
      </c>
      <c r="E418" s="29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29" t="str">
        <f>IFERROR(IF(SUMIFS(tblDaily[TransfersIn],tblDaily[EntryDate],DATE(2026,11,22),tblDaily[WardCode],"NICU")=0,"",SUMIFS(tblDaily[TransfersIn],tblDaily[EntryDate],DATE(2026,11,22),tblDaily[WardCode],"NICU")),"")</f>
        <v/>
      </c>
      <c r="G418" s="29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29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IFERROR(IF(SUMIFS(tblDaily[Admissions],tblDaily[EntryDate],DATE(2026,11,23),tblDaily[WardCode],"NICU")=0,"",SUMIFS(tblDaily[Admissions],tblDaily[EntryDate],DATE(2026,11,23),tblDaily[WardCode],"NICU")),"")</f>
        <v/>
      </c>
      <c r="C419" s="29" t="str">
        <f>IFERROR(IF(SUMIFS(tblDaily[Discharges],tblDaily[EntryDate],DATE(2026,11,23),tblDaily[WardCode],"NICU")=0,"",SUMIFS(tblDaily[Discharges],tblDaily[EntryDate],DATE(2026,11,23),tblDaily[WardCode],"NICU")),"")</f>
        <v/>
      </c>
      <c r="D419" s="29" t="str">
        <f>IFERROR(IF(SUMIFS(tblDaily[Deaths],tblDaily[EntryDate],DATE(2026,11,23),tblDaily[WardCode],"NICU")=0,"",SUMIFS(tblDaily[Deaths],tblDaily[EntryDate],DATE(2026,11,23),tblDaily[WardCode],"NICU")),"")</f>
        <v/>
      </c>
      <c r="E419" s="29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29" t="str">
        <f>IFERROR(IF(SUMIFS(tblDaily[TransfersIn],tblDaily[EntryDate],DATE(2026,11,23),tblDaily[WardCode],"NICU")=0,"",SUMIFS(tblDaily[TransfersIn],tblDaily[EntryDate],DATE(2026,11,23),tblDaily[WardCode],"NICU")),"")</f>
        <v/>
      </c>
      <c r="G419" s="29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29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IFERROR(IF(SUMIFS(tblDaily[Admissions],tblDaily[EntryDate],DATE(2026,11,24),tblDaily[WardCode],"NICU")=0,"",SUMIFS(tblDaily[Admissions],tblDaily[EntryDate],DATE(2026,11,24),tblDaily[WardCode],"NICU")),"")</f>
        <v/>
      </c>
      <c r="C420" s="29" t="str">
        <f>IFERROR(IF(SUMIFS(tblDaily[Discharges],tblDaily[EntryDate],DATE(2026,11,24),tblDaily[WardCode],"NICU")=0,"",SUMIFS(tblDaily[Discharges],tblDaily[EntryDate],DATE(2026,11,24),tblDaily[WardCode],"NICU")),"")</f>
        <v/>
      </c>
      <c r="D420" s="29" t="str">
        <f>IFERROR(IF(SUMIFS(tblDaily[Deaths],tblDaily[EntryDate],DATE(2026,11,24),tblDaily[WardCode],"NICU")=0,"",SUMIFS(tblDaily[Deaths],tblDaily[EntryDate],DATE(2026,11,24),tblDaily[WardCode],"NICU")),"")</f>
        <v/>
      </c>
      <c r="E420" s="29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29" t="str">
        <f>IFERROR(IF(SUMIFS(tblDaily[TransfersIn],tblDaily[EntryDate],DATE(2026,11,24),tblDaily[WardCode],"NICU")=0,"",SUMIFS(tblDaily[TransfersIn],tblDaily[EntryDate],DATE(2026,11,24),tblDaily[WardCode],"NICU")),"")</f>
        <v/>
      </c>
      <c r="G420" s="29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29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IFERROR(IF(SUMIFS(tblDaily[Admissions],tblDaily[EntryDate],DATE(2026,11,25),tblDaily[WardCode],"NICU")=0,"",SUMIFS(tblDaily[Admissions],tblDaily[EntryDate],DATE(2026,11,25),tblDaily[WardCode],"NICU")),"")</f>
        <v/>
      </c>
      <c r="C421" s="29" t="str">
        <f>IFERROR(IF(SUMIFS(tblDaily[Discharges],tblDaily[EntryDate],DATE(2026,11,25),tblDaily[WardCode],"NICU")=0,"",SUMIFS(tblDaily[Discharges],tblDaily[EntryDate],DATE(2026,11,25),tblDaily[WardCode],"NICU")),"")</f>
        <v/>
      </c>
      <c r="D421" s="29" t="str">
        <f>IFERROR(IF(SUMIFS(tblDaily[Deaths],tblDaily[EntryDate],DATE(2026,11,25),tblDaily[WardCode],"NICU")=0,"",SUMIFS(tblDaily[Deaths],tblDaily[EntryDate],DATE(2026,11,25),tblDaily[WardCode],"NICU")),"")</f>
        <v/>
      </c>
      <c r="E421" s="29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29" t="str">
        <f>IFERROR(IF(SUMIFS(tblDaily[TransfersIn],tblDaily[EntryDate],DATE(2026,11,25),tblDaily[WardCode],"NICU")=0,"",SUMIFS(tblDaily[TransfersIn],tblDaily[EntryDate],DATE(2026,11,25),tblDaily[WardCode],"NICU")),"")</f>
        <v/>
      </c>
      <c r="G421" s="29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29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IFERROR(IF(SUMIFS(tblDaily[Admissions],tblDaily[EntryDate],DATE(2026,11,26),tblDaily[WardCode],"NICU")=0,"",SUMIFS(tblDaily[Admissions],tblDaily[EntryDate],DATE(2026,11,26),tblDaily[WardCode],"NICU")),"")</f>
        <v/>
      </c>
      <c r="C422" s="29" t="str">
        <f>IFERROR(IF(SUMIFS(tblDaily[Discharges],tblDaily[EntryDate],DATE(2026,11,26),tblDaily[WardCode],"NICU")=0,"",SUMIFS(tblDaily[Discharges],tblDaily[EntryDate],DATE(2026,11,26),tblDaily[WardCode],"NICU")),"")</f>
        <v/>
      </c>
      <c r="D422" s="29" t="str">
        <f>IFERROR(IF(SUMIFS(tblDaily[Deaths],tblDaily[EntryDate],DATE(2026,11,26),tblDaily[WardCode],"NICU")=0,"",SUMIFS(tblDaily[Deaths],tblDaily[EntryDate],DATE(2026,11,26),tblDaily[WardCode],"NICU")),"")</f>
        <v/>
      </c>
      <c r="E422" s="29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29" t="str">
        <f>IFERROR(IF(SUMIFS(tblDaily[TransfersIn],tblDaily[EntryDate],DATE(2026,11,26),tblDaily[WardCode],"NICU")=0,"",SUMIFS(tblDaily[TransfersIn],tblDaily[EntryDate],DATE(2026,11,26),tblDaily[WardCode],"NICU")),"")</f>
        <v/>
      </c>
      <c r="G422" s="29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29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IFERROR(IF(SUMIFS(tblDaily[Admissions],tblDaily[EntryDate],DATE(2026,11,27),tblDaily[WardCode],"NICU")=0,"",SUMIFS(tblDaily[Admissions],tblDaily[EntryDate],DATE(2026,11,27),tblDaily[WardCode],"NICU")),"")</f>
        <v/>
      </c>
      <c r="C423" s="29" t="str">
        <f>IFERROR(IF(SUMIFS(tblDaily[Discharges],tblDaily[EntryDate],DATE(2026,11,27),tblDaily[WardCode],"NICU")=0,"",SUMIFS(tblDaily[Discharges],tblDaily[EntryDate],DATE(2026,11,27),tblDaily[WardCode],"NICU")),"")</f>
        <v/>
      </c>
      <c r="D423" s="29" t="str">
        <f>IFERROR(IF(SUMIFS(tblDaily[Deaths],tblDaily[EntryDate],DATE(2026,11,27),tblDaily[WardCode],"NICU")=0,"",SUMIFS(tblDaily[Deaths],tblDaily[EntryDate],DATE(2026,11,27),tblDaily[WardCode],"NICU")),"")</f>
        <v/>
      </c>
      <c r="E423" s="29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29" t="str">
        <f>IFERROR(IF(SUMIFS(tblDaily[TransfersIn],tblDaily[EntryDate],DATE(2026,11,27),tblDaily[WardCode],"NICU")=0,"",SUMIFS(tblDaily[TransfersIn],tblDaily[EntryDate],DATE(2026,11,27),tblDaily[WardCode],"NICU")),"")</f>
        <v/>
      </c>
      <c r="G423" s="29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29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IFERROR(IF(SUMIFS(tblDaily[Admissions],tblDaily[EntryDate],DATE(2026,11,28),tblDaily[WardCode],"NICU")=0,"",SUMIFS(tblDaily[Admissions],tblDaily[EntryDate],DATE(2026,11,28),tblDaily[WardCode],"NICU")),"")</f>
        <v/>
      </c>
      <c r="C424" s="29" t="str">
        <f>IFERROR(IF(SUMIFS(tblDaily[Discharges],tblDaily[EntryDate],DATE(2026,11,28),tblDaily[WardCode],"NICU")=0,"",SUMIFS(tblDaily[Discharges],tblDaily[EntryDate],DATE(2026,11,28),tblDaily[WardCode],"NICU")),"")</f>
        <v/>
      </c>
      <c r="D424" s="29" t="str">
        <f>IFERROR(IF(SUMIFS(tblDaily[Deaths],tblDaily[EntryDate],DATE(2026,11,28),tblDaily[WardCode],"NICU")=0,"",SUMIFS(tblDaily[Deaths],tblDaily[EntryDate],DATE(2026,11,28),tblDaily[WardCode],"NICU")),"")</f>
        <v/>
      </c>
      <c r="E424" s="29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29" t="str">
        <f>IFERROR(IF(SUMIFS(tblDaily[TransfersIn],tblDaily[EntryDate],DATE(2026,11,28),tblDaily[WardCode],"NICU")=0,"",SUMIFS(tblDaily[TransfersIn],tblDaily[EntryDate],DATE(2026,11,28),tblDaily[WardCode],"NICU")),"")</f>
        <v/>
      </c>
      <c r="G424" s="29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29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IFERROR(IF(SUMIFS(tblDaily[Admissions],tblDaily[EntryDate],DATE(2026,11,29),tblDaily[WardCode],"NICU")=0,"",SUMIFS(tblDaily[Admissions],tblDaily[EntryDate],DATE(2026,11,29),tblDaily[WardCode],"NICU")),"")</f>
        <v/>
      </c>
      <c r="C425" s="29" t="str">
        <f>IFERROR(IF(SUMIFS(tblDaily[Discharges],tblDaily[EntryDate],DATE(2026,11,29),tblDaily[WardCode],"NICU")=0,"",SUMIFS(tblDaily[Discharges],tblDaily[EntryDate],DATE(2026,11,29),tblDaily[WardCode],"NICU")),"")</f>
        <v/>
      </c>
      <c r="D425" s="29" t="str">
        <f>IFERROR(IF(SUMIFS(tblDaily[Deaths],tblDaily[EntryDate],DATE(2026,11,29),tblDaily[WardCode],"NICU")=0,"",SUMIFS(tblDaily[Deaths],tblDaily[EntryDate],DATE(2026,11,29),tblDaily[WardCode],"NICU")),"")</f>
        <v/>
      </c>
      <c r="E425" s="29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29" t="str">
        <f>IFERROR(IF(SUMIFS(tblDaily[TransfersIn],tblDaily[EntryDate],DATE(2026,11,29),tblDaily[WardCode],"NICU")=0,"",SUMIFS(tblDaily[TransfersIn],tblDaily[EntryDate],DATE(2026,11,29),tblDaily[WardCode],"NICU")),"")</f>
        <v/>
      </c>
      <c r="G425" s="29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29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IFERROR(IF(SUMIFS(tblDaily[Admissions],tblDaily[EntryDate],DATE(2026,11,30),tblDaily[WardCode],"NICU")=0,"",SUMIFS(tblDaily[Admissions],tblDaily[EntryDate],DATE(2026,11,30),tblDaily[WardCode],"NICU")),"")</f>
        <v/>
      </c>
      <c r="C426" s="29" t="str">
        <f>IFERROR(IF(SUMIFS(tblDaily[Discharges],tblDaily[EntryDate],DATE(2026,11,30),tblDaily[WardCode],"NICU")=0,"",SUMIFS(tblDaily[Discharges],tblDaily[EntryDate],DATE(2026,11,30),tblDaily[WardCode],"NICU")),"")</f>
        <v/>
      </c>
      <c r="D426" s="29" t="str">
        <f>IFERROR(IF(SUMIFS(tblDaily[Deaths],tblDaily[EntryDate],DATE(2026,11,30),tblDaily[WardCode],"NICU")=0,"",SUMIFS(tblDaily[Deaths],tblDaily[EntryDate],DATE(2026,11,30),tblDaily[WardCode],"NICU")),"")</f>
        <v/>
      </c>
      <c r="E426" s="29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29" t="str">
        <f>IFERROR(IF(SUMIFS(tblDaily[TransfersIn],tblDaily[EntryDate],DATE(2026,11,30),tblDaily[WardCode],"NICU")=0,"",SUMIFS(tblDaily[TransfersIn],tblDaily[EntryDate],DATE(2026,11,30),tblDaily[WardCode],"NICU")),"")</f>
        <v/>
      </c>
      <c r="G426" s="29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29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SUMIFS(tblDaily[Admissions],tblDaily[Month],11,tblDaily[WardCode],"NICU") - SUMIFS(tblDaily[DeathsUnder24Hrs],tblDaily[Month],11,tblDaily[WardCode],"NICU")</f>
        <v>0</v>
      </c>
      <c r="C428" s="30">
        <f>SUMIFS(tblDaily[Discharges],tblDaily[Month],11,tblDaily[WardCode],"NICU")</f>
        <v>0</v>
      </c>
      <c r="D428" s="30">
        <f>SUMIFS(tblDaily[Deaths],tblDaily[Month],11,tblDaily[WardCode],"NICU")</f>
        <v>0</v>
      </c>
      <c r="E428" s="30">
        <f>SUMIFS(tblDaily[DeathsUnder24Hrs],tblDaily[Month],11,tblDaily[WardCode],"NICU")</f>
        <v>0</v>
      </c>
      <c r="F428" s="30">
        <f>SUMIFS(tblDaily[TransfersIn],tblDaily[Month],11,tblDaily[WardCode],"NICU")</f>
        <v>0</v>
      </c>
      <c r="G428" s="30">
        <f>SUMIFS(tblDaily[TransfersOut],tblDaily[Month],11,tblDaily[WardCode],"NICU")</f>
        <v>0</v>
      </c>
      <c r="H428" s="30">
        <f>SUMIFS(tblDaily[Remaining],tblDaily[Month],11,tblDaily[WardCode],"NICU")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121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IFERROR(SUMIFS(tblDaily[Remaining],tblDaily[EntryDate],DATE(2026,11,30),tblDaily[WardCode],"NICU"),0)</f>
        <v>0</v>
      </c>
    </row>
    <row r="434" spans="1:8" x14ac:dyDescent="0.25">
      <c r="A434" s="24" t="s">
        <v>109</v>
      </c>
      <c r="H434" s="27">
        <f>IFERROR(INDEX(tblWardConfig[BedComplement],MATCH("NICU",tblWardConfig[WardCode],0)),0)</f>
        <v>15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IFERROR(IF(SUMIFS(tblDaily[Admissions],tblDaily[EntryDate],DATE(2026,12,1),tblDaily[WardCode],"NICU")=0,"",SUMIFS(tblDaily[Admissions],tblDaily[EntryDate],DATE(2026,12,1),tblDaily[WardCode],"NICU")),"")</f>
        <v/>
      </c>
      <c r="C436" s="29" t="str">
        <f>IFERROR(IF(SUMIFS(tblDaily[Discharges],tblDaily[EntryDate],DATE(2026,12,1),tblDaily[WardCode],"NICU")=0,"",SUMIFS(tblDaily[Discharges],tblDaily[EntryDate],DATE(2026,12,1),tblDaily[WardCode],"NICU")),"")</f>
        <v/>
      </c>
      <c r="D436" s="29" t="str">
        <f>IFERROR(IF(SUMIFS(tblDaily[Deaths],tblDaily[EntryDate],DATE(2026,12,1),tblDaily[WardCode],"NICU")=0,"",SUMIFS(tblDaily[Deaths],tblDaily[EntryDate],DATE(2026,12,1),tblDaily[WardCode],"NICU")),"")</f>
        <v/>
      </c>
      <c r="E436" s="29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29" t="str">
        <f>IFERROR(IF(SUMIFS(tblDaily[TransfersIn],tblDaily[EntryDate],DATE(2026,12,1),tblDaily[WardCode],"NICU")=0,"",SUMIFS(tblDaily[TransfersIn],tblDaily[EntryDate],DATE(2026,12,1),tblDaily[WardCode],"NICU")),"")</f>
        <v/>
      </c>
      <c r="G436" s="29" t="str">
        <f>IFERROR(IF(SUMIFS(tblDaily[TransfersOut],tblDaily[EntryDate],DATE(2026,12,1),tblDaily[WardCode],"NICU")=0,"",SUMIFS(tblDaily[TransfersOut],tblDaily[EntryDate],DATE(2026,12,1),tblDaily[WardCode],"NICU")),"")</f>
        <v/>
      </c>
      <c r="H436" s="29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IFERROR(IF(SUMIFS(tblDaily[Admissions],tblDaily[EntryDate],DATE(2026,12,2),tblDaily[WardCode],"NICU")=0,"",SUMIFS(tblDaily[Admissions],tblDaily[EntryDate],DATE(2026,12,2),tblDaily[WardCode],"NICU")),"")</f>
        <v/>
      </c>
      <c r="C437" s="29" t="str">
        <f>IFERROR(IF(SUMIFS(tblDaily[Discharges],tblDaily[EntryDate],DATE(2026,12,2),tblDaily[WardCode],"NICU")=0,"",SUMIFS(tblDaily[Discharges],tblDaily[EntryDate],DATE(2026,12,2),tblDaily[WardCode],"NICU")),"")</f>
        <v/>
      </c>
      <c r="D437" s="29" t="str">
        <f>IFERROR(IF(SUMIFS(tblDaily[Deaths],tblDaily[EntryDate],DATE(2026,12,2),tblDaily[WardCode],"NICU")=0,"",SUMIFS(tblDaily[Deaths],tblDaily[EntryDate],DATE(2026,12,2),tblDaily[WardCode],"NICU")),"")</f>
        <v/>
      </c>
      <c r="E437" s="29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29" t="str">
        <f>IFERROR(IF(SUMIFS(tblDaily[TransfersIn],tblDaily[EntryDate],DATE(2026,12,2),tblDaily[WardCode],"NICU")=0,"",SUMIFS(tblDaily[TransfersIn],tblDaily[EntryDate],DATE(2026,12,2),tblDaily[WardCode],"NICU")),"")</f>
        <v/>
      </c>
      <c r="G437" s="29" t="str">
        <f>IFERROR(IF(SUMIFS(tblDaily[TransfersOut],tblDaily[EntryDate],DATE(2026,12,2),tblDaily[WardCode],"NICU")=0,"",SUMIFS(tblDaily[TransfersOut],tblDaily[EntryDate],DATE(2026,12,2),tblDaily[WardCode],"NICU")),"")</f>
        <v/>
      </c>
      <c r="H437" s="29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IFERROR(IF(SUMIFS(tblDaily[Admissions],tblDaily[EntryDate],DATE(2026,12,3),tblDaily[WardCode],"NICU")=0,"",SUMIFS(tblDaily[Admissions],tblDaily[EntryDate],DATE(2026,12,3),tblDaily[WardCode],"NICU")),"")</f>
        <v/>
      </c>
      <c r="C438" s="29" t="str">
        <f>IFERROR(IF(SUMIFS(tblDaily[Discharges],tblDaily[EntryDate],DATE(2026,12,3),tblDaily[WardCode],"NICU")=0,"",SUMIFS(tblDaily[Discharges],tblDaily[EntryDate],DATE(2026,12,3),tblDaily[WardCode],"NICU")),"")</f>
        <v/>
      </c>
      <c r="D438" s="29" t="str">
        <f>IFERROR(IF(SUMIFS(tblDaily[Deaths],tblDaily[EntryDate],DATE(2026,12,3),tblDaily[WardCode],"NICU")=0,"",SUMIFS(tblDaily[Deaths],tblDaily[EntryDate],DATE(2026,12,3),tblDaily[WardCode],"NICU")),"")</f>
        <v/>
      </c>
      <c r="E438" s="29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29" t="str">
        <f>IFERROR(IF(SUMIFS(tblDaily[TransfersIn],tblDaily[EntryDate],DATE(2026,12,3),tblDaily[WardCode],"NICU")=0,"",SUMIFS(tblDaily[TransfersIn],tblDaily[EntryDate],DATE(2026,12,3),tblDaily[WardCode],"NICU")),"")</f>
        <v/>
      </c>
      <c r="G438" s="29" t="str">
        <f>IFERROR(IF(SUMIFS(tblDaily[TransfersOut],tblDaily[EntryDate],DATE(2026,12,3),tblDaily[WardCode],"NICU")=0,"",SUMIFS(tblDaily[TransfersOut],tblDaily[EntryDate],DATE(2026,12,3),tblDaily[WardCode],"NICU")),"")</f>
        <v/>
      </c>
      <c r="H438" s="29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IFERROR(IF(SUMIFS(tblDaily[Admissions],tblDaily[EntryDate],DATE(2026,12,4),tblDaily[WardCode],"NICU")=0,"",SUMIFS(tblDaily[Admissions],tblDaily[EntryDate],DATE(2026,12,4),tblDaily[WardCode],"NICU")),"")</f>
        <v/>
      </c>
      <c r="C439" s="29" t="str">
        <f>IFERROR(IF(SUMIFS(tblDaily[Discharges],tblDaily[EntryDate],DATE(2026,12,4),tblDaily[WardCode],"NICU")=0,"",SUMIFS(tblDaily[Discharges],tblDaily[EntryDate],DATE(2026,12,4),tblDaily[WardCode],"NICU")),"")</f>
        <v/>
      </c>
      <c r="D439" s="29" t="str">
        <f>IFERROR(IF(SUMIFS(tblDaily[Deaths],tblDaily[EntryDate],DATE(2026,12,4),tblDaily[WardCode],"NICU")=0,"",SUMIFS(tblDaily[Deaths],tblDaily[EntryDate],DATE(2026,12,4),tblDaily[WardCode],"NICU")),"")</f>
        <v/>
      </c>
      <c r="E439" s="29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29" t="str">
        <f>IFERROR(IF(SUMIFS(tblDaily[TransfersIn],tblDaily[EntryDate],DATE(2026,12,4),tblDaily[WardCode],"NICU")=0,"",SUMIFS(tblDaily[TransfersIn],tblDaily[EntryDate],DATE(2026,12,4),tblDaily[WardCode],"NICU")),"")</f>
        <v/>
      </c>
      <c r="G439" s="29" t="str">
        <f>IFERROR(IF(SUMIFS(tblDaily[TransfersOut],tblDaily[EntryDate],DATE(2026,12,4),tblDaily[WardCode],"NICU")=0,"",SUMIFS(tblDaily[TransfersOut],tblDaily[EntryDate],DATE(2026,12,4),tblDaily[WardCode],"NICU")),"")</f>
        <v/>
      </c>
      <c r="H439" s="29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IFERROR(IF(SUMIFS(tblDaily[Admissions],tblDaily[EntryDate],DATE(2026,12,5),tblDaily[WardCode],"NICU")=0,"",SUMIFS(tblDaily[Admissions],tblDaily[EntryDate],DATE(2026,12,5),tblDaily[WardCode],"NICU")),"")</f>
        <v/>
      </c>
      <c r="C440" s="29" t="str">
        <f>IFERROR(IF(SUMIFS(tblDaily[Discharges],tblDaily[EntryDate],DATE(2026,12,5),tblDaily[WardCode],"NICU")=0,"",SUMIFS(tblDaily[Discharges],tblDaily[EntryDate],DATE(2026,12,5),tblDaily[WardCode],"NICU")),"")</f>
        <v/>
      </c>
      <c r="D440" s="29" t="str">
        <f>IFERROR(IF(SUMIFS(tblDaily[Deaths],tblDaily[EntryDate],DATE(2026,12,5),tblDaily[WardCode],"NICU")=0,"",SUMIFS(tblDaily[Deaths],tblDaily[EntryDate],DATE(2026,12,5),tblDaily[WardCode],"NICU")),"")</f>
        <v/>
      </c>
      <c r="E440" s="29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29" t="str">
        <f>IFERROR(IF(SUMIFS(tblDaily[TransfersIn],tblDaily[EntryDate],DATE(2026,12,5),tblDaily[WardCode],"NICU")=0,"",SUMIFS(tblDaily[TransfersIn],tblDaily[EntryDate],DATE(2026,12,5),tblDaily[WardCode],"NICU")),"")</f>
        <v/>
      </c>
      <c r="G440" s="29" t="str">
        <f>IFERROR(IF(SUMIFS(tblDaily[TransfersOut],tblDaily[EntryDate],DATE(2026,12,5),tblDaily[WardCode],"NICU")=0,"",SUMIFS(tblDaily[TransfersOut],tblDaily[EntryDate],DATE(2026,12,5),tblDaily[WardCode],"NICU")),"")</f>
        <v/>
      </c>
      <c r="H440" s="29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IFERROR(IF(SUMIFS(tblDaily[Admissions],tblDaily[EntryDate],DATE(2026,12,6),tblDaily[WardCode],"NICU")=0,"",SUMIFS(tblDaily[Admissions],tblDaily[EntryDate],DATE(2026,12,6),tblDaily[WardCode],"NICU")),"")</f>
        <v/>
      </c>
      <c r="C441" s="29" t="str">
        <f>IFERROR(IF(SUMIFS(tblDaily[Discharges],tblDaily[EntryDate],DATE(2026,12,6),tblDaily[WardCode],"NICU")=0,"",SUMIFS(tblDaily[Discharges],tblDaily[EntryDate],DATE(2026,12,6),tblDaily[WardCode],"NICU")),"")</f>
        <v/>
      </c>
      <c r="D441" s="29" t="str">
        <f>IFERROR(IF(SUMIFS(tblDaily[Deaths],tblDaily[EntryDate],DATE(2026,12,6),tblDaily[WardCode],"NICU")=0,"",SUMIFS(tblDaily[Deaths],tblDaily[EntryDate],DATE(2026,12,6),tblDaily[WardCode],"NICU")),"")</f>
        <v/>
      </c>
      <c r="E441" s="29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29" t="str">
        <f>IFERROR(IF(SUMIFS(tblDaily[TransfersIn],tblDaily[EntryDate],DATE(2026,12,6),tblDaily[WardCode],"NICU")=0,"",SUMIFS(tblDaily[TransfersIn],tblDaily[EntryDate],DATE(2026,12,6),tblDaily[WardCode],"NICU")),"")</f>
        <v/>
      </c>
      <c r="G441" s="29" t="str">
        <f>IFERROR(IF(SUMIFS(tblDaily[TransfersOut],tblDaily[EntryDate],DATE(2026,12,6),tblDaily[WardCode],"NICU")=0,"",SUMIFS(tblDaily[TransfersOut],tblDaily[EntryDate],DATE(2026,12,6),tblDaily[WardCode],"NICU")),"")</f>
        <v/>
      </c>
      <c r="H441" s="29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IFERROR(IF(SUMIFS(tblDaily[Admissions],tblDaily[EntryDate],DATE(2026,12,7),tblDaily[WardCode],"NICU")=0,"",SUMIFS(tblDaily[Admissions],tblDaily[EntryDate],DATE(2026,12,7),tblDaily[WardCode],"NICU")),"")</f>
        <v/>
      </c>
      <c r="C442" s="29" t="str">
        <f>IFERROR(IF(SUMIFS(tblDaily[Discharges],tblDaily[EntryDate],DATE(2026,12,7),tblDaily[WardCode],"NICU")=0,"",SUMIFS(tblDaily[Discharges],tblDaily[EntryDate],DATE(2026,12,7),tblDaily[WardCode],"NICU")),"")</f>
        <v/>
      </c>
      <c r="D442" s="29" t="str">
        <f>IFERROR(IF(SUMIFS(tblDaily[Deaths],tblDaily[EntryDate],DATE(2026,12,7),tblDaily[WardCode],"NICU")=0,"",SUMIFS(tblDaily[Deaths],tblDaily[EntryDate],DATE(2026,12,7),tblDaily[WardCode],"NICU")),"")</f>
        <v/>
      </c>
      <c r="E442" s="29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29" t="str">
        <f>IFERROR(IF(SUMIFS(tblDaily[TransfersIn],tblDaily[EntryDate],DATE(2026,12,7),tblDaily[WardCode],"NICU")=0,"",SUMIFS(tblDaily[TransfersIn],tblDaily[EntryDate],DATE(2026,12,7),tblDaily[WardCode],"NICU")),"")</f>
        <v/>
      </c>
      <c r="G442" s="29" t="str">
        <f>IFERROR(IF(SUMIFS(tblDaily[TransfersOut],tblDaily[EntryDate],DATE(2026,12,7),tblDaily[WardCode],"NICU")=0,"",SUMIFS(tblDaily[TransfersOut],tblDaily[EntryDate],DATE(2026,12,7),tblDaily[WardCode],"NICU")),"")</f>
        <v/>
      </c>
      <c r="H442" s="29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IFERROR(IF(SUMIFS(tblDaily[Admissions],tblDaily[EntryDate],DATE(2026,12,8),tblDaily[WardCode],"NICU")=0,"",SUMIFS(tblDaily[Admissions],tblDaily[EntryDate],DATE(2026,12,8),tblDaily[WardCode],"NICU")),"")</f>
        <v/>
      </c>
      <c r="C443" s="29" t="str">
        <f>IFERROR(IF(SUMIFS(tblDaily[Discharges],tblDaily[EntryDate],DATE(2026,12,8),tblDaily[WardCode],"NICU")=0,"",SUMIFS(tblDaily[Discharges],tblDaily[EntryDate],DATE(2026,12,8),tblDaily[WardCode],"NICU")),"")</f>
        <v/>
      </c>
      <c r="D443" s="29" t="str">
        <f>IFERROR(IF(SUMIFS(tblDaily[Deaths],tblDaily[EntryDate],DATE(2026,12,8),tblDaily[WardCode],"NICU")=0,"",SUMIFS(tblDaily[Deaths],tblDaily[EntryDate],DATE(2026,12,8),tblDaily[WardCode],"NICU")),"")</f>
        <v/>
      </c>
      <c r="E443" s="29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29" t="str">
        <f>IFERROR(IF(SUMIFS(tblDaily[TransfersIn],tblDaily[EntryDate],DATE(2026,12,8),tblDaily[WardCode],"NICU")=0,"",SUMIFS(tblDaily[TransfersIn],tblDaily[EntryDate],DATE(2026,12,8),tblDaily[WardCode],"NICU")),"")</f>
        <v/>
      </c>
      <c r="G443" s="29" t="str">
        <f>IFERROR(IF(SUMIFS(tblDaily[TransfersOut],tblDaily[EntryDate],DATE(2026,12,8),tblDaily[WardCode],"NICU")=0,"",SUMIFS(tblDaily[TransfersOut],tblDaily[EntryDate],DATE(2026,12,8),tblDaily[WardCode],"NICU")),"")</f>
        <v/>
      </c>
      <c r="H443" s="29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IFERROR(IF(SUMIFS(tblDaily[Admissions],tblDaily[EntryDate],DATE(2026,12,9),tblDaily[WardCode],"NICU")=0,"",SUMIFS(tblDaily[Admissions],tblDaily[EntryDate],DATE(2026,12,9),tblDaily[WardCode],"NICU")),"")</f>
        <v/>
      </c>
      <c r="C444" s="29" t="str">
        <f>IFERROR(IF(SUMIFS(tblDaily[Discharges],tblDaily[EntryDate],DATE(2026,12,9),tblDaily[WardCode],"NICU")=0,"",SUMIFS(tblDaily[Discharges],tblDaily[EntryDate],DATE(2026,12,9),tblDaily[WardCode],"NICU")),"")</f>
        <v/>
      </c>
      <c r="D444" s="29" t="str">
        <f>IFERROR(IF(SUMIFS(tblDaily[Deaths],tblDaily[EntryDate],DATE(2026,12,9),tblDaily[WardCode],"NICU")=0,"",SUMIFS(tblDaily[Deaths],tblDaily[EntryDate],DATE(2026,12,9),tblDaily[WardCode],"NICU")),"")</f>
        <v/>
      </c>
      <c r="E444" s="29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29" t="str">
        <f>IFERROR(IF(SUMIFS(tblDaily[TransfersIn],tblDaily[EntryDate],DATE(2026,12,9),tblDaily[WardCode],"NICU")=0,"",SUMIFS(tblDaily[TransfersIn],tblDaily[EntryDate],DATE(2026,12,9),tblDaily[WardCode],"NICU")),"")</f>
        <v/>
      </c>
      <c r="G444" s="29" t="str">
        <f>IFERROR(IF(SUMIFS(tblDaily[TransfersOut],tblDaily[EntryDate],DATE(2026,12,9),tblDaily[WardCode],"NICU")=0,"",SUMIFS(tblDaily[TransfersOut],tblDaily[EntryDate],DATE(2026,12,9),tblDaily[WardCode],"NICU")),"")</f>
        <v/>
      </c>
      <c r="H444" s="29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IFERROR(IF(SUMIFS(tblDaily[Admissions],tblDaily[EntryDate],DATE(2026,12,10),tblDaily[WardCode],"NICU")=0,"",SUMIFS(tblDaily[Admissions],tblDaily[EntryDate],DATE(2026,12,10),tblDaily[WardCode],"NICU")),"")</f>
        <v/>
      </c>
      <c r="C445" s="29" t="str">
        <f>IFERROR(IF(SUMIFS(tblDaily[Discharges],tblDaily[EntryDate],DATE(2026,12,10),tblDaily[WardCode],"NICU")=0,"",SUMIFS(tblDaily[Discharges],tblDaily[EntryDate],DATE(2026,12,10),tblDaily[WardCode],"NICU")),"")</f>
        <v/>
      </c>
      <c r="D445" s="29" t="str">
        <f>IFERROR(IF(SUMIFS(tblDaily[Deaths],tblDaily[EntryDate],DATE(2026,12,10),tblDaily[WardCode],"NICU")=0,"",SUMIFS(tblDaily[Deaths],tblDaily[EntryDate],DATE(2026,12,10),tblDaily[WardCode],"NICU")),"")</f>
        <v/>
      </c>
      <c r="E445" s="29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29" t="str">
        <f>IFERROR(IF(SUMIFS(tblDaily[TransfersIn],tblDaily[EntryDate],DATE(2026,12,10),tblDaily[WardCode],"NICU")=0,"",SUMIFS(tblDaily[TransfersIn],tblDaily[EntryDate],DATE(2026,12,10),tblDaily[WardCode],"NICU")),"")</f>
        <v/>
      </c>
      <c r="G445" s="29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29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IFERROR(IF(SUMIFS(tblDaily[Admissions],tblDaily[EntryDate],DATE(2026,12,11),tblDaily[WardCode],"NICU")=0,"",SUMIFS(tblDaily[Admissions],tblDaily[EntryDate],DATE(2026,12,11),tblDaily[WardCode],"NICU")),"")</f>
        <v/>
      </c>
      <c r="C446" s="29" t="str">
        <f>IFERROR(IF(SUMIFS(tblDaily[Discharges],tblDaily[EntryDate],DATE(2026,12,11),tblDaily[WardCode],"NICU")=0,"",SUMIFS(tblDaily[Discharges],tblDaily[EntryDate],DATE(2026,12,11),tblDaily[WardCode],"NICU")),"")</f>
        <v/>
      </c>
      <c r="D446" s="29" t="str">
        <f>IFERROR(IF(SUMIFS(tblDaily[Deaths],tblDaily[EntryDate],DATE(2026,12,11),tblDaily[WardCode],"NICU")=0,"",SUMIFS(tblDaily[Deaths],tblDaily[EntryDate],DATE(2026,12,11),tblDaily[WardCode],"NICU")),"")</f>
        <v/>
      </c>
      <c r="E446" s="29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29" t="str">
        <f>IFERROR(IF(SUMIFS(tblDaily[TransfersIn],tblDaily[EntryDate],DATE(2026,12,11),tblDaily[WardCode],"NICU")=0,"",SUMIFS(tblDaily[TransfersIn],tblDaily[EntryDate],DATE(2026,12,11),tblDaily[WardCode],"NICU")),"")</f>
        <v/>
      </c>
      <c r="G446" s="29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29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IFERROR(IF(SUMIFS(tblDaily[Admissions],tblDaily[EntryDate],DATE(2026,12,12),tblDaily[WardCode],"NICU")=0,"",SUMIFS(tblDaily[Admissions],tblDaily[EntryDate],DATE(2026,12,12),tblDaily[WardCode],"NICU")),"")</f>
        <v/>
      </c>
      <c r="C447" s="29" t="str">
        <f>IFERROR(IF(SUMIFS(tblDaily[Discharges],tblDaily[EntryDate],DATE(2026,12,12),tblDaily[WardCode],"NICU")=0,"",SUMIFS(tblDaily[Discharges],tblDaily[EntryDate],DATE(2026,12,12),tblDaily[WardCode],"NICU")),"")</f>
        <v/>
      </c>
      <c r="D447" s="29" t="str">
        <f>IFERROR(IF(SUMIFS(tblDaily[Deaths],tblDaily[EntryDate],DATE(2026,12,12),tblDaily[WardCode],"NICU")=0,"",SUMIFS(tblDaily[Deaths],tblDaily[EntryDate],DATE(2026,12,12),tblDaily[WardCode],"NICU")),"")</f>
        <v/>
      </c>
      <c r="E447" s="29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29" t="str">
        <f>IFERROR(IF(SUMIFS(tblDaily[TransfersIn],tblDaily[EntryDate],DATE(2026,12,12),tblDaily[WardCode],"NICU")=0,"",SUMIFS(tblDaily[TransfersIn],tblDaily[EntryDate],DATE(2026,12,12),tblDaily[WardCode],"NICU")),"")</f>
        <v/>
      </c>
      <c r="G447" s="29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29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IFERROR(IF(SUMIFS(tblDaily[Admissions],tblDaily[EntryDate],DATE(2026,12,13),tblDaily[WardCode],"NICU")=0,"",SUMIFS(tblDaily[Admissions],tblDaily[EntryDate],DATE(2026,12,13),tblDaily[WardCode],"NICU")),"")</f>
        <v/>
      </c>
      <c r="C448" s="29" t="str">
        <f>IFERROR(IF(SUMIFS(tblDaily[Discharges],tblDaily[EntryDate],DATE(2026,12,13),tblDaily[WardCode],"NICU")=0,"",SUMIFS(tblDaily[Discharges],tblDaily[EntryDate],DATE(2026,12,13),tblDaily[WardCode],"NICU")),"")</f>
        <v/>
      </c>
      <c r="D448" s="29" t="str">
        <f>IFERROR(IF(SUMIFS(tblDaily[Deaths],tblDaily[EntryDate],DATE(2026,12,13),tblDaily[WardCode],"NICU")=0,"",SUMIFS(tblDaily[Deaths],tblDaily[EntryDate],DATE(2026,12,13),tblDaily[WardCode],"NICU")),"")</f>
        <v/>
      </c>
      <c r="E448" s="29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29" t="str">
        <f>IFERROR(IF(SUMIFS(tblDaily[TransfersIn],tblDaily[EntryDate],DATE(2026,12,13),tblDaily[WardCode],"NICU")=0,"",SUMIFS(tblDaily[TransfersIn],tblDaily[EntryDate],DATE(2026,12,13),tblDaily[WardCode],"NICU")),"")</f>
        <v/>
      </c>
      <c r="G448" s="29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29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IFERROR(IF(SUMIFS(tblDaily[Admissions],tblDaily[EntryDate],DATE(2026,12,14),tblDaily[WardCode],"NICU")=0,"",SUMIFS(tblDaily[Admissions],tblDaily[EntryDate],DATE(2026,12,14),tblDaily[WardCode],"NICU")),"")</f>
        <v/>
      </c>
      <c r="C449" s="29" t="str">
        <f>IFERROR(IF(SUMIFS(tblDaily[Discharges],tblDaily[EntryDate],DATE(2026,12,14),tblDaily[WardCode],"NICU")=0,"",SUMIFS(tblDaily[Discharges],tblDaily[EntryDate],DATE(2026,12,14),tblDaily[WardCode],"NICU")),"")</f>
        <v/>
      </c>
      <c r="D449" s="29" t="str">
        <f>IFERROR(IF(SUMIFS(tblDaily[Deaths],tblDaily[EntryDate],DATE(2026,12,14),tblDaily[WardCode],"NICU")=0,"",SUMIFS(tblDaily[Deaths],tblDaily[EntryDate],DATE(2026,12,14),tblDaily[WardCode],"NICU")),"")</f>
        <v/>
      </c>
      <c r="E449" s="29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29" t="str">
        <f>IFERROR(IF(SUMIFS(tblDaily[TransfersIn],tblDaily[EntryDate],DATE(2026,12,14),tblDaily[WardCode],"NICU")=0,"",SUMIFS(tblDaily[TransfersIn],tblDaily[EntryDate],DATE(2026,12,14),tblDaily[WardCode],"NICU")),"")</f>
        <v/>
      </c>
      <c r="G449" s="29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29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IFERROR(IF(SUMIFS(tblDaily[Admissions],tblDaily[EntryDate],DATE(2026,12,15),tblDaily[WardCode],"NICU")=0,"",SUMIFS(tblDaily[Admissions],tblDaily[EntryDate],DATE(2026,12,15),tblDaily[WardCode],"NICU")),"")</f>
        <v/>
      </c>
      <c r="C450" s="29" t="str">
        <f>IFERROR(IF(SUMIFS(tblDaily[Discharges],tblDaily[EntryDate],DATE(2026,12,15),tblDaily[WardCode],"NICU")=0,"",SUMIFS(tblDaily[Discharges],tblDaily[EntryDate],DATE(2026,12,15),tblDaily[WardCode],"NICU")),"")</f>
        <v/>
      </c>
      <c r="D450" s="29" t="str">
        <f>IFERROR(IF(SUMIFS(tblDaily[Deaths],tblDaily[EntryDate],DATE(2026,12,15),tblDaily[WardCode],"NICU")=0,"",SUMIFS(tblDaily[Deaths],tblDaily[EntryDate],DATE(2026,12,15),tblDaily[WardCode],"NICU")),"")</f>
        <v/>
      </c>
      <c r="E450" s="29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29" t="str">
        <f>IFERROR(IF(SUMIFS(tblDaily[TransfersIn],tblDaily[EntryDate],DATE(2026,12,15),tblDaily[WardCode],"NICU")=0,"",SUMIFS(tblDaily[TransfersIn],tblDaily[EntryDate],DATE(2026,12,15),tblDaily[WardCode],"NICU")),"")</f>
        <v/>
      </c>
      <c r="G450" s="29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29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IFERROR(IF(SUMIFS(tblDaily[Admissions],tblDaily[EntryDate],DATE(2026,12,16),tblDaily[WardCode],"NICU")=0,"",SUMIFS(tblDaily[Admissions],tblDaily[EntryDate],DATE(2026,12,16),tblDaily[WardCode],"NICU")),"")</f>
        <v/>
      </c>
      <c r="C451" s="29" t="str">
        <f>IFERROR(IF(SUMIFS(tblDaily[Discharges],tblDaily[EntryDate],DATE(2026,12,16),tblDaily[WardCode],"NICU")=0,"",SUMIFS(tblDaily[Discharges],tblDaily[EntryDate],DATE(2026,12,16),tblDaily[WardCode],"NICU")),"")</f>
        <v/>
      </c>
      <c r="D451" s="29" t="str">
        <f>IFERROR(IF(SUMIFS(tblDaily[Deaths],tblDaily[EntryDate],DATE(2026,12,16),tblDaily[WardCode],"NICU")=0,"",SUMIFS(tblDaily[Deaths],tblDaily[EntryDate],DATE(2026,12,16),tblDaily[WardCode],"NICU")),"")</f>
        <v/>
      </c>
      <c r="E451" s="29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29" t="str">
        <f>IFERROR(IF(SUMIFS(tblDaily[TransfersIn],tblDaily[EntryDate],DATE(2026,12,16),tblDaily[WardCode],"NICU")=0,"",SUMIFS(tblDaily[TransfersIn],tblDaily[EntryDate],DATE(2026,12,16),tblDaily[WardCode],"NICU")),"")</f>
        <v/>
      </c>
      <c r="G451" s="29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29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IFERROR(IF(SUMIFS(tblDaily[Admissions],tblDaily[EntryDate],DATE(2026,12,17),tblDaily[WardCode],"NICU")=0,"",SUMIFS(tblDaily[Admissions],tblDaily[EntryDate],DATE(2026,12,17),tblDaily[WardCode],"NICU")),"")</f>
        <v/>
      </c>
      <c r="C452" s="29" t="str">
        <f>IFERROR(IF(SUMIFS(tblDaily[Discharges],tblDaily[EntryDate],DATE(2026,12,17),tblDaily[WardCode],"NICU")=0,"",SUMIFS(tblDaily[Discharges],tblDaily[EntryDate],DATE(2026,12,17),tblDaily[WardCode],"NICU")),"")</f>
        <v/>
      </c>
      <c r="D452" s="29" t="str">
        <f>IFERROR(IF(SUMIFS(tblDaily[Deaths],tblDaily[EntryDate],DATE(2026,12,17),tblDaily[WardCode],"NICU")=0,"",SUMIFS(tblDaily[Deaths],tblDaily[EntryDate],DATE(2026,12,17),tblDaily[WardCode],"NICU")),"")</f>
        <v/>
      </c>
      <c r="E452" s="29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29" t="str">
        <f>IFERROR(IF(SUMIFS(tblDaily[TransfersIn],tblDaily[EntryDate],DATE(2026,12,17),tblDaily[WardCode],"NICU")=0,"",SUMIFS(tblDaily[TransfersIn],tblDaily[EntryDate],DATE(2026,12,17),tblDaily[WardCode],"NICU")),"")</f>
        <v/>
      </c>
      <c r="G452" s="29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29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IFERROR(IF(SUMIFS(tblDaily[Admissions],tblDaily[EntryDate],DATE(2026,12,18),tblDaily[WardCode],"NICU")=0,"",SUMIFS(tblDaily[Admissions],tblDaily[EntryDate],DATE(2026,12,18),tblDaily[WardCode],"NICU")),"")</f>
        <v/>
      </c>
      <c r="C453" s="29" t="str">
        <f>IFERROR(IF(SUMIFS(tblDaily[Discharges],tblDaily[EntryDate],DATE(2026,12,18),tblDaily[WardCode],"NICU")=0,"",SUMIFS(tblDaily[Discharges],tblDaily[EntryDate],DATE(2026,12,18),tblDaily[WardCode],"NICU")),"")</f>
        <v/>
      </c>
      <c r="D453" s="29" t="str">
        <f>IFERROR(IF(SUMIFS(tblDaily[Deaths],tblDaily[EntryDate],DATE(2026,12,18),tblDaily[WardCode],"NICU")=0,"",SUMIFS(tblDaily[Deaths],tblDaily[EntryDate],DATE(2026,12,18),tblDaily[WardCode],"NICU")),"")</f>
        <v/>
      </c>
      <c r="E453" s="29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29" t="str">
        <f>IFERROR(IF(SUMIFS(tblDaily[TransfersIn],tblDaily[EntryDate],DATE(2026,12,18),tblDaily[WardCode],"NICU")=0,"",SUMIFS(tblDaily[TransfersIn],tblDaily[EntryDate],DATE(2026,12,18),tblDaily[WardCode],"NICU")),"")</f>
        <v/>
      </c>
      <c r="G453" s="29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29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IFERROR(IF(SUMIFS(tblDaily[Admissions],tblDaily[EntryDate],DATE(2026,12,19),tblDaily[WardCode],"NICU")=0,"",SUMIFS(tblDaily[Admissions],tblDaily[EntryDate],DATE(2026,12,19),tblDaily[WardCode],"NICU")),"")</f>
        <v/>
      </c>
      <c r="C454" s="29" t="str">
        <f>IFERROR(IF(SUMIFS(tblDaily[Discharges],tblDaily[EntryDate],DATE(2026,12,19),tblDaily[WardCode],"NICU")=0,"",SUMIFS(tblDaily[Discharges],tblDaily[EntryDate],DATE(2026,12,19),tblDaily[WardCode],"NICU")),"")</f>
        <v/>
      </c>
      <c r="D454" s="29" t="str">
        <f>IFERROR(IF(SUMIFS(tblDaily[Deaths],tblDaily[EntryDate],DATE(2026,12,19),tblDaily[WardCode],"NICU")=0,"",SUMIFS(tblDaily[Deaths],tblDaily[EntryDate],DATE(2026,12,19),tblDaily[WardCode],"NICU")),"")</f>
        <v/>
      </c>
      <c r="E454" s="29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29" t="str">
        <f>IFERROR(IF(SUMIFS(tblDaily[TransfersIn],tblDaily[EntryDate],DATE(2026,12,19),tblDaily[WardCode],"NICU")=0,"",SUMIFS(tblDaily[TransfersIn],tblDaily[EntryDate],DATE(2026,12,19),tblDaily[WardCode],"NICU")),"")</f>
        <v/>
      </c>
      <c r="G454" s="29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29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IFERROR(IF(SUMIFS(tblDaily[Admissions],tblDaily[EntryDate],DATE(2026,12,20),tblDaily[WardCode],"NICU")=0,"",SUMIFS(tblDaily[Admissions],tblDaily[EntryDate],DATE(2026,12,20),tblDaily[WardCode],"NICU")),"")</f>
        <v/>
      </c>
      <c r="C455" s="29" t="str">
        <f>IFERROR(IF(SUMIFS(tblDaily[Discharges],tblDaily[EntryDate],DATE(2026,12,20),tblDaily[WardCode],"NICU")=0,"",SUMIFS(tblDaily[Discharges],tblDaily[EntryDate],DATE(2026,12,20),tblDaily[WardCode],"NICU")),"")</f>
        <v/>
      </c>
      <c r="D455" s="29" t="str">
        <f>IFERROR(IF(SUMIFS(tblDaily[Deaths],tblDaily[EntryDate],DATE(2026,12,20),tblDaily[WardCode],"NICU")=0,"",SUMIFS(tblDaily[Deaths],tblDaily[EntryDate],DATE(2026,12,20),tblDaily[WardCode],"NICU")),"")</f>
        <v/>
      </c>
      <c r="E455" s="29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29" t="str">
        <f>IFERROR(IF(SUMIFS(tblDaily[TransfersIn],tblDaily[EntryDate],DATE(2026,12,20),tblDaily[WardCode],"NICU")=0,"",SUMIFS(tblDaily[TransfersIn],tblDaily[EntryDate],DATE(2026,12,20),tblDaily[WardCode],"NICU")),"")</f>
        <v/>
      </c>
      <c r="G455" s="29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29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IFERROR(IF(SUMIFS(tblDaily[Admissions],tblDaily[EntryDate],DATE(2026,12,21),tblDaily[WardCode],"NICU")=0,"",SUMIFS(tblDaily[Admissions],tblDaily[EntryDate],DATE(2026,12,21),tblDaily[WardCode],"NICU")),"")</f>
        <v/>
      </c>
      <c r="C456" s="29" t="str">
        <f>IFERROR(IF(SUMIFS(tblDaily[Discharges],tblDaily[EntryDate],DATE(2026,12,21),tblDaily[WardCode],"NICU")=0,"",SUMIFS(tblDaily[Discharges],tblDaily[EntryDate],DATE(2026,12,21),tblDaily[WardCode],"NICU")),"")</f>
        <v/>
      </c>
      <c r="D456" s="29" t="str">
        <f>IFERROR(IF(SUMIFS(tblDaily[Deaths],tblDaily[EntryDate],DATE(2026,12,21),tblDaily[WardCode],"NICU")=0,"",SUMIFS(tblDaily[Deaths],tblDaily[EntryDate],DATE(2026,12,21),tblDaily[WardCode],"NICU")),"")</f>
        <v/>
      </c>
      <c r="E456" s="29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29" t="str">
        <f>IFERROR(IF(SUMIFS(tblDaily[TransfersIn],tblDaily[EntryDate],DATE(2026,12,21),tblDaily[WardCode],"NICU")=0,"",SUMIFS(tblDaily[TransfersIn],tblDaily[EntryDate],DATE(2026,12,21),tblDaily[WardCode],"NICU")),"")</f>
        <v/>
      </c>
      <c r="G456" s="29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29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IFERROR(IF(SUMIFS(tblDaily[Admissions],tblDaily[EntryDate],DATE(2026,12,22),tblDaily[WardCode],"NICU")=0,"",SUMIFS(tblDaily[Admissions],tblDaily[EntryDate],DATE(2026,12,22),tblDaily[WardCode],"NICU")),"")</f>
        <v/>
      </c>
      <c r="C457" s="29" t="str">
        <f>IFERROR(IF(SUMIFS(tblDaily[Discharges],tblDaily[EntryDate],DATE(2026,12,22),tblDaily[WardCode],"NICU")=0,"",SUMIFS(tblDaily[Discharges],tblDaily[EntryDate],DATE(2026,12,22),tblDaily[WardCode],"NICU")),"")</f>
        <v/>
      </c>
      <c r="D457" s="29" t="str">
        <f>IFERROR(IF(SUMIFS(tblDaily[Deaths],tblDaily[EntryDate],DATE(2026,12,22),tblDaily[WardCode],"NICU")=0,"",SUMIFS(tblDaily[Deaths],tblDaily[EntryDate],DATE(2026,12,22),tblDaily[WardCode],"NICU")),"")</f>
        <v/>
      </c>
      <c r="E457" s="29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29" t="str">
        <f>IFERROR(IF(SUMIFS(tblDaily[TransfersIn],tblDaily[EntryDate],DATE(2026,12,22),tblDaily[WardCode],"NICU")=0,"",SUMIFS(tblDaily[TransfersIn],tblDaily[EntryDate],DATE(2026,12,22),tblDaily[WardCode],"NICU")),"")</f>
        <v/>
      </c>
      <c r="G457" s="29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29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IFERROR(IF(SUMIFS(tblDaily[Admissions],tblDaily[EntryDate],DATE(2026,12,23),tblDaily[WardCode],"NICU")=0,"",SUMIFS(tblDaily[Admissions],tblDaily[EntryDate],DATE(2026,12,23),tblDaily[WardCode],"NICU")),"")</f>
        <v/>
      </c>
      <c r="C458" s="29" t="str">
        <f>IFERROR(IF(SUMIFS(tblDaily[Discharges],tblDaily[EntryDate],DATE(2026,12,23),tblDaily[WardCode],"NICU")=0,"",SUMIFS(tblDaily[Discharges],tblDaily[EntryDate],DATE(2026,12,23),tblDaily[WardCode],"NICU")),"")</f>
        <v/>
      </c>
      <c r="D458" s="29" t="str">
        <f>IFERROR(IF(SUMIFS(tblDaily[Deaths],tblDaily[EntryDate],DATE(2026,12,23),tblDaily[WardCode],"NICU")=0,"",SUMIFS(tblDaily[Deaths],tblDaily[EntryDate],DATE(2026,12,23),tblDaily[WardCode],"NICU")),"")</f>
        <v/>
      </c>
      <c r="E458" s="29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29" t="str">
        <f>IFERROR(IF(SUMIFS(tblDaily[TransfersIn],tblDaily[EntryDate],DATE(2026,12,23),tblDaily[WardCode],"NICU")=0,"",SUMIFS(tblDaily[TransfersIn],tblDaily[EntryDate],DATE(2026,12,23),tblDaily[WardCode],"NICU")),"")</f>
        <v/>
      </c>
      <c r="G458" s="29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29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IFERROR(IF(SUMIFS(tblDaily[Admissions],tblDaily[EntryDate],DATE(2026,12,24),tblDaily[WardCode],"NICU")=0,"",SUMIFS(tblDaily[Admissions],tblDaily[EntryDate],DATE(2026,12,24),tblDaily[WardCode],"NICU")),"")</f>
        <v/>
      </c>
      <c r="C459" s="29" t="str">
        <f>IFERROR(IF(SUMIFS(tblDaily[Discharges],tblDaily[EntryDate],DATE(2026,12,24),tblDaily[WardCode],"NICU")=0,"",SUMIFS(tblDaily[Discharges],tblDaily[EntryDate],DATE(2026,12,24),tblDaily[WardCode],"NICU")),"")</f>
        <v/>
      </c>
      <c r="D459" s="29" t="str">
        <f>IFERROR(IF(SUMIFS(tblDaily[Deaths],tblDaily[EntryDate],DATE(2026,12,24),tblDaily[WardCode],"NICU")=0,"",SUMIFS(tblDaily[Deaths],tblDaily[EntryDate],DATE(2026,12,24),tblDaily[WardCode],"NICU")),"")</f>
        <v/>
      </c>
      <c r="E459" s="29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29" t="str">
        <f>IFERROR(IF(SUMIFS(tblDaily[TransfersIn],tblDaily[EntryDate],DATE(2026,12,24),tblDaily[WardCode],"NICU")=0,"",SUMIFS(tblDaily[TransfersIn],tblDaily[EntryDate],DATE(2026,12,24),tblDaily[WardCode],"NICU")),"")</f>
        <v/>
      </c>
      <c r="G459" s="29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29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IFERROR(IF(SUMIFS(tblDaily[Admissions],tblDaily[EntryDate],DATE(2026,12,25),tblDaily[WardCode],"NICU")=0,"",SUMIFS(tblDaily[Admissions],tblDaily[EntryDate],DATE(2026,12,25),tblDaily[WardCode],"NICU")),"")</f>
        <v/>
      </c>
      <c r="C460" s="29" t="str">
        <f>IFERROR(IF(SUMIFS(tblDaily[Discharges],tblDaily[EntryDate],DATE(2026,12,25),tblDaily[WardCode],"NICU")=0,"",SUMIFS(tblDaily[Discharges],tblDaily[EntryDate],DATE(2026,12,25),tblDaily[WardCode],"NICU")),"")</f>
        <v/>
      </c>
      <c r="D460" s="29" t="str">
        <f>IFERROR(IF(SUMIFS(tblDaily[Deaths],tblDaily[EntryDate],DATE(2026,12,25),tblDaily[WardCode],"NICU")=0,"",SUMIFS(tblDaily[Deaths],tblDaily[EntryDate],DATE(2026,12,25),tblDaily[WardCode],"NICU")),"")</f>
        <v/>
      </c>
      <c r="E460" s="29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29" t="str">
        <f>IFERROR(IF(SUMIFS(tblDaily[TransfersIn],tblDaily[EntryDate],DATE(2026,12,25),tblDaily[WardCode],"NICU")=0,"",SUMIFS(tblDaily[TransfersIn],tblDaily[EntryDate],DATE(2026,12,25),tblDaily[WardCode],"NICU")),"")</f>
        <v/>
      </c>
      <c r="G460" s="29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29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IFERROR(IF(SUMIFS(tblDaily[Admissions],tblDaily[EntryDate],DATE(2026,12,26),tblDaily[WardCode],"NICU")=0,"",SUMIFS(tblDaily[Admissions],tblDaily[EntryDate],DATE(2026,12,26),tblDaily[WardCode],"NICU")),"")</f>
        <v/>
      </c>
      <c r="C461" s="29" t="str">
        <f>IFERROR(IF(SUMIFS(tblDaily[Discharges],tblDaily[EntryDate],DATE(2026,12,26),tblDaily[WardCode],"NICU")=0,"",SUMIFS(tblDaily[Discharges],tblDaily[EntryDate],DATE(2026,12,26),tblDaily[WardCode],"NICU")),"")</f>
        <v/>
      </c>
      <c r="D461" s="29" t="str">
        <f>IFERROR(IF(SUMIFS(tblDaily[Deaths],tblDaily[EntryDate],DATE(2026,12,26),tblDaily[WardCode],"NICU")=0,"",SUMIFS(tblDaily[Deaths],tblDaily[EntryDate],DATE(2026,12,26),tblDaily[WardCode],"NICU")),"")</f>
        <v/>
      </c>
      <c r="E461" s="29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29" t="str">
        <f>IFERROR(IF(SUMIFS(tblDaily[TransfersIn],tblDaily[EntryDate],DATE(2026,12,26),tblDaily[WardCode],"NICU")=0,"",SUMIFS(tblDaily[TransfersIn],tblDaily[EntryDate],DATE(2026,12,26),tblDaily[WardCode],"NICU")),"")</f>
        <v/>
      </c>
      <c r="G461" s="29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29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IFERROR(IF(SUMIFS(tblDaily[Admissions],tblDaily[EntryDate],DATE(2026,12,27),tblDaily[WardCode],"NICU")=0,"",SUMIFS(tblDaily[Admissions],tblDaily[EntryDate],DATE(2026,12,27),tblDaily[WardCode],"NICU")),"")</f>
        <v/>
      </c>
      <c r="C462" s="29" t="str">
        <f>IFERROR(IF(SUMIFS(tblDaily[Discharges],tblDaily[EntryDate],DATE(2026,12,27),tblDaily[WardCode],"NICU")=0,"",SUMIFS(tblDaily[Discharges],tblDaily[EntryDate],DATE(2026,12,27),tblDaily[WardCode],"NICU")),"")</f>
        <v/>
      </c>
      <c r="D462" s="29" t="str">
        <f>IFERROR(IF(SUMIFS(tblDaily[Deaths],tblDaily[EntryDate],DATE(2026,12,27),tblDaily[WardCode],"NICU")=0,"",SUMIFS(tblDaily[Deaths],tblDaily[EntryDate],DATE(2026,12,27),tblDaily[WardCode],"NICU")),"")</f>
        <v/>
      </c>
      <c r="E462" s="29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29" t="str">
        <f>IFERROR(IF(SUMIFS(tblDaily[TransfersIn],tblDaily[EntryDate],DATE(2026,12,27),tblDaily[WardCode],"NICU")=0,"",SUMIFS(tblDaily[TransfersIn],tblDaily[EntryDate],DATE(2026,12,27),tblDaily[WardCode],"NICU")),"")</f>
        <v/>
      </c>
      <c r="G462" s="29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29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IFERROR(IF(SUMIFS(tblDaily[Admissions],tblDaily[EntryDate],DATE(2026,12,28),tblDaily[WardCode],"NICU")=0,"",SUMIFS(tblDaily[Admissions],tblDaily[EntryDate],DATE(2026,12,28),tblDaily[WardCode],"NICU")),"")</f>
        <v/>
      </c>
      <c r="C463" s="29" t="str">
        <f>IFERROR(IF(SUMIFS(tblDaily[Discharges],tblDaily[EntryDate],DATE(2026,12,28),tblDaily[WardCode],"NICU")=0,"",SUMIFS(tblDaily[Discharges],tblDaily[EntryDate],DATE(2026,12,28),tblDaily[WardCode],"NICU")),"")</f>
        <v/>
      </c>
      <c r="D463" s="29" t="str">
        <f>IFERROR(IF(SUMIFS(tblDaily[Deaths],tblDaily[EntryDate],DATE(2026,12,28),tblDaily[WardCode],"NICU")=0,"",SUMIFS(tblDaily[Deaths],tblDaily[EntryDate],DATE(2026,12,28),tblDaily[WardCode],"NICU")),"")</f>
        <v/>
      </c>
      <c r="E463" s="29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29" t="str">
        <f>IFERROR(IF(SUMIFS(tblDaily[TransfersIn],tblDaily[EntryDate],DATE(2026,12,28),tblDaily[WardCode],"NICU")=0,"",SUMIFS(tblDaily[TransfersIn],tblDaily[EntryDate],DATE(2026,12,28),tblDaily[WardCode],"NICU")),"")</f>
        <v/>
      </c>
      <c r="G463" s="29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29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IFERROR(IF(SUMIFS(tblDaily[Admissions],tblDaily[EntryDate],DATE(2026,12,29),tblDaily[WardCode],"NICU")=0,"",SUMIFS(tblDaily[Admissions],tblDaily[EntryDate],DATE(2026,12,29),tblDaily[WardCode],"NICU")),"")</f>
        <v/>
      </c>
      <c r="C464" s="29" t="str">
        <f>IFERROR(IF(SUMIFS(tblDaily[Discharges],tblDaily[EntryDate],DATE(2026,12,29),tblDaily[WardCode],"NICU")=0,"",SUMIFS(tblDaily[Discharges],tblDaily[EntryDate],DATE(2026,12,29),tblDaily[WardCode],"NICU")),"")</f>
        <v/>
      </c>
      <c r="D464" s="29" t="str">
        <f>IFERROR(IF(SUMIFS(tblDaily[Deaths],tblDaily[EntryDate],DATE(2026,12,29),tblDaily[WardCode],"NICU")=0,"",SUMIFS(tblDaily[Deaths],tblDaily[EntryDate],DATE(2026,12,29),tblDaily[WardCode],"NICU")),"")</f>
        <v/>
      </c>
      <c r="E464" s="29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29" t="str">
        <f>IFERROR(IF(SUMIFS(tblDaily[TransfersIn],tblDaily[EntryDate],DATE(2026,12,29),tblDaily[WardCode],"NICU")=0,"",SUMIFS(tblDaily[TransfersIn],tblDaily[EntryDate],DATE(2026,12,29),tblDaily[WardCode],"NICU")),"")</f>
        <v/>
      </c>
      <c r="G464" s="29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29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IFERROR(IF(SUMIFS(tblDaily[Admissions],tblDaily[EntryDate],DATE(2026,12,30),tblDaily[WardCode],"NICU")=0,"",SUMIFS(tblDaily[Admissions],tblDaily[EntryDate],DATE(2026,12,30),tblDaily[WardCode],"NICU")),"")</f>
        <v/>
      </c>
      <c r="C465" s="29" t="str">
        <f>IFERROR(IF(SUMIFS(tblDaily[Discharges],tblDaily[EntryDate],DATE(2026,12,30),tblDaily[WardCode],"NICU")=0,"",SUMIFS(tblDaily[Discharges],tblDaily[EntryDate],DATE(2026,12,30),tblDaily[WardCode],"NICU")),"")</f>
        <v/>
      </c>
      <c r="D465" s="29" t="str">
        <f>IFERROR(IF(SUMIFS(tblDaily[Deaths],tblDaily[EntryDate],DATE(2026,12,30),tblDaily[WardCode],"NICU")=0,"",SUMIFS(tblDaily[Deaths],tblDaily[EntryDate],DATE(2026,12,30),tblDaily[WardCode],"NICU")),"")</f>
        <v/>
      </c>
      <c r="E465" s="29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29" t="str">
        <f>IFERROR(IF(SUMIFS(tblDaily[TransfersIn],tblDaily[EntryDate],DATE(2026,12,30),tblDaily[WardCode],"NICU")=0,"",SUMIFS(tblDaily[TransfersIn],tblDaily[EntryDate],DATE(2026,12,30),tblDaily[WardCode],"NICU")),"")</f>
        <v/>
      </c>
      <c r="G465" s="29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29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IFERROR(IF(SUMIFS(tblDaily[Admissions],tblDaily[EntryDate],DATE(2026,12,31),tblDaily[WardCode],"NICU")=0,"",SUMIFS(tblDaily[Admissions],tblDaily[EntryDate],DATE(2026,12,31),tblDaily[WardCode],"NICU")),"")</f>
        <v/>
      </c>
      <c r="C466" s="29" t="str">
        <f>IFERROR(IF(SUMIFS(tblDaily[Discharges],tblDaily[EntryDate],DATE(2026,12,31),tblDaily[WardCode],"NICU")=0,"",SUMIFS(tblDaily[Discharges],tblDaily[EntryDate],DATE(2026,12,31),tblDaily[WardCode],"NICU")),"")</f>
        <v/>
      </c>
      <c r="D466" s="29" t="str">
        <f>IFERROR(IF(SUMIFS(tblDaily[Deaths],tblDaily[EntryDate],DATE(2026,12,31),tblDaily[WardCode],"NICU")=0,"",SUMIFS(tblDaily[Deaths],tblDaily[EntryDate],DATE(2026,12,31),tblDaily[WardCode],"NICU")),"")</f>
        <v/>
      </c>
      <c r="E466" s="29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29" t="str">
        <f>IFERROR(IF(SUMIFS(tblDaily[TransfersIn],tblDaily[EntryDate],DATE(2026,12,31),tblDaily[WardCode],"NICU")=0,"",SUMIFS(tblDaily[TransfersIn],tblDaily[EntryDate],DATE(2026,12,31),tblDaily[WardCode],"NICU")),"")</f>
        <v/>
      </c>
      <c r="G466" s="29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29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30" t="s">
        <v>115</v>
      </c>
      <c r="B467" s="30">
        <f>SUMIFS(tblDaily[Admissions],tblDaily[Month],12,tblDaily[WardCode],"NICU") - SUMIFS(tblDaily[DeathsUnder24Hrs],tblDaily[Month],12,tblDaily[WardCode],"NICU")</f>
        <v>0</v>
      </c>
      <c r="C467" s="30">
        <f>SUMIFS(tblDaily[Discharges],tblDaily[Month],12,tblDaily[WardCode],"NICU")</f>
        <v>0</v>
      </c>
      <c r="D467" s="30">
        <f>SUMIFS(tblDaily[Deaths],tblDaily[Month],12,tblDaily[WardCode],"NICU")</f>
        <v>0</v>
      </c>
      <c r="E467" s="30">
        <f>SUMIFS(tblDaily[DeathsUnder24Hrs],tblDaily[Month],12,tblDaily[WardCode],"NICU")</f>
        <v>0</v>
      </c>
      <c r="F467" s="30">
        <f>SUMIFS(tblDaily[TransfersIn],tblDaily[Month],12,tblDaily[WardCode],"NICU")</f>
        <v>0</v>
      </c>
      <c r="G467" s="30">
        <f>SUMIFS(tblDaily[TransfersOut],tblDaily[Month],12,tblDaily[WardCode],"NICU")</f>
        <v>0</v>
      </c>
      <c r="H467" s="30">
        <f>SUMIFS(tblDaily[Remaining],tblDaily[Month],12,tblDaily[WardCode],"NICU")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122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IFERROR(INDEX(tblWardConfig[PrevYearRemaining],MATCH("MAE",tblWardConfig[WardCode],0)),0)</f>
        <v>9</v>
      </c>
    </row>
    <row r="5" spans="1:8" x14ac:dyDescent="0.25">
      <c r="A5" s="24" t="s">
        <v>109</v>
      </c>
      <c r="H5" s="27">
        <f>IFERROR(INDEX(tblWardConfig[BedComplement],MATCH("MAE",tblWardConfig[WardCode],0)),0)</f>
        <v>10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>
        <f>IFERROR(IF(SUMIFS(tblDaily[Admissions],tblDaily[EntryDate],DATE(2026,1,1),tblDaily[WardCode],"MAE")=0,"",SUMIFS(tblDaily[Admissions],tblDaily[EntryDate],DATE(2026,1,1),tblDaily[WardCode],"MAE")),"")</f>
        <v>3</v>
      </c>
      <c r="C7" s="29">
        <f>IFERROR(IF(SUMIFS(tblDaily[Discharges],tblDaily[EntryDate],DATE(2026,1,1),tblDaily[WardCode],"MAE")=0,"",SUMIFS(tblDaily[Discharges],tblDaily[EntryDate],DATE(2026,1,1),tblDaily[WardCode],"MAE")),"")</f>
        <v>3</v>
      </c>
      <c r="D7" s="29" t="str">
        <f>IFERROR(IF(SUMIFS(tblDaily[Deaths],tblDaily[EntryDate],DATE(2026,1,1),tblDaily[WardCode],"MAE")=0,"",SUMIFS(tblDaily[Deaths],tblDaily[EntryDate],DATE(2026,1,1),tblDaily[WardCode],"MAE")),"")</f>
        <v/>
      </c>
      <c r="E7" s="29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29" t="str">
        <f>IFERROR(IF(SUMIFS(tblDaily[TransfersIn],tblDaily[EntryDate],DATE(2026,1,1),tblDaily[WardCode],"MAE")=0,"",SUMIFS(tblDaily[TransfersIn],tblDaily[EntryDate],DATE(2026,1,1),tblDaily[WardCode],"MAE")),"")</f>
        <v/>
      </c>
      <c r="G7" s="29">
        <f>IFERROR(IF(SUMIFS(tblDaily[TransfersOut],tblDaily[EntryDate],DATE(2026,1,1),tblDaily[WardCode],"MAE")=0,"",SUMIFS(tblDaily[TransfersOut],tblDaily[EntryDate],DATE(2026,1,1),tblDaily[WardCode],"MAE")),"")</f>
        <v>1</v>
      </c>
      <c r="H7" s="29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29">
        <v>2</v>
      </c>
      <c r="B8" s="29">
        <f>IFERROR(IF(SUMIFS(tblDaily[Admissions],tblDaily[EntryDate],DATE(2026,1,2),tblDaily[WardCode],"MAE")=0,"",SUMIFS(tblDaily[Admissions],tblDaily[EntryDate],DATE(2026,1,2),tblDaily[WardCode],"MAE")),"")</f>
        <v>4</v>
      </c>
      <c r="C8" s="29">
        <f>IFERROR(IF(SUMIFS(tblDaily[Discharges],tblDaily[EntryDate],DATE(2026,1,2),tblDaily[WardCode],"MAE")=0,"",SUMIFS(tblDaily[Discharges],tblDaily[EntryDate],DATE(2026,1,2),tblDaily[WardCode],"MAE")),"")</f>
        <v>3</v>
      </c>
      <c r="D8" s="29" t="str">
        <f>IFERROR(IF(SUMIFS(tblDaily[Deaths],tblDaily[EntryDate],DATE(2026,1,2),tblDaily[WardCode],"MAE")=0,"",SUMIFS(tblDaily[Deaths],tblDaily[EntryDate],DATE(2026,1,2),tblDaily[WardCode],"MAE")),"")</f>
        <v/>
      </c>
      <c r="E8" s="29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29" t="str">
        <f>IFERROR(IF(SUMIFS(tblDaily[TransfersIn],tblDaily[EntryDate],DATE(2026,1,2),tblDaily[WardCode],"MAE")=0,"",SUMIFS(tblDaily[TransfersIn],tblDaily[EntryDate],DATE(2026,1,2),tblDaily[WardCode],"MAE")),"")</f>
        <v/>
      </c>
      <c r="G8" s="29" t="str">
        <f>IFERROR(IF(SUMIFS(tblDaily[TransfersOut],tblDaily[EntryDate],DATE(2026,1,2),tblDaily[WardCode],"MAE")=0,"",SUMIFS(tblDaily[TransfersOut],tblDaily[EntryDate],DATE(2026,1,2),tblDaily[WardCode],"MAE")),"")</f>
        <v/>
      </c>
      <c r="H8" s="29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29">
        <v>3</v>
      </c>
      <c r="B9" s="29">
        <f>IFERROR(IF(SUMIFS(tblDaily[Admissions],tblDaily[EntryDate],DATE(2026,1,3),tblDaily[WardCode],"MAE")=0,"",SUMIFS(tblDaily[Admissions],tblDaily[EntryDate],DATE(2026,1,3),tblDaily[WardCode],"MAE")),"")</f>
        <v>5</v>
      </c>
      <c r="C9" s="29">
        <f>IFERROR(IF(SUMIFS(tblDaily[Discharges],tblDaily[EntryDate],DATE(2026,1,3),tblDaily[WardCode],"MAE")=0,"",SUMIFS(tblDaily[Discharges],tblDaily[EntryDate],DATE(2026,1,3),tblDaily[WardCode],"MAE")),"")</f>
        <v>2</v>
      </c>
      <c r="D9" s="29" t="str">
        <f>IFERROR(IF(SUMIFS(tblDaily[Deaths],tblDaily[EntryDate],DATE(2026,1,3),tblDaily[WardCode],"MAE")=0,"",SUMIFS(tblDaily[Deaths],tblDaily[EntryDate],DATE(2026,1,3),tblDaily[WardCode],"MAE")),"")</f>
        <v/>
      </c>
      <c r="E9" s="29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29" t="str">
        <f>IFERROR(IF(SUMIFS(tblDaily[TransfersIn],tblDaily[EntryDate],DATE(2026,1,3),tblDaily[WardCode],"MAE")=0,"",SUMIFS(tblDaily[TransfersIn],tblDaily[EntryDate],DATE(2026,1,3),tblDaily[WardCode],"MAE")),"")</f>
        <v/>
      </c>
      <c r="G9" s="29">
        <f>IFERROR(IF(SUMIFS(tblDaily[TransfersOut],tblDaily[EntryDate],DATE(2026,1,3),tblDaily[WardCode],"MAE")=0,"",SUMIFS(tblDaily[TransfersOut],tblDaily[EntryDate],DATE(2026,1,3),tblDaily[WardCode],"MAE")),"")</f>
        <v>2</v>
      </c>
      <c r="H9" s="29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29">
        <v>4</v>
      </c>
      <c r="B10" s="29">
        <f>IFERROR(IF(SUMIFS(tblDaily[Admissions],tblDaily[EntryDate],DATE(2026,1,4),tblDaily[WardCode],"MAE")=0,"",SUMIFS(tblDaily[Admissions],tblDaily[EntryDate],DATE(2026,1,4),tblDaily[WardCode],"MAE")),"")</f>
        <v>4</v>
      </c>
      <c r="C10" s="29">
        <f>IFERROR(IF(SUMIFS(tblDaily[Discharges],tblDaily[EntryDate],DATE(2026,1,4),tblDaily[WardCode],"MAE")=0,"",SUMIFS(tblDaily[Discharges],tblDaily[EntryDate],DATE(2026,1,4),tblDaily[WardCode],"MAE")),"")</f>
        <v>1</v>
      </c>
      <c r="D10" s="29" t="str">
        <f>IFERROR(IF(SUMIFS(tblDaily[Deaths],tblDaily[EntryDate],DATE(2026,1,4),tblDaily[WardCode],"MAE")=0,"",SUMIFS(tblDaily[Deaths],tblDaily[EntryDate],DATE(2026,1,4),tblDaily[WardCode],"MAE")),"")</f>
        <v/>
      </c>
      <c r="E10" s="29">
        <f>IFERROR(IF(SUMIFS(tblDaily[DeathsUnder24Hrs],tblDaily[EntryDate],DATE(2026,1,4),tblDaily[WardCode],"MAE")=0,"",SUMIFS(tblDaily[DeathsUnder24Hrs],tblDaily[EntryDate],DATE(2026,1,4),tblDaily[WardCode],"MAE")),"")</f>
        <v>1</v>
      </c>
      <c r="F10" s="29" t="str">
        <f>IFERROR(IF(SUMIFS(tblDaily[TransfersIn],tblDaily[EntryDate],DATE(2026,1,4),tblDaily[WardCode],"MAE")=0,"",SUMIFS(tblDaily[TransfersIn],tblDaily[EntryDate],DATE(2026,1,4),tblDaily[WardCode],"MAE")),"")</f>
        <v/>
      </c>
      <c r="G10" s="29">
        <f>IFERROR(IF(SUMIFS(tblDaily[TransfersOut],tblDaily[EntryDate],DATE(2026,1,4),tblDaily[WardCode],"MAE")=0,"",SUMIFS(tblDaily[TransfersOut],tblDaily[EntryDate],DATE(2026,1,4),tblDaily[WardCode],"MAE")),"")</f>
        <v>3</v>
      </c>
      <c r="H10" s="29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29">
        <v>5</v>
      </c>
      <c r="B11" s="29">
        <f>IFERROR(IF(SUMIFS(tblDaily[Admissions],tblDaily[EntryDate],DATE(2026,1,5),tblDaily[WardCode],"MAE")=0,"",SUMIFS(tblDaily[Admissions],tblDaily[EntryDate],DATE(2026,1,5),tblDaily[WardCode],"MAE")),"")</f>
        <v>1</v>
      </c>
      <c r="C11" s="29">
        <f>IFERROR(IF(SUMIFS(tblDaily[Discharges],tblDaily[EntryDate],DATE(2026,1,5),tblDaily[WardCode],"MAE")=0,"",SUMIFS(tblDaily[Discharges],tblDaily[EntryDate],DATE(2026,1,5),tblDaily[WardCode],"MAE")),"")</f>
        <v>8</v>
      </c>
      <c r="D11" s="29" t="str">
        <f>IFERROR(IF(SUMIFS(tblDaily[Deaths],tblDaily[EntryDate],DATE(2026,1,5),tblDaily[WardCode],"MAE")=0,"",SUMIFS(tblDaily[Deaths],tblDaily[EntryDate],DATE(2026,1,5),tblDaily[WardCode],"MAE")),"")</f>
        <v/>
      </c>
      <c r="E11" s="29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29" t="str">
        <f>IFERROR(IF(SUMIFS(tblDaily[TransfersIn],tblDaily[EntryDate],DATE(2026,1,5),tblDaily[WardCode],"MAE")=0,"",SUMIFS(tblDaily[TransfersIn],tblDaily[EntryDate],DATE(2026,1,5),tblDaily[WardCode],"MAE")),"")</f>
        <v/>
      </c>
      <c r="G11" s="29" t="str">
        <f>IFERROR(IF(SUMIFS(tblDaily[TransfersOut],tblDaily[EntryDate],DATE(2026,1,5),tblDaily[WardCode],"MAE")=0,"",SUMIFS(tblDaily[TransfersOut],tblDaily[EntryDate],DATE(2026,1,5),tblDaily[WardCode],"MAE")),"")</f>
        <v/>
      </c>
      <c r="H11" s="29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29">
        <v>6</v>
      </c>
      <c r="B12" s="29">
        <f>IFERROR(IF(SUMIFS(tblDaily[Admissions],tblDaily[EntryDate],DATE(2026,1,6),tblDaily[WardCode],"MAE")=0,"",SUMIFS(tblDaily[Admissions],tblDaily[EntryDate],DATE(2026,1,6),tblDaily[WardCode],"MAE")),"")</f>
        <v>2</v>
      </c>
      <c r="C12" s="29">
        <f>IFERROR(IF(SUMIFS(tblDaily[Discharges],tblDaily[EntryDate],DATE(2026,1,6),tblDaily[WardCode],"MAE")=0,"",SUMIFS(tblDaily[Discharges],tblDaily[EntryDate],DATE(2026,1,6),tblDaily[WardCode],"MAE")),"")</f>
        <v>1</v>
      </c>
      <c r="D12" s="29" t="str">
        <f>IFERROR(IF(SUMIFS(tblDaily[Deaths],tblDaily[EntryDate],DATE(2026,1,6),tblDaily[WardCode],"MAE")=0,"",SUMIFS(tblDaily[Deaths],tblDaily[EntryDate],DATE(2026,1,6),tblDaily[WardCode],"MAE")),"")</f>
        <v/>
      </c>
      <c r="E12" s="29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29" t="str">
        <f>IFERROR(IF(SUMIFS(tblDaily[TransfersIn],tblDaily[EntryDate],DATE(2026,1,6),tblDaily[WardCode],"MAE")=0,"",SUMIFS(tblDaily[TransfersIn],tblDaily[EntryDate],DATE(2026,1,6),tblDaily[WardCode],"MAE")),"")</f>
        <v/>
      </c>
      <c r="G12" s="29">
        <f>IFERROR(IF(SUMIFS(tblDaily[TransfersOut],tblDaily[EntryDate],DATE(2026,1,6),tblDaily[WardCode],"MAE")=0,"",SUMIFS(tblDaily[TransfersOut],tblDaily[EntryDate],DATE(2026,1,6),tblDaily[WardCode],"MAE")),"")</f>
        <v>2</v>
      </c>
      <c r="H12" s="29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29">
        <v>7</v>
      </c>
      <c r="B13" s="29">
        <f>IFERROR(IF(SUMIFS(tblDaily[Admissions],tblDaily[EntryDate],DATE(2026,1,7),tblDaily[WardCode],"MAE")=0,"",SUMIFS(tblDaily[Admissions],tblDaily[EntryDate],DATE(2026,1,7),tblDaily[WardCode],"MAE")),"")</f>
        <v>3</v>
      </c>
      <c r="C13" s="29">
        <f>IFERROR(IF(SUMIFS(tblDaily[Discharges],tblDaily[EntryDate],DATE(2026,1,7),tblDaily[WardCode],"MAE")=0,"",SUMIFS(tblDaily[Discharges],tblDaily[EntryDate],DATE(2026,1,7),tblDaily[WardCode],"MAE")),"")</f>
        <v>1</v>
      </c>
      <c r="D13" s="29" t="str">
        <f>IFERROR(IF(SUMIFS(tblDaily[Deaths],tblDaily[EntryDate],DATE(2026,1,7),tblDaily[WardCode],"MAE")=0,"",SUMIFS(tblDaily[Deaths],tblDaily[EntryDate],DATE(2026,1,7),tblDaily[WardCode],"MAE")),"")</f>
        <v/>
      </c>
      <c r="E13" s="29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29" t="str">
        <f>IFERROR(IF(SUMIFS(tblDaily[TransfersIn],tblDaily[EntryDate],DATE(2026,1,7),tblDaily[WardCode],"MAE")=0,"",SUMIFS(tblDaily[TransfersIn],tblDaily[EntryDate],DATE(2026,1,7),tblDaily[WardCode],"MAE")),"")</f>
        <v/>
      </c>
      <c r="G13" s="29">
        <f>IFERROR(IF(SUMIFS(tblDaily[TransfersOut],tblDaily[EntryDate],DATE(2026,1,7),tblDaily[WardCode],"MAE")=0,"",SUMIFS(tblDaily[TransfersOut],tblDaily[EntryDate],DATE(2026,1,7),tblDaily[WardCode],"MAE")),"")</f>
        <v>1</v>
      </c>
      <c r="H13" s="29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29">
        <v>8</v>
      </c>
      <c r="B14" s="29">
        <f>IFERROR(IF(SUMIFS(tblDaily[Admissions],tblDaily[EntryDate],DATE(2026,1,8),tblDaily[WardCode],"MAE")=0,"",SUMIFS(tblDaily[Admissions],tblDaily[EntryDate],DATE(2026,1,8),tblDaily[WardCode],"MAE")),"")</f>
        <v>5</v>
      </c>
      <c r="C14" s="29">
        <f>IFERROR(IF(SUMIFS(tblDaily[Discharges],tblDaily[EntryDate],DATE(2026,1,8),tblDaily[WardCode],"MAE")=0,"",SUMIFS(tblDaily[Discharges],tblDaily[EntryDate],DATE(2026,1,8),tblDaily[WardCode],"MAE")),"")</f>
        <v>1</v>
      </c>
      <c r="D14" s="29" t="str">
        <f>IFERROR(IF(SUMIFS(tblDaily[Deaths],tblDaily[EntryDate],DATE(2026,1,8),tblDaily[WardCode],"MAE")=0,"",SUMIFS(tblDaily[Deaths],tblDaily[EntryDate],DATE(2026,1,8),tblDaily[WardCode],"MAE")),"")</f>
        <v/>
      </c>
      <c r="E14" s="29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29" t="str">
        <f>IFERROR(IF(SUMIFS(tblDaily[TransfersIn],tblDaily[EntryDate],DATE(2026,1,8),tblDaily[WardCode],"MAE")=0,"",SUMIFS(tblDaily[TransfersIn],tblDaily[EntryDate],DATE(2026,1,8),tblDaily[WardCode],"MAE")),"")</f>
        <v/>
      </c>
      <c r="G14" s="29" t="str">
        <f>IFERROR(IF(SUMIFS(tblDaily[TransfersOut],tblDaily[EntryDate],DATE(2026,1,8),tblDaily[WardCode],"MAE")=0,"",SUMIFS(tblDaily[TransfersOut],tblDaily[EntryDate],DATE(2026,1,8),tblDaily[WardCode],"MAE")),"")</f>
        <v/>
      </c>
      <c r="H14" s="29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29">
        <v>9</v>
      </c>
      <c r="B15" s="29" t="str">
        <f>IFERROR(IF(SUMIFS(tblDaily[Admissions],tblDaily[EntryDate],DATE(2026,1,9),tblDaily[WardCode],"MAE")=0,"",SUMIFS(tblDaily[Admissions],tblDaily[EntryDate],DATE(2026,1,9),tblDaily[WardCode],"MAE")),"")</f>
        <v/>
      </c>
      <c r="C15" s="29">
        <f>IFERROR(IF(SUMIFS(tblDaily[Discharges],tblDaily[EntryDate],DATE(2026,1,9),tblDaily[WardCode],"MAE")=0,"",SUMIFS(tblDaily[Discharges],tblDaily[EntryDate],DATE(2026,1,9),tblDaily[WardCode],"MAE")),"")</f>
        <v>2</v>
      </c>
      <c r="D15" s="29" t="str">
        <f>IFERROR(IF(SUMIFS(tblDaily[Deaths],tblDaily[EntryDate],DATE(2026,1,9),tblDaily[WardCode],"MAE")=0,"",SUMIFS(tblDaily[Deaths],tblDaily[EntryDate],DATE(2026,1,9),tblDaily[WardCode],"MAE")),"")</f>
        <v/>
      </c>
      <c r="E15" s="29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29" t="str">
        <f>IFERROR(IF(SUMIFS(tblDaily[TransfersIn],tblDaily[EntryDate],DATE(2026,1,9),tblDaily[WardCode],"MAE")=0,"",SUMIFS(tblDaily[TransfersIn],tblDaily[EntryDate],DATE(2026,1,9),tblDaily[WardCode],"MAE")),"")</f>
        <v/>
      </c>
      <c r="G15" s="29">
        <f>IFERROR(IF(SUMIFS(tblDaily[TransfersOut],tblDaily[EntryDate],DATE(2026,1,9),tblDaily[WardCode],"MAE")=0,"",SUMIFS(tblDaily[TransfersOut],tblDaily[EntryDate],DATE(2026,1,9),tblDaily[WardCode],"MAE")),"")</f>
        <v>2</v>
      </c>
      <c r="H15" s="29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29">
        <v>10</v>
      </c>
      <c r="B16" s="29">
        <f>IFERROR(IF(SUMIFS(tblDaily[Admissions],tblDaily[EntryDate],DATE(2026,1,10),tblDaily[WardCode],"MAE")=0,"",SUMIFS(tblDaily[Admissions],tblDaily[EntryDate],DATE(2026,1,10),tblDaily[WardCode],"MAE")),"")</f>
        <v>2</v>
      </c>
      <c r="C16" s="29" t="str">
        <f>IFERROR(IF(SUMIFS(tblDaily[Discharges],tblDaily[EntryDate],DATE(2026,1,10),tblDaily[WardCode],"MAE")=0,"",SUMIFS(tblDaily[Discharges],tblDaily[EntryDate],DATE(2026,1,10),tblDaily[WardCode],"MAE")),"")</f>
        <v/>
      </c>
      <c r="D16" s="29" t="str">
        <f>IFERROR(IF(SUMIFS(tblDaily[Deaths],tblDaily[EntryDate],DATE(2026,1,10),tblDaily[WardCode],"MAE")=0,"",SUMIFS(tblDaily[Deaths],tblDaily[EntryDate],DATE(2026,1,10),tblDaily[WardCode],"MAE")),"")</f>
        <v/>
      </c>
      <c r="E16" s="29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29" t="str">
        <f>IFERROR(IF(SUMIFS(tblDaily[TransfersIn],tblDaily[EntryDate],DATE(2026,1,10),tblDaily[WardCode],"MAE")=0,"",SUMIFS(tblDaily[TransfersIn],tblDaily[EntryDate],DATE(2026,1,10),tblDaily[WardCode],"MAE")),"")</f>
        <v/>
      </c>
      <c r="G16" s="29" t="str">
        <f>IFERROR(IF(SUMIFS(tblDaily[TransfersOut],tblDaily[EntryDate],DATE(2026,1,10),tblDaily[WardCode],"MAE")=0,"",SUMIFS(tblDaily[TransfersOut],tblDaily[EntryDate],DATE(2026,1,10),tblDaily[WardCode],"MAE")),"")</f>
        <v/>
      </c>
      <c r="H16" s="29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29">
        <v>11</v>
      </c>
      <c r="B17" s="29">
        <f>IFERROR(IF(SUMIFS(tblDaily[Admissions],tblDaily[EntryDate],DATE(2026,1,11),tblDaily[WardCode],"MAE")=0,"",SUMIFS(tblDaily[Admissions],tblDaily[EntryDate],DATE(2026,1,11),tblDaily[WardCode],"MAE")),"")</f>
        <v>4</v>
      </c>
      <c r="C17" s="29">
        <f>IFERROR(IF(SUMIFS(tblDaily[Discharges],tblDaily[EntryDate],DATE(2026,1,11),tblDaily[WardCode],"MAE")=0,"",SUMIFS(tblDaily[Discharges],tblDaily[EntryDate],DATE(2026,1,11),tblDaily[WardCode],"MAE")),"")</f>
        <v>1</v>
      </c>
      <c r="D17" s="29" t="str">
        <f>IFERROR(IF(SUMIFS(tblDaily[Deaths],tblDaily[EntryDate],DATE(2026,1,11),tblDaily[WardCode],"MAE")=0,"",SUMIFS(tblDaily[Deaths],tblDaily[EntryDate],DATE(2026,1,11),tblDaily[WardCode],"MAE")),"")</f>
        <v/>
      </c>
      <c r="E17" s="29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29" t="str">
        <f>IFERROR(IF(SUMIFS(tblDaily[TransfersIn],tblDaily[EntryDate],DATE(2026,1,11),tblDaily[WardCode],"MAE")=0,"",SUMIFS(tblDaily[TransfersIn],tblDaily[EntryDate],DATE(2026,1,11),tblDaily[WardCode],"MAE")),"")</f>
        <v/>
      </c>
      <c r="G17" s="29">
        <f>IFERROR(IF(SUMIFS(tblDaily[TransfersOut],tblDaily[EntryDate],DATE(2026,1,11),tblDaily[WardCode],"MAE")=0,"",SUMIFS(tblDaily[TransfersOut],tblDaily[EntryDate],DATE(2026,1,11),tblDaily[WardCode],"MAE")),"")</f>
        <v>4</v>
      </c>
      <c r="H17" s="29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29">
        <v>12</v>
      </c>
      <c r="B18" s="29">
        <f>IFERROR(IF(SUMIFS(tblDaily[Admissions],tblDaily[EntryDate],DATE(2026,1,12),tblDaily[WardCode],"MAE")=0,"",SUMIFS(tblDaily[Admissions],tblDaily[EntryDate],DATE(2026,1,12),tblDaily[WardCode],"MAE")),"")</f>
        <v>1</v>
      </c>
      <c r="C18" s="29" t="str">
        <f>IFERROR(IF(SUMIFS(tblDaily[Discharges],tblDaily[EntryDate],DATE(2026,1,12),tblDaily[WardCode],"MAE")=0,"",SUMIFS(tblDaily[Discharges],tblDaily[EntryDate],DATE(2026,1,12),tblDaily[WardCode],"MAE")),"")</f>
        <v/>
      </c>
      <c r="D18" s="29" t="str">
        <f>IFERROR(IF(SUMIFS(tblDaily[Deaths],tblDaily[EntryDate],DATE(2026,1,12),tblDaily[WardCode],"MAE")=0,"",SUMIFS(tblDaily[Deaths],tblDaily[EntryDate],DATE(2026,1,12),tblDaily[WardCode],"MAE")),"")</f>
        <v/>
      </c>
      <c r="E18" s="29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29" t="str">
        <f>IFERROR(IF(SUMIFS(tblDaily[TransfersIn],tblDaily[EntryDate],DATE(2026,1,12),tblDaily[WardCode],"MAE")=0,"",SUMIFS(tblDaily[TransfersIn],tblDaily[EntryDate],DATE(2026,1,12),tblDaily[WardCode],"MAE")),"")</f>
        <v/>
      </c>
      <c r="G18" s="29">
        <f>IFERROR(IF(SUMIFS(tblDaily[TransfersOut],tblDaily[EntryDate],DATE(2026,1,12),tblDaily[WardCode],"MAE")=0,"",SUMIFS(tblDaily[TransfersOut],tblDaily[EntryDate],DATE(2026,1,12),tblDaily[WardCode],"MAE")),"")</f>
        <v>3</v>
      </c>
      <c r="H18" s="29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29">
        <v>13</v>
      </c>
      <c r="B19" s="29">
        <f>IFERROR(IF(SUMIFS(tblDaily[Admissions],tblDaily[EntryDate],DATE(2026,1,13),tblDaily[WardCode],"MAE")=0,"",SUMIFS(tblDaily[Admissions],tblDaily[EntryDate],DATE(2026,1,13),tblDaily[WardCode],"MAE")),"")</f>
        <v>4</v>
      </c>
      <c r="C19" s="29" t="str">
        <f>IFERROR(IF(SUMIFS(tblDaily[Discharges],tblDaily[EntryDate],DATE(2026,1,13),tblDaily[WardCode],"MAE")=0,"",SUMIFS(tblDaily[Discharges],tblDaily[EntryDate],DATE(2026,1,13),tblDaily[WardCode],"MAE")),"")</f>
        <v/>
      </c>
      <c r="D19" s="29" t="str">
        <f>IFERROR(IF(SUMIFS(tblDaily[Deaths],tblDaily[EntryDate],DATE(2026,1,13),tblDaily[WardCode],"MAE")=0,"",SUMIFS(tblDaily[Deaths],tblDaily[EntryDate],DATE(2026,1,13),tblDaily[WardCode],"MAE")),"")</f>
        <v/>
      </c>
      <c r="E19" s="29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29" t="str">
        <f>IFERROR(IF(SUMIFS(tblDaily[TransfersIn],tblDaily[EntryDate],DATE(2026,1,13),tblDaily[WardCode],"MAE")=0,"",SUMIFS(tblDaily[TransfersIn],tblDaily[EntryDate],DATE(2026,1,13),tblDaily[WardCode],"MAE")),"")</f>
        <v/>
      </c>
      <c r="G19" s="29">
        <f>IFERROR(IF(SUMIFS(tblDaily[TransfersOut],tblDaily[EntryDate],DATE(2026,1,13),tblDaily[WardCode],"MAE")=0,"",SUMIFS(tblDaily[TransfersOut],tblDaily[EntryDate],DATE(2026,1,13),tblDaily[WardCode],"MAE")),"")</f>
        <v>2</v>
      </c>
      <c r="H19" s="29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29">
        <v>14</v>
      </c>
      <c r="B20" s="29">
        <f>IFERROR(IF(SUMIFS(tblDaily[Admissions],tblDaily[EntryDate],DATE(2026,1,14),tblDaily[WardCode],"MAE")=0,"",SUMIFS(tblDaily[Admissions],tblDaily[EntryDate],DATE(2026,1,14),tblDaily[WardCode],"MAE")),"")</f>
        <v>4</v>
      </c>
      <c r="C20" s="29" t="str">
        <f>IFERROR(IF(SUMIFS(tblDaily[Discharges],tblDaily[EntryDate],DATE(2026,1,14),tblDaily[WardCode],"MAE")=0,"",SUMIFS(tblDaily[Discharges],tblDaily[EntryDate],DATE(2026,1,14),tblDaily[WardCode],"MAE")),"")</f>
        <v/>
      </c>
      <c r="D20" s="29" t="str">
        <f>IFERROR(IF(SUMIFS(tblDaily[Deaths],tblDaily[EntryDate],DATE(2026,1,14),tblDaily[WardCode],"MAE")=0,"",SUMIFS(tblDaily[Deaths],tblDaily[EntryDate],DATE(2026,1,14),tblDaily[WardCode],"MAE")),"")</f>
        <v/>
      </c>
      <c r="E20" s="29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29" t="str">
        <f>IFERROR(IF(SUMIFS(tblDaily[TransfersIn],tblDaily[EntryDate],DATE(2026,1,14),tblDaily[WardCode],"MAE")=0,"",SUMIFS(tblDaily[TransfersIn],tblDaily[EntryDate],DATE(2026,1,14),tblDaily[WardCode],"MAE")),"")</f>
        <v/>
      </c>
      <c r="G20" s="29">
        <f>IFERROR(IF(SUMIFS(tblDaily[TransfersOut],tblDaily[EntryDate],DATE(2026,1,14),tblDaily[WardCode],"MAE")=0,"",SUMIFS(tblDaily[TransfersOut],tblDaily[EntryDate],DATE(2026,1,14),tblDaily[WardCode],"MAE")),"")</f>
        <v>1</v>
      </c>
      <c r="H20" s="29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29">
        <v>15</v>
      </c>
      <c r="B21" s="29">
        <f>IFERROR(IF(SUMIFS(tblDaily[Admissions],tblDaily[EntryDate],DATE(2026,1,15),tblDaily[WardCode],"MAE")=0,"",SUMIFS(tblDaily[Admissions],tblDaily[EntryDate],DATE(2026,1,15),tblDaily[WardCode],"MAE")),"")</f>
        <v>1</v>
      </c>
      <c r="C21" s="29">
        <f>IFERROR(IF(SUMIFS(tblDaily[Discharges],tblDaily[EntryDate],DATE(2026,1,15),tblDaily[WardCode],"MAE")=0,"",SUMIFS(tblDaily[Discharges],tblDaily[EntryDate],DATE(2026,1,15),tblDaily[WardCode],"MAE")),"")</f>
        <v>2</v>
      </c>
      <c r="D21" s="29" t="str">
        <f>IFERROR(IF(SUMIFS(tblDaily[Deaths],tblDaily[EntryDate],DATE(2026,1,15),tblDaily[WardCode],"MAE")=0,"",SUMIFS(tblDaily[Deaths],tblDaily[EntryDate],DATE(2026,1,15),tblDaily[WardCode],"MAE")),"")</f>
        <v/>
      </c>
      <c r="E21" s="29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29" t="str">
        <f>IFERROR(IF(SUMIFS(tblDaily[TransfersIn],tblDaily[EntryDate],DATE(2026,1,15),tblDaily[WardCode],"MAE")=0,"",SUMIFS(tblDaily[TransfersIn],tblDaily[EntryDate],DATE(2026,1,15),tblDaily[WardCode],"MAE")),"")</f>
        <v/>
      </c>
      <c r="G21" s="29" t="str">
        <f>IFERROR(IF(SUMIFS(tblDaily[TransfersOut],tblDaily[EntryDate],DATE(2026,1,15),tblDaily[WardCode],"MAE")=0,"",SUMIFS(tblDaily[TransfersOut],tblDaily[EntryDate],DATE(2026,1,15),tblDaily[WardCode],"MAE")),"")</f>
        <v/>
      </c>
      <c r="H21" s="29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29">
        <v>16</v>
      </c>
      <c r="B22" s="29">
        <f>IFERROR(IF(SUMIFS(tblDaily[Admissions],tblDaily[EntryDate],DATE(2026,1,16),tblDaily[WardCode],"MAE")=0,"",SUMIFS(tblDaily[Admissions],tblDaily[EntryDate],DATE(2026,1,16),tblDaily[WardCode],"MAE")),"")</f>
        <v>6</v>
      </c>
      <c r="C22" s="29">
        <f>IFERROR(IF(SUMIFS(tblDaily[Discharges],tblDaily[EntryDate],DATE(2026,1,16),tblDaily[WardCode],"MAE")=0,"",SUMIFS(tblDaily[Discharges],tblDaily[EntryDate],DATE(2026,1,16),tblDaily[WardCode],"MAE")),"")</f>
        <v>1</v>
      </c>
      <c r="D22" s="29" t="str">
        <f>IFERROR(IF(SUMIFS(tblDaily[Deaths],tblDaily[EntryDate],DATE(2026,1,16),tblDaily[WardCode],"MAE")=0,"",SUMIFS(tblDaily[Deaths],tblDaily[EntryDate],DATE(2026,1,16),tblDaily[WardCode],"MAE")),"")</f>
        <v/>
      </c>
      <c r="E22" s="29">
        <f>IFERROR(IF(SUMIFS(tblDaily[DeathsUnder24Hrs],tblDaily[EntryDate],DATE(2026,1,16),tblDaily[WardCode],"MAE")=0,"",SUMIFS(tblDaily[DeathsUnder24Hrs],tblDaily[EntryDate],DATE(2026,1,16),tblDaily[WardCode],"MAE")),"")</f>
        <v>1</v>
      </c>
      <c r="F22" s="29" t="str">
        <f>IFERROR(IF(SUMIFS(tblDaily[TransfersIn],tblDaily[EntryDate],DATE(2026,1,16),tblDaily[WardCode],"MAE")=0,"",SUMIFS(tblDaily[TransfersIn],tblDaily[EntryDate],DATE(2026,1,16),tblDaily[WardCode],"MAE")),"")</f>
        <v/>
      </c>
      <c r="G22" s="29" t="str">
        <f>IFERROR(IF(SUMIFS(tblDaily[TransfersOut],tblDaily[EntryDate],DATE(2026,1,16),tblDaily[WardCode],"MAE")=0,"",SUMIFS(tblDaily[TransfersOut],tblDaily[EntryDate],DATE(2026,1,16),tblDaily[WardCode],"MAE")),"")</f>
        <v/>
      </c>
      <c r="H22" s="29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29">
        <v>17</v>
      </c>
      <c r="B23" s="29">
        <f>IFERROR(IF(SUMIFS(tblDaily[Admissions],tblDaily[EntryDate],DATE(2026,1,17),tblDaily[WardCode],"MAE")=0,"",SUMIFS(tblDaily[Admissions],tblDaily[EntryDate],DATE(2026,1,17),tblDaily[WardCode],"MAE")),"")</f>
        <v>3</v>
      </c>
      <c r="C23" s="29" t="str">
        <f>IFERROR(IF(SUMIFS(tblDaily[Discharges],tblDaily[EntryDate],DATE(2026,1,17),tblDaily[WardCode],"MAE")=0,"",SUMIFS(tblDaily[Discharges],tblDaily[EntryDate],DATE(2026,1,17),tblDaily[WardCode],"MAE")),"")</f>
        <v/>
      </c>
      <c r="D23" s="29" t="str">
        <f>IFERROR(IF(SUMIFS(tblDaily[Deaths],tblDaily[EntryDate],DATE(2026,1,17),tblDaily[WardCode],"MAE")=0,"",SUMIFS(tblDaily[Deaths],tblDaily[EntryDate],DATE(2026,1,17),tblDaily[WardCode],"MAE")),"")</f>
        <v/>
      </c>
      <c r="E23" s="29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29" t="str">
        <f>IFERROR(IF(SUMIFS(tblDaily[TransfersIn],tblDaily[EntryDate],DATE(2026,1,17),tblDaily[WardCode],"MAE")=0,"",SUMIFS(tblDaily[TransfersIn],tblDaily[EntryDate],DATE(2026,1,17),tblDaily[WardCode],"MAE")),"")</f>
        <v/>
      </c>
      <c r="G23" s="29">
        <f>IFERROR(IF(SUMIFS(tblDaily[TransfersOut],tblDaily[EntryDate],DATE(2026,1,17),tblDaily[WardCode],"MAE")=0,"",SUMIFS(tblDaily[TransfersOut],tblDaily[EntryDate],DATE(2026,1,17),tblDaily[WardCode],"MAE")),"")</f>
        <v>3</v>
      </c>
      <c r="H23" s="29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29">
        <v>18</v>
      </c>
      <c r="B24" s="29" t="str">
        <f>IFERROR(IF(SUMIFS(tblDaily[Admissions],tblDaily[EntryDate],DATE(2026,1,18),tblDaily[WardCode],"MAE")=0,"",SUMIFS(tblDaily[Admissions],tblDaily[EntryDate],DATE(2026,1,18),tblDaily[WardCode],"MAE")),"")</f>
        <v/>
      </c>
      <c r="C24" s="29">
        <f>IFERROR(IF(SUMIFS(tblDaily[Discharges],tblDaily[EntryDate],DATE(2026,1,18),tblDaily[WardCode],"MAE")=0,"",SUMIFS(tblDaily[Discharges],tblDaily[EntryDate],DATE(2026,1,18),tblDaily[WardCode],"MAE")),"")</f>
        <v>1</v>
      </c>
      <c r="D24" s="29" t="str">
        <f>IFERROR(IF(SUMIFS(tblDaily[Deaths],tblDaily[EntryDate],DATE(2026,1,18),tblDaily[WardCode],"MAE")=0,"",SUMIFS(tblDaily[Deaths],tblDaily[EntryDate],DATE(2026,1,18),tblDaily[WardCode],"MAE")),"")</f>
        <v/>
      </c>
      <c r="E24" s="29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29" t="str">
        <f>IFERROR(IF(SUMIFS(tblDaily[TransfersIn],tblDaily[EntryDate],DATE(2026,1,18),tblDaily[WardCode],"MAE")=0,"",SUMIFS(tblDaily[TransfersIn],tblDaily[EntryDate],DATE(2026,1,18),tblDaily[WardCode],"MAE")),"")</f>
        <v/>
      </c>
      <c r="G24" s="29">
        <f>IFERROR(IF(SUMIFS(tblDaily[TransfersOut],tblDaily[EntryDate],DATE(2026,1,18),tblDaily[WardCode],"MAE")=0,"",SUMIFS(tblDaily[TransfersOut],tblDaily[EntryDate],DATE(2026,1,18),tblDaily[WardCode],"MAE")),"")</f>
        <v>2</v>
      </c>
      <c r="H24" s="29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29">
        <v>19</v>
      </c>
      <c r="B25" s="29">
        <f>IFERROR(IF(SUMIFS(tblDaily[Admissions],tblDaily[EntryDate],DATE(2026,1,19),tblDaily[WardCode],"MAE")=0,"",SUMIFS(tblDaily[Admissions],tblDaily[EntryDate],DATE(2026,1,19),tblDaily[WardCode],"MAE")),"")</f>
        <v>2</v>
      </c>
      <c r="C25" s="29">
        <f>IFERROR(IF(SUMIFS(tblDaily[Discharges],tblDaily[EntryDate],DATE(2026,1,19),tblDaily[WardCode],"MAE")=0,"",SUMIFS(tblDaily[Discharges],tblDaily[EntryDate],DATE(2026,1,19),tblDaily[WardCode],"MAE")),"")</f>
        <v>4</v>
      </c>
      <c r="D25" s="29" t="str">
        <f>IFERROR(IF(SUMIFS(tblDaily[Deaths],tblDaily[EntryDate],DATE(2026,1,19),tblDaily[WardCode],"MAE")=0,"",SUMIFS(tblDaily[Deaths],tblDaily[EntryDate],DATE(2026,1,19),tblDaily[WardCode],"MAE")),"")</f>
        <v/>
      </c>
      <c r="E25" s="29">
        <f>IFERROR(IF(SUMIFS(tblDaily[DeathsUnder24Hrs],tblDaily[EntryDate],DATE(2026,1,19),tblDaily[WardCode],"MAE")=0,"",SUMIFS(tblDaily[DeathsUnder24Hrs],tblDaily[EntryDate],DATE(2026,1,19),tblDaily[WardCode],"MAE")),"")</f>
        <v>1</v>
      </c>
      <c r="F25" s="29" t="str">
        <f>IFERROR(IF(SUMIFS(tblDaily[TransfersIn],tblDaily[EntryDate],DATE(2026,1,19),tblDaily[WardCode],"MAE")=0,"",SUMIFS(tblDaily[TransfersIn],tblDaily[EntryDate],DATE(2026,1,19),tblDaily[WardCode],"MAE")),"")</f>
        <v/>
      </c>
      <c r="G25" s="29" t="str">
        <f>IFERROR(IF(SUMIFS(tblDaily[TransfersOut],tblDaily[EntryDate],DATE(2026,1,19),tblDaily[WardCode],"MAE")=0,"",SUMIFS(tblDaily[TransfersOut],tblDaily[EntryDate],DATE(2026,1,19),tblDaily[WardCode],"MAE")),"")</f>
        <v/>
      </c>
      <c r="H25" s="29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29">
        <v>20</v>
      </c>
      <c r="B26" s="29">
        <f>IFERROR(IF(SUMIFS(tblDaily[Admissions],tblDaily[EntryDate],DATE(2026,1,20),tblDaily[WardCode],"MAE")=0,"",SUMIFS(tblDaily[Admissions],tblDaily[EntryDate],DATE(2026,1,20),tblDaily[WardCode],"MAE")),"")</f>
        <v>7</v>
      </c>
      <c r="C26" s="29">
        <f>IFERROR(IF(SUMIFS(tblDaily[Discharges],tblDaily[EntryDate],DATE(2026,1,20),tblDaily[WardCode],"MAE")=0,"",SUMIFS(tblDaily[Discharges],tblDaily[EntryDate],DATE(2026,1,20),tblDaily[WardCode],"MAE")),"")</f>
        <v>3</v>
      </c>
      <c r="D26" s="29" t="str">
        <f>IFERROR(IF(SUMIFS(tblDaily[Deaths],tblDaily[EntryDate],DATE(2026,1,20),tblDaily[WardCode],"MAE")=0,"",SUMIFS(tblDaily[Deaths],tblDaily[EntryDate],DATE(2026,1,20),tblDaily[WardCode],"MAE")),"")</f>
        <v/>
      </c>
      <c r="E26" s="29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29" t="str">
        <f>IFERROR(IF(SUMIFS(tblDaily[TransfersIn],tblDaily[EntryDate],DATE(2026,1,20),tblDaily[WardCode],"MAE")=0,"",SUMIFS(tblDaily[TransfersIn],tblDaily[EntryDate],DATE(2026,1,20),tblDaily[WardCode],"MAE")),"")</f>
        <v/>
      </c>
      <c r="G26" s="29">
        <f>IFERROR(IF(SUMIFS(tblDaily[TransfersOut],tblDaily[EntryDate],DATE(2026,1,20),tblDaily[WardCode],"MAE")=0,"",SUMIFS(tblDaily[TransfersOut],tblDaily[EntryDate],DATE(2026,1,20),tblDaily[WardCode],"MAE")),"")</f>
        <v>1</v>
      </c>
      <c r="H26" s="29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29">
        <v>21</v>
      </c>
      <c r="B27" s="29">
        <f>IFERROR(IF(SUMIFS(tblDaily[Admissions],tblDaily[EntryDate],DATE(2026,1,21),tblDaily[WardCode],"MAE")=0,"",SUMIFS(tblDaily[Admissions],tblDaily[EntryDate],DATE(2026,1,21),tblDaily[WardCode],"MAE")),"")</f>
        <v>1</v>
      </c>
      <c r="C27" s="29">
        <f>IFERROR(IF(SUMIFS(tblDaily[Discharges],tblDaily[EntryDate],DATE(2026,1,21),tblDaily[WardCode],"MAE")=0,"",SUMIFS(tblDaily[Discharges],tblDaily[EntryDate],DATE(2026,1,21),tblDaily[WardCode],"MAE")),"")</f>
        <v>2</v>
      </c>
      <c r="D27" s="29" t="str">
        <f>IFERROR(IF(SUMIFS(tblDaily[Deaths],tblDaily[EntryDate],DATE(2026,1,21),tblDaily[WardCode],"MAE")=0,"",SUMIFS(tblDaily[Deaths],tblDaily[EntryDate],DATE(2026,1,21),tblDaily[WardCode],"MAE")),"")</f>
        <v/>
      </c>
      <c r="E27" s="29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29" t="str">
        <f>IFERROR(IF(SUMIFS(tblDaily[TransfersIn],tblDaily[EntryDate],DATE(2026,1,21),tblDaily[WardCode],"MAE")=0,"",SUMIFS(tblDaily[TransfersIn],tblDaily[EntryDate],DATE(2026,1,21),tblDaily[WardCode],"MAE")),"")</f>
        <v/>
      </c>
      <c r="G27" s="29">
        <f>IFERROR(IF(SUMIFS(tblDaily[TransfersOut],tblDaily[EntryDate],DATE(2026,1,21),tblDaily[WardCode],"MAE")=0,"",SUMIFS(tblDaily[TransfersOut],tblDaily[EntryDate],DATE(2026,1,21),tblDaily[WardCode],"MAE")),"")</f>
        <v>1</v>
      </c>
      <c r="H27" s="29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29">
        <v>22</v>
      </c>
      <c r="B28" s="29">
        <f>IFERROR(IF(SUMIFS(tblDaily[Admissions],tblDaily[EntryDate],DATE(2026,1,22),tblDaily[WardCode],"MAE")=0,"",SUMIFS(tblDaily[Admissions],tblDaily[EntryDate],DATE(2026,1,22),tblDaily[WardCode],"MAE")),"")</f>
        <v>5</v>
      </c>
      <c r="C28" s="29" t="str">
        <f>IFERROR(IF(SUMIFS(tblDaily[Discharges],tblDaily[EntryDate],DATE(2026,1,22),tblDaily[WardCode],"MAE")=0,"",SUMIFS(tblDaily[Discharges],tblDaily[EntryDate],DATE(2026,1,22),tblDaily[WardCode],"MAE")),"")</f>
        <v/>
      </c>
      <c r="D28" s="29" t="str">
        <f>IFERROR(IF(SUMIFS(tblDaily[Deaths],tblDaily[EntryDate],DATE(2026,1,22),tblDaily[WardCode],"MAE")=0,"",SUMIFS(tblDaily[Deaths],tblDaily[EntryDate],DATE(2026,1,22),tblDaily[WardCode],"MAE")),"")</f>
        <v/>
      </c>
      <c r="E28" s="29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29" t="str">
        <f>IFERROR(IF(SUMIFS(tblDaily[TransfersIn],tblDaily[EntryDate],DATE(2026,1,22),tblDaily[WardCode],"MAE")=0,"",SUMIFS(tblDaily[TransfersIn],tblDaily[EntryDate],DATE(2026,1,22),tblDaily[WardCode],"MAE")),"")</f>
        <v/>
      </c>
      <c r="G28" s="29">
        <f>IFERROR(IF(SUMIFS(tblDaily[TransfersOut],tblDaily[EntryDate],DATE(2026,1,22),tblDaily[WardCode],"MAE")=0,"",SUMIFS(tblDaily[TransfersOut],tblDaily[EntryDate],DATE(2026,1,22),tblDaily[WardCode],"MAE")),"")</f>
        <v>3</v>
      </c>
      <c r="H28" s="29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29">
        <v>23</v>
      </c>
      <c r="B29" s="29">
        <f>IFERROR(IF(SUMIFS(tblDaily[Admissions],tblDaily[EntryDate],DATE(2026,1,23),tblDaily[WardCode],"MAE")=0,"",SUMIFS(tblDaily[Admissions],tblDaily[EntryDate],DATE(2026,1,23),tblDaily[WardCode],"MAE")),"")</f>
        <v>4</v>
      </c>
      <c r="C29" s="29">
        <f>IFERROR(IF(SUMIFS(tblDaily[Discharges],tblDaily[EntryDate],DATE(2026,1,23),tblDaily[WardCode],"MAE")=0,"",SUMIFS(tblDaily[Discharges],tblDaily[EntryDate],DATE(2026,1,23),tblDaily[WardCode],"MAE")),"")</f>
        <v>1</v>
      </c>
      <c r="D29" s="29">
        <f>IFERROR(IF(SUMIFS(tblDaily[Deaths],tblDaily[EntryDate],DATE(2026,1,23),tblDaily[WardCode],"MAE")=0,"",SUMIFS(tblDaily[Deaths],tblDaily[EntryDate],DATE(2026,1,23),tblDaily[WardCode],"MAE")),"")</f>
        <v>1</v>
      </c>
      <c r="E29" s="29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29" t="str">
        <f>IFERROR(IF(SUMIFS(tblDaily[TransfersIn],tblDaily[EntryDate],DATE(2026,1,23),tblDaily[WardCode],"MAE")=0,"",SUMIFS(tblDaily[TransfersIn],tblDaily[EntryDate],DATE(2026,1,23),tblDaily[WardCode],"MAE")),"")</f>
        <v/>
      </c>
      <c r="G29" s="29">
        <f>IFERROR(IF(SUMIFS(tblDaily[TransfersOut],tblDaily[EntryDate],DATE(2026,1,23),tblDaily[WardCode],"MAE")=0,"",SUMIFS(tblDaily[TransfersOut],tblDaily[EntryDate],DATE(2026,1,23),tblDaily[WardCode],"MAE")),"")</f>
        <v>2</v>
      </c>
      <c r="H29" s="29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29">
        <v>24</v>
      </c>
      <c r="B30" s="29">
        <f>IFERROR(IF(SUMIFS(tblDaily[Admissions],tblDaily[EntryDate],DATE(2026,1,24),tblDaily[WardCode],"MAE")=0,"",SUMIFS(tblDaily[Admissions],tblDaily[EntryDate],DATE(2026,1,24),tblDaily[WardCode],"MAE")),"")</f>
        <v>3</v>
      </c>
      <c r="C30" s="29" t="str">
        <f>IFERROR(IF(SUMIFS(tblDaily[Discharges],tblDaily[EntryDate],DATE(2026,1,24),tblDaily[WardCode],"MAE")=0,"",SUMIFS(tblDaily[Discharges],tblDaily[EntryDate],DATE(2026,1,24),tblDaily[WardCode],"MAE")),"")</f>
        <v/>
      </c>
      <c r="D30" s="29">
        <f>IFERROR(IF(SUMIFS(tblDaily[Deaths],tblDaily[EntryDate],DATE(2026,1,24),tblDaily[WardCode],"MAE")=0,"",SUMIFS(tblDaily[Deaths],tblDaily[EntryDate],DATE(2026,1,24),tblDaily[WardCode],"MAE")),"")</f>
        <v>1</v>
      </c>
      <c r="E30" s="29">
        <f>IFERROR(IF(SUMIFS(tblDaily[DeathsUnder24Hrs],tblDaily[EntryDate],DATE(2026,1,24),tblDaily[WardCode],"MAE")=0,"",SUMIFS(tblDaily[DeathsUnder24Hrs],tblDaily[EntryDate],DATE(2026,1,24),tblDaily[WardCode],"MAE")),"")</f>
        <v>1</v>
      </c>
      <c r="F30" s="29" t="str">
        <f>IFERROR(IF(SUMIFS(tblDaily[TransfersIn],tblDaily[EntryDate],DATE(2026,1,24),tblDaily[WardCode],"MAE")=0,"",SUMIFS(tblDaily[TransfersIn],tblDaily[EntryDate],DATE(2026,1,24),tblDaily[WardCode],"MAE")),"")</f>
        <v/>
      </c>
      <c r="G30" s="29">
        <f>IFERROR(IF(SUMIFS(tblDaily[TransfersOut],tblDaily[EntryDate],DATE(2026,1,24),tblDaily[WardCode],"MAE")=0,"",SUMIFS(tblDaily[TransfersOut],tblDaily[EntryDate],DATE(2026,1,24),tblDaily[WardCode],"MAE")),"")</f>
        <v>2</v>
      </c>
      <c r="H30" s="29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29">
        <v>25</v>
      </c>
      <c r="B31" s="29" t="str">
        <f>IFERROR(IF(SUMIFS(tblDaily[Admissions],tblDaily[EntryDate],DATE(2026,1,25),tblDaily[WardCode],"MAE")=0,"",SUMIFS(tblDaily[Admissions],tblDaily[EntryDate],DATE(2026,1,25),tblDaily[WardCode],"MAE")),"")</f>
        <v/>
      </c>
      <c r="C31" s="29">
        <f>IFERROR(IF(SUMIFS(tblDaily[Discharges],tblDaily[EntryDate],DATE(2026,1,25),tblDaily[WardCode],"MAE")=0,"",SUMIFS(tblDaily[Discharges],tblDaily[EntryDate],DATE(2026,1,25),tblDaily[WardCode],"MAE")),"")</f>
        <v>1</v>
      </c>
      <c r="D31" s="29" t="str">
        <f>IFERROR(IF(SUMIFS(tblDaily[Deaths],tblDaily[EntryDate],DATE(2026,1,25),tblDaily[WardCode],"MAE")=0,"",SUMIFS(tblDaily[Deaths],tblDaily[EntryDate],DATE(2026,1,25),tblDaily[WardCode],"MAE")),"")</f>
        <v/>
      </c>
      <c r="E31" s="29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29" t="str">
        <f>IFERROR(IF(SUMIFS(tblDaily[TransfersIn],tblDaily[EntryDate],DATE(2026,1,25),tblDaily[WardCode],"MAE")=0,"",SUMIFS(tblDaily[TransfersIn],tblDaily[EntryDate],DATE(2026,1,25),tblDaily[WardCode],"MAE")),"")</f>
        <v/>
      </c>
      <c r="G31" s="29">
        <f>IFERROR(IF(SUMIFS(tblDaily[TransfersOut],tblDaily[EntryDate],DATE(2026,1,25),tblDaily[WardCode],"MAE")=0,"",SUMIFS(tblDaily[TransfersOut],tblDaily[EntryDate],DATE(2026,1,25),tblDaily[WardCode],"MAE")),"")</f>
        <v>2</v>
      </c>
      <c r="H31" s="29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29">
        <v>26</v>
      </c>
      <c r="B32" s="29">
        <f>IFERROR(IF(SUMIFS(tblDaily[Admissions],tblDaily[EntryDate],DATE(2026,1,26),tblDaily[WardCode],"MAE")=0,"",SUMIFS(tblDaily[Admissions],tblDaily[EntryDate],DATE(2026,1,26),tblDaily[WardCode],"MAE")),"")</f>
        <v>5</v>
      </c>
      <c r="C32" s="29">
        <f>IFERROR(IF(SUMIFS(tblDaily[Discharges],tblDaily[EntryDate],DATE(2026,1,26),tblDaily[WardCode],"MAE")=0,"",SUMIFS(tblDaily[Discharges],tblDaily[EntryDate],DATE(2026,1,26),tblDaily[WardCode],"MAE")),"")</f>
        <v>1</v>
      </c>
      <c r="D32" s="29" t="str">
        <f>IFERROR(IF(SUMIFS(tblDaily[Deaths],tblDaily[EntryDate],DATE(2026,1,26),tblDaily[WardCode],"MAE")=0,"",SUMIFS(tblDaily[Deaths],tblDaily[EntryDate],DATE(2026,1,26),tblDaily[WardCode],"MAE")),"")</f>
        <v/>
      </c>
      <c r="E32" s="29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29" t="str">
        <f>IFERROR(IF(SUMIFS(tblDaily[TransfersIn],tblDaily[EntryDate],DATE(2026,1,26),tblDaily[WardCode],"MAE")=0,"",SUMIFS(tblDaily[TransfersIn],tblDaily[EntryDate],DATE(2026,1,26),tblDaily[WardCode],"MAE")),"")</f>
        <v/>
      </c>
      <c r="G32" s="29">
        <f>IFERROR(IF(SUMIFS(tblDaily[TransfersOut],tblDaily[EntryDate],DATE(2026,1,26),tblDaily[WardCode],"MAE")=0,"",SUMIFS(tblDaily[TransfersOut],tblDaily[EntryDate],DATE(2026,1,26),tblDaily[WardCode],"MAE")),"")</f>
        <v>2</v>
      </c>
      <c r="H32" s="29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29">
        <v>27</v>
      </c>
      <c r="B33" s="29">
        <f>IFERROR(IF(SUMIFS(tblDaily[Admissions],tblDaily[EntryDate],DATE(2026,1,27),tblDaily[WardCode],"MAE")=0,"",SUMIFS(tblDaily[Admissions],tblDaily[EntryDate],DATE(2026,1,27),tblDaily[WardCode],"MAE")),"")</f>
        <v>5</v>
      </c>
      <c r="C33" s="29" t="str">
        <f>IFERROR(IF(SUMIFS(tblDaily[Discharges],tblDaily[EntryDate],DATE(2026,1,27),tblDaily[WardCode],"MAE")=0,"",SUMIFS(tblDaily[Discharges],tblDaily[EntryDate],DATE(2026,1,27),tblDaily[WardCode],"MAE")),"")</f>
        <v/>
      </c>
      <c r="D33" s="29" t="str">
        <f>IFERROR(IF(SUMIFS(tblDaily[Deaths],tblDaily[EntryDate],DATE(2026,1,27),tblDaily[WardCode],"MAE")=0,"",SUMIFS(tblDaily[Deaths],tblDaily[EntryDate],DATE(2026,1,27),tblDaily[WardCode],"MAE")),"")</f>
        <v/>
      </c>
      <c r="E33" s="29">
        <f>IFERROR(IF(SUMIFS(tblDaily[DeathsUnder24Hrs],tblDaily[EntryDate],DATE(2026,1,27),tblDaily[WardCode],"MAE")=0,"",SUMIFS(tblDaily[DeathsUnder24Hrs],tblDaily[EntryDate],DATE(2026,1,27),tblDaily[WardCode],"MAE")),"")</f>
        <v>1</v>
      </c>
      <c r="F33" s="29" t="str">
        <f>IFERROR(IF(SUMIFS(tblDaily[TransfersIn],tblDaily[EntryDate],DATE(2026,1,27),tblDaily[WardCode],"MAE")=0,"",SUMIFS(tblDaily[TransfersIn],tblDaily[EntryDate],DATE(2026,1,27),tblDaily[WardCode],"MAE")),"")</f>
        <v/>
      </c>
      <c r="G33" s="29">
        <f>IFERROR(IF(SUMIFS(tblDaily[TransfersOut],tblDaily[EntryDate],DATE(2026,1,27),tblDaily[WardCode],"MAE")=0,"",SUMIFS(tblDaily[TransfersOut],tblDaily[EntryDate],DATE(2026,1,27),tblDaily[WardCode],"MAE")),"")</f>
        <v>2</v>
      </c>
      <c r="H33" s="29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29">
        <v>28</v>
      </c>
      <c r="B34" s="29">
        <f>IFERROR(IF(SUMIFS(tblDaily[Admissions],tblDaily[EntryDate],DATE(2026,1,28),tblDaily[WardCode],"MAE")=0,"",SUMIFS(tblDaily[Admissions],tblDaily[EntryDate],DATE(2026,1,28),tblDaily[WardCode],"MAE")),"")</f>
        <v>2</v>
      </c>
      <c r="C34" s="29">
        <f>IFERROR(IF(SUMIFS(tblDaily[Discharges],tblDaily[EntryDate],DATE(2026,1,28),tblDaily[WardCode],"MAE")=0,"",SUMIFS(tblDaily[Discharges],tblDaily[EntryDate],DATE(2026,1,28),tblDaily[WardCode],"MAE")),"")</f>
        <v>3</v>
      </c>
      <c r="D34" s="29" t="str">
        <f>IFERROR(IF(SUMIFS(tblDaily[Deaths],tblDaily[EntryDate],DATE(2026,1,28),tblDaily[WardCode],"MAE")=0,"",SUMIFS(tblDaily[Deaths],tblDaily[EntryDate],DATE(2026,1,28),tblDaily[WardCode],"MAE")),"")</f>
        <v/>
      </c>
      <c r="E34" s="29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29" t="str">
        <f>IFERROR(IF(SUMIFS(tblDaily[TransfersIn],tblDaily[EntryDate],DATE(2026,1,28),tblDaily[WardCode],"MAE")=0,"",SUMIFS(tblDaily[TransfersIn],tblDaily[EntryDate],DATE(2026,1,28),tblDaily[WardCode],"MAE")),"")</f>
        <v/>
      </c>
      <c r="G34" s="29">
        <f>IFERROR(IF(SUMIFS(tblDaily[TransfersOut],tblDaily[EntryDate],DATE(2026,1,28),tblDaily[WardCode],"MAE")=0,"",SUMIFS(tblDaily[TransfersOut],tblDaily[EntryDate],DATE(2026,1,28),tblDaily[WardCode],"MAE")),"")</f>
        <v>2</v>
      </c>
      <c r="H34" s="29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29">
        <v>29</v>
      </c>
      <c r="B35" s="29">
        <f>IFERROR(IF(SUMIFS(tblDaily[Admissions],tblDaily[EntryDate],DATE(2026,1,29),tblDaily[WardCode],"MAE")=0,"",SUMIFS(tblDaily[Admissions],tblDaily[EntryDate],DATE(2026,1,29),tblDaily[WardCode],"MAE")),"")</f>
        <v>1</v>
      </c>
      <c r="C35" s="29" t="str">
        <f>IFERROR(IF(SUMIFS(tblDaily[Discharges],tblDaily[EntryDate],DATE(2026,1,29),tblDaily[WardCode],"MAE")=0,"",SUMIFS(tblDaily[Discharges],tblDaily[EntryDate],DATE(2026,1,29),tblDaily[WardCode],"MAE")),"")</f>
        <v/>
      </c>
      <c r="D35" s="29" t="str">
        <f>IFERROR(IF(SUMIFS(tblDaily[Deaths],tblDaily[EntryDate],DATE(2026,1,29),tblDaily[WardCode],"MAE")=0,"",SUMIFS(tblDaily[Deaths],tblDaily[EntryDate],DATE(2026,1,29),tblDaily[WardCode],"MAE")),"")</f>
        <v/>
      </c>
      <c r="E35" s="29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29" t="str">
        <f>IFERROR(IF(SUMIFS(tblDaily[TransfersIn],tblDaily[EntryDate],DATE(2026,1,29),tblDaily[WardCode],"MAE")=0,"",SUMIFS(tblDaily[TransfersIn],tblDaily[EntryDate],DATE(2026,1,29),tblDaily[WardCode],"MAE")),"")</f>
        <v/>
      </c>
      <c r="G35" s="29" t="str">
        <f>IFERROR(IF(SUMIFS(tblDaily[TransfersOut],tblDaily[EntryDate],DATE(2026,1,29),tblDaily[WardCode],"MAE")=0,"",SUMIFS(tblDaily[TransfersOut],tblDaily[EntryDate],DATE(2026,1,29),tblDaily[WardCode],"MAE")),"")</f>
        <v/>
      </c>
      <c r="H35" s="29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29">
        <v>30</v>
      </c>
      <c r="B36" s="29">
        <f>IFERROR(IF(SUMIFS(tblDaily[Admissions],tblDaily[EntryDate],DATE(2026,1,30),tblDaily[WardCode],"MAE")=0,"",SUMIFS(tblDaily[Admissions],tblDaily[EntryDate],DATE(2026,1,30),tblDaily[WardCode],"MAE")),"")</f>
        <v>3</v>
      </c>
      <c r="C36" s="29">
        <f>IFERROR(IF(SUMIFS(tblDaily[Discharges],tblDaily[EntryDate],DATE(2026,1,30),tblDaily[WardCode],"MAE")=0,"",SUMIFS(tblDaily[Discharges],tblDaily[EntryDate],DATE(2026,1,30),tblDaily[WardCode],"MAE")),"")</f>
        <v>1</v>
      </c>
      <c r="D36" s="29">
        <f>IFERROR(IF(SUMIFS(tblDaily[Deaths],tblDaily[EntryDate],DATE(2026,1,30),tblDaily[WardCode],"MAE")=0,"",SUMIFS(tblDaily[Deaths],tblDaily[EntryDate],DATE(2026,1,30),tblDaily[WardCode],"MAE")),"")</f>
        <v>2</v>
      </c>
      <c r="E36" s="29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29" t="str">
        <f>IFERROR(IF(SUMIFS(tblDaily[TransfersIn],tblDaily[EntryDate],DATE(2026,1,30),tblDaily[WardCode],"MAE")=0,"",SUMIFS(tblDaily[TransfersIn],tblDaily[EntryDate],DATE(2026,1,30),tblDaily[WardCode],"MAE")),"")</f>
        <v/>
      </c>
      <c r="G36" s="29">
        <f>IFERROR(IF(SUMIFS(tblDaily[TransfersOut],tblDaily[EntryDate],DATE(2026,1,30),tblDaily[WardCode],"MAE")=0,"",SUMIFS(tblDaily[TransfersOut],tblDaily[EntryDate],DATE(2026,1,30),tblDaily[WardCode],"MAE")),"")</f>
        <v>1</v>
      </c>
      <c r="H36" s="29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29">
        <v>31</v>
      </c>
      <c r="B37" s="29">
        <f>IFERROR(IF(SUMIFS(tblDaily[Admissions],tblDaily[EntryDate],DATE(2026,1,31),tblDaily[WardCode],"MAE")=0,"",SUMIFS(tblDaily[Admissions],tblDaily[EntryDate],DATE(2026,1,31),tblDaily[WardCode],"MAE")),"")</f>
        <v>1</v>
      </c>
      <c r="C37" s="29" t="str">
        <f>IFERROR(IF(SUMIFS(tblDaily[Discharges],tblDaily[EntryDate],DATE(2026,1,31),tblDaily[WardCode],"MAE")=0,"",SUMIFS(tblDaily[Discharges],tblDaily[EntryDate],DATE(2026,1,31),tblDaily[WardCode],"MAE")),"")</f>
        <v/>
      </c>
      <c r="D37" s="29" t="str">
        <f>IFERROR(IF(SUMIFS(tblDaily[Deaths],tblDaily[EntryDate],DATE(2026,1,31),tblDaily[WardCode],"MAE")=0,"",SUMIFS(tblDaily[Deaths],tblDaily[EntryDate],DATE(2026,1,31),tblDaily[WardCode],"MAE")),"")</f>
        <v/>
      </c>
      <c r="E37" s="29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29" t="str">
        <f>IFERROR(IF(SUMIFS(tblDaily[TransfersIn],tblDaily[EntryDate],DATE(2026,1,31),tblDaily[WardCode],"MAE")=0,"",SUMIFS(tblDaily[TransfersIn],tblDaily[EntryDate],DATE(2026,1,31),tblDaily[WardCode],"MAE")),"")</f>
        <v/>
      </c>
      <c r="G37" s="29">
        <f>IFERROR(IF(SUMIFS(tblDaily[TransfersOut],tblDaily[EntryDate],DATE(2026,1,31),tblDaily[WardCode],"MAE")=0,"",SUMIFS(tblDaily[TransfersOut],tblDaily[EntryDate],DATE(2026,1,31),tblDaily[WardCode],"MAE")),"")</f>
        <v>3</v>
      </c>
      <c r="H37" s="29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30" t="s">
        <v>115</v>
      </c>
      <c r="B38" s="30">
        <f>SUMIFS(tblDaily[Admissions],tblDaily[Month],1,tblDaily[WardCode],"MAE") - SUMIFS(tblDaily[DeathsUnder24Hrs],tblDaily[Month],1,tblDaily[WardCode],"MAE")</f>
        <v>86</v>
      </c>
      <c r="C38" s="30">
        <f>SUMIFS(tblDaily[Discharges],tblDaily[Month],1,tblDaily[WardCode],"MAE")</f>
        <v>43</v>
      </c>
      <c r="D38" s="30">
        <f>SUMIFS(tblDaily[Deaths],tblDaily[Month],1,tblDaily[WardCode],"MAE")</f>
        <v>4</v>
      </c>
      <c r="E38" s="30">
        <f>SUMIFS(tblDaily[DeathsUnder24Hrs],tblDaily[Month],1,tblDaily[WardCode],"MAE")</f>
        <v>5</v>
      </c>
      <c r="F38" s="30">
        <f>SUMIFS(tblDaily[TransfersIn],tblDaily[Month],1,tblDaily[WardCode],"MAE")</f>
        <v>0</v>
      </c>
      <c r="G38" s="30">
        <f>SUMIFS(tblDaily[TransfersOut],tblDaily[Month],1,tblDaily[WardCode],"MAE")</f>
        <v>47</v>
      </c>
      <c r="H38" s="30">
        <f>SUMIFS(tblDaily[Remaining],tblDaily[Month],1,tblDaily[WardCode],"MAE")</f>
        <v>148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122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IFERROR(SUMIFS(tblDaily[Remaining],tblDaily[EntryDate],DATE(2026,1,31),tblDaily[WardCode],"MAE"),0)</f>
        <v>1</v>
      </c>
    </row>
    <row r="44" spans="1:8" x14ac:dyDescent="0.25">
      <c r="A44" s="24" t="s">
        <v>109</v>
      </c>
      <c r="H44" s="27">
        <f>IFERROR(INDEX(tblWardConfig[BedComplement],MATCH("MAE",tblWardConfig[WardCode],0)),0)</f>
        <v>10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>
        <f>IFERROR(IF(SUMIFS(tblDaily[Admissions],tblDaily[EntryDate],DATE(2026,2,1),tblDaily[WardCode],"MAE")=0,"",SUMIFS(tblDaily[Admissions],tblDaily[EntryDate],DATE(2026,2,1),tblDaily[WardCode],"MAE")),"")</f>
        <v>7</v>
      </c>
      <c r="C46" s="29" t="str">
        <f>IFERROR(IF(SUMIFS(tblDaily[Discharges],tblDaily[EntryDate],DATE(2026,2,1),tblDaily[WardCode],"MAE")=0,"",SUMIFS(tblDaily[Discharges],tblDaily[EntryDate],DATE(2026,2,1),tblDaily[WardCode],"MAE")),"")</f>
        <v/>
      </c>
      <c r="D46" s="29" t="str">
        <f>IFERROR(IF(SUMIFS(tblDaily[Deaths],tblDaily[EntryDate],DATE(2026,2,1),tblDaily[WardCode],"MAE")=0,"",SUMIFS(tblDaily[Deaths],tblDaily[EntryDate],DATE(2026,2,1),tblDaily[WardCode],"MAE")),"")</f>
        <v/>
      </c>
      <c r="E46" s="29">
        <f>IFERROR(IF(SUMIFS(tblDaily[DeathsUnder24Hrs],tblDaily[EntryDate],DATE(2026,2,1),tblDaily[WardCode],"MAE")=0,"",SUMIFS(tblDaily[DeathsUnder24Hrs],tblDaily[EntryDate],DATE(2026,2,1),tblDaily[WardCode],"MAE")),"")</f>
        <v>1</v>
      </c>
      <c r="F46" s="29" t="str">
        <f>IFERROR(IF(SUMIFS(tblDaily[TransfersIn],tblDaily[EntryDate],DATE(2026,2,1),tblDaily[WardCode],"MAE")=0,"",SUMIFS(tblDaily[TransfersIn],tblDaily[EntryDate],DATE(2026,2,1),tblDaily[WardCode],"MAE")),"")</f>
        <v/>
      </c>
      <c r="G46" s="29">
        <f>IFERROR(IF(SUMIFS(tblDaily[TransfersOut],tblDaily[EntryDate],DATE(2026,2,1),tblDaily[WardCode],"MAE")=0,"",SUMIFS(tblDaily[TransfersOut],tblDaily[EntryDate],DATE(2026,2,1),tblDaily[WardCode],"MAE")),"")</f>
        <v>3</v>
      </c>
      <c r="H46" s="29">
        <f>IFERROR(IF(SUMIFS(tblDaily[Remaining],tblDaily[EntryDate],DATE(2026,2,1),tblDaily[WardCode],"MAE")=0,"",SUMIFS(tblDaily[Remaining],tblDaily[EntryDate],DATE(2026,2,1),tblDaily[WardCode],"MAE")),"")</f>
        <v>4</v>
      </c>
    </row>
    <row r="47" spans="1:8" x14ac:dyDescent="0.25">
      <c r="A47" s="29">
        <v>2</v>
      </c>
      <c r="B47" s="29">
        <f>IFERROR(IF(SUMIFS(tblDaily[Admissions],tblDaily[EntryDate],DATE(2026,2,2),tblDaily[WardCode],"MAE")=0,"",SUMIFS(tblDaily[Admissions],tblDaily[EntryDate],DATE(2026,2,2),tblDaily[WardCode],"MAE")),"")</f>
        <v>3</v>
      </c>
      <c r="C47" s="29">
        <f>IFERROR(IF(SUMIFS(tblDaily[Discharges],tblDaily[EntryDate],DATE(2026,2,2),tblDaily[WardCode],"MAE")=0,"",SUMIFS(tblDaily[Discharges],tblDaily[EntryDate],DATE(2026,2,2),tblDaily[WardCode],"MAE")),"")</f>
        <v>4</v>
      </c>
      <c r="D47" s="29" t="str">
        <f>IFERROR(IF(SUMIFS(tblDaily[Deaths],tblDaily[EntryDate],DATE(2026,2,2),tblDaily[WardCode],"MAE")=0,"",SUMIFS(tblDaily[Deaths],tblDaily[EntryDate],DATE(2026,2,2),tblDaily[WardCode],"MAE")),"")</f>
        <v/>
      </c>
      <c r="E47" s="29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29" t="str">
        <f>IFERROR(IF(SUMIFS(tblDaily[TransfersIn],tblDaily[EntryDate],DATE(2026,2,2),tblDaily[WardCode],"MAE")=0,"",SUMIFS(tblDaily[TransfersIn],tblDaily[EntryDate],DATE(2026,2,2),tblDaily[WardCode],"MAE")),"")</f>
        <v/>
      </c>
      <c r="G47" s="29" t="str">
        <f>IFERROR(IF(SUMIFS(tblDaily[TransfersOut],tblDaily[EntryDate],DATE(2026,2,2),tblDaily[WardCode],"MAE")=0,"",SUMIFS(tblDaily[TransfersOut],tblDaily[EntryDate],DATE(2026,2,2),tblDaily[WardCode],"MAE")),"")</f>
        <v/>
      </c>
      <c r="H47" s="29">
        <f>IFERROR(IF(SUMIFS(tblDaily[Remaining],tblDaily[EntryDate],DATE(2026,2,2),tblDaily[WardCode],"MAE")=0,"",SUMIFS(tblDaily[Remaining],tblDaily[EntryDate],DATE(2026,2,2),tblDaily[WardCode],"MAE")),"")</f>
        <v>3</v>
      </c>
    </row>
    <row r="48" spans="1:8" x14ac:dyDescent="0.25">
      <c r="A48" s="29">
        <v>3</v>
      </c>
      <c r="B48" s="29">
        <f>IFERROR(IF(SUMIFS(tblDaily[Admissions],tblDaily[EntryDate],DATE(2026,2,3),tblDaily[WardCode],"MAE")=0,"",SUMIFS(tblDaily[Admissions],tblDaily[EntryDate],DATE(2026,2,3),tblDaily[WardCode],"MAE")),"")</f>
        <v>5</v>
      </c>
      <c r="C48" s="29">
        <f>IFERROR(IF(SUMIFS(tblDaily[Discharges],tblDaily[EntryDate],DATE(2026,2,3),tblDaily[WardCode],"MAE")=0,"",SUMIFS(tblDaily[Discharges],tblDaily[EntryDate],DATE(2026,2,3),tblDaily[WardCode],"MAE")),"")</f>
        <v>1</v>
      </c>
      <c r="D48" s="29" t="str">
        <f>IFERROR(IF(SUMIFS(tblDaily[Deaths],tblDaily[EntryDate],DATE(2026,2,3),tblDaily[WardCode],"MAE")=0,"",SUMIFS(tblDaily[Deaths],tblDaily[EntryDate],DATE(2026,2,3),tblDaily[WardCode],"MAE")),"")</f>
        <v/>
      </c>
      <c r="E48" s="29">
        <f>IFERROR(IF(SUMIFS(tblDaily[DeathsUnder24Hrs],tblDaily[EntryDate],DATE(2026,2,3),tblDaily[WardCode],"MAE")=0,"",SUMIFS(tblDaily[DeathsUnder24Hrs],tblDaily[EntryDate],DATE(2026,2,3),tblDaily[WardCode],"MAE")),"")</f>
        <v>1</v>
      </c>
      <c r="F48" s="29" t="str">
        <f>IFERROR(IF(SUMIFS(tblDaily[TransfersIn],tblDaily[EntryDate],DATE(2026,2,3),tblDaily[WardCode],"MAE")=0,"",SUMIFS(tblDaily[TransfersIn],tblDaily[EntryDate],DATE(2026,2,3),tblDaily[WardCode],"MAE")),"")</f>
        <v/>
      </c>
      <c r="G48" s="29">
        <f>IFERROR(IF(SUMIFS(tblDaily[TransfersOut],tblDaily[EntryDate],DATE(2026,2,3),tblDaily[WardCode],"MAE")=0,"",SUMIFS(tblDaily[TransfersOut],tblDaily[EntryDate],DATE(2026,2,3),tblDaily[WardCode],"MAE")),"")</f>
        <v>2</v>
      </c>
      <c r="H48" s="29">
        <f>IFERROR(IF(SUMIFS(tblDaily[Remaining],tblDaily[EntryDate],DATE(2026,2,3),tblDaily[WardCode],"MAE")=0,"",SUMIFS(tblDaily[Remaining],tblDaily[EntryDate],DATE(2026,2,3),tblDaily[WardCode],"MAE")),"")</f>
        <v>4</v>
      </c>
    </row>
    <row r="49" spans="1:8" x14ac:dyDescent="0.25">
      <c r="A49" s="29">
        <v>4</v>
      </c>
      <c r="B49" s="29">
        <f>IFERROR(IF(SUMIFS(tblDaily[Admissions],tblDaily[EntryDate],DATE(2026,2,4),tblDaily[WardCode],"MAE")=0,"",SUMIFS(tblDaily[Admissions],tblDaily[EntryDate],DATE(2026,2,4),tblDaily[WardCode],"MAE")),"")</f>
        <v>2</v>
      </c>
      <c r="C49" s="29">
        <f>IFERROR(IF(SUMIFS(tblDaily[Discharges],tblDaily[EntryDate],DATE(2026,2,4),tblDaily[WardCode],"MAE")=0,"",SUMIFS(tblDaily[Discharges],tblDaily[EntryDate],DATE(2026,2,4),tblDaily[WardCode],"MAE")),"")</f>
        <v>1</v>
      </c>
      <c r="D49" s="29" t="str">
        <f>IFERROR(IF(SUMIFS(tblDaily[Deaths],tblDaily[EntryDate],DATE(2026,2,4),tblDaily[WardCode],"MAE")=0,"",SUMIFS(tblDaily[Deaths],tblDaily[EntryDate],DATE(2026,2,4),tblDaily[WardCode],"MAE")),"")</f>
        <v/>
      </c>
      <c r="E49" s="29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29" t="str">
        <f>IFERROR(IF(SUMIFS(tblDaily[TransfersIn],tblDaily[EntryDate],DATE(2026,2,4),tblDaily[WardCode],"MAE")=0,"",SUMIFS(tblDaily[TransfersIn],tblDaily[EntryDate],DATE(2026,2,4),tblDaily[WardCode],"MAE")),"")</f>
        <v/>
      </c>
      <c r="G49" s="29">
        <f>IFERROR(IF(SUMIFS(tblDaily[TransfersOut],tblDaily[EntryDate],DATE(2026,2,4),tblDaily[WardCode],"MAE")=0,"",SUMIFS(tblDaily[TransfersOut],tblDaily[EntryDate],DATE(2026,2,4),tblDaily[WardCode],"MAE")),"")</f>
        <v>1</v>
      </c>
      <c r="H49" s="29">
        <f>IFERROR(IF(SUMIFS(tblDaily[Remaining],tblDaily[EntryDate],DATE(2026,2,4),tblDaily[WardCode],"MAE")=0,"",SUMIFS(tblDaily[Remaining],tblDaily[EntryDate],DATE(2026,2,4),tblDaily[WardCode],"MAE")),"")</f>
        <v>4</v>
      </c>
    </row>
    <row r="50" spans="1:8" x14ac:dyDescent="0.25">
      <c r="A50" s="29">
        <v>5</v>
      </c>
      <c r="B50" s="29">
        <f>IFERROR(IF(SUMIFS(tblDaily[Admissions],tblDaily[EntryDate],DATE(2026,2,5),tblDaily[WardCode],"MAE")=0,"",SUMIFS(tblDaily[Admissions],tblDaily[EntryDate],DATE(2026,2,5),tblDaily[WardCode],"MAE")),"")</f>
        <v>2</v>
      </c>
      <c r="C50" s="29">
        <f>IFERROR(IF(SUMIFS(tblDaily[Discharges],tblDaily[EntryDate],DATE(2026,2,5),tblDaily[WardCode],"MAE")=0,"",SUMIFS(tblDaily[Discharges],tblDaily[EntryDate],DATE(2026,2,5),tblDaily[WardCode],"MAE")),"")</f>
        <v>1</v>
      </c>
      <c r="D50" s="29" t="str">
        <f>IFERROR(IF(SUMIFS(tblDaily[Deaths],tblDaily[EntryDate],DATE(2026,2,5),tblDaily[WardCode],"MAE")=0,"",SUMIFS(tblDaily[Deaths],tblDaily[EntryDate],DATE(2026,2,5),tblDaily[WardCode],"MAE")),"")</f>
        <v/>
      </c>
      <c r="E50" s="29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29" t="str">
        <f>IFERROR(IF(SUMIFS(tblDaily[TransfersIn],tblDaily[EntryDate],DATE(2026,2,5),tblDaily[WardCode],"MAE")=0,"",SUMIFS(tblDaily[TransfersIn],tblDaily[EntryDate],DATE(2026,2,5),tblDaily[WardCode],"MAE")),"")</f>
        <v/>
      </c>
      <c r="G50" s="29">
        <f>IFERROR(IF(SUMIFS(tblDaily[TransfersOut],tblDaily[EntryDate],DATE(2026,2,5),tblDaily[WardCode],"MAE")=0,"",SUMIFS(tblDaily[TransfersOut],tblDaily[EntryDate],DATE(2026,2,5),tblDaily[WardCode],"MAE")),"")</f>
        <v>1</v>
      </c>
      <c r="H50" s="29">
        <f>IFERROR(IF(SUMIFS(tblDaily[Remaining],tblDaily[EntryDate],DATE(2026,2,5),tblDaily[WardCode],"MAE")=0,"",SUMIFS(tblDaily[Remaining],tblDaily[EntryDate],DATE(2026,2,5),tblDaily[WardCode],"MAE")),"")</f>
        <v>4</v>
      </c>
    </row>
    <row r="51" spans="1:8" x14ac:dyDescent="0.25">
      <c r="A51" s="29">
        <v>6</v>
      </c>
      <c r="B51" s="29">
        <f>IFERROR(IF(SUMIFS(tblDaily[Admissions],tblDaily[EntryDate],DATE(2026,2,6),tblDaily[WardCode],"MAE")=0,"",SUMIFS(tblDaily[Admissions],tblDaily[EntryDate],DATE(2026,2,6),tblDaily[WardCode],"MAE")),"")</f>
        <v>3</v>
      </c>
      <c r="C51" s="29" t="str">
        <f>IFERROR(IF(SUMIFS(tblDaily[Discharges],tblDaily[EntryDate],DATE(2026,2,6),tblDaily[WardCode],"MAE")=0,"",SUMIFS(tblDaily[Discharges],tblDaily[EntryDate],DATE(2026,2,6),tblDaily[WardCode],"MAE")),"")</f>
        <v/>
      </c>
      <c r="D51" s="29" t="str">
        <f>IFERROR(IF(SUMIFS(tblDaily[Deaths],tblDaily[EntryDate],DATE(2026,2,6),tblDaily[WardCode],"MAE")=0,"",SUMIFS(tblDaily[Deaths],tblDaily[EntryDate],DATE(2026,2,6),tblDaily[WardCode],"MAE")),"")</f>
        <v/>
      </c>
      <c r="E51" s="29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29" t="str">
        <f>IFERROR(IF(SUMIFS(tblDaily[TransfersIn],tblDaily[EntryDate],DATE(2026,2,6),tblDaily[WardCode],"MAE")=0,"",SUMIFS(tblDaily[TransfersIn],tblDaily[EntryDate],DATE(2026,2,6),tblDaily[WardCode],"MAE")),"")</f>
        <v/>
      </c>
      <c r="G51" s="29">
        <f>IFERROR(IF(SUMIFS(tblDaily[TransfersOut],tblDaily[EntryDate],DATE(2026,2,6),tblDaily[WardCode],"MAE")=0,"",SUMIFS(tblDaily[TransfersOut],tblDaily[EntryDate],DATE(2026,2,6),tblDaily[WardCode],"MAE")),"")</f>
        <v>2</v>
      </c>
      <c r="H51" s="29">
        <f>IFERROR(IF(SUMIFS(tblDaily[Remaining],tblDaily[EntryDate],DATE(2026,2,6),tblDaily[WardCode],"MAE")=0,"",SUMIFS(tblDaily[Remaining],tblDaily[EntryDate],DATE(2026,2,6),tblDaily[WardCode],"MAE")),"")</f>
        <v>5</v>
      </c>
    </row>
    <row r="52" spans="1:8" x14ac:dyDescent="0.25">
      <c r="A52" s="29">
        <v>7</v>
      </c>
      <c r="B52" s="29">
        <f>IFERROR(IF(SUMIFS(tblDaily[Admissions],tblDaily[EntryDate],DATE(2026,2,7),tblDaily[WardCode],"MAE")=0,"",SUMIFS(tblDaily[Admissions],tblDaily[EntryDate],DATE(2026,2,7),tblDaily[WardCode],"MAE")),"")</f>
        <v>2</v>
      </c>
      <c r="C52" s="29">
        <f>IFERROR(IF(SUMIFS(tblDaily[Discharges],tblDaily[EntryDate],DATE(2026,2,7),tblDaily[WardCode],"MAE")=0,"",SUMIFS(tblDaily[Discharges],tblDaily[EntryDate],DATE(2026,2,7),tblDaily[WardCode],"MAE")),"")</f>
        <v>4</v>
      </c>
      <c r="D52" s="29" t="str">
        <f>IFERROR(IF(SUMIFS(tblDaily[Deaths],tblDaily[EntryDate],DATE(2026,2,7),tblDaily[WardCode],"MAE")=0,"",SUMIFS(tblDaily[Deaths],tblDaily[EntryDate],DATE(2026,2,7),tblDaily[WardCode],"MAE")),"")</f>
        <v/>
      </c>
      <c r="E52" s="29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29" t="str">
        <f>IFERROR(IF(SUMIFS(tblDaily[TransfersIn],tblDaily[EntryDate],DATE(2026,2,7),tblDaily[WardCode],"MAE")=0,"",SUMIFS(tblDaily[TransfersIn],tblDaily[EntryDate],DATE(2026,2,7),tblDaily[WardCode],"MAE")),"")</f>
        <v/>
      </c>
      <c r="G52" s="29">
        <f>IFERROR(IF(SUMIFS(tblDaily[TransfersOut],tblDaily[EntryDate],DATE(2026,2,7),tblDaily[WardCode],"MAE")=0,"",SUMIFS(tblDaily[TransfersOut],tblDaily[EntryDate],DATE(2026,2,7),tblDaily[WardCode],"MAE")),"")</f>
        <v>1</v>
      </c>
      <c r="H52" s="29">
        <f>IFERROR(IF(SUMIFS(tblDaily[Remaining],tblDaily[EntryDate],DATE(2026,2,7),tblDaily[WardCode],"MAE")=0,"",SUMIFS(tblDaily[Remaining],tblDaily[EntryDate],DATE(2026,2,7),tblDaily[WardCode],"MAE")),"")</f>
        <v>2</v>
      </c>
    </row>
    <row r="53" spans="1:8" x14ac:dyDescent="0.25">
      <c r="A53" s="29">
        <v>8</v>
      </c>
      <c r="B53" s="29">
        <f>IFERROR(IF(SUMIFS(tblDaily[Admissions],tblDaily[EntryDate],DATE(2026,2,8),tblDaily[WardCode],"MAE")=0,"",SUMIFS(tblDaily[Admissions],tblDaily[EntryDate],DATE(2026,2,8),tblDaily[WardCode],"MAE")),"")</f>
        <v>2</v>
      </c>
      <c r="C53" s="29" t="str">
        <f>IFERROR(IF(SUMIFS(tblDaily[Discharges],tblDaily[EntryDate],DATE(2026,2,8),tblDaily[WardCode],"MAE")=0,"",SUMIFS(tblDaily[Discharges],tblDaily[EntryDate],DATE(2026,2,8),tblDaily[WardCode],"MAE")),"")</f>
        <v/>
      </c>
      <c r="D53" s="29" t="str">
        <f>IFERROR(IF(SUMIFS(tblDaily[Deaths],tblDaily[EntryDate],DATE(2026,2,8),tblDaily[WardCode],"MAE")=0,"",SUMIFS(tblDaily[Deaths],tblDaily[EntryDate],DATE(2026,2,8),tblDaily[WardCode],"MAE")),"")</f>
        <v/>
      </c>
      <c r="E53" s="29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29" t="str">
        <f>IFERROR(IF(SUMIFS(tblDaily[TransfersIn],tblDaily[EntryDate],DATE(2026,2,8),tblDaily[WardCode],"MAE")=0,"",SUMIFS(tblDaily[TransfersIn],tblDaily[EntryDate],DATE(2026,2,8),tblDaily[WardCode],"MAE")),"")</f>
        <v/>
      </c>
      <c r="G53" s="29">
        <f>IFERROR(IF(SUMIFS(tblDaily[TransfersOut],tblDaily[EntryDate],DATE(2026,2,8),tblDaily[WardCode],"MAE")=0,"",SUMIFS(tblDaily[TransfersOut],tblDaily[EntryDate],DATE(2026,2,8),tblDaily[WardCode],"MAE")),"")</f>
        <v>2</v>
      </c>
      <c r="H53" s="29">
        <f>IFERROR(IF(SUMIFS(tblDaily[Remaining],tblDaily[EntryDate],DATE(2026,2,8),tblDaily[WardCode],"MAE")=0,"",SUMIFS(tblDaily[Remaining],tblDaily[EntryDate],DATE(2026,2,8),tblDaily[WardCode],"MAE")),"")</f>
        <v>2</v>
      </c>
    </row>
    <row r="54" spans="1:8" x14ac:dyDescent="0.25">
      <c r="A54" s="29">
        <v>9</v>
      </c>
      <c r="B54" s="29">
        <f>IFERROR(IF(SUMIFS(tblDaily[Admissions],tblDaily[EntryDate],DATE(2026,2,9),tblDaily[WardCode],"MAE")=0,"",SUMIFS(tblDaily[Admissions],tblDaily[EntryDate],DATE(2026,2,9),tblDaily[WardCode],"MAE")),"")</f>
        <v>3</v>
      </c>
      <c r="C54" s="29">
        <f>IFERROR(IF(SUMIFS(tblDaily[Discharges],tblDaily[EntryDate],DATE(2026,2,9),tblDaily[WardCode],"MAE")=0,"",SUMIFS(tblDaily[Discharges],tblDaily[EntryDate],DATE(2026,2,9),tblDaily[WardCode],"MAE")),"")</f>
        <v>1</v>
      </c>
      <c r="D54" s="29" t="str">
        <f>IFERROR(IF(SUMIFS(tblDaily[Deaths],tblDaily[EntryDate],DATE(2026,2,9),tblDaily[WardCode],"MAE")=0,"",SUMIFS(tblDaily[Deaths],tblDaily[EntryDate],DATE(2026,2,9),tblDaily[WardCode],"MAE")),"")</f>
        <v/>
      </c>
      <c r="E54" s="29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29" t="str">
        <f>IFERROR(IF(SUMIFS(tblDaily[TransfersIn],tblDaily[EntryDate],DATE(2026,2,9),tblDaily[WardCode],"MAE")=0,"",SUMIFS(tblDaily[TransfersIn],tblDaily[EntryDate],DATE(2026,2,9),tblDaily[WardCode],"MAE")),"")</f>
        <v/>
      </c>
      <c r="G54" s="29" t="str">
        <f>IFERROR(IF(SUMIFS(tblDaily[TransfersOut],tblDaily[EntryDate],DATE(2026,2,9),tblDaily[WardCode],"MAE")=0,"",SUMIFS(tblDaily[TransfersOut],tblDaily[EntryDate],DATE(2026,2,9),tblDaily[WardCode],"MAE")),"")</f>
        <v/>
      </c>
      <c r="H54" s="29">
        <f>IFERROR(IF(SUMIFS(tblDaily[Remaining],tblDaily[EntryDate],DATE(2026,2,9),tblDaily[WardCode],"MAE")=0,"",SUMIFS(tblDaily[Remaining],tblDaily[EntryDate],DATE(2026,2,9),tblDaily[WardCode],"MAE")),"")</f>
        <v>4</v>
      </c>
    </row>
    <row r="55" spans="1:8" x14ac:dyDescent="0.25">
      <c r="A55" s="29">
        <v>10</v>
      </c>
      <c r="B55" s="29">
        <f>IFERROR(IF(SUMIFS(tblDaily[Admissions],tblDaily[EntryDate],DATE(2026,2,10),tblDaily[WardCode],"MAE")=0,"",SUMIFS(tblDaily[Admissions],tblDaily[EntryDate],DATE(2026,2,10),tblDaily[WardCode],"MAE")),"")</f>
        <v>3</v>
      </c>
      <c r="C55" s="29">
        <f>IFERROR(IF(SUMIFS(tblDaily[Discharges],tblDaily[EntryDate],DATE(2026,2,10),tblDaily[WardCode],"MAE")=0,"",SUMIFS(tblDaily[Discharges],tblDaily[EntryDate],DATE(2026,2,10),tblDaily[WardCode],"MAE")),"")</f>
        <v>2</v>
      </c>
      <c r="D55" s="29" t="str">
        <f>IFERROR(IF(SUMIFS(tblDaily[Deaths],tblDaily[EntryDate],DATE(2026,2,10),tblDaily[WardCode],"MAE")=0,"",SUMIFS(tblDaily[Deaths],tblDaily[EntryDate],DATE(2026,2,10),tblDaily[WardCode],"MAE")),"")</f>
        <v/>
      </c>
      <c r="E55" s="29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29" t="str">
        <f>IFERROR(IF(SUMIFS(tblDaily[TransfersIn],tblDaily[EntryDate],DATE(2026,2,10),tblDaily[WardCode],"MAE")=0,"",SUMIFS(tblDaily[TransfersIn],tblDaily[EntryDate],DATE(2026,2,10),tblDaily[WardCode],"MAE")),"")</f>
        <v/>
      </c>
      <c r="G55" s="29">
        <f>IFERROR(IF(SUMIFS(tblDaily[TransfersOut],tblDaily[EntryDate],DATE(2026,2,10),tblDaily[WardCode],"MAE")=0,"",SUMIFS(tblDaily[TransfersOut],tblDaily[EntryDate],DATE(2026,2,10),tblDaily[WardCode],"MAE")),"")</f>
        <v>2</v>
      </c>
      <c r="H55" s="29">
        <f>IFERROR(IF(SUMIFS(tblDaily[Remaining],tblDaily[EntryDate],DATE(2026,2,10),tblDaily[WardCode],"MAE")=0,"",SUMIFS(tblDaily[Remaining],tblDaily[EntryDate],DATE(2026,2,10),tblDaily[WardCode],"MAE")),"")</f>
        <v>3</v>
      </c>
    </row>
    <row r="56" spans="1:8" x14ac:dyDescent="0.25">
      <c r="A56" s="29">
        <v>11</v>
      </c>
      <c r="B56" s="29">
        <f>IFERROR(IF(SUMIFS(tblDaily[Admissions],tblDaily[EntryDate],DATE(2026,2,11),tblDaily[WardCode],"MAE")=0,"",SUMIFS(tblDaily[Admissions],tblDaily[EntryDate],DATE(2026,2,11),tblDaily[WardCode],"MAE")),"")</f>
        <v>1</v>
      </c>
      <c r="C56" s="29" t="str">
        <f>IFERROR(IF(SUMIFS(tblDaily[Discharges],tblDaily[EntryDate],DATE(2026,2,11),tblDaily[WardCode],"MAE")=0,"",SUMIFS(tblDaily[Discharges],tblDaily[EntryDate],DATE(2026,2,11),tblDaily[WardCode],"MAE")),"")</f>
        <v/>
      </c>
      <c r="D56" s="29" t="str">
        <f>IFERROR(IF(SUMIFS(tblDaily[Deaths],tblDaily[EntryDate],DATE(2026,2,11),tblDaily[WardCode],"MAE")=0,"",SUMIFS(tblDaily[Deaths],tblDaily[EntryDate],DATE(2026,2,11),tblDaily[WardCode],"MAE")),"")</f>
        <v/>
      </c>
      <c r="E56" s="29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29" t="str">
        <f>IFERROR(IF(SUMIFS(tblDaily[TransfersIn],tblDaily[EntryDate],DATE(2026,2,11),tblDaily[WardCode],"MAE")=0,"",SUMIFS(tblDaily[TransfersIn],tblDaily[EntryDate],DATE(2026,2,11),tblDaily[WardCode],"MAE")),"")</f>
        <v/>
      </c>
      <c r="G56" s="29">
        <f>IFERROR(IF(SUMIFS(tblDaily[TransfersOut],tblDaily[EntryDate],DATE(2026,2,11),tblDaily[WardCode],"MAE")=0,"",SUMIFS(tblDaily[TransfersOut],tblDaily[EntryDate],DATE(2026,2,11),tblDaily[WardCode],"MAE")),"")</f>
        <v>1</v>
      </c>
      <c r="H56" s="29">
        <f>IFERROR(IF(SUMIFS(tblDaily[Remaining],tblDaily[EntryDate],DATE(2026,2,11),tblDaily[WardCode],"MAE")=0,"",SUMIFS(tblDaily[Remaining],tblDaily[EntryDate],DATE(2026,2,11),tblDaily[WardCode],"MAE")),"")</f>
        <v>3</v>
      </c>
    </row>
    <row r="57" spans="1:8" x14ac:dyDescent="0.25">
      <c r="A57" s="29">
        <v>12</v>
      </c>
      <c r="B57" s="29">
        <f>IFERROR(IF(SUMIFS(tblDaily[Admissions],tblDaily[EntryDate],DATE(2026,2,12),tblDaily[WardCode],"MAE")=0,"",SUMIFS(tblDaily[Admissions],tblDaily[EntryDate],DATE(2026,2,12),tblDaily[WardCode],"MAE")),"")</f>
        <v>3</v>
      </c>
      <c r="C57" s="29">
        <f>IFERROR(IF(SUMIFS(tblDaily[Discharges],tblDaily[EntryDate],DATE(2026,2,12),tblDaily[WardCode],"MAE")=0,"",SUMIFS(tblDaily[Discharges],tblDaily[EntryDate],DATE(2026,2,12),tblDaily[WardCode],"MAE")),"")</f>
        <v>2</v>
      </c>
      <c r="D57" s="29" t="str">
        <f>IFERROR(IF(SUMIFS(tblDaily[Deaths],tblDaily[EntryDate],DATE(2026,2,12),tblDaily[WardCode],"MAE")=0,"",SUMIFS(tblDaily[Deaths],tblDaily[EntryDate],DATE(2026,2,12),tblDaily[WardCode],"MAE")),"")</f>
        <v/>
      </c>
      <c r="E57" s="29">
        <f>IFERROR(IF(SUMIFS(tblDaily[DeathsUnder24Hrs],tblDaily[EntryDate],DATE(2026,2,12),tblDaily[WardCode],"MAE")=0,"",SUMIFS(tblDaily[DeathsUnder24Hrs],tblDaily[EntryDate],DATE(2026,2,12),tblDaily[WardCode],"MAE")),"")</f>
        <v>1</v>
      </c>
      <c r="F57" s="29" t="str">
        <f>IFERROR(IF(SUMIFS(tblDaily[TransfersIn],tblDaily[EntryDate],DATE(2026,2,12),tblDaily[WardCode],"MAE")=0,"",SUMIFS(tblDaily[TransfersIn],tblDaily[EntryDate],DATE(2026,2,12),tblDaily[WardCode],"MAE")),"")</f>
        <v/>
      </c>
      <c r="G57" s="29">
        <f>IFERROR(IF(SUMIFS(tblDaily[TransfersOut],tblDaily[EntryDate],DATE(2026,2,12),tblDaily[WardCode],"MAE")=0,"",SUMIFS(tblDaily[TransfersOut],tblDaily[EntryDate],DATE(2026,2,12),tblDaily[WardCode],"MAE")),"")</f>
        <v>1</v>
      </c>
      <c r="H57" s="29">
        <f>IFERROR(IF(SUMIFS(tblDaily[Remaining],tblDaily[EntryDate],DATE(2026,2,12),tblDaily[WardCode],"MAE")=0,"",SUMIFS(tblDaily[Remaining],tblDaily[EntryDate],DATE(2026,2,12),tblDaily[WardCode],"MAE")),"")</f>
        <v>2</v>
      </c>
    </row>
    <row r="58" spans="1:8" x14ac:dyDescent="0.25">
      <c r="A58" s="29">
        <v>13</v>
      </c>
      <c r="B58" s="29" t="str">
        <f>IFERROR(IF(SUMIFS(tblDaily[Admissions],tblDaily[EntryDate],DATE(2026,2,13),tblDaily[WardCode],"MAE")=0,"",SUMIFS(tblDaily[Admissions],tblDaily[EntryDate],DATE(2026,2,13),tblDaily[WardCode],"MAE")),"")</f>
        <v/>
      </c>
      <c r="C58" s="29" t="str">
        <f>IFERROR(IF(SUMIFS(tblDaily[Discharges],tblDaily[EntryDate],DATE(2026,2,13),tblDaily[WardCode],"MAE")=0,"",SUMIFS(tblDaily[Discharges],tblDaily[EntryDate],DATE(2026,2,13),tblDaily[WardCode],"MAE")),"")</f>
        <v/>
      </c>
      <c r="D58" s="29" t="str">
        <f>IFERROR(IF(SUMIFS(tblDaily[Deaths],tblDaily[EntryDate],DATE(2026,2,13),tblDaily[WardCode],"MAE")=0,"",SUMIFS(tblDaily[Deaths],tblDaily[EntryDate],DATE(2026,2,13),tblDaily[WardCode],"MAE")),"")</f>
        <v/>
      </c>
      <c r="E58" s="29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29" t="str">
        <f>IFERROR(IF(SUMIFS(tblDaily[TransfersIn],tblDaily[EntryDate],DATE(2026,2,13),tblDaily[WardCode],"MAE")=0,"",SUMIFS(tblDaily[TransfersIn],tblDaily[EntryDate],DATE(2026,2,13),tblDaily[WardCode],"MAE")),"")</f>
        <v/>
      </c>
      <c r="G58" s="29">
        <f>IFERROR(IF(SUMIFS(tblDaily[TransfersOut],tblDaily[EntryDate],DATE(2026,2,13),tblDaily[WardCode],"MAE")=0,"",SUMIFS(tblDaily[TransfersOut],tblDaily[EntryDate],DATE(2026,2,13),tblDaily[WardCode],"MAE")),"")</f>
        <v>1</v>
      </c>
      <c r="H58" s="29">
        <f>IFERROR(IF(SUMIFS(tblDaily[Remaining],tblDaily[EntryDate],DATE(2026,2,13),tblDaily[WardCode],"MAE")=0,"",SUMIFS(tblDaily[Remaining],tblDaily[EntryDate],DATE(2026,2,13),tblDaily[WardCode],"MAE")),"")</f>
        <v>1</v>
      </c>
    </row>
    <row r="59" spans="1:8" x14ac:dyDescent="0.25">
      <c r="A59" s="29">
        <v>14</v>
      </c>
      <c r="B59" s="29">
        <f>IFERROR(IF(SUMIFS(tblDaily[Admissions],tblDaily[EntryDate],DATE(2026,2,14),tblDaily[WardCode],"MAE")=0,"",SUMIFS(tblDaily[Admissions],tblDaily[EntryDate],DATE(2026,2,14),tblDaily[WardCode],"MAE")),"")</f>
        <v>4</v>
      </c>
      <c r="C59" s="29" t="str">
        <f>IFERROR(IF(SUMIFS(tblDaily[Discharges],tblDaily[EntryDate],DATE(2026,2,14),tblDaily[WardCode],"MAE")=0,"",SUMIFS(tblDaily[Discharges],tblDaily[EntryDate],DATE(2026,2,14),tblDaily[WardCode],"MAE")),"")</f>
        <v/>
      </c>
      <c r="D59" s="29" t="str">
        <f>IFERROR(IF(SUMIFS(tblDaily[Deaths],tblDaily[EntryDate],DATE(2026,2,14),tblDaily[WardCode],"MAE")=0,"",SUMIFS(tblDaily[Deaths],tblDaily[EntryDate],DATE(2026,2,14),tblDaily[WardCode],"MAE")),"")</f>
        <v/>
      </c>
      <c r="E59" s="29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29" t="str">
        <f>IFERROR(IF(SUMIFS(tblDaily[TransfersIn],tblDaily[EntryDate],DATE(2026,2,14),tblDaily[WardCode],"MAE")=0,"",SUMIFS(tblDaily[TransfersIn],tblDaily[EntryDate],DATE(2026,2,14),tblDaily[WardCode],"MAE")),"")</f>
        <v/>
      </c>
      <c r="G59" s="29">
        <f>IFERROR(IF(SUMIFS(tblDaily[TransfersOut],tblDaily[EntryDate],DATE(2026,2,14),tblDaily[WardCode],"MAE")=0,"",SUMIFS(tblDaily[TransfersOut],tblDaily[EntryDate],DATE(2026,2,14),tblDaily[WardCode],"MAE")),"")</f>
        <v>1</v>
      </c>
      <c r="H59" s="29">
        <f>IFERROR(IF(SUMIFS(tblDaily[Remaining],tblDaily[EntryDate],DATE(2026,2,14),tblDaily[WardCode],"MAE")=0,"",SUMIFS(tblDaily[Remaining],tblDaily[EntryDate],DATE(2026,2,14),tblDaily[WardCode],"MAE")),"")</f>
        <v>4</v>
      </c>
    </row>
    <row r="60" spans="1:8" x14ac:dyDescent="0.25">
      <c r="A60" s="29">
        <v>15</v>
      </c>
      <c r="B60" s="29">
        <f>IFERROR(IF(SUMIFS(tblDaily[Admissions],tblDaily[EntryDate],DATE(2026,2,15),tblDaily[WardCode],"MAE")=0,"",SUMIFS(tblDaily[Admissions],tblDaily[EntryDate],DATE(2026,2,15),tblDaily[WardCode],"MAE")),"")</f>
        <v>2</v>
      </c>
      <c r="C60" s="29">
        <f>IFERROR(IF(SUMIFS(tblDaily[Discharges],tblDaily[EntryDate],DATE(2026,2,15),tblDaily[WardCode],"MAE")=0,"",SUMIFS(tblDaily[Discharges],tblDaily[EntryDate],DATE(2026,2,15),tblDaily[WardCode],"MAE")),"")</f>
        <v>2</v>
      </c>
      <c r="D60" s="29" t="str">
        <f>IFERROR(IF(SUMIFS(tblDaily[Deaths],tblDaily[EntryDate],DATE(2026,2,15),tblDaily[WardCode],"MAE")=0,"",SUMIFS(tblDaily[Deaths],tblDaily[EntryDate],DATE(2026,2,15),tblDaily[WardCode],"MAE")),"")</f>
        <v/>
      </c>
      <c r="E60" s="29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29" t="str">
        <f>IFERROR(IF(SUMIFS(tblDaily[TransfersIn],tblDaily[EntryDate],DATE(2026,2,15),tblDaily[WardCode],"MAE")=0,"",SUMIFS(tblDaily[TransfersIn],tblDaily[EntryDate],DATE(2026,2,15),tblDaily[WardCode],"MAE")),"")</f>
        <v/>
      </c>
      <c r="G60" s="29">
        <f>IFERROR(IF(SUMIFS(tblDaily[TransfersOut],tblDaily[EntryDate],DATE(2026,2,15),tblDaily[WardCode],"MAE")=0,"",SUMIFS(tblDaily[TransfersOut],tblDaily[EntryDate],DATE(2026,2,15),tblDaily[WardCode],"MAE")),"")</f>
        <v>1</v>
      </c>
      <c r="H60" s="29">
        <f>IFERROR(IF(SUMIFS(tblDaily[Remaining],tblDaily[EntryDate],DATE(2026,2,15),tblDaily[WardCode],"MAE")=0,"",SUMIFS(tblDaily[Remaining],tblDaily[EntryDate],DATE(2026,2,15),tblDaily[WardCode],"MAE")),"")</f>
        <v>3</v>
      </c>
    </row>
    <row r="61" spans="1:8" x14ac:dyDescent="0.25">
      <c r="A61" s="29">
        <v>16</v>
      </c>
      <c r="B61" s="29">
        <f>IFERROR(IF(SUMIFS(tblDaily[Admissions],tblDaily[EntryDate],DATE(2026,2,16),tblDaily[WardCode],"MAE")=0,"",SUMIFS(tblDaily[Admissions],tblDaily[EntryDate],DATE(2026,2,16),tblDaily[WardCode],"MAE")),"")</f>
        <v>2</v>
      </c>
      <c r="C61" s="29">
        <f>IFERROR(IF(SUMIFS(tblDaily[Discharges],tblDaily[EntryDate],DATE(2026,2,16),tblDaily[WardCode],"MAE")=0,"",SUMIFS(tblDaily[Discharges],tblDaily[EntryDate],DATE(2026,2,16),tblDaily[WardCode],"MAE")),"")</f>
        <v>1</v>
      </c>
      <c r="D61" s="29" t="str">
        <f>IFERROR(IF(SUMIFS(tblDaily[Deaths],tblDaily[EntryDate],DATE(2026,2,16),tblDaily[WardCode],"MAE")=0,"",SUMIFS(tblDaily[Deaths],tblDaily[EntryDate],DATE(2026,2,16),tblDaily[WardCode],"MAE")),"")</f>
        <v/>
      </c>
      <c r="E61" s="29">
        <f>IFERROR(IF(SUMIFS(tblDaily[DeathsUnder24Hrs],tblDaily[EntryDate],DATE(2026,2,16),tblDaily[WardCode],"MAE")=0,"",SUMIFS(tblDaily[DeathsUnder24Hrs],tblDaily[EntryDate],DATE(2026,2,16),tblDaily[WardCode],"MAE")),"")</f>
        <v>1</v>
      </c>
      <c r="F61" s="29" t="str">
        <f>IFERROR(IF(SUMIFS(tblDaily[TransfersIn],tblDaily[EntryDate],DATE(2026,2,16),tblDaily[WardCode],"MAE")=0,"",SUMIFS(tblDaily[TransfersIn],tblDaily[EntryDate],DATE(2026,2,16),tblDaily[WardCode],"MAE")),"")</f>
        <v/>
      </c>
      <c r="G61" s="29">
        <f>IFERROR(IF(SUMIFS(tblDaily[TransfersOut],tblDaily[EntryDate],DATE(2026,2,16),tblDaily[WardCode],"MAE")=0,"",SUMIFS(tblDaily[TransfersOut],tblDaily[EntryDate],DATE(2026,2,16),tblDaily[WardCode],"MAE")),"")</f>
        <v>3</v>
      </c>
      <c r="H61" s="29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29">
        <v>17</v>
      </c>
      <c r="B62" s="29">
        <f>IFERROR(IF(SUMIFS(tblDaily[Admissions],tblDaily[EntryDate],DATE(2026,2,17),tblDaily[WardCode],"MAE")=0,"",SUMIFS(tblDaily[Admissions],tblDaily[EntryDate],DATE(2026,2,17),tblDaily[WardCode],"MAE")),"")</f>
        <v>1</v>
      </c>
      <c r="C62" s="29" t="str">
        <f>IFERROR(IF(SUMIFS(tblDaily[Discharges],tblDaily[EntryDate],DATE(2026,2,17),tblDaily[WardCode],"MAE")=0,"",SUMIFS(tblDaily[Discharges],tblDaily[EntryDate],DATE(2026,2,17),tblDaily[WardCode],"MAE")),"")</f>
        <v/>
      </c>
      <c r="D62" s="29" t="str">
        <f>IFERROR(IF(SUMIFS(tblDaily[Deaths],tblDaily[EntryDate],DATE(2026,2,17),tblDaily[WardCode],"MAE")=0,"",SUMIFS(tblDaily[Deaths],tblDaily[EntryDate],DATE(2026,2,17),tblDaily[WardCode],"MAE")),"")</f>
        <v/>
      </c>
      <c r="E62" s="29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29" t="str">
        <f>IFERROR(IF(SUMIFS(tblDaily[TransfersIn],tblDaily[EntryDate],DATE(2026,2,17),tblDaily[WardCode],"MAE")=0,"",SUMIFS(tblDaily[TransfersIn],tblDaily[EntryDate],DATE(2026,2,17),tblDaily[WardCode],"MAE")),"")</f>
        <v/>
      </c>
      <c r="G62" s="29" t="str">
        <f>IFERROR(IF(SUMIFS(tblDaily[TransfersOut],tblDaily[EntryDate],DATE(2026,2,17),tblDaily[WardCode],"MAE")=0,"",SUMIFS(tblDaily[TransfersOut],tblDaily[EntryDate],DATE(2026,2,17),tblDaily[WardCode],"MAE")),"")</f>
        <v/>
      </c>
      <c r="H62" s="29">
        <f>IFERROR(IF(SUMIFS(tblDaily[Remaining],tblDaily[EntryDate],DATE(2026,2,17),tblDaily[WardCode],"MAE")=0,"",SUMIFS(tblDaily[Remaining],tblDaily[EntryDate],DATE(2026,2,17),tblDaily[WardCode],"MAE")),"")</f>
        <v>1</v>
      </c>
    </row>
    <row r="63" spans="1:8" x14ac:dyDescent="0.25">
      <c r="A63" s="29">
        <v>18</v>
      </c>
      <c r="B63" s="29">
        <f>IFERROR(IF(SUMIFS(tblDaily[Admissions],tblDaily[EntryDate],DATE(2026,2,18),tblDaily[WardCode],"MAE")=0,"",SUMIFS(tblDaily[Admissions],tblDaily[EntryDate],DATE(2026,2,18),tblDaily[WardCode],"MAE")),"")</f>
        <v>4</v>
      </c>
      <c r="C63" s="29" t="str">
        <f>IFERROR(IF(SUMIFS(tblDaily[Discharges],tblDaily[EntryDate],DATE(2026,2,18),tblDaily[WardCode],"MAE")=0,"",SUMIFS(tblDaily[Discharges],tblDaily[EntryDate],DATE(2026,2,18),tblDaily[WardCode],"MAE")),"")</f>
        <v/>
      </c>
      <c r="D63" s="29" t="str">
        <f>IFERROR(IF(SUMIFS(tblDaily[Deaths],tblDaily[EntryDate],DATE(2026,2,18),tblDaily[WardCode],"MAE")=0,"",SUMIFS(tblDaily[Deaths],tblDaily[EntryDate],DATE(2026,2,18),tblDaily[WardCode],"MAE")),"")</f>
        <v/>
      </c>
      <c r="E63" s="29">
        <f>IFERROR(IF(SUMIFS(tblDaily[DeathsUnder24Hrs],tblDaily[EntryDate],DATE(2026,2,18),tblDaily[WardCode],"MAE")=0,"",SUMIFS(tblDaily[DeathsUnder24Hrs],tblDaily[EntryDate],DATE(2026,2,18),tblDaily[WardCode],"MAE")),"")</f>
        <v>1</v>
      </c>
      <c r="F63" s="29" t="str">
        <f>IFERROR(IF(SUMIFS(tblDaily[TransfersIn],tblDaily[EntryDate],DATE(2026,2,18),tblDaily[WardCode],"MAE")=0,"",SUMIFS(tblDaily[TransfersIn],tblDaily[EntryDate],DATE(2026,2,18),tblDaily[WardCode],"MAE")),"")</f>
        <v/>
      </c>
      <c r="G63" s="29">
        <f>IFERROR(IF(SUMIFS(tblDaily[TransfersOut],tblDaily[EntryDate],DATE(2026,2,18),tblDaily[WardCode],"MAE")=0,"",SUMIFS(tblDaily[TransfersOut],tblDaily[EntryDate],DATE(2026,2,18),tblDaily[WardCode],"MAE")),"")</f>
        <v>1</v>
      </c>
      <c r="H63" s="29">
        <f>IFERROR(IF(SUMIFS(tblDaily[Remaining],tblDaily[EntryDate],DATE(2026,2,18),tblDaily[WardCode],"MAE")=0,"",SUMIFS(tblDaily[Remaining],tblDaily[EntryDate],DATE(2026,2,18),tblDaily[WardCode],"MAE")),"")</f>
        <v>3</v>
      </c>
    </row>
    <row r="64" spans="1:8" x14ac:dyDescent="0.25">
      <c r="A64" s="29">
        <v>19</v>
      </c>
      <c r="B64" s="29">
        <f>IFERROR(IF(SUMIFS(tblDaily[Admissions],tblDaily[EntryDate],DATE(2026,2,19),tblDaily[WardCode],"MAE")=0,"",SUMIFS(tblDaily[Admissions],tblDaily[EntryDate],DATE(2026,2,19),tblDaily[WardCode],"MAE")),"")</f>
        <v>2</v>
      </c>
      <c r="C64" s="29" t="str">
        <f>IFERROR(IF(SUMIFS(tblDaily[Discharges],tblDaily[EntryDate],DATE(2026,2,19),tblDaily[WardCode],"MAE")=0,"",SUMIFS(tblDaily[Discharges],tblDaily[EntryDate],DATE(2026,2,19),tblDaily[WardCode],"MAE")),"")</f>
        <v/>
      </c>
      <c r="D64" s="29" t="str">
        <f>IFERROR(IF(SUMIFS(tblDaily[Deaths],tblDaily[EntryDate],DATE(2026,2,19),tblDaily[WardCode],"MAE")=0,"",SUMIFS(tblDaily[Deaths],tblDaily[EntryDate],DATE(2026,2,19),tblDaily[WardCode],"MAE")),"")</f>
        <v/>
      </c>
      <c r="E64" s="29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29" t="str">
        <f>IFERROR(IF(SUMIFS(tblDaily[TransfersIn],tblDaily[EntryDate],DATE(2026,2,19),tblDaily[WardCode],"MAE")=0,"",SUMIFS(tblDaily[TransfersIn],tblDaily[EntryDate],DATE(2026,2,19),tblDaily[WardCode],"MAE")),"")</f>
        <v/>
      </c>
      <c r="G64" s="29">
        <f>IFERROR(IF(SUMIFS(tblDaily[TransfersOut],tblDaily[EntryDate],DATE(2026,2,19),tblDaily[WardCode],"MAE")=0,"",SUMIFS(tblDaily[TransfersOut],tblDaily[EntryDate],DATE(2026,2,19),tblDaily[WardCode],"MAE")),"")</f>
        <v>2</v>
      </c>
      <c r="H64" s="29">
        <f>IFERROR(IF(SUMIFS(tblDaily[Remaining],tblDaily[EntryDate],DATE(2026,2,19),tblDaily[WardCode],"MAE")=0,"",SUMIFS(tblDaily[Remaining],tblDaily[EntryDate],DATE(2026,2,19),tblDaily[WardCode],"MAE")),"")</f>
        <v>3</v>
      </c>
    </row>
    <row r="65" spans="1:8" x14ac:dyDescent="0.25">
      <c r="A65" s="29">
        <v>20</v>
      </c>
      <c r="B65" s="29">
        <f>IFERROR(IF(SUMIFS(tblDaily[Admissions],tblDaily[EntryDate],DATE(2026,2,20),tblDaily[WardCode],"MAE")=0,"",SUMIFS(tblDaily[Admissions],tblDaily[EntryDate],DATE(2026,2,20),tblDaily[WardCode],"MAE")),"")</f>
        <v>2</v>
      </c>
      <c r="C65" s="29">
        <f>IFERROR(IF(SUMIFS(tblDaily[Discharges],tblDaily[EntryDate],DATE(2026,2,20),tblDaily[WardCode],"MAE")=0,"",SUMIFS(tblDaily[Discharges],tblDaily[EntryDate],DATE(2026,2,20),tblDaily[WardCode],"MAE")),"")</f>
        <v>1</v>
      </c>
      <c r="D65" s="29" t="str">
        <f>IFERROR(IF(SUMIFS(tblDaily[Deaths],tblDaily[EntryDate],DATE(2026,2,20),tblDaily[WardCode],"MAE")=0,"",SUMIFS(tblDaily[Deaths],tblDaily[EntryDate],DATE(2026,2,20),tblDaily[WardCode],"MAE")),"")</f>
        <v/>
      </c>
      <c r="E65" s="29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29" t="str">
        <f>IFERROR(IF(SUMIFS(tblDaily[TransfersIn],tblDaily[EntryDate],DATE(2026,2,20),tblDaily[WardCode],"MAE")=0,"",SUMIFS(tblDaily[TransfersIn],tblDaily[EntryDate],DATE(2026,2,20),tblDaily[WardCode],"MAE")),"")</f>
        <v/>
      </c>
      <c r="G65" s="29">
        <f>IFERROR(IF(SUMIFS(tblDaily[TransfersOut],tblDaily[EntryDate],DATE(2026,2,20),tblDaily[WardCode],"MAE")=0,"",SUMIFS(tblDaily[TransfersOut],tblDaily[EntryDate],DATE(2026,2,20),tblDaily[WardCode],"MAE")),"")</f>
        <v>2</v>
      </c>
      <c r="H65" s="29">
        <f>IFERROR(IF(SUMIFS(tblDaily[Remaining],tblDaily[EntryDate],DATE(2026,2,20),tblDaily[WardCode],"MAE")=0,"",SUMIFS(tblDaily[Remaining],tblDaily[EntryDate],DATE(2026,2,20),tblDaily[WardCode],"MAE")),"")</f>
        <v>2</v>
      </c>
    </row>
    <row r="66" spans="1:8" x14ac:dyDescent="0.25">
      <c r="A66" s="29">
        <v>21</v>
      </c>
      <c r="B66" s="29">
        <f>IFERROR(IF(SUMIFS(tblDaily[Admissions],tblDaily[EntryDate],DATE(2026,2,21),tblDaily[WardCode],"MAE")=0,"",SUMIFS(tblDaily[Admissions],tblDaily[EntryDate],DATE(2026,2,21),tblDaily[WardCode],"MAE")),"")</f>
        <v>1</v>
      </c>
      <c r="C66" s="29">
        <f>IFERROR(IF(SUMIFS(tblDaily[Discharges],tblDaily[EntryDate],DATE(2026,2,21),tblDaily[WardCode],"MAE")=0,"",SUMIFS(tblDaily[Discharges],tblDaily[EntryDate],DATE(2026,2,21),tblDaily[WardCode],"MAE")),"")</f>
        <v>1</v>
      </c>
      <c r="D66" s="29" t="str">
        <f>IFERROR(IF(SUMIFS(tblDaily[Deaths],tblDaily[EntryDate],DATE(2026,2,21),tblDaily[WardCode],"MAE")=0,"",SUMIFS(tblDaily[Deaths],tblDaily[EntryDate],DATE(2026,2,21),tblDaily[WardCode],"MAE")),"")</f>
        <v/>
      </c>
      <c r="E66" s="29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29" t="str">
        <f>IFERROR(IF(SUMIFS(tblDaily[TransfersIn],tblDaily[EntryDate],DATE(2026,2,21),tblDaily[WardCode],"MAE")=0,"",SUMIFS(tblDaily[TransfersIn],tblDaily[EntryDate],DATE(2026,2,21),tblDaily[WardCode],"MAE")),"")</f>
        <v/>
      </c>
      <c r="G66" s="29">
        <f>IFERROR(IF(SUMIFS(tblDaily[TransfersOut],tblDaily[EntryDate],DATE(2026,2,21),tblDaily[WardCode],"MAE")=0,"",SUMIFS(tblDaily[TransfersOut],tblDaily[EntryDate],DATE(2026,2,21),tblDaily[WardCode],"MAE")),"")</f>
        <v>1</v>
      </c>
      <c r="H66" s="29">
        <f>IFERROR(IF(SUMIFS(tblDaily[Remaining],tblDaily[EntryDate],DATE(2026,2,21),tblDaily[WardCode],"MAE")=0,"",SUMIFS(tblDaily[Remaining],tblDaily[EntryDate],DATE(2026,2,21),tblDaily[WardCode],"MAE")),"")</f>
        <v>1</v>
      </c>
    </row>
    <row r="67" spans="1:8" x14ac:dyDescent="0.25">
      <c r="A67" s="29">
        <v>22</v>
      </c>
      <c r="B67" s="29">
        <f>IFERROR(IF(SUMIFS(tblDaily[Admissions],tblDaily[EntryDate],DATE(2026,2,22),tblDaily[WardCode],"MAE")=0,"",SUMIFS(tblDaily[Admissions],tblDaily[EntryDate],DATE(2026,2,22),tblDaily[WardCode],"MAE")),"")</f>
        <v>2</v>
      </c>
      <c r="C67" s="29" t="str">
        <f>IFERROR(IF(SUMIFS(tblDaily[Discharges],tblDaily[EntryDate],DATE(2026,2,22),tblDaily[WardCode],"MAE")=0,"",SUMIFS(tblDaily[Discharges],tblDaily[EntryDate],DATE(2026,2,22),tblDaily[WardCode],"MAE")),"")</f>
        <v/>
      </c>
      <c r="D67" s="29" t="str">
        <f>IFERROR(IF(SUMIFS(tblDaily[Deaths],tblDaily[EntryDate],DATE(2026,2,22),tblDaily[WardCode],"MAE")=0,"",SUMIFS(tblDaily[Deaths],tblDaily[EntryDate],DATE(2026,2,22),tblDaily[WardCode],"MAE")),"")</f>
        <v/>
      </c>
      <c r="E67" s="29">
        <f>IFERROR(IF(SUMIFS(tblDaily[DeathsUnder24Hrs],tblDaily[EntryDate],DATE(2026,2,22),tblDaily[WardCode],"MAE")=0,"",SUMIFS(tblDaily[DeathsUnder24Hrs],tblDaily[EntryDate],DATE(2026,2,22),tblDaily[WardCode],"MAE")),"")</f>
        <v>1</v>
      </c>
      <c r="F67" s="29" t="str">
        <f>IFERROR(IF(SUMIFS(tblDaily[TransfersIn],tblDaily[EntryDate],DATE(2026,2,22),tblDaily[WardCode],"MAE")=0,"",SUMIFS(tblDaily[TransfersIn],tblDaily[EntryDate],DATE(2026,2,22),tblDaily[WardCode],"MAE")),"")</f>
        <v/>
      </c>
      <c r="G67" s="29" t="str">
        <f>IFERROR(IF(SUMIFS(tblDaily[TransfersOut],tblDaily[EntryDate],DATE(2026,2,22),tblDaily[WardCode],"MAE")=0,"",SUMIFS(tblDaily[TransfersOut],tblDaily[EntryDate],DATE(2026,2,22),tblDaily[WardCode],"MAE")),"")</f>
        <v/>
      </c>
      <c r="H67" s="29">
        <f>IFERROR(IF(SUMIFS(tblDaily[Remaining],tblDaily[EntryDate],DATE(2026,2,22),tblDaily[WardCode],"MAE")=0,"",SUMIFS(tblDaily[Remaining],tblDaily[EntryDate],DATE(2026,2,22),tblDaily[WardCode],"MAE")),"")</f>
        <v>2</v>
      </c>
    </row>
    <row r="68" spans="1:8" x14ac:dyDescent="0.25">
      <c r="A68" s="29">
        <v>23</v>
      </c>
      <c r="B68" s="29">
        <f>IFERROR(IF(SUMIFS(tblDaily[Admissions],tblDaily[EntryDate],DATE(2026,2,23),tblDaily[WardCode],"MAE")=0,"",SUMIFS(tblDaily[Admissions],tblDaily[EntryDate],DATE(2026,2,23),tblDaily[WardCode],"MAE")),"")</f>
        <v>2</v>
      </c>
      <c r="C68" s="29" t="str">
        <f>IFERROR(IF(SUMIFS(tblDaily[Discharges],tblDaily[EntryDate],DATE(2026,2,23),tblDaily[WardCode],"MAE")=0,"",SUMIFS(tblDaily[Discharges],tblDaily[EntryDate],DATE(2026,2,23),tblDaily[WardCode],"MAE")),"")</f>
        <v/>
      </c>
      <c r="D68" s="29" t="str">
        <f>IFERROR(IF(SUMIFS(tblDaily[Deaths],tblDaily[EntryDate],DATE(2026,2,23),tblDaily[WardCode],"MAE")=0,"",SUMIFS(tblDaily[Deaths],tblDaily[EntryDate],DATE(2026,2,23),tblDaily[WardCode],"MAE")),"")</f>
        <v/>
      </c>
      <c r="E68" s="29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29" t="str">
        <f>IFERROR(IF(SUMIFS(tblDaily[TransfersIn],tblDaily[EntryDate],DATE(2026,2,23),tblDaily[WardCode],"MAE")=0,"",SUMIFS(tblDaily[TransfersIn],tblDaily[EntryDate],DATE(2026,2,23),tblDaily[WardCode],"MAE")),"")</f>
        <v/>
      </c>
      <c r="G68" s="29" t="str">
        <f>IFERROR(IF(SUMIFS(tblDaily[TransfersOut],tblDaily[EntryDate],DATE(2026,2,23),tblDaily[WardCode],"MAE")=0,"",SUMIFS(tblDaily[TransfersOut],tblDaily[EntryDate],DATE(2026,2,23),tblDaily[WardCode],"MAE")),"")</f>
        <v/>
      </c>
      <c r="H68" s="29">
        <f>IFERROR(IF(SUMIFS(tblDaily[Remaining],tblDaily[EntryDate],DATE(2026,2,23),tblDaily[WardCode],"MAE")=0,"",SUMIFS(tblDaily[Remaining],tblDaily[EntryDate],DATE(2026,2,23),tblDaily[WardCode],"MAE")),"")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IFERROR(IF(SUMIFS(tblDaily[Admissions],tblDaily[EntryDate],DATE(2026,2,24),tblDaily[WardCode],"MAE")=0,"",SUMIFS(tblDaily[Admissions],tblDaily[EntryDate],DATE(2026,2,24),tblDaily[WardCode],"MAE")),"")</f>
        <v>2</v>
      </c>
      <c r="C69" s="29" t="str">
        <f>IFERROR(IF(SUMIFS(tblDaily[Discharges],tblDaily[EntryDate],DATE(2026,2,24),tblDaily[WardCode],"MAE")=0,"",SUMIFS(tblDaily[Discharges],tblDaily[EntryDate],DATE(2026,2,24),tblDaily[WardCode],"MAE")),"")</f>
        <v/>
      </c>
      <c r="D69" s="29" t="str">
        <f>IFERROR(IF(SUMIFS(tblDaily[Deaths],tblDaily[EntryDate],DATE(2026,2,24),tblDaily[WardCode],"MAE")=0,"",SUMIFS(tblDaily[Deaths],tblDaily[EntryDate],DATE(2026,2,24),tblDaily[WardCode],"MAE")),"")</f>
        <v/>
      </c>
      <c r="E69" s="29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29" t="str">
        <f>IFERROR(IF(SUMIFS(tblDaily[TransfersIn],tblDaily[EntryDate],DATE(2026,2,24),tblDaily[WardCode],"MAE")=0,"",SUMIFS(tblDaily[TransfersIn],tblDaily[EntryDate],DATE(2026,2,24),tblDaily[WardCode],"MAE")),"")</f>
        <v/>
      </c>
      <c r="G69" s="29">
        <f>IFERROR(IF(SUMIFS(tblDaily[TransfersOut],tblDaily[EntryDate],DATE(2026,2,24),tblDaily[WardCode],"MAE")=0,"",SUMIFS(tblDaily[TransfersOut],tblDaily[EntryDate],DATE(2026,2,24),tblDaily[WardCode],"MAE")),"")</f>
        <v>3</v>
      </c>
      <c r="H69" s="29">
        <f>IFERROR(IF(SUMIFS(tblDaily[Remaining],tblDaily[EntryDate],DATE(2026,2,24),tblDaily[WardCode],"MAE")=0,"",SUMIFS(tblDaily[Remaining],tblDaily[EntryDate],DATE(2026,2,24),tblDaily[WardCode],"MAE")),"")</f>
        <v>3</v>
      </c>
    </row>
    <row r="70" spans="1:8" x14ac:dyDescent="0.25">
      <c r="A70" s="29">
        <v>25</v>
      </c>
      <c r="B70" s="29">
        <f>IFERROR(IF(SUMIFS(tblDaily[Admissions],tblDaily[EntryDate],DATE(2026,2,25),tblDaily[WardCode],"MAE")=0,"",SUMIFS(tblDaily[Admissions],tblDaily[EntryDate],DATE(2026,2,25),tblDaily[WardCode],"MAE")),"")</f>
        <v>2</v>
      </c>
      <c r="C70" s="29">
        <f>IFERROR(IF(SUMIFS(tblDaily[Discharges],tblDaily[EntryDate],DATE(2026,2,25),tblDaily[WardCode],"MAE")=0,"",SUMIFS(tblDaily[Discharges],tblDaily[EntryDate],DATE(2026,2,25),tblDaily[WardCode],"MAE")),"")</f>
        <v>1</v>
      </c>
      <c r="D70" s="29" t="str">
        <f>IFERROR(IF(SUMIFS(tblDaily[Deaths],tblDaily[EntryDate],DATE(2026,2,25),tblDaily[WardCode],"MAE")=0,"",SUMIFS(tblDaily[Deaths],tblDaily[EntryDate],DATE(2026,2,25),tblDaily[WardCode],"MAE")),"")</f>
        <v/>
      </c>
      <c r="E70" s="29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29" t="str">
        <f>IFERROR(IF(SUMIFS(tblDaily[TransfersIn],tblDaily[EntryDate],DATE(2026,2,25),tblDaily[WardCode],"MAE")=0,"",SUMIFS(tblDaily[TransfersIn],tblDaily[EntryDate],DATE(2026,2,25),tblDaily[WardCode],"MAE")),"")</f>
        <v/>
      </c>
      <c r="G70" s="29" t="str">
        <f>IFERROR(IF(SUMIFS(tblDaily[TransfersOut],tblDaily[EntryDate],DATE(2026,2,25),tblDaily[WardCode],"MAE")=0,"",SUMIFS(tblDaily[TransfersOut],tblDaily[EntryDate],DATE(2026,2,25),tblDaily[WardCode],"MAE")),"")</f>
        <v/>
      </c>
      <c r="H70" s="29">
        <f>IFERROR(IF(SUMIFS(tblDaily[Remaining],tblDaily[EntryDate],DATE(2026,2,25),tblDaily[WardCode],"MAE")=0,"",SUMIFS(tblDaily[Remaining],tblDaily[EntryDate],DATE(2026,2,25),tblDaily[WardCode],"MAE")),"")</f>
        <v>4</v>
      </c>
    </row>
    <row r="71" spans="1:8" x14ac:dyDescent="0.25">
      <c r="A71" s="29">
        <v>26</v>
      </c>
      <c r="B71" s="29">
        <f>IFERROR(IF(SUMIFS(tblDaily[Admissions],tblDaily[EntryDate],DATE(2026,2,26),tblDaily[WardCode],"MAE")=0,"",SUMIFS(tblDaily[Admissions],tblDaily[EntryDate],DATE(2026,2,26),tblDaily[WardCode],"MAE")),"")</f>
        <v>1</v>
      </c>
      <c r="C71" s="29">
        <f>IFERROR(IF(SUMIFS(tblDaily[Discharges],tblDaily[EntryDate],DATE(2026,2,26),tblDaily[WardCode],"MAE")=0,"",SUMIFS(tblDaily[Discharges],tblDaily[EntryDate],DATE(2026,2,26),tblDaily[WardCode],"MAE")),"")</f>
        <v>1</v>
      </c>
      <c r="D71" s="29" t="str">
        <f>IFERROR(IF(SUMIFS(tblDaily[Deaths],tblDaily[EntryDate],DATE(2026,2,26),tblDaily[WardCode],"MAE")=0,"",SUMIFS(tblDaily[Deaths],tblDaily[EntryDate],DATE(2026,2,26),tblDaily[WardCode],"MAE")),"")</f>
        <v/>
      </c>
      <c r="E71" s="29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29" t="str">
        <f>IFERROR(IF(SUMIFS(tblDaily[TransfersIn],tblDaily[EntryDate],DATE(2026,2,26),tblDaily[WardCode],"MAE")=0,"",SUMIFS(tblDaily[TransfersIn],tblDaily[EntryDate],DATE(2026,2,26),tblDaily[WardCode],"MAE")),"")</f>
        <v/>
      </c>
      <c r="G71" s="29">
        <f>IFERROR(IF(SUMIFS(tblDaily[TransfersOut],tblDaily[EntryDate],DATE(2026,2,26),tblDaily[WardCode],"MAE")=0,"",SUMIFS(tblDaily[TransfersOut],tblDaily[EntryDate],DATE(2026,2,26),tblDaily[WardCode],"MAE")),"")</f>
        <v>2</v>
      </c>
      <c r="H71" s="29">
        <f>IFERROR(IF(SUMIFS(tblDaily[Remaining],tblDaily[EntryDate],DATE(2026,2,26),tblDaily[WardCode],"MAE")=0,"",SUMIFS(tblDaily[Remaining],tblDaily[EntryDate],DATE(2026,2,26),tblDaily[WardCode],"MAE")),"")</f>
        <v>2</v>
      </c>
    </row>
    <row r="72" spans="1:8" x14ac:dyDescent="0.25">
      <c r="A72" s="29">
        <v>27</v>
      </c>
      <c r="B72" s="29">
        <f>IFERROR(IF(SUMIFS(tblDaily[Admissions],tblDaily[EntryDate],DATE(2026,2,27),tblDaily[WardCode],"MAE")=0,"",SUMIFS(tblDaily[Admissions],tblDaily[EntryDate],DATE(2026,2,27),tblDaily[WardCode],"MAE")),"")</f>
        <v>2</v>
      </c>
      <c r="C72" s="29">
        <f>IFERROR(IF(SUMIFS(tblDaily[Discharges],tblDaily[EntryDate],DATE(2026,2,27),tblDaily[WardCode],"MAE")=0,"",SUMIFS(tblDaily[Discharges],tblDaily[EntryDate],DATE(2026,2,27),tblDaily[WardCode],"MAE")),"")</f>
        <v>1</v>
      </c>
      <c r="D72" s="29" t="str">
        <f>IFERROR(IF(SUMIFS(tblDaily[Deaths],tblDaily[EntryDate],DATE(2026,2,27),tblDaily[WardCode],"MAE")=0,"",SUMIFS(tblDaily[Deaths],tblDaily[EntryDate],DATE(2026,2,27),tblDaily[WardCode],"MAE")),"")</f>
        <v/>
      </c>
      <c r="E72" s="29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29" t="str">
        <f>IFERROR(IF(SUMIFS(tblDaily[TransfersIn],tblDaily[EntryDate],DATE(2026,2,27),tblDaily[WardCode],"MAE")=0,"",SUMIFS(tblDaily[TransfersIn],tblDaily[EntryDate],DATE(2026,2,27),tblDaily[WardCode],"MAE")),"")</f>
        <v/>
      </c>
      <c r="G72" s="29">
        <f>IFERROR(IF(SUMIFS(tblDaily[TransfersOut],tblDaily[EntryDate],DATE(2026,2,27),tblDaily[WardCode],"MAE")=0,"",SUMIFS(tblDaily[TransfersOut],tblDaily[EntryDate],DATE(2026,2,27),tblDaily[WardCode],"MAE")),"")</f>
        <v>1</v>
      </c>
      <c r="H72" s="29">
        <f>IFERROR(IF(SUMIFS(tblDaily[Remaining],tblDaily[EntryDate],DATE(2026,2,27),tblDaily[WardCode],"MAE")=0,"",SUMIFS(tblDaily[Remaining],tblDaily[EntryDate],DATE(2026,2,27),tblDaily[WardCode],"MAE")),"")</f>
        <v>2</v>
      </c>
    </row>
    <row r="73" spans="1:8" x14ac:dyDescent="0.25">
      <c r="A73" s="29">
        <v>28</v>
      </c>
      <c r="B73" s="29">
        <f>IFERROR(IF(SUMIFS(tblDaily[Admissions],tblDaily[EntryDate],DATE(2026,2,28),tblDaily[WardCode],"MAE")=0,"",SUMIFS(tblDaily[Admissions],tblDaily[EntryDate],DATE(2026,2,28),tblDaily[WardCode],"MAE")),"")</f>
        <v>3</v>
      </c>
      <c r="C73" s="29" t="str">
        <f>IFERROR(IF(SUMIFS(tblDaily[Discharges],tblDaily[EntryDate],DATE(2026,2,28),tblDaily[WardCode],"MAE")=0,"",SUMIFS(tblDaily[Discharges],tblDaily[EntryDate],DATE(2026,2,28),tblDaily[WardCode],"MAE")),"")</f>
        <v/>
      </c>
      <c r="D73" s="29" t="str">
        <f>IFERROR(IF(SUMIFS(tblDaily[Deaths],tblDaily[EntryDate],DATE(2026,2,28),tblDaily[WardCode],"MAE")=0,"",SUMIFS(tblDaily[Deaths],tblDaily[EntryDate],DATE(2026,2,28),tblDaily[WardCode],"MAE")),"")</f>
        <v/>
      </c>
      <c r="E73" s="29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29" t="str">
        <f>IFERROR(IF(SUMIFS(tblDaily[TransfersIn],tblDaily[EntryDate],DATE(2026,2,28),tblDaily[WardCode],"MAE")=0,"",SUMIFS(tblDaily[TransfersIn],tblDaily[EntryDate],DATE(2026,2,28),tblDaily[WardCode],"MAE")),"")</f>
        <v/>
      </c>
      <c r="G73" s="29" t="str">
        <f>IFERROR(IF(SUMIFS(tblDaily[TransfersOut],tblDaily[EntryDate],DATE(2026,2,28),tblDaily[WardCode],"MAE")=0,"",SUMIFS(tblDaily[TransfersOut],tblDaily[EntryDate],DATE(2026,2,28),tblDaily[WardCode],"MAE")),"")</f>
        <v/>
      </c>
      <c r="H73" s="29">
        <f>IFERROR(IF(SUMIFS(tblDaily[Remaining],tblDaily[EntryDate],DATE(2026,2,28),tblDaily[WardCode],"MAE")=0,"",SUMIFS(tblDaily[Remaining],tblDaily[EntryDate],DATE(2026,2,28),tblDaily[WardCode],"MAE")),"")</f>
        <v>5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SUMIFS(tblDaily[Admissions],tblDaily[Month],2,tblDaily[WardCode],"MAE") - SUMIFS(tblDaily[DeathsUnder24Hrs],tblDaily[Month],2,tblDaily[WardCode],"MAE")</f>
        <v>62</v>
      </c>
      <c r="C77" s="30">
        <f>SUMIFS(tblDaily[Discharges],tblDaily[Month],2,tblDaily[WardCode],"MAE")</f>
        <v>24</v>
      </c>
      <c r="D77" s="30">
        <f>SUMIFS(tblDaily[Deaths],tblDaily[Month],2,tblDaily[WardCode],"MAE")</f>
        <v>0</v>
      </c>
      <c r="E77" s="30">
        <f>SUMIFS(tblDaily[DeathsUnder24Hrs],tblDaily[Month],2,tblDaily[WardCode],"MAE")</f>
        <v>6</v>
      </c>
      <c r="F77" s="30">
        <f>SUMIFS(tblDaily[TransfersIn],tblDaily[Month],2,tblDaily[WardCode],"MAE")</f>
        <v>0</v>
      </c>
      <c r="G77" s="30">
        <f>SUMIFS(tblDaily[TransfersOut],tblDaily[Month],2,tblDaily[WardCode],"MAE")</f>
        <v>34</v>
      </c>
      <c r="H77" s="30">
        <f>SUMIFS(tblDaily[Remaining],tblDaily[Month],2,tblDaily[WardCode],"MAE")</f>
        <v>80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122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IFERROR(SUMIFS(tblDaily[Remaining],tblDaily[EntryDate],DATE(2026,2,28),tblDaily[WardCode],"MAE"),0)</f>
        <v>5</v>
      </c>
    </row>
    <row r="83" spans="1:8" x14ac:dyDescent="0.25">
      <c r="A83" s="24" t="s">
        <v>109</v>
      </c>
      <c r="H83" s="27">
        <f>IFERROR(INDEX(tblWardConfig[BedComplement],MATCH("MAE",tblWardConfig[WardCode],0)),0)</f>
        <v>10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>
        <f>IFERROR(IF(SUMIFS(tblDaily[Admissions],tblDaily[EntryDate],DATE(2026,3,1),tblDaily[WardCode],"MAE")=0,"",SUMIFS(tblDaily[Admissions],tblDaily[EntryDate],DATE(2026,3,1),tblDaily[WardCode],"MAE")),"")</f>
        <v>3</v>
      </c>
      <c r="C85" s="29">
        <f>IFERROR(IF(SUMIFS(tblDaily[Discharges],tblDaily[EntryDate],DATE(2026,3,1),tblDaily[WardCode],"MAE")=0,"",SUMIFS(tblDaily[Discharges],tblDaily[EntryDate],DATE(2026,3,1),tblDaily[WardCode],"MAE")),"")</f>
        <v>2</v>
      </c>
      <c r="D85" s="29">
        <f>IFERROR(IF(SUMIFS(tblDaily[Deaths],tblDaily[EntryDate],DATE(2026,3,1),tblDaily[WardCode],"MAE")=0,"",SUMIFS(tblDaily[Deaths],tblDaily[EntryDate],DATE(2026,3,1),tblDaily[WardCode],"MAE")),"")</f>
        <v>1</v>
      </c>
      <c r="E85" s="29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29" t="str">
        <f>IFERROR(IF(SUMIFS(tblDaily[TransfersIn],tblDaily[EntryDate],DATE(2026,3,1),tblDaily[WardCode],"MAE")=0,"",SUMIFS(tblDaily[TransfersIn],tblDaily[EntryDate],DATE(2026,3,1),tblDaily[WardCode],"MAE")),"")</f>
        <v/>
      </c>
      <c r="G85" s="29">
        <f>IFERROR(IF(SUMIFS(tblDaily[TransfersOut],tblDaily[EntryDate],DATE(2026,3,1),tblDaily[WardCode],"MAE")=0,"",SUMIFS(tblDaily[TransfersOut],tblDaily[EntryDate],DATE(2026,3,1),tblDaily[WardCode],"MAE")),"")</f>
        <v>2</v>
      </c>
      <c r="H85" s="29">
        <f>IFERROR(IF(SUMIFS(tblDaily[Remaining],tblDaily[EntryDate],DATE(2026,3,1),tblDaily[WardCode],"MAE")=0,"",SUMIFS(tblDaily[Remaining],tblDaily[EntryDate],DATE(2026,3,1),tblDaily[WardCode],"MAE")),"")</f>
        <v>3</v>
      </c>
    </row>
    <row r="86" spans="1:8" x14ac:dyDescent="0.25">
      <c r="A86" s="29">
        <v>2</v>
      </c>
      <c r="B86" s="29">
        <f>IFERROR(IF(SUMIFS(tblDaily[Admissions],tblDaily[EntryDate],DATE(2026,3,2),tblDaily[WardCode],"MAE")=0,"",SUMIFS(tblDaily[Admissions],tblDaily[EntryDate],DATE(2026,3,2),tblDaily[WardCode],"MAE")),"")</f>
        <v>3</v>
      </c>
      <c r="C86" s="29">
        <f>IFERROR(IF(SUMIFS(tblDaily[Discharges],tblDaily[EntryDate],DATE(2026,3,2),tblDaily[WardCode],"MAE")=0,"",SUMIFS(tblDaily[Discharges],tblDaily[EntryDate],DATE(2026,3,2),tblDaily[WardCode],"MAE")),"")</f>
        <v>1</v>
      </c>
      <c r="D86" s="29" t="str">
        <f>IFERROR(IF(SUMIFS(tblDaily[Deaths],tblDaily[EntryDate],DATE(2026,3,2),tblDaily[WardCode],"MAE")=0,"",SUMIFS(tblDaily[Deaths],tblDaily[EntryDate],DATE(2026,3,2),tblDaily[WardCode],"MAE")),"")</f>
        <v/>
      </c>
      <c r="E86" s="29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29" t="str">
        <f>IFERROR(IF(SUMIFS(tblDaily[TransfersIn],tblDaily[EntryDate],DATE(2026,3,2),tblDaily[WardCode],"MAE")=0,"",SUMIFS(tblDaily[TransfersIn],tblDaily[EntryDate],DATE(2026,3,2),tblDaily[WardCode],"MAE")),"")</f>
        <v/>
      </c>
      <c r="G86" s="29">
        <f>IFERROR(IF(SUMIFS(tblDaily[TransfersOut],tblDaily[EntryDate],DATE(2026,3,2),tblDaily[WardCode],"MAE")=0,"",SUMIFS(tblDaily[TransfersOut],tblDaily[EntryDate],DATE(2026,3,2),tblDaily[WardCode],"MAE")),"")</f>
        <v>2</v>
      </c>
      <c r="H86" s="29">
        <f>IFERROR(IF(SUMIFS(tblDaily[Remaining],tblDaily[EntryDate],DATE(2026,3,2),tblDaily[WardCode],"MAE")=0,"",SUMIFS(tblDaily[Remaining],tblDaily[EntryDate],DATE(2026,3,2),tblDaily[WardCode],"MAE")),"")</f>
        <v>3</v>
      </c>
    </row>
    <row r="87" spans="1:8" x14ac:dyDescent="0.25">
      <c r="A87" s="29">
        <v>3</v>
      </c>
      <c r="B87" s="29">
        <f>IFERROR(IF(SUMIFS(tblDaily[Admissions],tblDaily[EntryDate],DATE(2026,3,3),tblDaily[WardCode],"MAE")=0,"",SUMIFS(tblDaily[Admissions],tblDaily[EntryDate],DATE(2026,3,3),tblDaily[WardCode],"MAE")),"")</f>
        <v>2</v>
      </c>
      <c r="C87" s="29">
        <f>IFERROR(IF(SUMIFS(tblDaily[Discharges],tblDaily[EntryDate],DATE(2026,3,3),tblDaily[WardCode],"MAE")=0,"",SUMIFS(tblDaily[Discharges],tblDaily[EntryDate],DATE(2026,3,3),tblDaily[WardCode],"MAE")),"")</f>
        <v>1</v>
      </c>
      <c r="D87" s="29" t="str">
        <f>IFERROR(IF(SUMIFS(tblDaily[Deaths],tblDaily[EntryDate],DATE(2026,3,3),tblDaily[WardCode],"MAE")=0,"",SUMIFS(tblDaily[Deaths],tblDaily[EntryDate],DATE(2026,3,3),tblDaily[WardCode],"MAE")),"")</f>
        <v/>
      </c>
      <c r="E87" s="29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29" t="str">
        <f>IFERROR(IF(SUMIFS(tblDaily[TransfersIn],tblDaily[EntryDate],DATE(2026,3,3),tblDaily[WardCode],"MAE")=0,"",SUMIFS(tblDaily[TransfersIn],tblDaily[EntryDate],DATE(2026,3,3),tblDaily[WardCode],"MAE")),"")</f>
        <v/>
      </c>
      <c r="G87" s="29">
        <f>IFERROR(IF(SUMIFS(tblDaily[TransfersOut],tblDaily[EntryDate],DATE(2026,3,3),tblDaily[WardCode],"MAE")=0,"",SUMIFS(tblDaily[TransfersOut],tblDaily[EntryDate],DATE(2026,3,3),tblDaily[WardCode],"MAE")),"")</f>
        <v>3</v>
      </c>
      <c r="H87" s="29">
        <f>IFERROR(IF(SUMIFS(tblDaily[Remaining],tblDaily[EntryDate],DATE(2026,3,3),tblDaily[WardCode],"MAE")=0,"",SUMIFS(tblDaily[Remaining],tblDaily[EntryDate],DATE(2026,3,3),tblDaily[WardCode],"MAE")),"")</f>
        <v>1</v>
      </c>
    </row>
    <row r="88" spans="1:8" x14ac:dyDescent="0.25">
      <c r="A88" s="29">
        <v>4</v>
      </c>
      <c r="B88" s="29" t="str">
        <f>IFERROR(IF(SUMIFS(tblDaily[Admissions],tblDaily[EntryDate],DATE(2026,3,4),tblDaily[WardCode],"MAE")=0,"",SUMIFS(tblDaily[Admissions],tblDaily[EntryDate],DATE(2026,3,4),tblDaily[WardCode],"MAE")),"")</f>
        <v/>
      </c>
      <c r="C88" s="29">
        <f>IFERROR(IF(SUMIFS(tblDaily[Discharges],tblDaily[EntryDate],DATE(2026,3,4),tblDaily[WardCode],"MAE")=0,"",SUMIFS(tblDaily[Discharges],tblDaily[EntryDate],DATE(2026,3,4),tblDaily[WardCode],"MAE")),"")</f>
        <v>1</v>
      </c>
      <c r="D88" s="29" t="str">
        <f>IFERROR(IF(SUMIFS(tblDaily[Deaths],tblDaily[EntryDate],DATE(2026,3,4),tblDaily[WardCode],"MAE")=0,"",SUMIFS(tblDaily[Deaths],tblDaily[EntryDate],DATE(2026,3,4),tblDaily[WardCode],"MAE")),"")</f>
        <v/>
      </c>
      <c r="E88" s="29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29" t="str">
        <f>IFERROR(IF(SUMIFS(tblDaily[TransfersIn],tblDaily[EntryDate],DATE(2026,3,4),tblDaily[WardCode],"MAE")=0,"",SUMIFS(tblDaily[TransfersIn],tblDaily[EntryDate],DATE(2026,3,4),tblDaily[WardCode],"MAE")),"")</f>
        <v/>
      </c>
      <c r="G88" s="29" t="str">
        <f>IFERROR(IF(SUMIFS(tblDaily[TransfersOut],tblDaily[EntryDate],DATE(2026,3,4),tblDaily[WardCode],"MAE")=0,"",SUMIFS(tblDaily[TransfersOut],tblDaily[EntryDate],DATE(2026,3,4),tblDaily[WardCode],"MAE")),"")</f>
        <v/>
      </c>
      <c r="H88" s="29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29">
        <v>5</v>
      </c>
      <c r="B89" s="29">
        <f>IFERROR(IF(SUMIFS(tblDaily[Admissions],tblDaily[EntryDate],DATE(2026,3,5),tblDaily[WardCode],"MAE")=0,"",SUMIFS(tblDaily[Admissions],tblDaily[EntryDate],DATE(2026,3,5),tblDaily[WardCode],"MAE")),"")</f>
        <v>1</v>
      </c>
      <c r="C89" s="29" t="str">
        <f>IFERROR(IF(SUMIFS(tblDaily[Discharges],tblDaily[EntryDate],DATE(2026,3,5),tblDaily[WardCode],"MAE")=0,"",SUMIFS(tblDaily[Discharges],tblDaily[EntryDate],DATE(2026,3,5),tblDaily[WardCode],"MAE")),"")</f>
        <v/>
      </c>
      <c r="D89" s="29" t="str">
        <f>IFERROR(IF(SUMIFS(tblDaily[Deaths],tblDaily[EntryDate],DATE(2026,3,5),tblDaily[WardCode],"MAE")=0,"",SUMIFS(tblDaily[Deaths],tblDaily[EntryDate],DATE(2026,3,5),tblDaily[WardCode],"MAE")),"")</f>
        <v/>
      </c>
      <c r="E89" s="29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29" t="str">
        <f>IFERROR(IF(SUMIFS(tblDaily[TransfersIn],tblDaily[EntryDate],DATE(2026,3,5),tblDaily[WardCode],"MAE")=0,"",SUMIFS(tblDaily[TransfersIn],tblDaily[EntryDate],DATE(2026,3,5),tblDaily[WardCode],"MAE")),"")</f>
        <v/>
      </c>
      <c r="G89" s="29">
        <f>IFERROR(IF(SUMIFS(tblDaily[TransfersOut],tblDaily[EntryDate],DATE(2026,3,5),tblDaily[WardCode],"MAE")=0,"",SUMIFS(tblDaily[TransfersOut],tblDaily[EntryDate],DATE(2026,3,5),tblDaily[WardCode],"MAE")),"")</f>
        <v>1</v>
      </c>
      <c r="H89" s="29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29">
        <v>6</v>
      </c>
      <c r="B90" s="29">
        <f>IFERROR(IF(SUMIFS(tblDaily[Admissions],tblDaily[EntryDate],DATE(2026,3,6),tblDaily[WardCode],"MAE")=0,"",SUMIFS(tblDaily[Admissions],tblDaily[EntryDate],DATE(2026,3,6),tblDaily[WardCode],"MAE")),"")</f>
        <v>5</v>
      </c>
      <c r="C90" s="29">
        <f>IFERROR(IF(SUMIFS(tblDaily[Discharges],tblDaily[EntryDate],DATE(2026,3,6),tblDaily[WardCode],"MAE")=0,"",SUMIFS(tblDaily[Discharges],tblDaily[EntryDate],DATE(2026,3,6),tblDaily[WardCode],"MAE")),"")</f>
        <v>2</v>
      </c>
      <c r="D90" s="29" t="str">
        <f>IFERROR(IF(SUMIFS(tblDaily[Deaths],tblDaily[EntryDate],DATE(2026,3,6),tblDaily[WardCode],"MAE")=0,"",SUMIFS(tblDaily[Deaths],tblDaily[EntryDate],DATE(2026,3,6),tblDaily[WardCode],"MAE")),"")</f>
        <v/>
      </c>
      <c r="E90" s="29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29" t="str">
        <f>IFERROR(IF(SUMIFS(tblDaily[TransfersIn],tblDaily[EntryDate],DATE(2026,3,6),tblDaily[WardCode],"MAE")=0,"",SUMIFS(tblDaily[TransfersIn],tblDaily[EntryDate],DATE(2026,3,6),tblDaily[WardCode],"MAE")),"")</f>
        <v/>
      </c>
      <c r="G90" s="29" t="str">
        <f>IFERROR(IF(SUMIFS(tblDaily[TransfersOut],tblDaily[EntryDate],DATE(2026,3,6),tblDaily[WardCode],"MAE")=0,"",SUMIFS(tblDaily[TransfersOut],tblDaily[EntryDate],DATE(2026,3,6),tblDaily[WardCode],"MAE")),"")</f>
        <v/>
      </c>
      <c r="H90" s="29">
        <f>IFERROR(IF(SUMIFS(tblDaily[Remaining],tblDaily[EntryDate],DATE(2026,3,6),tblDaily[WardCode],"MAE")=0,"",SUMIFS(tblDaily[Remaining],tblDaily[EntryDate],DATE(2026,3,6),tblDaily[WardCode],"MAE")),"")</f>
        <v>3</v>
      </c>
    </row>
    <row r="91" spans="1:8" x14ac:dyDescent="0.25">
      <c r="A91" s="29">
        <v>7</v>
      </c>
      <c r="B91" s="29">
        <f>IFERROR(IF(SUMIFS(tblDaily[Admissions],tblDaily[EntryDate],DATE(2026,3,7),tblDaily[WardCode],"MAE")=0,"",SUMIFS(tblDaily[Admissions],tblDaily[EntryDate],DATE(2026,3,7),tblDaily[WardCode],"MAE")),"")</f>
        <v>2</v>
      </c>
      <c r="C91" s="29">
        <f>IFERROR(IF(SUMIFS(tblDaily[Discharges],tblDaily[EntryDate],DATE(2026,3,7),tblDaily[WardCode],"MAE")=0,"",SUMIFS(tblDaily[Discharges],tblDaily[EntryDate],DATE(2026,3,7),tblDaily[WardCode],"MAE")),"")</f>
        <v>2</v>
      </c>
      <c r="D91" s="29" t="str">
        <f>IFERROR(IF(SUMIFS(tblDaily[Deaths],tblDaily[EntryDate],DATE(2026,3,7),tblDaily[WardCode],"MAE")=0,"",SUMIFS(tblDaily[Deaths],tblDaily[EntryDate],DATE(2026,3,7),tblDaily[WardCode],"MAE")),"")</f>
        <v/>
      </c>
      <c r="E91" s="29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29" t="str">
        <f>IFERROR(IF(SUMIFS(tblDaily[TransfersIn],tblDaily[EntryDate],DATE(2026,3,7),tblDaily[WardCode],"MAE")=0,"",SUMIFS(tblDaily[TransfersIn],tblDaily[EntryDate],DATE(2026,3,7),tblDaily[WardCode],"MAE")),"")</f>
        <v/>
      </c>
      <c r="G91" s="29">
        <f>IFERROR(IF(SUMIFS(tblDaily[TransfersOut],tblDaily[EntryDate],DATE(2026,3,7),tblDaily[WardCode],"MAE")=0,"",SUMIFS(tblDaily[TransfersOut],tblDaily[EntryDate],DATE(2026,3,7),tblDaily[WardCode],"MAE")),"")</f>
        <v>1</v>
      </c>
      <c r="H91" s="29">
        <f>IFERROR(IF(SUMIFS(tblDaily[Remaining],tblDaily[EntryDate],DATE(2026,3,7),tblDaily[WardCode],"MAE")=0,"",SUMIFS(tblDaily[Remaining],tblDaily[EntryDate],DATE(2026,3,7),tblDaily[WardCode],"MAE")),"")</f>
        <v>2</v>
      </c>
    </row>
    <row r="92" spans="1:8" x14ac:dyDescent="0.25">
      <c r="A92" s="29">
        <v>8</v>
      </c>
      <c r="B92" s="29" t="str">
        <f>IFERROR(IF(SUMIFS(tblDaily[Admissions],tblDaily[EntryDate],DATE(2026,3,8),tblDaily[WardCode],"MAE")=0,"",SUMIFS(tblDaily[Admissions],tblDaily[EntryDate],DATE(2026,3,8),tblDaily[WardCode],"MAE")),"")</f>
        <v/>
      </c>
      <c r="C92" s="29" t="str">
        <f>IFERROR(IF(SUMIFS(tblDaily[Discharges],tblDaily[EntryDate],DATE(2026,3,8),tblDaily[WardCode],"MAE")=0,"",SUMIFS(tblDaily[Discharges],tblDaily[EntryDate],DATE(2026,3,8),tblDaily[WardCode],"MAE")),"")</f>
        <v/>
      </c>
      <c r="D92" s="29" t="str">
        <f>IFERROR(IF(SUMIFS(tblDaily[Deaths],tblDaily[EntryDate],DATE(2026,3,8),tblDaily[WardCode],"MAE")=0,"",SUMIFS(tblDaily[Deaths],tblDaily[EntryDate],DATE(2026,3,8),tblDaily[WardCode],"MAE")),"")</f>
        <v/>
      </c>
      <c r="E92" s="29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29" t="str">
        <f>IFERROR(IF(SUMIFS(tblDaily[TransfersIn],tblDaily[EntryDate],DATE(2026,3,8),tblDaily[WardCode],"MAE")=0,"",SUMIFS(tblDaily[TransfersIn],tblDaily[EntryDate],DATE(2026,3,8),tblDaily[WardCode],"MAE")),"")</f>
        <v/>
      </c>
      <c r="G92" s="29">
        <f>IFERROR(IF(SUMIFS(tblDaily[TransfersOut],tblDaily[EntryDate],DATE(2026,3,8),tblDaily[WardCode],"MAE")=0,"",SUMIFS(tblDaily[TransfersOut],tblDaily[EntryDate],DATE(2026,3,8),tblDaily[WardCode],"MAE")),"")</f>
        <v>1</v>
      </c>
      <c r="H92" s="29">
        <f>IFERROR(IF(SUMIFS(tblDaily[Remaining],tblDaily[EntryDate],DATE(2026,3,8),tblDaily[WardCode],"MAE")=0,"",SUMIFS(tblDaily[Remaining],tblDaily[EntryDate],DATE(2026,3,8),tblDaily[WardCode],"MAE")),"")</f>
        <v>1</v>
      </c>
    </row>
    <row r="93" spans="1:8" x14ac:dyDescent="0.25">
      <c r="A93" s="29">
        <v>9</v>
      </c>
      <c r="B93" s="29">
        <f>IFERROR(IF(SUMIFS(tblDaily[Admissions],tblDaily[EntryDate],DATE(2026,3,9),tblDaily[WardCode],"MAE")=0,"",SUMIFS(tblDaily[Admissions],tblDaily[EntryDate],DATE(2026,3,9),tblDaily[WardCode],"MAE")),"")</f>
        <v>1</v>
      </c>
      <c r="C93" s="29">
        <f>IFERROR(IF(SUMIFS(tblDaily[Discharges],tblDaily[EntryDate],DATE(2026,3,9),tblDaily[WardCode],"MAE")=0,"",SUMIFS(tblDaily[Discharges],tblDaily[EntryDate],DATE(2026,3,9),tblDaily[WardCode],"MAE")),"")</f>
        <v>1</v>
      </c>
      <c r="D93" s="29" t="str">
        <f>IFERROR(IF(SUMIFS(tblDaily[Deaths],tblDaily[EntryDate],DATE(2026,3,9),tblDaily[WardCode],"MAE")=0,"",SUMIFS(tblDaily[Deaths],tblDaily[EntryDate],DATE(2026,3,9),tblDaily[WardCode],"MAE")),"")</f>
        <v/>
      </c>
      <c r="E93" s="29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29" t="str">
        <f>IFERROR(IF(SUMIFS(tblDaily[TransfersIn],tblDaily[EntryDate],DATE(2026,3,9),tblDaily[WardCode],"MAE")=0,"",SUMIFS(tblDaily[TransfersIn],tblDaily[EntryDate],DATE(2026,3,9),tblDaily[WardCode],"MAE")),"")</f>
        <v/>
      </c>
      <c r="G93" s="29">
        <f>IFERROR(IF(SUMIFS(tblDaily[TransfersOut],tblDaily[EntryDate],DATE(2026,3,9),tblDaily[WardCode],"MAE")=0,"",SUMIFS(tblDaily[TransfersOut],tblDaily[EntryDate],DATE(2026,3,9),tblDaily[WardCode],"MAE")),"")</f>
        <v>1</v>
      </c>
      <c r="H93" s="29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29">
        <v>10</v>
      </c>
      <c r="B94" s="29">
        <f>IFERROR(IF(SUMIFS(tblDaily[Admissions],tblDaily[EntryDate],DATE(2026,3,10),tblDaily[WardCode],"MAE")=0,"",SUMIFS(tblDaily[Admissions],tblDaily[EntryDate],DATE(2026,3,10),tblDaily[WardCode],"MAE")),"")</f>
        <v>2</v>
      </c>
      <c r="C94" s="29" t="str">
        <f>IFERROR(IF(SUMIFS(tblDaily[Discharges],tblDaily[EntryDate],DATE(2026,3,10),tblDaily[WardCode],"MAE")=0,"",SUMIFS(tblDaily[Discharges],tblDaily[EntryDate],DATE(2026,3,10),tblDaily[WardCode],"MAE")),"")</f>
        <v/>
      </c>
      <c r="D94" s="29" t="str">
        <f>IFERROR(IF(SUMIFS(tblDaily[Deaths],tblDaily[EntryDate],DATE(2026,3,10),tblDaily[WardCode],"MAE")=0,"",SUMIFS(tblDaily[Deaths],tblDaily[EntryDate],DATE(2026,3,10),tblDaily[WardCode],"MAE")),"")</f>
        <v/>
      </c>
      <c r="E94" s="29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29" t="str">
        <f>IFERROR(IF(SUMIFS(tblDaily[TransfersIn],tblDaily[EntryDate],DATE(2026,3,10),tblDaily[WardCode],"MAE")=0,"",SUMIFS(tblDaily[TransfersIn],tblDaily[EntryDate],DATE(2026,3,10),tblDaily[WardCode],"MAE")),"")</f>
        <v/>
      </c>
      <c r="G94" s="29">
        <f>IFERROR(IF(SUMIFS(tblDaily[TransfersOut],tblDaily[EntryDate],DATE(2026,3,10),tblDaily[WardCode],"MAE")=0,"",SUMIFS(tblDaily[TransfersOut],tblDaily[EntryDate],DATE(2026,3,10),tblDaily[WardCode],"MAE")),"")</f>
        <v>1</v>
      </c>
      <c r="H94" s="29">
        <f>IFERROR(IF(SUMIFS(tblDaily[Remaining],tblDaily[EntryDate],DATE(2026,3,10),tblDaily[WardCode],"MAE")=0,"",SUMIFS(tblDaily[Remaining],tblDaily[EntryDate],DATE(2026,3,10),tblDaily[WardCode],"MAE")),"")</f>
        <v>1</v>
      </c>
    </row>
    <row r="95" spans="1:8" x14ac:dyDescent="0.25">
      <c r="A95" s="29">
        <v>11</v>
      </c>
      <c r="B95" s="29">
        <f>IFERROR(IF(SUMIFS(tblDaily[Admissions],tblDaily[EntryDate],DATE(2026,3,11),tblDaily[WardCode],"MAE")=0,"",SUMIFS(tblDaily[Admissions],tblDaily[EntryDate],DATE(2026,3,11),tblDaily[WardCode],"MAE")),"")</f>
        <v>3</v>
      </c>
      <c r="C95" s="29">
        <f>IFERROR(IF(SUMIFS(tblDaily[Discharges],tblDaily[EntryDate],DATE(2026,3,11),tblDaily[WardCode],"MAE")=0,"",SUMIFS(tblDaily[Discharges],tblDaily[EntryDate],DATE(2026,3,11),tblDaily[WardCode],"MAE")),"")</f>
        <v>1</v>
      </c>
      <c r="D95" s="29" t="str">
        <f>IFERROR(IF(SUMIFS(tblDaily[Deaths],tblDaily[EntryDate],DATE(2026,3,11),tblDaily[WardCode],"MAE")=0,"",SUMIFS(tblDaily[Deaths],tblDaily[EntryDate],DATE(2026,3,11),tblDaily[WardCode],"MAE")),"")</f>
        <v/>
      </c>
      <c r="E95" s="29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29" t="str">
        <f>IFERROR(IF(SUMIFS(tblDaily[TransfersIn],tblDaily[EntryDate],DATE(2026,3,11),tblDaily[WardCode],"MAE")=0,"",SUMIFS(tblDaily[TransfersIn],tblDaily[EntryDate],DATE(2026,3,11),tblDaily[WardCode],"MAE")),"")</f>
        <v/>
      </c>
      <c r="G95" s="29" t="str">
        <f>IFERROR(IF(SUMIFS(tblDaily[TransfersOut],tblDaily[EntryDate],DATE(2026,3,11),tblDaily[WardCode],"MAE")=0,"",SUMIFS(tblDaily[TransfersOut],tblDaily[EntryDate],DATE(2026,3,11),tblDaily[WardCode],"MAE")),"")</f>
        <v/>
      </c>
      <c r="H95" s="29">
        <f>IFERROR(IF(SUMIFS(tblDaily[Remaining],tblDaily[EntryDate],DATE(2026,3,11),tblDaily[WardCode],"MAE")=0,"",SUMIFS(tblDaily[Remaining],tblDaily[EntryDate],DATE(2026,3,11),tblDaily[WardCode],"MAE")),"")</f>
        <v>3</v>
      </c>
    </row>
    <row r="96" spans="1:8" x14ac:dyDescent="0.25">
      <c r="A96" s="29">
        <v>12</v>
      </c>
      <c r="B96" s="29">
        <f>IFERROR(IF(SUMIFS(tblDaily[Admissions],tblDaily[EntryDate],DATE(2026,3,12),tblDaily[WardCode],"MAE")=0,"",SUMIFS(tblDaily[Admissions],tblDaily[EntryDate],DATE(2026,3,12),tblDaily[WardCode],"MAE")),"")</f>
        <v>3</v>
      </c>
      <c r="C96" s="29">
        <f>IFERROR(IF(SUMIFS(tblDaily[Discharges],tblDaily[EntryDate],DATE(2026,3,12),tblDaily[WardCode],"MAE")=0,"",SUMIFS(tblDaily[Discharges],tblDaily[EntryDate],DATE(2026,3,12),tblDaily[WardCode],"MAE")),"")</f>
        <v>1</v>
      </c>
      <c r="D96" s="29" t="str">
        <f>IFERROR(IF(SUMIFS(tblDaily[Deaths],tblDaily[EntryDate],DATE(2026,3,12),tblDaily[WardCode],"MAE")=0,"",SUMIFS(tblDaily[Deaths],tblDaily[EntryDate],DATE(2026,3,12),tblDaily[WardCode],"MAE")),"")</f>
        <v/>
      </c>
      <c r="E96" s="29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29" t="str">
        <f>IFERROR(IF(SUMIFS(tblDaily[TransfersIn],tblDaily[EntryDate],DATE(2026,3,12),tblDaily[WardCode],"MAE")=0,"",SUMIFS(tblDaily[TransfersIn],tblDaily[EntryDate],DATE(2026,3,12),tblDaily[WardCode],"MAE")),"")</f>
        <v/>
      </c>
      <c r="G96" s="29">
        <f>IFERROR(IF(SUMIFS(tblDaily[TransfersOut],tblDaily[EntryDate],DATE(2026,3,12),tblDaily[WardCode],"MAE")=0,"",SUMIFS(tblDaily[TransfersOut],tblDaily[EntryDate],DATE(2026,3,12),tblDaily[WardCode],"MAE")),"")</f>
        <v>3</v>
      </c>
      <c r="H96" s="29">
        <f>IFERROR(IF(SUMIFS(tblDaily[Remaining],tblDaily[EntryDate],DATE(2026,3,12),tblDaily[WardCode],"MAE")=0,"",SUMIFS(tblDaily[Remaining],tblDaily[EntryDate],DATE(2026,3,12),tblDaily[WardCode],"MAE")),"")</f>
        <v>2</v>
      </c>
    </row>
    <row r="97" spans="1:8" x14ac:dyDescent="0.25">
      <c r="A97" s="29">
        <v>13</v>
      </c>
      <c r="B97" s="29">
        <f>IFERROR(IF(SUMIFS(tblDaily[Admissions],tblDaily[EntryDate],DATE(2026,3,13),tblDaily[WardCode],"MAE")=0,"",SUMIFS(tblDaily[Admissions],tblDaily[EntryDate],DATE(2026,3,13),tblDaily[WardCode],"MAE")),"")</f>
        <v>2</v>
      </c>
      <c r="C97" s="29">
        <f>IFERROR(IF(SUMIFS(tblDaily[Discharges],tblDaily[EntryDate],DATE(2026,3,13),tblDaily[WardCode],"MAE")=0,"",SUMIFS(tblDaily[Discharges],tblDaily[EntryDate],DATE(2026,3,13),tblDaily[WardCode],"MAE")),"")</f>
        <v>1</v>
      </c>
      <c r="D97" s="29" t="str">
        <f>IFERROR(IF(SUMIFS(tblDaily[Deaths],tblDaily[EntryDate],DATE(2026,3,13),tblDaily[WardCode],"MAE")=0,"",SUMIFS(tblDaily[Deaths],tblDaily[EntryDate],DATE(2026,3,13),tblDaily[WardCode],"MAE")),"")</f>
        <v/>
      </c>
      <c r="E97" s="29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29" t="str">
        <f>IFERROR(IF(SUMIFS(tblDaily[TransfersIn],tblDaily[EntryDate],DATE(2026,3,13),tblDaily[WardCode],"MAE")=0,"",SUMIFS(tblDaily[TransfersIn],tblDaily[EntryDate],DATE(2026,3,13),tblDaily[WardCode],"MAE")),"")</f>
        <v/>
      </c>
      <c r="G97" s="29">
        <f>IFERROR(IF(SUMIFS(tblDaily[TransfersOut],tblDaily[EntryDate],DATE(2026,3,13),tblDaily[WardCode],"MAE")=0,"",SUMIFS(tblDaily[TransfersOut],tblDaily[EntryDate],DATE(2026,3,13),tblDaily[WardCode],"MAE")),"")</f>
        <v>1</v>
      </c>
      <c r="H97" s="29">
        <f>IFERROR(IF(SUMIFS(tblDaily[Remaining],tblDaily[EntryDate],DATE(2026,3,13),tblDaily[WardCode],"MAE")=0,"",SUMIFS(tblDaily[Remaining],tblDaily[EntryDate],DATE(2026,3,13),tblDaily[WardCode],"MAE")),"")</f>
        <v>2</v>
      </c>
    </row>
    <row r="98" spans="1:8" x14ac:dyDescent="0.25">
      <c r="A98" s="29">
        <v>14</v>
      </c>
      <c r="B98" s="29">
        <f>IFERROR(IF(SUMIFS(tblDaily[Admissions],tblDaily[EntryDate],DATE(2026,3,14),tblDaily[WardCode],"MAE")=0,"",SUMIFS(tblDaily[Admissions],tblDaily[EntryDate],DATE(2026,3,14),tblDaily[WardCode],"MAE")),"")</f>
        <v>2</v>
      </c>
      <c r="C98" s="29">
        <f>IFERROR(IF(SUMIFS(tblDaily[Discharges],tblDaily[EntryDate],DATE(2026,3,14),tblDaily[WardCode],"MAE")=0,"",SUMIFS(tblDaily[Discharges],tblDaily[EntryDate],DATE(2026,3,14),tblDaily[WardCode],"MAE")),"")</f>
        <v>1</v>
      </c>
      <c r="D98" s="29" t="str">
        <f>IFERROR(IF(SUMIFS(tblDaily[Deaths],tblDaily[EntryDate],DATE(2026,3,14),tblDaily[WardCode],"MAE")=0,"",SUMIFS(tblDaily[Deaths],tblDaily[EntryDate],DATE(2026,3,14),tblDaily[WardCode],"MAE")),"")</f>
        <v/>
      </c>
      <c r="E98" s="29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29" t="str">
        <f>IFERROR(IF(SUMIFS(tblDaily[TransfersIn],tblDaily[EntryDate],DATE(2026,3,14),tblDaily[WardCode],"MAE")=0,"",SUMIFS(tblDaily[TransfersIn],tblDaily[EntryDate],DATE(2026,3,14),tblDaily[WardCode],"MAE")),"")</f>
        <v/>
      </c>
      <c r="G98" s="29" t="str">
        <f>IFERROR(IF(SUMIFS(tblDaily[TransfersOut],tblDaily[EntryDate],DATE(2026,3,14),tblDaily[WardCode],"MAE")=0,"",SUMIFS(tblDaily[TransfersOut],tblDaily[EntryDate],DATE(2026,3,14),tblDaily[WardCode],"MAE")),"")</f>
        <v/>
      </c>
      <c r="H98" s="29">
        <f>IFERROR(IF(SUMIFS(tblDaily[Remaining],tblDaily[EntryDate],DATE(2026,3,14),tblDaily[WardCode],"MAE")=0,"",SUMIFS(tblDaily[Remaining],tblDaily[EntryDate],DATE(2026,3,14),tblDaily[WardCode],"MAE")),"")</f>
        <v>3</v>
      </c>
    </row>
    <row r="99" spans="1:8" x14ac:dyDescent="0.25">
      <c r="A99" s="29">
        <v>15</v>
      </c>
      <c r="B99" s="29">
        <f>IFERROR(IF(SUMIFS(tblDaily[Admissions],tblDaily[EntryDate],DATE(2026,3,15),tblDaily[WardCode],"MAE")=0,"",SUMIFS(tblDaily[Admissions],tblDaily[EntryDate],DATE(2026,3,15),tblDaily[WardCode],"MAE")),"")</f>
        <v>1</v>
      </c>
      <c r="C99" s="29" t="str">
        <f>IFERROR(IF(SUMIFS(tblDaily[Discharges],tblDaily[EntryDate],DATE(2026,3,15),tblDaily[WardCode],"MAE")=0,"",SUMIFS(tblDaily[Discharges],tblDaily[EntryDate],DATE(2026,3,15),tblDaily[WardCode],"MAE")),"")</f>
        <v/>
      </c>
      <c r="D99" s="29" t="str">
        <f>IFERROR(IF(SUMIFS(tblDaily[Deaths],tblDaily[EntryDate],DATE(2026,3,15),tblDaily[WardCode],"MAE")=0,"",SUMIFS(tblDaily[Deaths],tblDaily[EntryDate],DATE(2026,3,15),tblDaily[WardCode],"MAE")),"")</f>
        <v/>
      </c>
      <c r="E99" s="29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29" t="str">
        <f>IFERROR(IF(SUMIFS(tblDaily[TransfersIn],tblDaily[EntryDate],DATE(2026,3,15),tblDaily[WardCode],"MAE")=0,"",SUMIFS(tblDaily[TransfersIn],tblDaily[EntryDate],DATE(2026,3,15),tblDaily[WardCode],"MAE")),"")</f>
        <v/>
      </c>
      <c r="G99" s="29">
        <f>IFERROR(IF(SUMIFS(tblDaily[TransfersOut],tblDaily[EntryDate],DATE(2026,3,15),tblDaily[WardCode],"MAE")=0,"",SUMIFS(tblDaily[TransfersOut],tblDaily[EntryDate],DATE(2026,3,15),tblDaily[WardCode],"MAE")),"")</f>
        <v>2</v>
      </c>
      <c r="H99" s="29">
        <f>IFERROR(IF(SUMIFS(tblDaily[Remaining],tblDaily[EntryDate],DATE(2026,3,15),tblDaily[WardCode],"MAE")=0,"",SUMIFS(tblDaily[Remaining],tblDaily[EntryDate],DATE(2026,3,15),tblDaily[WardCode],"MAE")),"")</f>
        <v>2</v>
      </c>
    </row>
    <row r="100" spans="1:8" x14ac:dyDescent="0.25">
      <c r="A100" s="29">
        <v>16</v>
      </c>
      <c r="B100" s="29">
        <f>IFERROR(IF(SUMIFS(tblDaily[Admissions],tblDaily[EntryDate],DATE(2026,3,16),tblDaily[WardCode],"MAE")=0,"",SUMIFS(tblDaily[Admissions],tblDaily[EntryDate],DATE(2026,3,16),tblDaily[WardCode],"MAE")),"")</f>
        <v>3</v>
      </c>
      <c r="C100" s="29">
        <f>IFERROR(IF(SUMIFS(tblDaily[Discharges],tblDaily[EntryDate],DATE(2026,3,16),tblDaily[WardCode],"MAE")=0,"",SUMIFS(tblDaily[Discharges],tblDaily[EntryDate],DATE(2026,3,16),tblDaily[WardCode],"MAE")),"")</f>
        <v>2</v>
      </c>
      <c r="D100" s="29" t="str">
        <f>IFERROR(IF(SUMIFS(tblDaily[Deaths],tblDaily[EntryDate],DATE(2026,3,16),tblDaily[WardCode],"MAE")=0,"",SUMIFS(tblDaily[Deaths],tblDaily[EntryDate],DATE(2026,3,16),tblDaily[WardCode],"MAE")),"")</f>
        <v/>
      </c>
      <c r="E100" s="29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29" t="str">
        <f>IFERROR(IF(SUMIFS(tblDaily[TransfersIn],tblDaily[EntryDate],DATE(2026,3,16),tblDaily[WardCode],"MAE")=0,"",SUMIFS(tblDaily[TransfersIn],tblDaily[EntryDate],DATE(2026,3,16),tblDaily[WardCode],"MAE")),"")</f>
        <v/>
      </c>
      <c r="G100" s="29" t="str">
        <f>IFERROR(IF(SUMIFS(tblDaily[TransfersOut],tblDaily[EntryDate],DATE(2026,3,16),tblDaily[WardCode],"MAE")=0,"",SUMIFS(tblDaily[TransfersOut],tblDaily[EntryDate],DATE(2026,3,16),tblDaily[WardCode],"MAE")),"")</f>
        <v/>
      </c>
      <c r="H100" s="29">
        <f>IFERROR(IF(SUMIFS(tblDaily[Remaining],tblDaily[EntryDate],DATE(2026,3,16),tblDaily[WardCode],"MAE")=0,"",SUMIFS(tblDaily[Remaining],tblDaily[EntryDate],DATE(2026,3,16),tblDaily[WardCode],"MAE")),"")</f>
        <v>3</v>
      </c>
    </row>
    <row r="101" spans="1:8" x14ac:dyDescent="0.25">
      <c r="A101" s="29">
        <v>17</v>
      </c>
      <c r="B101" s="29">
        <f>IFERROR(IF(SUMIFS(tblDaily[Admissions],tblDaily[EntryDate],DATE(2026,3,17),tblDaily[WardCode],"MAE")=0,"",SUMIFS(tblDaily[Admissions],tblDaily[EntryDate],DATE(2026,3,17),tblDaily[WardCode],"MAE")),"")</f>
        <v>1</v>
      </c>
      <c r="C101" s="29" t="str">
        <f>IFERROR(IF(SUMIFS(tblDaily[Discharges],tblDaily[EntryDate],DATE(2026,3,17),tblDaily[WardCode],"MAE")=0,"",SUMIFS(tblDaily[Discharges],tblDaily[EntryDate],DATE(2026,3,17),tblDaily[WardCode],"MAE")),"")</f>
        <v/>
      </c>
      <c r="D101" s="29" t="str">
        <f>IFERROR(IF(SUMIFS(tblDaily[Deaths],tblDaily[EntryDate],DATE(2026,3,17),tblDaily[WardCode],"MAE")=0,"",SUMIFS(tblDaily[Deaths],tblDaily[EntryDate],DATE(2026,3,17),tblDaily[WardCode],"MAE")),"")</f>
        <v/>
      </c>
      <c r="E101" s="29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29" t="str">
        <f>IFERROR(IF(SUMIFS(tblDaily[TransfersIn],tblDaily[EntryDate],DATE(2026,3,17),tblDaily[WardCode],"MAE")=0,"",SUMIFS(tblDaily[TransfersIn],tblDaily[EntryDate],DATE(2026,3,17),tblDaily[WardCode],"MAE")),"")</f>
        <v/>
      </c>
      <c r="G101" s="29">
        <f>IFERROR(IF(SUMIFS(tblDaily[TransfersOut],tblDaily[EntryDate],DATE(2026,3,17),tblDaily[WardCode],"MAE")=0,"",SUMIFS(tblDaily[TransfersOut],tblDaily[EntryDate],DATE(2026,3,17),tblDaily[WardCode],"MAE")),"")</f>
        <v>2</v>
      </c>
      <c r="H101" s="29">
        <f>IFERROR(IF(SUMIFS(tblDaily[Remaining],tblDaily[EntryDate],DATE(2026,3,17),tblDaily[WardCode],"MAE")=0,"",SUMIFS(tblDaily[Remaining],tblDaily[EntryDate],DATE(2026,3,17),tblDaily[WardCode],"MAE")),"")</f>
        <v>2</v>
      </c>
    </row>
    <row r="102" spans="1:8" x14ac:dyDescent="0.25">
      <c r="A102" s="29">
        <v>18</v>
      </c>
      <c r="B102" s="29">
        <f>IFERROR(IF(SUMIFS(tblDaily[Admissions],tblDaily[EntryDate],DATE(2026,3,18),tblDaily[WardCode],"MAE")=0,"",SUMIFS(tblDaily[Admissions],tblDaily[EntryDate],DATE(2026,3,18),tblDaily[WardCode],"MAE")),"")</f>
        <v>4</v>
      </c>
      <c r="C102" s="29" t="str">
        <f>IFERROR(IF(SUMIFS(tblDaily[Discharges],tblDaily[EntryDate],DATE(2026,3,18),tblDaily[WardCode],"MAE")=0,"",SUMIFS(tblDaily[Discharges],tblDaily[EntryDate],DATE(2026,3,18),tblDaily[WardCode],"MAE")),"")</f>
        <v/>
      </c>
      <c r="D102" s="29" t="str">
        <f>IFERROR(IF(SUMIFS(tblDaily[Deaths],tblDaily[EntryDate],DATE(2026,3,18),tblDaily[WardCode],"MAE")=0,"",SUMIFS(tblDaily[Deaths],tblDaily[EntryDate],DATE(2026,3,18),tblDaily[WardCode],"MAE")),"")</f>
        <v/>
      </c>
      <c r="E102" s="29">
        <f>IFERROR(IF(SUMIFS(tblDaily[DeathsUnder24Hrs],tblDaily[EntryDate],DATE(2026,3,18),tblDaily[WardCode],"MAE")=0,"",SUMIFS(tblDaily[DeathsUnder24Hrs],tblDaily[EntryDate],DATE(2026,3,18),tblDaily[WardCode],"MAE")),"")</f>
        <v>1</v>
      </c>
      <c r="F102" s="29" t="str">
        <f>IFERROR(IF(SUMIFS(tblDaily[TransfersIn],tblDaily[EntryDate],DATE(2026,3,18),tblDaily[WardCode],"MAE")=0,"",SUMIFS(tblDaily[TransfersIn],tblDaily[EntryDate],DATE(2026,3,18),tblDaily[WardCode],"MAE")),"")</f>
        <v/>
      </c>
      <c r="G102" s="29">
        <f>IFERROR(IF(SUMIFS(tblDaily[TransfersOut],tblDaily[EntryDate],DATE(2026,3,18),tblDaily[WardCode],"MAE")=0,"",SUMIFS(tblDaily[TransfersOut],tblDaily[EntryDate],DATE(2026,3,18),tblDaily[WardCode],"MAE")),"")</f>
        <v>1</v>
      </c>
      <c r="H102" s="29">
        <f>IFERROR(IF(SUMIFS(tblDaily[Remaining],tblDaily[EntryDate],DATE(2026,3,18),tblDaily[WardCode],"MAE")=0,"",SUMIFS(tblDaily[Remaining],tblDaily[EntryDate],DATE(2026,3,18),tblDaily[WardCode],"MAE")),"")</f>
        <v>4</v>
      </c>
    </row>
    <row r="103" spans="1:8" x14ac:dyDescent="0.25">
      <c r="A103" s="29">
        <v>19</v>
      </c>
      <c r="B103" s="29">
        <f>IFERROR(IF(SUMIFS(tblDaily[Admissions],tblDaily[EntryDate],DATE(2026,3,19),tblDaily[WardCode],"MAE")=0,"",SUMIFS(tblDaily[Admissions],tblDaily[EntryDate],DATE(2026,3,19),tblDaily[WardCode],"MAE")),"")</f>
        <v>5</v>
      </c>
      <c r="C103" s="29">
        <f>IFERROR(IF(SUMIFS(tblDaily[Discharges],tblDaily[EntryDate],DATE(2026,3,19),tblDaily[WardCode],"MAE")=0,"",SUMIFS(tblDaily[Discharges],tblDaily[EntryDate],DATE(2026,3,19),tblDaily[WardCode],"MAE")),"")</f>
        <v>2</v>
      </c>
      <c r="D103" s="29">
        <f>IFERROR(IF(SUMIFS(tblDaily[Deaths],tblDaily[EntryDate],DATE(2026,3,19),tblDaily[WardCode],"MAE")=0,"",SUMIFS(tblDaily[Deaths],tblDaily[EntryDate],DATE(2026,3,19),tblDaily[WardCode],"MAE")),"")</f>
        <v>2</v>
      </c>
      <c r="E103" s="29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29" t="str">
        <f>IFERROR(IF(SUMIFS(tblDaily[TransfersIn],tblDaily[EntryDate],DATE(2026,3,19),tblDaily[WardCode],"MAE")=0,"",SUMIFS(tblDaily[TransfersIn],tblDaily[EntryDate],DATE(2026,3,19),tblDaily[WardCode],"MAE")),"")</f>
        <v/>
      </c>
      <c r="G103" s="29">
        <f>IFERROR(IF(SUMIFS(tblDaily[TransfersOut],tblDaily[EntryDate],DATE(2026,3,19),tblDaily[WardCode],"MAE")=0,"",SUMIFS(tblDaily[TransfersOut],tblDaily[EntryDate],DATE(2026,3,19),tblDaily[WardCode],"MAE")),"")</f>
        <v>1</v>
      </c>
      <c r="H103" s="29">
        <f>IFERROR(IF(SUMIFS(tblDaily[Remaining],tblDaily[EntryDate],DATE(2026,3,19),tblDaily[WardCode],"MAE")=0,"",SUMIFS(tblDaily[Remaining],tblDaily[EntryDate],DATE(2026,3,19),tblDaily[WardCode],"MAE")),"")</f>
        <v>4</v>
      </c>
    </row>
    <row r="104" spans="1:8" x14ac:dyDescent="0.25">
      <c r="A104" s="29">
        <v>20</v>
      </c>
      <c r="B104" s="29">
        <f>IFERROR(IF(SUMIFS(tblDaily[Admissions],tblDaily[EntryDate],DATE(2026,3,20),tblDaily[WardCode],"MAE")=0,"",SUMIFS(tblDaily[Admissions],tblDaily[EntryDate],DATE(2026,3,20),tblDaily[WardCode],"MAE")),"")</f>
        <v>1</v>
      </c>
      <c r="C104" s="29">
        <f>IFERROR(IF(SUMIFS(tblDaily[Discharges],tblDaily[EntryDate],DATE(2026,3,20),tblDaily[WardCode],"MAE")=0,"",SUMIFS(tblDaily[Discharges],tblDaily[EntryDate],DATE(2026,3,20),tblDaily[WardCode],"MAE")),"")</f>
        <v>1</v>
      </c>
      <c r="D104" s="29">
        <f>IFERROR(IF(SUMIFS(tblDaily[Deaths],tblDaily[EntryDate],DATE(2026,3,20),tblDaily[WardCode],"MAE")=0,"",SUMIFS(tblDaily[Deaths],tblDaily[EntryDate],DATE(2026,3,20),tblDaily[WardCode],"MAE")),"")</f>
        <v>2</v>
      </c>
      <c r="E104" s="29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29" t="str">
        <f>IFERROR(IF(SUMIFS(tblDaily[TransfersIn],tblDaily[EntryDate],DATE(2026,3,20),tblDaily[WardCode],"MAE")=0,"",SUMIFS(tblDaily[TransfersIn],tblDaily[EntryDate],DATE(2026,3,20),tblDaily[WardCode],"MAE")),"")</f>
        <v/>
      </c>
      <c r="G104" s="29">
        <f>IFERROR(IF(SUMIFS(tblDaily[TransfersOut],tblDaily[EntryDate],DATE(2026,3,20),tblDaily[WardCode],"MAE")=0,"",SUMIFS(tblDaily[TransfersOut],tblDaily[EntryDate],DATE(2026,3,20),tblDaily[WardCode],"MAE")),"")</f>
        <v>1</v>
      </c>
      <c r="H104" s="29">
        <f>IFERROR(IF(SUMIFS(tblDaily[Remaining],tblDaily[EntryDate],DATE(2026,3,20),tblDaily[WardCode],"MAE")=0,"",SUMIFS(tblDaily[Remaining],tblDaily[EntryDate],DATE(2026,3,20),tblDaily[WardCode],"MAE")),"")</f>
        <v>1</v>
      </c>
    </row>
    <row r="105" spans="1:8" x14ac:dyDescent="0.25">
      <c r="A105" s="29">
        <v>21</v>
      </c>
      <c r="B105" s="29">
        <f>IFERROR(IF(SUMIFS(tblDaily[Admissions],tblDaily[EntryDate],DATE(2026,3,21),tblDaily[WardCode],"MAE")=0,"",SUMIFS(tblDaily[Admissions],tblDaily[EntryDate],DATE(2026,3,21),tblDaily[WardCode],"MAE")),"")</f>
        <v>1</v>
      </c>
      <c r="C105" s="29">
        <f>IFERROR(IF(SUMIFS(tblDaily[Discharges],tblDaily[EntryDate],DATE(2026,3,21),tblDaily[WardCode],"MAE")=0,"",SUMIFS(tblDaily[Discharges],tblDaily[EntryDate],DATE(2026,3,21),tblDaily[WardCode],"MAE")),"")</f>
        <v>1</v>
      </c>
      <c r="D105" s="29" t="str">
        <f>IFERROR(IF(SUMIFS(tblDaily[Deaths],tblDaily[EntryDate],DATE(2026,3,21),tblDaily[WardCode],"MAE")=0,"",SUMIFS(tblDaily[Deaths],tblDaily[EntryDate],DATE(2026,3,21),tblDaily[WardCode],"MAE")),"")</f>
        <v/>
      </c>
      <c r="E105" s="29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29" t="str">
        <f>IFERROR(IF(SUMIFS(tblDaily[TransfersIn],tblDaily[EntryDate],DATE(2026,3,21),tblDaily[WardCode],"MAE")=0,"",SUMIFS(tblDaily[TransfersIn],tblDaily[EntryDate],DATE(2026,3,21),tblDaily[WardCode],"MAE")),"")</f>
        <v/>
      </c>
      <c r="G105" s="29">
        <f>IFERROR(IF(SUMIFS(tblDaily[TransfersOut],tblDaily[EntryDate],DATE(2026,3,21),tblDaily[WardCode],"MAE")=0,"",SUMIFS(tblDaily[TransfersOut],tblDaily[EntryDate],DATE(2026,3,21),tblDaily[WardCode],"MAE")),"")</f>
        <v>1</v>
      </c>
      <c r="H105" s="29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29">
        <v>22</v>
      </c>
      <c r="B106" s="29">
        <f>IFERROR(IF(SUMIFS(tblDaily[Admissions],tblDaily[EntryDate],DATE(2026,3,22),tblDaily[WardCode],"MAE")=0,"",SUMIFS(tblDaily[Admissions],tblDaily[EntryDate],DATE(2026,3,22),tblDaily[WardCode],"MAE")),"")</f>
        <v>5</v>
      </c>
      <c r="C106" s="29" t="str">
        <f>IFERROR(IF(SUMIFS(tblDaily[Discharges],tblDaily[EntryDate],DATE(2026,3,22),tblDaily[WardCode],"MAE")=0,"",SUMIFS(tblDaily[Discharges],tblDaily[EntryDate],DATE(2026,3,22),tblDaily[WardCode],"MAE")),"")</f>
        <v/>
      </c>
      <c r="D106" s="29" t="str">
        <f>IFERROR(IF(SUMIFS(tblDaily[Deaths],tblDaily[EntryDate],DATE(2026,3,22),tblDaily[WardCode],"MAE")=0,"",SUMIFS(tblDaily[Deaths],tblDaily[EntryDate],DATE(2026,3,22),tblDaily[WardCode],"MAE")),"")</f>
        <v/>
      </c>
      <c r="E106" s="29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29" t="str">
        <f>IFERROR(IF(SUMIFS(tblDaily[TransfersIn],tblDaily[EntryDate],DATE(2026,3,22),tblDaily[WardCode],"MAE")=0,"",SUMIFS(tblDaily[TransfersIn],tblDaily[EntryDate],DATE(2026,3,22),tblDaily[WardCode],"MAE")),"")</f>
        <v/>
      </c>
      <c r="G106" s="29" t="str">
        <f>IFERROR(IF(SUMIFS(tblDaily[TransfersOut],tblDaily[EntryDate],DATE(2026,3,22),tblDaily[WardCode],"MAE")=0,"",SUMIFS(tblDaily[TransfersOut],tblDaily[EntryDate],DATE(2026,3,22),tblDaily[WardCode],"MAE")),"")</f>
        <v/>
      </c>
      <c r="H106" s="29">
        <f>IFERROR(IF(SUMIFS(tblDaily[Remaining],tblDaily[EntryDate],DATE(2026,3,22),tblDaily[WardCode],"MAE")=0,"",SUMIFS(tblDaily[Remaining],tblDaily[EntryDate],DATE(2026,3,22),tblDaily[WardCode],"MAE")),"")</f>
        <v>5</v>
      </c>
    </row>
    <row r="107" spans="1:8" x14ac:dyDescent="0.25">
      <c r="A107" s="29">
        <v>23</v>
      </c>
      <c r="B107" s="29">
        <f>IFERROR(IF(SUMIFS(tblDaily[Admissions],tblDaily[EntryDate],DATE(2026,3,23),tblDaily[WardCode],"MAE")=0,"",SUMIFS(tblDaily[Admissions],tblDaily[EntryDate],DATE(2026,3,23),tblDaily[WardCode],"MAE")),"")</f>
        <v>1</v>
      </c>
      <c r="C107" s="29">
        <f>IFERROR(IF(SUMIFS(tblDaily[Discharges],tblDaily[EntryDate],DATE(2026,3,23),tblDaily[WardCode],"MAE")=0,"",SUMIFS(tblDaily[Discharges],tblDaily[EntryDate],DATE(2026,3,23),tblDaily[WardCode],"MAE")),"")</f>
        <v>1</v>
      </c>
      <c r="D107" s="29" t="str">
        <f>IFERROR(IF(SUMIFS(tblDaily[Deaths],tblDaily[EntryDate],DATE(2026,3,23),tblDaily[WardCode],"MAE")=0,"",SUMIFS(tblDaily[Deaths],tblDaily[EntryDate],DATE(2026,3,23),tblDaily[WardCode],"MAE")),"")</f>
        <v/>
      </c>
      <c r="E107" s="29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29" t="str">
        <f>IFERROR(IF(SUMIFS(tblDaily[TransfersIn],tblDaily[EntryDate],DATE(2026,3,23),tblDaily[WardCode],"MAE")=0,"",SUMIFS(tblDaily[TransfersIn],tblDaily[EntryDate],DATE(2026,3,23),tblDaily[WardCode],"MAE")),"")</f>
        <v/>
      </c>
      <c r="G107" s="29" t="str">
        <f>IFERROR(IF(SUMIFS(tblDaily[TransfersOut],tblDaily[EntryDate],DATE(2026,3,23),tblDaily[WardCode],"MAE")=0,"",SUMIFS(tblDaily[TransfersOut],tblDaily[EntryDate],DATE(2026,3,23),tblDaily[WardCode],"MAE")),"")</f>
        <v/>
      </c>
      <c r="H107" s="29">
        <f>IFERROR(IF(SUMIFS(tblDaily[Remaining],tblDaily[EntryDate],DATE(2026,3,23),tblDaily[WardCode],"MAE")=0,"",SUMIFS(tblDaily[Remaining],tblDaily[EntryDate],DATE(2026,3,23),tblDaily[WardCode],"MAE")),"")</f>
        <v>5</v>
      </c>
    </row>
    <row r="108" spans="1:8" x14ac:dyDescent="0.25">
      <c r="A108" s="29">
        <v>24</v>
      </c>
      <c r="B108" s="29">
        <f>IFERROR(IF(SUMIFS(tblDaily[Admissions],tblDaily[EntryDate],DATE(2026,3,24),tblDaily[WardCode],"MAE")=0,"",SUMIFS(tblDaily[Admissions],tblDaily[EntryDate],DATE(2026,3,24),tblDaily[WardCode],"MAE")),"")</f>
        <v>2</v>
      </c>
      <c r="C108" s="29">
        <f>IFERROR(IF(SUMIFS(tblDaily[Discharges],tblDaily[EntryDate],DATE(2026,3,24),tblDaily[WardCode],"MAE")=0,"",SUMIFS(tblDaily[Discharges],tblDaily[EntryDate],DATE(2026,3,24),tblDaily[WardCode],"MAE")),"")</f>
        <v>1</v>
      </c>
      <c r="D108" s="29" t="str">
        <f>IFERROR(IF(SUMIFS(tblDaily[Deaths],tblDaily[EntryDate],DATE(2026,3,24),tblDaily[WardCode],"MAE")=0,"",SUMIFS(tblDaily[Deaths],tblDaily[EntryDate],DATE(2026,3,24),tblDaily[WardCode],"MAE")),"")</f>
        <v/>
      </c>
      <c r="E108" s="29">
        <f>IFERROR(IF(SUMIFS(tblDaily[DeathsUnder24Hrs],tblDaily[EntryDate],DATE(2026,3,24),tblDaily[WardCode],"MAE")=0,"",SUMIFS(tblDaily[DeathsUnder24Hrs],tblDaily[EntryDate],DATE(2026,3,24),tblDaily[WardCode],"MAE")),"")</f>
        <v>1</v>
      </c>
      <c r="F108" s="29" t="str">
        <f>IFERROR(IF(SUMIFS(tblDaily[TransfersIn],tblDaily[EntryDate],DATE(2026,3,24),tblDaily[WardCode],"MAE")=0,"",SUMIFS(tblDaily[TransfersIn],tblDaily[EntryDate],DATE(2026,3,24),tblDaily[WardCode],"MAE")),"")</f>
        <v/>
      </c>
      <c r="G108" s="29">
        <f>IFERROR(IF(SUMIFS(tblDaily[TransfersOut],tblDaily[EntryDate],DATE(2026,3,24),tblDaily[WardCode],"MAE")=0,"",SUMIFS(tblDaily[TransfersOut],tblDaily[EntryDate],DATE(2026,3,24),tblDaily[WardCode],"MAE")),"")</f>
        <v>1</v>
      </c>
      <c r="H108" s="29">
        <f>IFERROR(IF(SUMIFS(tblDaily[Remaining],tblDaily[EntryDate],DATE(2026,3,24),tblDaily[WardCode],"MAE")=0,"",SUMIFS(tblDaily[Remaining],tblDaily[EntryDate],DATE(2026,3,24),tblDaily[WardCode],"MAE")),"")</f>
        <v>4</v>
      </c>
    </row>
    <row r="109" spans="1:8" x14ac:dyDescent="0.25">
      <c r="A109" s="29">
        <v>25</v>
      </c>
      <c r="B109" s="29">
        <f>IFERROR(IF(SUMIFS(tblDaily[Admissions],tblDaily[EntryDate],DATE(2026,3,25),tblDaily[WardCode],"MAE")=0,"",SUMIFS(tblDaily[Admissions],tblDaily[EntryDate],DATE(2026,3,25),tblDaily[WardCode],"MAE")),"")</f>
        <v>2</v>
      </c>
      <c r="C109" s="29" t="str">
        <f>IFERROR(IF(SUMIFS(tblDaily[Discharges],tblDaily[EntryDate],DATE(2026,3,25),tblDaily[WardCode],"MAE")=0,"",SUMIFS(tblDaily[Discharges],tblDaily[EntryDate],DATE(2026,3,25),tblDaily[WardCode],"MAE")),"")</f>
        <v/>
      </c>
      <c r="D109" s="29" t="str">
        <f>IFERROR(IF(SUMIFS(tblDaily[Deaths],tblDaily[EntryDate],DATE(2026,3,25),tblDaily[WardCode],"MAE")=0,"",SUMIFS(tblDaily[Deaths],tblDaily[EntryDate],DATE(2026,3,25),tblDaily[WardCode],"MAE")),"")</f>
        <v/>
      </c>
      <c r="E109" s="29">
        <f>IFERROR(IF(SUMIFS(tblDaily[DeathsUnder24Hrs],tblDaily[EntryDate],DATE(2026,3,25),tblDaily[WardCode],"MAE")=0,"",SUMIFS(tblDaily[DeathsUnder24Hrs],tblDaily[EntryDate],DATE(2026,3,25),tblDaily[WardCode],"MAE")),"")</f>
        <v>1</v>
      </c>
      <c r="F109" s="29" t="str">
        <f>IFERROR(IF(SUMIFS(tblDaily[TransfersIn],tblDaily[EntryDate],DATE(2026,3,25),tblDaily[WardCode],"MAE")=0,"",SUMIFS(tblDaily[TransfersIn],tblDaily[EntryDate],DATE(2026,3,25),tblDaily[WardCode],"MAE")),"")</f>
        <v/>
      </c>
      <c r="G109" s="29">
        <f>IFERROR(IF(SUMIFS(tblDaily[TransfersOut],tblDaily[EntryDate],DATE(2026,3,25),tblDaily[WardCode],"MAE")=0,"",SUMIFS(tblDaily[TransfersOut],tblDaily[EntryDate],DATE(2026,3,25),tblDaily[WardCode],"MAE")),"")</f>
        <v>2</v>
      </c>
      <c r="H109" s="29">
        <f>IFERROR(IF(SUMIFS(tblDaily[Remaining],tblDaily[EntryDate],DATE(2026,3,25),tblDaily[WardCode],"MAE")=0,"",SUMIFS(tblDaily[Remaining],tblDaily[EntryDate],DATE(2026,3,25),tblDaily[WardCode],"MAE")),"")</f>
        <v>3</v>
      </c>
    </row>
    <row r="110" spans="1:8" x14ac:dyDescent="0.25">
      <c r="A110" s="29">
        <v>26</v>
      </c>
      <c r="B110" s="29">
        <f>IFERROR(IF(SUMIFS(tblDaily[Admissions],tblDaily[EntryDate],DATE(2026,3,26),tblDaily[WardCode],"MAE")=0,"",SUMIFS(tblDaily[Admissions],tblDaily[EntryDate],DATE(2026,3,26),tblDaily[WardCode],"MAE")),"")</f>
        <v>4</v>
      </c>
      <c r="C110" s="29" t="str">
        <f>IFERROR(IF(SUMIFS(tblDaily[Discharges],tblDaily[EntryDate],DATE(2026,3,26),tblDaily[WardCode],"MAE")=0,"",SUMIFS(tblDaily[Discharges],tblDaily[EntryDate],DATE(2026,3,26),tblDaily[WardCode],"MAE")),"")</f>
        <v/>
      </c>
      <c r="D110" s="29">
        <f>IFERROR(IF(SUMIFS(tblDaily[Deaths],tblDaily[EntryDate],DATE(2026,3,26),tblDaily[WardCode],"MAE")=0,"",SUMIFS(tblDaily[Deaths],tblDaily[EntryDate],DATE(2026,3,26),tblDaily[WardCode],"MAE")),"")</f>
        <v>1</v>
      </c>
      <c r="E110" s="29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29" t="str">
        <f>IFERROR(IF(SUMIFS(tblDaily[TransfersIn],tblDaily[EntryDate],DATE(2026,3,26),tblDaily[WardCode],"MAE")=0,"",SUMIFS(tblDaily[TransfersIn],tblDaily[EntryDate],DATE(2026,3,26),tblDaily[WardCode],"MAE")),"")</f>
        <v/>
      </c>
      <c r="G110" s="29">
        <f>IFERROR(IF(SUMIFS(tblDaily[TransfersOut],tblDaily[EntryDate],DATE(2026,3,26),tblDaily[WardCode],"MAE")=0,"",SUMIFS(tblDaily[TransfersOut],tblDaily[EntryDate],DATE(2026,3,26),tblDaily[WardCode],"MAE")),"")</f>
        <v>3</v>
      </c>
      <c r="H110" s="29">
        <f>IFERROR(IF(SUMIFS(tblDaily[Remaining],tblDaily[EntryDate],DATE(2026,3,26),tblDaily[WardCode],"MAE")=0,"",SUMIFS(tblDaily[Remaining],tblDaily[EntryDate],DATE(2026,3,26),tblDaily[WardCode],"MAE")),"")</f>
        <v>3</v>
      </c>
    </row>
    <row r="111" spans="1:8" x14ac:dyDescent="0.25">
      <c r="A111" s="29">
        <v>27</v>
      </c>
      <c r="B111" s="29">
        <f>IFERROR(IF(SUMIFS(tblDaily[Admissions],tblDaily[EntryDate],DATE(2026,3,27),tblDaily[WardCode],"MAE")=0,"",SUMIFS(tblDaily[Admissions],tblDaily[EntryDate],DATE(2026,3,27),tblDaily[WardCode],"MAE")),"")</f>
        <v>2</v>
      </c>
      <c r="C111" s="29">
        <f>IFERROR(IF(SUMIFS(tblDaily[Discharges],tblDaily[EntryDate],DATE(2026,3,27),tblDaily[WardCode],"MAE")=0,"",SUMIFS(tblDaily[Discharges],tblDaily[EntryDate],DATE(2026,3,27),tblDaily[WardCode],"MAE")),"")</f>
        <v>3</v>
      </c>
      <c r="D111" s="29" t="str">
        <f>IFERROR(IF(SUMIFS(tblDaily[Deaths],tblDaily[EntryDate],DATE(2026,3,27),tblDaily[WardCode],"MAE")=0,"",SUMIFS(tblDaily[Deaths],tblDaily[EntryDate],DATE(2026,3,27),tblDaily[WardCode],"MAE")),"")</f>
        <v/>
      </c>
      <c r="E111" s="29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29" t="str">
        <f>IFERROR(IF(SUMIFS(tblDaily[TransfersIn],tblDaily[EntryDate],DATE(2026,3,27),tblDaily[WardCode],"MAE")=0,"",SUMIFS(tblDaily[TransfersIn],tblDaily[EntryDate],DATE(2026,3,27),tblDaily[WardCode],"MAE")),"")</f>
        <v/>
      </c>
      <c r="G111" s="29" t="str">
        <f>IFERROR(IF(SUMIFS(tblDaily[TransfersOut],tblDaily[EntryDate],DATE(2026,3,27),tblDaily[WardCode],"MAE")=0,"",SUMIFS(tblDaily[TransfersOut],tblDaily[EntryDate],DATE(2026,3,27),tblDaily[WardCode],"MAE")),"")</f>
        <v/>
      </c>
      <c r="H111" s="29">
        <f>IFERROR(IF(SUMIFS(tblDaily[Remaining],tblDaily[EntryDate],DATE(2026,3,27),tblDaily[WardCode],"MAE")=0,"",SUMIFS(tblDaily[Remaining],tblDaily[EntryDate],DATE(2026,3,27),tblDaily[WardCode],"MAE")),"")</f>
        <v>2</v>
      </c>
    </row>
    <row r="112" spans="1:8" x14ac:dyDescent="0.25">
      <c r="A112" s="29">
        <v>28</v>
      </c>
      <c r="B112" s="29">
        <f>IFERROR(IF(SUMIFS(tblDaily[Admissions],tblDaily[EntryDate],DATE(2026,3,28),tblDaily[WardCode],"MAE")=0,"",SUMIFS(tblDaily[Admissions],tblDaily[EntryDate],DATE(2026,3,28),tblDaily[WardCode],"MAE")),"")</f>
        <v>3</v>
      </c>
      <c r="C112" s="29" t="str">
        <f>IFERROR(IF(SUMIFS(tblDaily[Discharges],tblDaily[EntryDate],DATE(2026,3,28),tblDaily[WardCode],"MAE")=0,"",SUMIFS(tblDaily[Discharges],tblDaily[EntryDate],DATE(2026,3,28),tblDaily[WardCode],"MAE")),"")</f>
        <v/>
      </c>
      <c r="D112" s="29" t="str">
        <f>IFERROR(IF(SUMIFS(tblDaily[Deaths],tblDaily[EntryDate],DATE(2026,3,28),tblDaily[WardCode],"MAE")=0,"",SUMIFS(tblDaily[Deaths],tblDaily[EntryDate],DATE(2026,3,28),tblDaily[WardCode],"MAE")),"")</f>
        <v/>
      </c>
      <c r="E112" s="29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29" t="str">
        <f>IFERROR(IF(SUMIFS(tblDaily[TransfersIn],tblDaily[EntryDate],DATE(2026,3,28),tblDaily[WardCode],"MAE")=0,"",SUMIFS(tblDaily[TransfersIn],tblDaily[EntryDate],DATE(2026,3,28),tblDaily[WardCode],"MAE")),"")</f>
        <v/>
      </c>
      <c r="G112" s="29">
        <f>IFERROR(IF(SUMIFS(tblDaily[TransfersOut],tblDaily[EntryDate],DATE(2026,3,28),tblDaily[WardCode],"MAE")=0,"",SUMIFS(tblDaily[TransfersOut],tblDaily[EntryDate],DATE(2026,3,28),tblDaily[WardCode],"MAE")),"")</f>
        <v>2</v>
      </c>
      <c r="H112" s="29">
        <f>IFERROR(IF(SUMIFS(tblDaily[Remaining],tblDaily[EntryDate],DATE(2026,3,28),tblDaily[WardCode],"MAE")=0,"",SUMIFS(tblDaily[Remaining],tblDaily[EntryDate],DATE(2026,3,28),tblDaily[WardCode],"MAE")),"")</f>
        <v>3</v>
      </c>
    </row>
    <row r="113" spans="1:8" x14ac:dyDescent="0.25">
      <c r="A113" s="29">
        <v>29</v>
      </c>
      <c r="B113" s="29">
        <f>IFERROR(IF(SUMIFS(tblDaily[Admissions],tblDaily[EntryDate],DATE(2026,3,29),tblDaily[WardCode],"MAE")=0,"",SUMIFS(tblDaily[Admissions],tblDaily[EntryDate],DATE(2026,3,29),tblDaily[WardCode],"MAE")),"")</f>
        <v>2</v>
      </c>
      <c r="C113" s="29" t="str">
        <f>IFERROR(IF(SUMIFS(tblDaily[Discharges],tblDaily[EntryDate],DATE(2026,3,29),tblDaily[WardCode],"MAE")=0,"",SUMIFS(tblDaily[Discharges],tblDaily[EntryDate],DATE(2026,3,29),tblDaily[WardCode],"MAE")),"")</f>
        <v/>
      </c>
      <c r="D113" s="29">
        <f>IFERROR(IF(SUMIFS(tblDaily[Deaths],tblDaily[EntryDate],DATE(2026,3,29),tblDaily[WardCode],"MAE")=0,"",SUMIFS(tblDaily[Deaths],tblDaily[EntryDate],DATE(2026,3,29),tblDaily[WardCode],"MAE")),"")</f>
        <v>1</v>
      </c>
      <c r="E113" s="29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29" t="str">
        <f>IFERROR(IF(SUMIFS(tblDaily[TransfersIn],tblDaily[EntryDate],DATE(2026,3,29),tblDaily[WardCode],"MAE")=0,"",SUMIFS(tblDaily[TransfersIn],tblDaily[EntryDate],DATE(2026,3,29),tblDaily[WardCode],"MAE")),"")</f>
        <v/>
      </c>
      <c r="G113" s="29">
        <f>IFERROR(IF(SUMIFS(tblDaily[TransfersOut],tblDaily[EntryDate],DATE(2026,3,29),tblDaily[WardCode],"MAE")=0,"",SUMIFS(tblDaily[TransfersOut],tblDaily[EntryDate],DATE(2026,3,29),tblDaily[WardCode],"MAE")),"")</f>
        <v>1</v>
      </c>
      <c r="H113" s="29">
        <f>IFERROR(IF(SUMIFS(tblDaily[Remaining],tblDaily[EntryDate],DATE(2026,3,29),tblDaily[WardCode],"MAE")=0,"",SUMIFS(tblDaily[Remaining],tblDaily[EntryDate],DATE(2026,3,29),tblDaily[WardCode],"MAE")),"")</f>
        <v>3</v>
      </c>
    </row>
    <row r="114" spans="1:8" x14ac:dyDescent="0.25">
      <c r="A114" s="29">
        <v>30</v>
      </c>
      <c r="B114" s="29">
        <f>IFERROR(IF(SUMIFS(tblDaily[Admissions],tblDaily[EntryDate],DATE(2026,3,30),tblDaily[WardCode],"MAE")=0,"",SUMIFS(tblDaily[Admissions],tblDaily[EntryDate],DATE(2026,3,30),tblDaily[WardCode],"MAE")),"")</f>
        <v>1</v>
      </c>
      <c r="C114" s="29">
        <f>IFERROR(IF(SUMIFS(tblDaily[Discharges],tblDaily[EntryDate],DATE(2026,3,30),tblDaily[WardCode],"MAE")=0,"",SUMIFS(tblDaily[Discharges],tblDaily[EntryDate],DATE(2026,3,30),tblDaily[WardCode],"MAE")),"")</f>
        <v>1</v>
      </c>
      <c r="D114" s="29">
        <f>IFERROR(IF(SUMIFS(tblDaily[Deaths],tblDaily[EntryDate],DATE(2026,3,30),tblDaily[WardCode],"MAE")=0,"",SUMIFS(tblDaily[Deaths],tblDaily[EntryDate],DATE(2026,3,30),tblDaily[WardCode],"MAE")),"")</f>
        <v>1</v>
      </c>
      <c r="E114" s="29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29" t="str">
        <f>IFERROR(IF(SUMIFS(tblDaily[TransfersIn],tblDaily[EntryDate],DATE(2026,3,30),tblDaily[WardCode],"MAE")=0,"",SUMIFS(tblDaily[TransfersIn],tblDaily[EntryDate],DATE(2026,3,30),tblDaily[WardCode],"MAE")),"")</f>
        <v/>
      </c>
      <c r="G114" s="29" t="str">
        <f>IFERROR(IF(SUMIFS(tblDaily[TransfersOut],tblDaily[EntryDate],DATE(2026,3,30),tblDaily[WardCode],"MAE")=0,"",SUMIFS(tblDaily[TransfersOut],tblDaily[EntryDate],DATE(2026,3,30),tblDaily[WardCode],"MAE")),"")</f>
        <v/>
      </c>
      <c r="H114" s="29">
        <f>IFERROR(IF(SUMIFS(tblDaily[Remaining],tblDaily[EntryDate],DATE(2026,3,30),tblDaily[WardCode],"MAE")=0,"",SUMIFS(tblDaily[Remaining],tblDaily[EntryDate],DATE(2026,3,30),tblDaily[WardCode],"MAE")),"")</f>
        <v>2</v>
      </c>
    </row>
    <row r="115" spans="1:8" x14ac:dyDescent="0.25">
      <c r="A115" s="29">
        <v>31</v>
      </c>
      <c r="B115" s="29">
        <f>IFERROR(IF(SUMIFS(tblDaily[Admissions],tblDaily[EntryDate],DATE(2026,3,31),tblDaily[WardCode],"MAE")=0,"",SUMIFS(tblDaily[Admissions],tblDaily[EntryDate],DATE(2026,3,31),tblDaily[WardCode],"MAE")),"")</f>
        <v>3</v>
      </c>
      <c r="C115" s="29">
        <f>IFERROR(IF(SUMIFS(tblDaily[Discharges],tblDaily[EntryDate],DATE(2026,3,31),tblDaily[WardCode],"MAE")=0,"",SUMIFS(tblDaily[Discharges],tblDaily[EntryDate],DATE(2026,3,31),tblDaily[WardCode],"MAE")),"")</f>
        <v>1</v>
      </c>
      <c r="D115" s="29" t="str">
        <f>IFERROR(IF(SUMIFS(tblDaily[Deaths],tblDaily[EntryDate],DATE(2026,3,31),tblDaily[WardCode],"MAE")=0,"",SUMIFS(tblDaily[Deaths],tblDaily[EntryDate],DATE(2026,3,31),tblDaily[WardCode],"MAE")),"")</f>
        <v/>
      </c>
      <c r="E115" s="29">
        <f>IFERROR(IF(SUMIFS(tblDaily[DeathsUnder24Hrs],tblDaily[EntryDate],DATE(2026,3,31),tblDaily[WardCode],"MAE")=0,"",SUMIFS(tblDaily[DeathsUnder24Hrs],tblDaily[EntryDate],DATE(2026,3,31),tblDaily[WardCode],"MAE")),"")</f>
        <v>1</v>
      </c>
      <c r="F115" s="29" t="str">
        <f>IFERROR(IF(SUMIFS(tblDaily[TransfersIn],tblDaily[EntryDate],DATE(2026,3,31),tblDaily[WardCode],"MAE")=0,"",SUMIFS(tblDaily[TransfersIn],tblDaily[EntryDate],DATE(2026,3,31),tblDaily[WardCode],"MAE")),"")</f>
        <v/>
      </c>
      <c r="G115" s="29" t="str">
        <f>IFERROR(IF(SUMIFS(tblDaily[TransfersOut],tblDaily[EntryDate],DATE(2026,3,31),tblDaily[WardCode],"MAE")=0,"",SUMIFS(tblDaily[TransfersOut],tblDaily[EntryDate],DATE(2026,3,31),tblDaily[WardCode],"MAE")),"")</f>
        <v/>
      </c>
      <c r="H115" s="29">
        <f>IFERROR(IF(SUMIFS(tblDaily[Remaining],tblDaily[EntryDate],DATE(2026,3,31),tblDaily[WardCode],"MAE")=0,"",SUMIFS(tblDaily[Remaining],tblDaily[EntryDate],DATE(2026,3,31),tblDaily[WardCode],"MAE")),"")</f>
        <v>3</v>
      </c>
    </row>
    <row r="116" spans="1:8" x14ac:dyDescent="0.25">
      <c r="A116" s="30" t="s">
        <v>115</v>
      </c>
      <c r="B116" s="30">
        <f>SUMIFS(tblDaily[Admissions],tblDaily[Month],3,tblDaily[WardCode],"MAE") - SUMIFS(tblDaily[DeathsUnder24Hrs],tblDaily[Month],3,tblDaily[WardCode],"MAE")</f>
        <v>66</v>
      </c>
      <c r="C116" s="30">
        <f>SUMIFS(tblDaily[Discharges],tblDaily[Month],3,tblDaily[WardCode],"MAE")</f>
        <v>27</v>
      </c>
      <c r="D116" s="30">
        <f>SUMIFS(tblDaily[Deaths],tblDaily[Month],3,tblDaily[WardCode],"MAE")</f>
        <v>8</v>
      </c>
      <c r="E116" s="30">
        <f>SUMIFS(tblDaily[DeathsUnder24Hrs],tblDaily[Month],3,tblDaily[WardCode],"MAE")</f>
        <v>4</v>
      </c>
      <c r="F116" s="30">
        <f>SUMIFS(tblDaily[TransfersIn],tblDaily[Month],3,tblDaily[WardCode],"MAE")</f>
        <v>0</v>
      </c>
      <c r="G116" s="30">
        <f>SUMIFS(tblDaily[TransfersOut],tblDaily[Month],3,tblDaily[WardCode],"MAE")</f>
        <v>33</v>
      </c>
      <c r="H116" s="30">
        <f>SUMIFS(tblDaily[Remaining],tblDaily[Month],3,tblDaily[WardCode],"MAE")</f>
        <v>73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122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IFERROR(SUMIFS(tblDaily[Remaining],tblDaily[EntryDate],DATE(2026,3,31),tblDaily[WardCode],"MAE"),0)</f>
        <v>3</v>
      </c>
    </row>
    <row r="122" spans="1:8" x14ac:dyDescent="0.25">
      <c r="A122" s="24" t="s">
        <v>109</v>
      </c>
      <c r="H122" s="27">
        <f>IFERROR(INDEX(tblWardConfig[BedComplement],MATCH("MAE",tblWardConfig[WardCode],0)),0)</f>
        <v>10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IFERROR(IF(SUMIFS(tblDaily[Admissions],tblDaily[EntryDate],DATE(2026,4,1),tblDaily[WardCode],"MAE")=0,"",SUMIFS(tblDaily[Admissions],tblDaily[EntryDate],DATE(2026,4,1),tblDaily[WardCode],"MAE")),"")</f>
        <v>4</v>
      </c>
      <c r="C124" s="29" t="str">
        <f>IFERROR(IF(SUMIFS(tblDaily[Discharges],tblDaily[EntryDate],DATE(2026,4,1),tblDaily[WardCode],"MAE")=0,"",SUMIFS(tblDaily[Discharges],tblDaily[EntryDate],DATE(2026,4,1),tblDaily[WardCode],"MAE")),"")</f>
        <v/>
      </c>
      <c r="D124" s="29">
        <f>IFERROR(IF(SUMIFS(tblDaily[Deaths],tblDaily[EntryDate],DATE(2026,4,1),tblDaily[WardCode],"MAE")=0,"",SUMIFS(tblDaily[Deaths],tblDaily[EntryDate],DATE(2026,4,1),tblDaily[WardCode],"MAE")),"")</f>
        <v>1</v>
      </c>
      <c r="E124" s="29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29" t="str">
        <f>IFERROR(IF(SUMIFS(tblDaily[TransfersIn],tblDaily[EntryDate],DATE(2026,4,1),tblDaily[WardCode],"MAE")=0,"",SUMIFS(tblDaily[TransfersIn],tblDaily[EntryDate],DATE(2026,4,1),tblDaily[WardCode],"MAE")),"")</f>
        <v/>
      </c>
      <c r="G124" s="29">
        <f>IFERROR(IF(SUMIFS(tblDaily[TransfersOut],tblDaily[EntryDate],DATE(2026,4,1),tblDaily[WardCode],"MAE")=0,"",SUMIFS(tblDaily[TransfersOut],tblDaily[EntryDate],DATE(2026,4,1),tblDaily[WardCode],"MAE")),"")</f>
        <v>1</v>
      </c>
      <c r="H124" s="29">
        <f>IFERROR(IF(SUMIFS(tblDaily[Remaining],tblDaily[EntryDate],DATE(2026,4,1),tblDaily[WardCode],"MAE")=0,"",SUMIFS(tblDaily[Remaining],tblDaily[EntryDate],DATE(2026,4,1),tblDaily[WardCode],"MAE")),"")</f>
        <v>5</v>
      </c>
    </row>
    <row r="125" spans="1:8" x14ac:dyDescent="0.25">
      <c r="A125" s="29">
        <v>2</v>
      </c>
      <c r="B125" s="29">
        <f>IFERROR(IF(SUMIFS(tblDaily[Admissions],tblDaily[EntryDate],DATE(2026,4,2),tblDaily[WardCode],"MAE")=0,"",SUMIFS(tblDaily[Admissions],tblDaily[EntryDate],DATE(2026,4,2),tblDaily[WardCode],"MAE")),"")</f>
        <v>3</v>
      </c>
      <c r="C125" s="29">
        <f>IFERROR(IF(SUMIFS(tblDaily[Discharges],tblDaily[EntryDate],DATE(2026,4,2),tblDaily[WardCode],"MAE")=0,"",SUMIFS(tblDaily[Discharges],tblDaily[EntryDate],DATE(2026,4,2),tblDaily[WardCode],"MAE")),"")</f>
        <v>2</v>
      </c>
      <c r="D125" s="29" t="str">
        <f>IFERROR(IF(SUMIFS(tblDaily[Deaths],tblDaily[EntryDate],DATE(2026,4,2),tblDaily[WardCode],"MAE")=0,"",SUMIFS(tblDaily[Deaths],tblDaily[EntryDate],DATE(2026,4,2),tblDaily[WardCode],"MAE")),"")</f>
        <v/>
      </c>
      <c r="E125" s="29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29" t="str">
        <f>IFERROR(IF(SUMIFS(tblDaily[TransfersIn],tblDaily[EntryDate],DATE(2026,4,2),tblDaily[WardCode],"MAE")=0,"",SUMIFS(tblDaily[TransfersIn],tblDaily[EntryDate],DATE(2026,4,2),tblDaily[WardCode],"MAE")),"")</f>
        <v/>
      </c>
      <c r="G125" s="29" t="str">
        <f>IFERROR(IF(SUMIFS(tblDaily[TransfersOut],tblDaily[EntryDate],DATE(2026,4,2),tblDaily[WardCode],"MAE")=0,"",SUMIFS(tblDaily[TransfersOut],tblDaily[EntryDate],DATE(2026,4,2),tblDaily[WardCode],"MAE")),"")</f>
        <v/>
      </c>
      <c r="H125" s="29">
        <f>IFERROR(IF(SUMIFS(tblDaily[Remaining],tblDaily[EntryDate],DATE(2026,4,2),tblDaily[WardCode],"MAE")=0,"",SUMIFS(tblDaily[Remaining],tblDaily[EntryDate],DATE(2026,4,2),tblDaily[WardCode],"MAE")),"")</f>
        <v>6</v>
      </c>
    </row>
    <row r="126" spans="1:8" x14ac:dyDescent="0.25">
      <c r="A126" s="29">
        <v>3</v>
      </c>
      <c r="B126" s="29" t="str">
        <f>IFERROR(IF(SUMIFS(tblDaily[Admissions],tblDaily[EntryDate],DATE(2026,4,3),tblDaily[WardCode],"MAE")=0,"",SUMIFS(tblDaily[Admissions],tblDaily[EntryDate],DATE(2026,4,3),tblDaily[WardCode],"MAE")),"")</f>
        <v/>
      </c>
      <c r="C126" s="29">
        <f>IFERROR(IF(SUMIFS(tblDaily[Discharges],tblDaily[EntryDate],DATE(2026,4,3),tblDaily[WardCode],"MAE")=0,"",SUMIFS(tblDaily[Discharges],tblDaily[EntryDate],DATE(2026,4,3),tblDaily[WardCode],"MAE")),"")</f>
        <v>3</v>
      </c>
      <c r="D126" s="29" t="str">
        <f>IFERROR(IF(SUMIFS(tblDaily[Deaths],tblDaily[EntryDate],DATE(2026,4,3),tblDaily[WardCode],"MAE")=0,"",SUMIFS(tblDaily[Deaths],tblDaily[EntryDate],DATE(2026,4,3),tblDaily[WardCode],"MAE")),"")</f>
        <v/>
      </c>
      <c r="E126" s="29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29" t="str">
        <f>IFERROR(IF(SUMIFS(tblDaily[TransfersIn],tblDaily[EntryDate],DATE(2026,4,3),tblDaily[WardCode],"MAE")=0,"",SUMIFS(tblDaily[TransfersIn],tblDaily[EntryDate],DATE(2026,4,3),tblDaily[WardCode],"MAE")),"")</f>
        <v/>
      </c>
      <c r="G126" s="29" t="str">
        <f>IFERROR(IF(SUMIFS(tblDaily[TransfersOut],tblDaily[EntryDate],DATE(2026,4,3),tblDaily[WardCode],"MAE")=0,"",SUMIFS(tblDaily[TransfersOut],tblDaily[EntryDate],DATE(2026,4,3),tblDaily[WardCode],"MAE")),"")</f>
        <v/>
      </c>
      <c r="H126" s="29">
        <f>IFERROR(IF(SUMIFS(tblDaily[Remaining],tblDaily[EntryDate],DATE(2026,4,3),tblDaily[WardCode],"MAE")=0,"",SUMIFS(tblDaily[Remaining],tblDaily[EntryDate],DATE(2026,4,3),tblDaily[WardCode],"MAE")),"")</f>
        <v>3</v>
      </c>
    </row>
    <row r="127" spans="1:8" x14ac:dyDescent="0.25">
      <c r="A127" s="29">
        <v>4</v>
      </c>
      <c r="B127" s="29">
        <f>IFERROR(IF(SUMIFS(tblDaily[Admissions],tblDaily[EntryDate],DATE(2026,4,4),tblDaily[WardCode],"MAE")=0,"",SUMIFS(tblDaily[Admissions],tblDaily[EntryDate],DATE(2026,4,4),tblDaily[WardCode],"MAE")),"")</f>
        <v>2</v>
      </c>
      <c r="C127" s="29" t="str">
        <f>IFERROR(IF(SUMIFS(tblDaily[Discharges],tblDaily[EntryDate],DATE(2026,4,4),tblDaily[WardCode],"MAE")=0,"",SUMIFS(tblDaily[Discharges],tblDaily[EntryDate],DATE(2026,4,4),tblDaily[WardCode],"MAE")),"")</f>
        <v/>
      </c>
      <c r="D127" s="29" t="str">
        <f>IFERROR(IF(SUMIFS(tblDaily[Deaths],tblDaily[EntryDate],DATE(2026,4,4),tblDaily[WardCode],"MAE")=0,"",SUMIFS(tblDaily[Deaths],tblDaily[EntryDate],DATE(2026,4,4),tblDaily[WardCode],"MAE")),"")</f>
        <v/>
      </c>
      <c r="E127" s="29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29" t="str">
        <f>IFERROR(IF(SUMIFS(tblDaily[TransfersIn],tblDaily[EntryDate],DATE(2026,4,4),tblDaily[WardCode],"MAE")=0,"",SUMIFS(tblDaily[TransfersIn],tblDaily[EntryDate],DATE(2026,4,4),tblDaily[WardCode],"MAE")),"")</f>
        <v/>
      </c>
      <c r="G127" s="29">
        <f>IFERROR(IF(SUMIFS(tblDaily[TransfersOut],tblDaily[EntryDate],DATE(2026,4,4),tblDaily[WardCode],"MAE")=0,"",SUMIFS(tblDaily[TransfersOut],tblDaily[EntryDate],DATE(2026,4,4),tblDaily[WardCode],"MAE")),"")</f>
        <v>1</v>
      </c>
      <c r="H127" s="29">
        <f>IFERROR(IF(SUMIFS(tblDaily[Remaining],tblDaily[EntryDate],DATE(2026,4,4),tblDaily[WardCode],"MAE")=0,"",SUMIFS(tblDaily[Remaining],tblDaily[EntryDate],DATE(2026,4,4),tblDaily[WardCode],"MAE")),"")</f>
        <v>4</v>
      </c>
    </row>
    <row r="128" spans="1:8" x14ac:dyDescent="0.25">
      <c r="A128" s="29">
        <v>5</v>
      </c>
      <c r="B128" s="29" t="str">
        <f>IFERROR(IF(SUMIFS(tblDaily[Admissions],tblDaily[EntryDate],DATE(2026,4,5),tblDaily[WardCode],"MAE")=0,"",SUMIFS(tblDaily[Admissions],tblDaily[EntryDate],DATE(2026,4,5),tblDaily[WardCode],"MAE")),"")</f>
        <v/>
      </c>
      <c r="C128" s="29" t="str">
        <f>IFERROR(IF(SUMIFS(tblDaily[Discharges],tblDaily[EntryDate],DATE(2026,4,5),tblDaily[WardCode],"MAE")=0,"",SUMIFS(tblDaily[Discharges],tblDaily[EntryDate],DATE(2026,4,5),tblDaily[WardCode],"MAE")),"")</f>
        <v/>
      </c>
      <c r="D128" s="29" t="str">
        <f>IFERROR(IF(SUMIFS(tblDaily[Deaths],tblDaily[EntryDate],DATE(2026,4,5),tblDaily[WardCode],"MAE")=0,"",SUMIFS(tblDaily[Deaths],tblDaily[EntryDate],DATE(2026,4,5),tblDaily[WardCode],"MAE")),"")</f>
        <v/>
      </c>
      <c r="E128" s="29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29" t="str">
        <f>IFERROR(IF(SUMIFS(tblDaily[TransfersIn],tblDaily[EntryDate],DATE(2026,4,5),tblDaily[WardCode],"MAE")=0,"",SUMIFS(tblDaily[TransfersIn],tblDaily[EntryDate],DATE(2026,4,5),tblDaily[WardCode],"MAE")),"")</f>
        <v/>
      </c>
      <c r="G128" s="29" t="str">
        <f>IFERROR(IF(SUMIFS(tblDaily[TransfersOut],tblDaily[EntryDate],DATE(2026,4,5),tblDaily[WardCode],"MAE")=0,"",SUMIFS(tblDaily[TransfersOut],tblDaily[EntryDate],DATE(2026,4,5),tblDaily[WardCode],"MAE")),"")</f>
        <v/>
      </c>
      <c r="H128" s="29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IFERROR(IF(SUMIFS(tblDaily[Admissions],tblDaily[EntryDate],DATE(2026,4,6),tblDaily[WardCode],"MAE")=0,"",SUMIFS(tblDaily[Admissions],tblDaily[EntryDate],DATE(2026,4,6),tblDaily[WardCode],"MAE")),"")</f>
        <v/>
      </c>
      <c r="C129" s="29" t="str">
        <f>IFERROR(IF(SUMIFS(tblDaily[Discharges],tblDaily[EntryDate],DATE(2026,4,6),tblDaily[WardCode],"MAE")=0,"",SUMIFS(tblDaily[Discharges],tblDaily[EntryDate],DATE(2026,4,6),tblDaily[WardCode],"MAE")),"")</f>
        <v/>
      </c>
      <c r="D129" s="29" t="str">
        <f>IFERROR(IF(SUMIFS(tblDaily[Deaths],tblDaily[EntryDate],DATE(2026,4,6),tblDaily[WardCode],"MAE")=0,"",SUMIFS(tblDaily[Deaths],tblDaily[EntryDate],DATE(2026,4,6),tblDaily[WardCode],"MAE")),"")</f>
        <v/>
      </c>
      <c r="E129" s="29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29" t="str">
        <f>IFERROR(IF(SUMIFS(tblDaily[TransfersIn],tblDaily[EntryDate],DATE(2026,4,6),tblDaily[WardCode],"MAE")=0,"",SUMIFS(tblDaily[TransfersIn],tblDaily[EntryDate],DATE(2026,4,6),tblDaily[WardCode],"MAE")),"")</f>
        <v/>
      </c>
      <c r="G129" s="29" t="str">
        <f>IFERROR(IF(SUMIFS(tblDaily[TransfersOut],tblDaily[EntryDate],DATE(2026,4,6),tblDaily[WardCode],"MAE")=0,"",SUMIFS(tblDaily[TransfersOut],tblDaily[EntryDate],DATE(2026,4,6),tblDaily[WardCode],"MAE")),"")</f>
        <v/>
      </c>
      <c r="H129" s="29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IFERROR(IF(SUMIFS(tblDaily[Admissions],tblDaily[EntryDate],DATE(2026,4,7),tblDaily[WardCode],"MAE")=0,"",SUMIFS(tblDaily[Admissions],tblDaily[EntryDate],DATE(2026,4,7),tblDaily[WardCode],"MAE")),"")</f>
        <v/>
      </c>
      <c r="C130" s="29" t="str">
        <f>IFERROR(IF(SUMIFS(tblDaily[Discharges],tblDaily[EntryDate],DATE(2026,4,7),tblDaily[WardCode],"MAE")=0,"",SUMIFS(tblDaily[Discharges],tblDaily[EntryDate],DATE(2026,4,7),tblDaily[WardCode],"MAE")),"")</f>
        <v/>
      </c>
      <c r="D130" s="29" t="str">
        <f>IFERROR(IF(SUMIFS(tblDaily[Deaths],tblDaily[EntryDate],DATE(2026,4,7),tblDaily[WardCode],"MAE")=0,"",SUMIFS(tblDaily[Deaths],tblDaily[EntryDate],DATE(2026,4,7),tblDaily[WardCode],"MAE")),"")</f>
        <v/>
      </c>
      <c r="E130" s="29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29" t="str">
        <f>IFERROR(IF(SUMIFS(tblDaily[TransfersIn],tblDaily[EntryDate],DATE(2026,4,7),tblDaily[WardCode],"MAE")=0,"",SUMIFS(tblDaily[TransfersIn],tblDaily[EntryDate],DATE(2026,4,7),tblDaily[WardCode],"MAE")),"")</f>
        <v/>
      </c>
      <c r="G130" s="29" t="str">
        <f>IFERROR(IF(SUMIFS(tblDaily[TransfersOut],tblDaily[EntryDate],DATE(2026,4,7),tblDaily[WardCode],"MAE")=0,"",SUMIFS(tblDaily[TransfersOut],tblDaily[EntryDate],DATE(2026,4,7),tblDaily[WardCode],"MAE")),"")</f>
        <v/>
      </c>
      <c r="H130" s="29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IFERROR(IF(SUMIFS(tblDaily[Admissions],tblDaily[EntryDate],DATE(2026,4,8),tblDaily[WardCode],"MAE")=0,"",SUMIFS(tblDaily[Admissions],tblDaily[EntryDate],DATE(2026,4,8),tblDaily[WardCode],"MAE")),"")</f>
        <v/>
      </c>
      <c r="C131" s="29" t="str">
        <f>IFERROR(IF(SUMIFS(tblDaily[Discharges],tblDaily[EntryDate],DATE(2026,4,8),tblDaily[WardCode],"MAE")=0,"",SUMIFS(tblDaily[Discharges],tblDaily[EntryDate],DATE(2026,4,8),tblDaily[WardCode],"MAE")),"")</f>
        <v/>
      </c>
      <c r="D131" s="29" t="str">
        <f>IFERROR(IF(SUMIFS(tblDaily[Deaths],tblDaily[EntryDate],DATE(2026,4,8),tblDaily[WardCode],"MAE")=0,"",SUMIFS(tblDaily[Deaths],tblDaily[EntryDate],DATE(2026,4,8),tblDaily[WardCode],"MAE")),"")</f>
        <v/>
      </c>
      <c r="E131" s="29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29" t="str">
        <f>IFERROR(IF(SUMIFS(tblDaily[TransfersIn],tblDaily[EntryDate],DATE(2026,4,8),tblDaily[WardCode],"MAE")=0,"",SUMIFS(tblDaily[TransfersIn],tblDaily[EntryDate],DATE(2026,4,8),tblDaily[WardCode],"MAE")),"")</f>
        <v/>
      </c>
      <c r="G131" s="29" t="str">
        <f>IFERROR(IF(SUMIFS(tblDaily[TransfersOut],tblDaily[EntryDate],DATE(2026,4,8),tblDaily[WardCode],"MAE")=0,"",SUMIFS(tblDaily[TransfersOut],tblDaily[EntryDate],DATE(2026,4,8),tblDaily[WardCode],"MAE")),"")</f>
        <v/>
      </c>
      <c r="H131" s="29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IFERROR(IF(SUMIFS(tblDaily[Admissions],tblDaily[EntryDate],DATE(2026,4,9),tblDaily[WardCode],"MAE")=0,"",SUMIFS(tblDaily[Admissions],tblDaily[EntryDate],DATE(2026,4,9),tblDaily[WardCode],"MAE")),"")</f>
        <v/>
      </c>
      <c r="C132" s="29" t="str">
        <f>IFERROR(IF(SUMIFS(tblDaily[Discharges],tblDaily[EntryDate],DATE(2026,4,9),tblDaily[WardCode],"MAE")=0,"",SUMIFS(tblDaily[Discharges],tblDaily[EntryDate],DATE(2026,4,9),tblDaily[WardCode],"MAE")),"")</f>
        <v/>
      </c>
      <c r="D132" s="29" t="str">
        <f>IFERROR(IF(SUMIFS(tblDaily[Deaths],tblDaily[EntryDate],DATE(2026,4,9),tblDaily[WardCode],"MAE")=0,"",SUMIFS(tblDaily[Deaths],tblDaily[EntryDate],DATE(2026,4,9),tblDaily[WardCode],"MAE")),"")</f>
        <v/>
      </c>
      <c r="E132" s="29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29" t="str">
        <f>IFERROR(IF(SUMIFS(tblDaily[TransfersIn],tblDaily[EntryDate],DATE(2026,4,9),tblDaily[WardCode],"MAE")=0,"",SUMIFS(tblDaily[TransfersIn],tblDaily[EntryDate],DATE(2026,4,9),tblDaily[WardCode],"MAE")),"")</f>
        <v/>
      </c>
      <c r="G132" s="29" t="str">
        <f>IFERROR(IF(SUMIFS(tblDaily[TransfersOut],tblDaily[EntryDate],DATE(2026,4,9),tblDaily[WardCode],"MAE")=0,"",SUMIFS(tblDaily[TransfersOut],tblDaily[EntryDate],DATE(2026,4,9),tblDaily[WardCode],"MAE")),"")</f>
        <v/>
      </c>
      <c r="H132" s="29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IFERROR(IF(SUMIFS(tblDaily[Admissions],tblDaily[EntryDate],DATE(2026,4,10),tblDaily[WardCode],"MAE")=0,"",SUMIFS(tblDaily[Admissions],tblDaily[EntryDate],DATE(2026,4,10),tblDaily[WardCode],"MAE")),"")</f>
        <v/>
      </c>
      <c r="C133" s="29" t="str">
        <f>IFERROR(IF(SUMIFS(tblDaily[Discharges],tblDaily[EntryDate],DATE(2026,4,10),tblDaily[WardCode],"MAE")=0,"",SUMIFS(tblDaily[Discharges],tblDaily[EntryDate],DATE(2026,4,10),tblDaily[WardCode],"MAE")),"")</f>
        <v/>
      </c>
      <c r="D133" s="29" t="str">
        <f>IFERROR(IF(SUMIFS(tblDaily[Deaths],tblDaily[EntryDate],DATE(2026,4,10),tblDaily[WardCode],"MAE")=0,"",SUMIFS(tblDaily[Deaths],tblDaily[EntryDate],DATE(2026,4,10),tblDaily[WardCode],"MAE")),"")</f>
        <v/>
      </c>
      <c r="E133" s="29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29" t="str">
        <f>IFERROR(IF(SUMIFS(tblDaily[TransfersIn],tblDaily[EntryDate],DATE(2026,4,10),tblDaily[WardCode],"MAE")=0,"",SUMIFS(tblDaily[TransfersIn],tblDaily[EntryDate],DATE(2026,4,10),tblDaily[WardCode],"MAE")),"")</f>
        <v/>
      </c>
      <c r="G133" s="29" t="str">
        <f>IFERROR(IF(SUMIFS(tblDaily[TransfersOut],tblDaily[EntryDate],DATE(2026,4,10),tblDaily[WardCode],"MAE")=0,"",SUMIFS(tblDaily[TransfersOut],tblDaily[EntryDate],DATE(2026,4,10),tblDaily[WardCode],"MAE")),"")</f>
        <v/>
      </c>
      <c r="H133" s="29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IFERROR(IF(SUMIFS(tblDaily[Admissions],tblDaily[EntryDate],DATE(2026,4,11),tblDaily[WardCode],"MAE")=0,"",SUMIFS(tblDaily[Admissions],tblDaily[EntryDate],DATE(2026,4,11),tblDaily[WardCode],"MAE")),"")</f>
        <v/>
      </c>
      <c r="C134" s="29" t="str">
        <f>IFERROR(IF(SUMIFS(tblDaily[Discharges],tblDaily[EntryDate],DATE(2026,4,11),tblDaily[WardCode],"MAE")=0,"",SUMIFS(tblDaily[Discharges],tblDaily[EntryDate],DATE(2026,4,11),tblDaily[WardCode],"MAE")),"")</f>
        <v/>
      </c>
      <c r="D134" s="29" t="str">
        <f>IFERROR(IF(SUMIFS(tblDaily[Deaths],tblDaily[EntryDate],DATE(2026,4,11),tblDaily[WardCode],"MAE")=0,"",SUMIFS(tblDaily[Deaths],tblDaily[EntryDate],DATE(2026,4,11),tblDaily[WardCode],"MAE")),"")</f>
        <v/>
      </c>
      <c r="E134" s="29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29" t="str">
        <f>IFERROR(IF(SUMIFS(tblDaily[TransfersIn],tblDaily[EntryDate],DATE(2026,4,11),tblDaily[WardCode],"MAE")=0,"",SUMIFS(tblDaily[TransfersIn],tblDaily[EntryDate],DATE(2026,4,11),tblDaily[WardCode],"MAE")),"")</f>
        <v/>
      </c>
      <c r="G134" s="29" t="str">
        <f>IFERROR(IF(SUMIFS(tblDaily[TransfersOut],tblDaily[EntryDate],DATE(2026,4,11),tblDaily[WardCode],"MAE")=0,"",SUMIFS(tblDaily[TransfersOut],tblDaily[EntryDate],DATE(2026,4,11),tblDaily[WardCode],"MAE")),"")</f>
        <v/>
      </c>
      <c r="H134" s="29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IFERROR(IF(SUMIFS(tblDaily[Admissions],tblDaily[EntryDate],DATE(2026,4,12),tblDaily[WardCode],"MAE")=0,"",SUMIFS(tblDaily[Admissions],tblDaily[EntryDate],DATE(2026,4,12),tblDaily[WardCode],"MAE")),"")</f>
        <v/>
      </c>
      <c r="C135" s="29" t="str">
        <f>IFERROR(IF(SUMIFS(tblDaily[Discharges],tblDaily[EntryDate],DATE(2026,4,12),tblDaily[WardCode],"MAE")=0,"",SUMIFS(tblDaily[Discharges],tblDaily[EntryDate],DATE(2026,4,12),tblDaily[WardCode],"MAE")),"")</f>
        <v/>
      </c>
      <c r="D135" s="29" t="str">
        <f>IFERROR(IF(SUMIFS(tblDaily[Deaths],tblDaily[EntryDate],DATE(2026,4,12),tblDaily[WardCode],"MAE")=0,"",SUMIFS(tblDaily[Deaths],tblDaily[EntryDate],DATE(2026,4,12),tblDaily[WardCode],"MAE")),"")</f>
        <v/>
      </c>
      <c r="E135" s="29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29" t="str">
        <f>IFERROR(IF(SUMIFS(tblDaily[TransfersIn],tblDaily[EntryDate],DATE(2026,4,12),tblDaily[WardCode],"MAE")=0,"",SUMIFS(tblDaily[TransfersIn],tblDaily[EntryDate],DATE(2026,4,12),tblDaily[WardCode],"MAE")),"")</f>
        <v/>
      </c>
      <c r="G135" s="29" t="str">
        <f>IFERROR(IF(SUMIFS(tblDaily[TransfersOut],tblDaily[EntryDate],DATE(2026,4,12),tblDaily[WardCode],"MAE")=0,"",SUMIFS(tblDaily[TransfersOut],tblDaily[EntryDate],DATE(2026,4,12),tblDaily[WardCode],"MAE")),"")</f>
        <v/>
      </c>
      <c r="H135" s="29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IFERROR(IF(SUMIFS(tblDaily[Admissions],tblDaily[EntryDate],DATE(2026,4,13),tblDaily[WardCode],"MAE")=0,"",SUMIFS(tblDaily[Admissions],tblDaily[EntryDate],DATE(2026,4,13),tblDaily[WardCode],"MAE")),"")</f>
        <v/>
      </c>
      <c r="C136" s="29" t="str">
        <f>IFERROR(IF(SUMIFS(tblDaily[Discharges],tblDaily[EntryDate],DATE(2026,4,13),tblDaily[WardCode],"MAE")=0,"",SUMIFS(tblDaily[Discharges],tblDaily[EntryDate],DATE(2026,4,13),tblDaily[WardCode],"MAE")),"")</f>
        <v/>
      </c>
      <c r="D136" s="29" t="str">
        <f>IFERROR(IF(SUMIFS(tblDaily[Deaths],tblDaily[EntryDate],DATE(2026,4,13),tblDaily[WardCode],"MAE")=0,"",SUMIFS(tblDaily[Deaths],tblDaily[EntryDate],DATE(2026,4,13),tblDaily[WardCode],"MAE")),"")</f>
        <v/>
      </c>
      <c r="E136" s="29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29" t="str">
        <f>IFERROR(IF(SUMIFS(tblDaily[TransfersIn],tblDaily[EntryDate],DATE(2026,4,13),tblDaily[WardCode],"MAE")=0,"",SUMIFS(tblDaily[TransfersIn],tblDaily[EntryDate],DATE(2026,4,13),tblDaily[WardCode],"MAE")),"")</f>
        <v/>
      </c>
      <c r="G136" s="29" t="str">
        <f>IFERROR(IF(SUMIFS(tblDaily[TransfersOut],tblDaily[EntryDate],DATE(2026,4,13),tblDaily[WardCode],"MAE")=0,"",SUMIFS(tblDaily[TransfersOut],tblDaily[EntryDate],DATE(2026,4,13),tblDaily[WardCode],"MAE")),"")</f>
        <v/>
      </c>
      <c r="H136" s="29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IFERROR(IF(SUMIFS(tblDaily[Admissions],tblDaily[EntryDate],DATE(2026,4,14),tblDaily[WardCode],"MAE")=0,"",SUMIFS(tblDaily[Admissions],tblDaily[EntryDate],DATE(2026,4,14),tblDaily[WardCode],"MAE")),"")</f>
        <v/>
      </c>
      <c r="C137" s="29" t="str">
        <f>IFERROR(IF(SUMIFS(tblDaily[Discharges],tblDaily[EntryDate],DATE(2026,4,14),tblDaily[WardCode],"MAE")=0,"",SUMIFS(tblDaily[Discharges],tblDaily[EntryDate],DATE(2026,4,14),tblDaily[WardCode],"MAE")),"")</f>
        <v/>
      </c>
      <c r="D137" s="29" t="str">
        <f>IFERROR(IF(SUMIFS(tblDaily[Deaths],tblDaily[EntryDate],DATE(2026,4,14),tblDaily[WardCode],"MAE")=0,"",SUMIFS(tblDaily[Deaths],tblDaily[EntryDate],DATE(2026,4,14),tblDaily[WardCode],"MAE")),"")</f>
        <v/>
      </c>
      <c r="E137" s="29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29" t="str">
        <f>IFERROR(IF(SUMIFS(tblDaily[TransfersIn],tblDaily[EntryDate],DATE(2026,4,14),tblDaily[WardCode],"MAE")=0,"",SUMIFS(tblDaily[TransfersIn],tblDaily[EntryDate],DATE(2026,4,14),tblDaily[WardCode],"MAE")),"")</f>
        <v/>
      </c>
      <c r="G137" s="29" t="str">
        <f>IFERROR(IF(SUMIFS(tblDaily[TransfersOut],tblDaily[EntryDate],DATE(2026,4,14),tblDaily[WardCode],"MAE")=0,"",SUMIFS(tblDaily[TransfersOut],tblDaily[EntryDate],DATE(2026,4,14),tblDaily[WardCode],"MAE")),"")</f>
        <v/>
      </c>
      <c r="H137" s="29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IFERROR(IF(SUMIFS(tblDaily[Admissions],tblDaily[EntryDate],DATE(2026,4,15),tblDaily[WardCode],"MAE")=0,"",SUMIFS(tblDaily[Admissions],tblDaily[EntryDate],DATE(2026,4,15),tblDaily[WardCode],"MAE")),"")</f>
        <v/>
      </c>
      <c r="C138" s="29" t="str">
        <f>IFERROR(IF(SUMIFS(tblDaily[Discharges],tblDaily[EntryDate],DATE(2026,4,15),tblDaily[WardCode],"MAE")=0,"",SUMIFS(tblDaily[Discharges],tblDaily[EntryDate],DATE(2026,4,15),tblDaily[WardCode],"MAE")),"")</f>
        <v/>
      </c>
      <c r="D138" s="29" t="str">
        <f>IFERROR(IF(SUMIFS(tblDaily[Deaths],tblDaily[EntryDate],DATE(2026,4,15),tblDaily[WardCode],"MAE")=0,"",SUMIFS(tblDaily[Deaths],tblDaily[EntryDate],DATE(2026,4,15),tblDaily[WardCode],"MAE")),"")</f>
        <v/>
      </c>
      <c r="E138" s="29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29" t="str">
        <f>IFERROR(IF(SUMIFS(tblDaily[TransfersIn],tblDaily[EntryDate],DATE(2026,4,15),tblDaily[WardCode],"MAE")=0,"",SUMIFS(tblDaily[TransfersIn],tblDaily[EntryDate],DATE(2026,4,15),tblDaily[WardCode],"MAE")),"")</f>
        <v/>
      </c>
      <c r="G138" s="29" t="str">
        <f>IFERROR(IF(SUMIFS(tblDaily[TransfersOut],tblDaily[EntryDate],DATE(2026,4,15),tblDaily[WardCode],"MAE")=0,"",SUMIFS(tblDaily[TransfersOut],tblDaily[EntryDate],DATE(2026,4,15),tblDaily[WardCode],"MAE")),"")</f>
        <v/>
      </c>
      <c r="H138" s="29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IFERROR(IF(SUMIFS(tblDaily[Admissions],tblDaily[EntryDate],DATE(2026,4,16),tblDaily[WardCode],"MAE")=0,"",SUMIFS(tblDaily[Admissions],tblDaily[EntryDate],DATE(2026,4,16),tblDaily[WardCode],"MAE")),"")</f>
        <v/>
      </c>
      <c r="C139" s="29" t="str">
        <f>IFERROR(IF(SUMIFS(tblDaily[Discharges],tblDaily[EntryDate],DATE(2026,4,16),tblDaily[WardCode],"MAE")=0,"",SUMIFS(tblDaily[Discharges],tblDaily[EntryDate],DATE(2026,4,16),tblDaily[WardCode],"MAE")),"")</f>
        <v/>
      </c>
      <c r="D139" s="29" t="str">
        <f>IFERROR(IF(SUMIFS(tblDaily[Deaths],tblDaily[EntryDate],DATE(2026,4,16),tblDaily[WardCode],"MAE")=0,"",SUMIFS(tblDaily[Deaths],tblDaily[EntryDate],DATE(2026,4,16),tblDaily[WardCode],"MAE")),"")</f>
        <v/>
      </c>
      <c r="E139" s="29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29" t="str">
        <f>IFERROR(IF(SUMIFS(tblDaily[TransfersIn],tblDaily[EntryDate],DATE(2026,4,16),tblDaily[WardCode],"MAE")=0,"",SUMIFS(tblDaily[TransfersIn],tblDaily[EntryDate],DATE(2026,4,16),tblDaily[WardCode],"MAE")),"")</f>
        <v/>
      </c>
      <c r="G139" s="29" t="str">
        <f>IFERROR(IF(SUMIFS(tblDaily[TransfersOut],tblDaily[EntryDate],DATE(2026,4,16),tblDaily[WardCode],"MAE")=0,"",SUMIFS(tblDaily[TransfersOut],tblDaily[EntryDate],DATE(2026,4,16),tblDaily[WardCode],"MAE")),"")</f>
        <v/>
      </c>
      <c r="H139" s="29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IFERROR(IF(SUMIFS(tblDaily[Admissions],tblDaily[EntryDate],DATE(2026,4,17),tblDaily[WardCode],"MAE")=0,"",SUMIFS(tblDaily[Admissions],tblDaily[EntryDate],DATE(2026,4,17),tblDaily[WardCode],"MAE")),"")</f>
        <v/>
      </c>
      <c r="C140" s="29" t="str">
        <f>IFERROR(IF(SUMIFS(tblDaily[Discharges],tblDaily[EntryDate],DATE(2026,4,17),tblDaily[WardCode],"MAE")=0,"",SUMIFS(tblDaily[Discharges],tblDaily[EntryDate],DATE(2026,4,17),tblDaily[WardCode],"MAE")),"")</f>
        <v/>
      </c>
      <c r="D140" s="29" t="str">
        <f>IFERROR(IF(SUMIFS(tblDaily[Deaths],tblDaily[EntryDate],DATE(2026,4,17),tblDaily[WardCode],"MAE")=0,"",SUMIFS(tblDaily[Deaths],tblDaily[EntryDate],DATE(2026,4,17),tblDaily[WardCode],"MAE")),"")</f>
        <v/>
      </c>
      <c r="E140" s="29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29" t="str">
        <f>IFERROR(IF(SUMIFS(tblDaily[TransfersIn],tblDaily[EntryDate],DATE(2026,4,17),tblDaily[WardCode],"MAE")=0,"",SUMIFS(tblDaily[TransfersIn],tblDaily[EntryDate],DATE(2026,4,17),tblDaily[WardCode],"MAE")),"")</f>
        <v/>
      </c>
      <c r="G140" s="29" t="str">
        <f>IFERROR(IF(SUMIFS(tblDaily[TransfersOut],tblDaily[EntryDate],DATE(2026,4,17),tblDaily[WardCode],"MAE")=0,"",SUMIFS(tblDaily[TransfersOut],tblDaily[EntryDate],DATE(2026,4,17),tblDaily[WardCode],"MAE")),"")</f>
        <v/>
      </c>
      <c r="H140" s="29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IFERROR(IF(SUMIFS(tblDaily[Admissions],tblDaily[EntryDate],DATE(2026,4,18),tblDaily[WardCode],"MAE")=0,"",SUMIFS(tblDaily[Admissions],tblDaily[EntryDate],DATE(2026,4,18),tblDaily[WardCode],"MAE")),"")</f>
        <v/>
      </c>
      <c r="C141" s="29" t="str">
        <f>IFERROR(IF(SUMIFS(tblDaily[Discharges],tblDaily[EntryDate],DATE(2026,4,18),tblDaily[WardCode],"MAE")=0,"",SUMIFS(tblDaily[Discharges],tblDaily[EntryDate],DATE(2026,4,18),tblDaily[WardCode],"MAE")),"")</f>
        <v/>
      </c>
      <c r="D141" s="29" t="str">
        <f>IFERROR(IF(SUMIFS(tblDaily[Deaths],tblDaily[EntryDate],DATE(2026,4,18),tblDaily[WardCode],"MAE")=0,"",SUMIFS(tblDaily[Deaths],tblDaily[EntryDate],DATE(2026,4,18),tblDaily[WardCode],"MAE")),"")</f>
        <v/>
      </c>
      <c r="E141" s="29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29" t="str">
        <f>IFERROR(IF(SUMIFS(tblDaily[TransfersIn],tblDaily[EntryDate],DATE(2026,4,18),tblDaily[WardCode],"MAE")=0,"",SUMIFS(tblDaily[TransfersIn],tblDaily[EntryDate],DATE(2026,4,18),tblDaily[WardCode],"MAE")),"")</f>
        <v/>
      </c>
      <c r="G141" s="29" t="str">
        <f>IFERROR(IF(SUMIFS(tblDaily[TransfersOut],tblDaily[EntryDate],DATE(2026,4,18),tblDaily[WardCode],"MAE")=0,"",SUMIFS(tblDaily[TransfersOut],tblDaily[EntryDate],DATE(2026,4,18),tblDaily[WardCode],"MAE")),"")</f>
        <v/>
      </c>
      <c r="H141" s="29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IFERROR(IF(SUMIFS(tblDaily[Admissions],tblDaily[EntryDate],DATE(2026,4,19),tblDaily[WardCode],"MAE")=0,"",SUMIFS(tblDaily[Admissions],tblDaily[EntryDate],DATE(2026,4,19),tblDaily[WardCode],"MAE")),"")</f>
        <v/>
      </c>
      <c r="C142" s="29" t="str">
        <f>IFERROR(IF(SUMIFS(tblDaily[Discharges],tblDaily[EntryDate],DATE(2026,4,19),tblDaily[WardCode],"MAE")=0,"",SUMIFS(tblDaily[Discharges],tblDaily[EntryDate],DATE(2026,4,19),tblDaily[WardCode],"MAE")),"")</f>
        <v/>
      </c>
      <c r="D142" s="29" t="str">
        <f>IFERROR(IF(SUMIFS(tblDaily[Deaths],tblDaily[EntryDate],DATE(2026,4,19),tblDaily[WardCode],"MAE")=0,"",SUMIFS(tblDaily[Deaths],tblDaily[EntryDate],DATE(2026,4,19),tblDaily[WardCode],"MAE")),"")</f>
        <v/>
      </c>
      <c r="E142" s="29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29" t="str">
        <f>IFERROR(IF(SUMIFS(tblDaily[TransfersIn],tblDaily[EntryDate],DATE(2026,4,19),tblDaily[WardCode],"MAE")=0,"",SUMIFS(tblDaily[TransfersIn],tblDaily[EntryDate],DATE(2026,4,19),tblDaily[WardCode],"MAE")),"")</f>
        <v/>
      </c>
      <c r="G142" s="29" t="str">
        <f>IFERROR(IF(SUMIFS(tblDaily[TransfersOut],tblDaily[EntryDate],DATE(2026,4,19),tblDaily[WardCode],"MAE")=0,"",SUMIFS(tblDaily[TransfersOut],tblDaily[EntryDate],DATE(2026,4,19),tblDaily[WardCode],"MAE")),"")</f>
        <v/>
      </c>
      <c r="H142" s="29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IFERROR(IF(SUMIFS(tblDaily[Admissions],tblDaily[EntryDate],DATE(2026,4,20),tblDaily[WardCode],"MAE")=0,"",SUMIFS(tblDaily[Admissions],tblDaily[EntryDate],DATE(2026,4,20),tblDaily[WardCode],"MAE")),"")</f>
        <v/>
      </c>
      <c r="C143" s="29" t="str">
        <f>IFERROR(IF(SUMIFS(tblDaily[Discharges],tblDaily[EntryDate],DATE(2026,4,20),tblDaily[WardCode],"MAE")=0,"",SUMIFS(tblDaily[Discharges],tblDaily[EntryDate],DATE(2026,4,20),tblDaily[WardCode],"MAE")),"")</f>
        <v/>
      </c>
      <c r="D143" s="29" t="str">
        <f>IFERROR(IF(SUMIFS(tblDaily[Deaths],tblDaily[EntryDate],DATE(2026,4,20),tblDaily[WardCode],"MAE")=0,"",SUMIFS(tblDaily[Deaths],tblDaily[EntryDate],DATE(2026,4,20),tblDaily[WardCode],"MAE")),"")</f>
        <v/>
      </c>
      <c r="E143" s="29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29" t="str">
        <f>IFERROR(IF(SUMIFS(tblDaily[TransfersIn],tblDaily[EntryDate],DATE(2026,4,20),tblDaily[WardCode],"MAE")=0,"",SUMIFS(tblDaily[TransfersIn],tblDaily[EntryDate],DATE(2026,4,20),tblDaily[WardCode],"MAE")),"")</f>
        <v/>
      </c>
      <c r="G143" s="29" t="str">
        <f>IFERROR(IF(SUMIFS(tblDaily[TransfersOut],tblDaily[EntryDate],DATE(2026,4,20),tblDaily[WardCode],"MAE")=0,"",SUMIFS(tblDaily[TransfersOut],tblDaily[EntryDate],DATE(2026,4,20),tblDaily[WardCode],"MAE")),"")</f>
        <v/>
      </c>
      <c r="H143" s="29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IFERROR(IF(SUMIFS(tblDaily[Admissions],tblDaily[EntryDate],DATE(2026,4,21),tblDaily[WardCode],"MAE")=0,"",SUMIFS(tblDaily[Admissions],tblDaily[EntryDate],DATE(2026,4,21),tblDaily[WardCode],"MAE")),"")</f>
        <v/>
      </c>
      <c r="C144" s="29" t="str">
        <f>IFERROR(IF(SUMIFS(tblDaily[Discharges],tblDaily[EntryDate],DATE(2026,4,21),tblDaily[WardCode],"MAE")=0,"",SUMIFS(tblDaily[Discharges],tblDaily[EntryDate],DATE(2026,4,21),tblDaily[WardCode],"MAE")),"")</f>
        <v/>
      </c>
      <c r="D144" s="29" t="str">
        <f>IFERROR(IF(SUMIFS(tblDaily[Deaths],tblDaily[EntryDate],DATE(2026,4,21),tblDaily[WardCode],"MAE")=0,"",SUMIFS(tblDaily[Deaths],tblDaily[EntryDate],DATE(2026,4,21),tblDaily[WardCode],"MAE")),"")</f>
        <v/>
      </c>
      <c r="E144" s="29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29" t="str">
        <f>IFERROR(IF(SUMIFS(tblDaily[TransfersIn],tblDaily[EntryDate],DATE(2026,4,21),tblDaily[WardCode],"MAE")=0,"",SUMIFS(tblDaily[TransfersIn],tblDaily[EntryDate],DATE(2026,4,21),tblDaily[WardCode],"MAE")),"")</f>
        <v/>
      </c>
      <c r="G144" s="29" t="str">
        <f>IFERROR(IF(SUMIFS(tblDaily[TransfersOut],tblDaily[EntryDate],DATE(2026,4,21),tblDaily[WardCode],"MAE")=0,"",SUMIFS(tblDaily[TransfersOut],tblDaily[EntryDate],DATE(2026,4,21),tblDaily[WardCode],"MAE")),"")</f>
        <v/>
      </c>
      <c r="H144" s="29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IFERROR(IF(SUMIFS(tblDaily[Admissions],tblDaily[EntryDate],DATE(2026,4,22),tblDaily[WardCode],"MAE")=0,"",SUMIFS(tblDaily[Admissions],tblDaily[EntryDate],DATE(2026,4,22),tblDaily[WardCode],"MAE")),"")</f>
        <v/>
      </c>
      <c r="C145" s="29" t="str">
        <f>IFERROR(IF(SUMIFS(tblDaily[Discharges],tblDaily[EntryDate],DATE(2026,4,22),tblDaily[WardCode],"MAE")=0,"",SUMIFS(tblDaily[Discharges],tblDaily[EntryDate],DATE(2026,4,22),tblDaily[WardCode],"MAE")),"")</f>
        <v/>
      </c>
      <c r="D145" s="29" t="str">
        <f>IFERROR(IF(SUMIFS(tblDaily[Deaths],tblDaily[EntryDate],DATE(2026,4,22),tblDaily[WardCode],"MAE")=0,"",SUMIFS(tblDaily[Deaths],tblDaily[EntryDate],DATE(2026,4,22),tblDaily[WardCode],"MAE")),"")</f>
        <v/>
      </c>
      <c r="E145" s="29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29" t="str">
        <f>IFERROR(IF(SUMIFS(tblDaily[TransfersIn],tblDaily[EntryDate],DATE(2026,4,22),tblDaily[WardCode],"MAE")=0,"",SUMIFS(tblDaily[TransfersIn],tblDaily[EntryDate],DATE(2026,4,22),tblDaily[WardCode],"MAE")),"")</f>
        <v/>
      </c>
      <c r="G145" s="29" t="str">
        <f>IFERROR(IF(SUMIFS(tblDaily[TransfersOut],tblDaily[EntryDate],DATE(2026,4,22),tblDaily[WardCode],"MAE")=0,"",SUMIFS(tblDaily[TransfersOut],tblDaily[EntryDate],DATE(2026,4,22),tblDaily[WardCode],"MAE")),"")</f>
        <v/>
      </c>
      <c r="H145" s="29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IFERROR(IF(SUMIFS(tblDaily[Admissions],tblDaily[EntryDate],DATE(2026,4,23),tblDaily[WardCode],"MAE")=0,"",SUMIFS(tblDaily[Admissions],tblDaily[EntryDate],DATE(2026,4,23),tblDaily[WardCode],"MAE")),"")</f>
        <v/>
      </c>
      <c r="C146" s="29" t="str">
        <f>IFERROR(IF(SUMIFS(tblDaily[Discharges],tblDaily[EntryDate],DATE(2026,4,23),tblDaily[WardCode],"MAE")=0,"",SUMIFS(tblDaily[Discharges],tblDaily[EntryDate],DATE(2026,4,23),tblDaily[WardCode],"MAE")),"")</f>
        <v/>
      </c>
      <c r="D146" s="29" t="str">
        <f>IFERROR(IF(SUMIFS(tblDaily[Deaths],tblDaily[EntryDate],DATE(2026,4,23),tblDaily[WardCode],"MAE")=0,"",SUMIFS(tblDaily[Deaths],tblDaily[EntryDate],DATE(2026,4,23),tblDaily[WardCode],"MAE")),"")</f>
        <v/>
      </c>
      <c r="E146" s="29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29" t="str">
        <f>IFERROR(IF(SUMIFS(tblDaily[TransfersIn],tblDaily[EntryDate],DATE(2026,4,23),tblDaily[WardCode],"MAE")=0,"",SUMIFS(tblDaily[TransfersIn],tblDaily[EntryDate],DATE(2026,4,23),tblDaily[WardCode],"MAE")),"")</f>
        <v/>
      </c>
      <c r="G146" s="29" t="str">
        <f>IFERROR(IF(SUMIFS(tblDaily[TransfersOut],tblDaily[EntryDate],DATE(2026,4,23),tblDaily[WardCode],"MAE")=0,"",SUMIFS(tblDaily[TransfersOut],tblDaily[EntryDate],DATE(2026,4,23),tblDaily[WardCode],"MAE")),"")</f>
        <v/>
      </c>
      <c r="H146" s="29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IFERROR(IF(SUMIFS(tblDaily[Admissions],tblDaily[EntryDate],DATE(2026,4,24),tblDaily[WardCode],"MAE")=0,"",SUMIFS(tblDaily[Admissions],tblDaily[EntryDate],DATE(2026,4,24),tblDaily[WardCode],"MAE")),"")</f>
        <v/>
      </c>
      <c r="C147" s="29" t="str">
        <f>IFERROR(IF(SUMIFS(tblDaily[Discharges],tblDaily[EntryDate],DATE(2026,4,24),tblDaily[WardCode],"MAE")=0,"",SUMIFS(tblDaily[Discharges],tblDaily[EntryDate],DATE(2026,4,24),tblDaily[WardCode],"MAE")),"")</f>
        <v/>
      </c>
      <c r="D147" s="29" t="str">
        <f>IFERROR(IF(SUMIFS(tblDaily[Deaths],tblDaily[EntryDate],DATE(2026,4,24),tblDaily[WardCode],"MAE")=0,"",SUMIFS(tblDaily[Deaths],tblDaily[EntryDate],DATE(2026,4,24),tblDaily[WardCode],"MAE")),"")</f>
        <v/>
      </c>
      <c r="E147" s="29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29" t="str">
        <f>IFERROR(IF(SUMIFS(tblDaily[TransfersIn],tblDaily[EntryDate],DATE(2026,4,24),tblDaily[WardCode],"MAE")=0,"",SUMIFS(tblDaily[TransfersIn],tblDaily[EntryDate],DATE(2026,4,24),tblDaily[WardCode],"MAE")),"")</f>
        <v/>
      </c>
      <c r="G147" s="29" t="str">
        <f>IFERROR(IF(SUMIFS(tblDaily[TransfersOut],tblDaily[EntryDate],DATE(2026,4,24),tblDaily[WardCode],"MAE")=0,"",SUMIFS(tblDaily[TransfersOut],tblDaily[EntryDate],DATE(2026,4,24),tblDaily[WardCode],"MAE")),"")</f>
        <v/>
      </c>
      <c r="H147" s="29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IFERROR(IF(SUMIFS(tblDaily[Admissions],tblDaily[EntryDate],DATE(2026,4,25),tblDaily[WardCode],"MAE")=0,"",SUMIFS(tblDaily[Admissions],tblDaily[EntryDate],DATE(2026,4,25),tblDaily[WardCode],"MAE")),"")</f>
        <v/>
      </c>
      <c r="C148" s="29" t="str">
        <f>IFERROR(IF(SUMIFS(tblDaily[Discharges],tblDaily[EntryDate],DATE(2026,4,25),tblDaily[WardCode],"MAE")=0,"",SUMIFS(tblDaily[Discharges],tblDaily[EntryDate],DATE(2026,4,25),tblDaily[WardCode],"MAE")),"")</f>
        <v/>
      </c>
      <c r="D148" s="29" t="str">
        <f>IFERROR(IF(SUMIFS(tblDaily[Deaths],tblDaily[EntryDate],DATE(2026,4,25),tblDaily[WardCode],"MAE")=0,"",SUMIFS(tblDaily[Deaths],tblDaily[EntryDate],DATE(2026,4,25),tblDaily[WardCode],"MAE")),"")</f>
        <v/>
      </c>
      <c r="E148" s="29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29" t="str">
        <f>IFERROR(IF(SUMIFS(tblDaily[TransfersIn],tblDaily[EntryDate],DATE(2026,4,25),tblDaily[WardCode],"MAE")=0,"",SUMIFS(tblDaily[TransfersIn],tblDaily[EntryDate],DATE(2026,4,25),tblDaily[WardCode],"MAE")),"")</f>
        <v/>
      </c>
      <c r="G148" s="29" t="str">
        <f>IFERROR(IF(SUMIFS(tblDaily[TransfersOut],tblDaily[EntryDate],DATE(2026,4,25),tblDaily[WardCode],"MAE")=0,"",SUMIFS(tblDaily[TransfersOut],tblDaily[EntryDate],DATE(2026,4,25),tblDaily[WardCode],"MAE")),"")</f>
        <v/>
      </c>
      <c r="H148" s="29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IFERROR(IF(SUMIFS(tblDaily[Admissions],tblDaily[EntryDate],DATE(2026,4,26),tblDaily[WardCode],"MAE")=0,"",SUMIFS(tblDaily[Admissions],tblDaily[EntryDate],DATE(2026,4,26),tblDaily[WardCode],"MAE")),"")</f>
        <v/>
      </c>
      <c r="C149" s="29" t="str">
        <f>IFERROR(IF(SUMIFS(tblDaily[Discharges],tblDaily[EntryDate],DATE(2026,4,26),tblDaily[WardCode],"MAE")=0,"",SUMIFS(tblDaily[Discharges],tblDaily[EntryDate],DATE(2026,4,26),tblDaily[WardCode],"MAE")),"")</f>
        <v/>
      </c>
      <c r="D149" s="29" t="str">
        <f>IFERROR(IF(SUMIFS(tblDaily[Deaths],tblDaily[EntryDate],DATE(2026,4,26),tblDaily[WardCode],"MAE")=0,"",SUMIFS(tblDaily[Deaths],tblDaily[EntryDate],DATE(2026,4,26),tblDaily[WardCode],"MAE")),"")</f>
        <v/>
      </c>
      <c r="E149" s="29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29" t="str">
        <f>IFERROR(IF(SUMIFS(tblDaily[TransfersIn],tblDaily[EntryDate],DATE(2026,4,26),tblDaily[WardCode],"MAE")=0,"",SUMIFS(tblDaily[TransfersIn],tblDaily[EntryDate],DATE(2026,4,26),tblDaily[WardCode],"MAE")),"")</f>
        <v/>
      </c>
      <c r="G149" s="29" t="str">
        <f>IFERROR(IF(SUMIFS(tblDaily[TransfersOut],tblDaily[EntryDate],DATE(2026,4,26),tblDaily[WardCode],"MAE")=0,"",SUMIFS(tblDaily[TransfersOut],tblDaily[EntryDate],DATE(2026,4,26),tblDaily[WardCode],"MAE")),"")</f>
        <v/>
      </c>
      <c r="H149" s="29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IFERROR(IF(SUMIFS(tblDaily[Admissions],tblDaily[EntryDate],DATE(2026,4,27),tblDaily[WardCode],"MAE")=0,"",SUMIFS(tblDaily[Admissions],tblDaily[EntryDate],DATE(2026,4,27),tblDaily[WardCode],"MAE")),"")</f>
        <v/>
      </c>
      <c r="C150" s="29" t="str">
        <f>IFERROR(IF(SUMIFS(tblDaily[Discharges],tblDaily[EntryDate],DATE(2026,4,27),tblDaily[WardCode],"MAE")=0,"",SUMIFS(tblDaily[Discharges],tblDaily[EntryDate],DATE(2026,4,27),tblDaily[WardCode],"MAE")),"")</f>
        <v/>
      </c>
      <c r="D150" s="29" t="str">
        <f>IFERROR(IF(SUMIFS(tblDaily[Deaths],tblDaily[EntryDate],DATE(2026,4,27),tblDaily[WardCode],"MAE")=0,"",SUMIFS(tblDaily[Deaths],tblDaily[EntryDate],DATE(2026,4,27),tblDaily[WardCode],"MAE")),"")</f>
        <v/>
      </c>
      <c r="E150" s="29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29" t="str">
        <f>IFERROR(IF(SUMIFS(tblDaily[TransfersIn],tblDaily[EntryDate],DATE(2026,4,27),tblDaily[WardCode],"MAE")=0,"",SUMIFS(tblDaily[TransfersIn],tblDaily[EntryDate],DATE(2026,4,27),tblDaily[WardCode],"MAE")),"")</f>
        <v/>
      </c>
      <c r="G150" s="29" t="str">
        <f>IFERROR(IF(SUMIFS(tblDaily[TransfersOut],tblDaily[EntryDate],DATE(2026,4,27),tblDaily[WardCode],"MAE")=0,"",SUMIFS(tblDaily[TransfersOut],tblDaily[EntryDate],DATE(2026,4,27),tblDaily[WardCode],"MAE")),"")</f>
        <v/>
      </c>
      <c r="H150" s="29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IFERROR(IF(SUMIFS(tblDaily[Admissions],tblDaily[EntryDate],DATE(2026,4,28),tblDaily[WardCode],"MAE")=0,"",SUMIFS(tblDaily[Admissions],tblDaily[EntryDate],DATE(2026,4,28),tblDaily[WardCode],"MAE")),"")</f>
        <v/>
      </c>
      <c r="C151" s="29" t="str">
        <f>IFERROR(IF(SUMIFS(tblDaily[Discharges],tblDaily[EntryDate],DATE(2026,4,28),tblDaily[WardCode],"MAE")=0,"",SUMIFS(tblDaily[Discharges],tblDaily[EntryDate],DATE(2026,4,28),tblDaily[WardCode],"MAE")),"")</f>
        <v/>
      </c>
      <c r="D151" s="29" t="str">
        <f>IFERROR(IF(SUMIFS(tblDaily[Deaths],tblDaily[EntryDate],DATE(2026,4,28),tblDaily[WardCode],"MAE")=0,"",SUMIFS(tblDaily[Deaths],tblDaily[EntryDate],DATE(2026,4,28),tblDaily[WardCode],"MAE")),"")</f>
        <v/>
      </c>
      <c r="E151" s="29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29" t="str">
        <f>IFERROR(IF(SUMIFS(tblDaily[TransfersIn],tblDaily[EntryDate],DATE(2026,4,28),tblDaily[WardCode],"MAE")=0,"",SUMIFS(tblDaily[TransfersIn],tblDaily[EntryDate],DATE(2026,4,28),tblDaily[WardCode],"MAE")),"")</f>
        <v/>
      </c>
      <c r="G151" s="29" t="str">
        <f>IFERROR(IF(SUMIFS(tblDaily[TransfersOut],tblDaily[EntryDate],DATE(2026,4,28),tblDaily[WardCode],"MAE")=0,"",SUMIFS(tblDaily[TransfersOut],tblDaily[EntryDate],DATE(2026,4,28),tblDaily[WardCode],"MAE")),"")</f>
        <v/>
      </c>
      <c r="H151" s="29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IFERROR(IF(SUMIFS(tblDaily[Admissions],tblDaily[EntryDate],DATE(2026,4,29),tblDaily[WardCode],"MAE")=0,"",SUMIFS(tblDaily[Admissions],tblDaily[EntryDate],DATE(2026,4,29),tblDaily[WardCode],"MAE")),"")</f>
        <v/>
      </c>
      <c r="C152" s="29" t="str">
        <f>IFERROR(IF(SUMIFS(tblDaily[Discharges],tblDaily[EntryDate],DATE(2026,4,29),tblDaily[WardCode],"MAE")=0,"",SUMIFS(tblDaily[Discharges],tblDaily[EntryDate],DATE(2026,4,29),tblDaily[WardCode],"MAE")),"")</f>
        <v/>
      </c>
      <c r="D152" s="29" t="str">
        <f>IFERROR(IF(SUMIFS(tblDaily[Deaths],tblDaily[EntryDate],DATE(2026,4,29),tblDaily[WardCode],"MAE")=0,"",SUMIFS(tblDaily[Deaths],tblDaily[EntryDate],DATE(2026,4,29),tblDaily[WardCode],"MAE")),"")</f>
        <v/>
      </c>
      <c r="E152" s="29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29" t="str">
        <f>IFERROR(IF(SUMIFS(tblDaily[TransfersIn],tblDaily[EntryDate],DATE(2026,4,29),tblDaily[WardCode],"MAE")=0,"",SUMIFS(tblDaily[TransfersIn],tblDaily[EntryDate],DATE(2026,4,29),tblDaily[WardCode],"MAE")),"")</f>
        <v/>
      </c>
      <c r="G152" s="29" t="str">
        <f>IFERROR(IF(SUMIFS(tblDaily[TransfersOut],tblDaily[EntryDate],DATE(2026,4,29),tblDaily[WardCode],"MAE")=0,"",SUMIFS(tblDaily[TransfersOut],tblDaily[EntryDate],DATE(2026,4,29),tblDaily[WardCode],"MAE")),"")</f>
        <v/>
      </c>
      <c r="H152" s="29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IFERROR(IF(SUMIFS(tblDaily[Admissions],tblDaily[EntryDate],DATE(2026,4,30),tblDaily[WardCode],"MAE")=0,"",SUMIFS(tblDaily[Admissions],tblDaily[EntryDate],DATE(2026,4,30),tblDaily[WardCode],"MAE")),"")</f>
        <v/>
      </c>
      <c r="C153" s="29" t="str">
        <f>IFERROR(IF(SUMIFS(tblDaily[Discharges],tblDaily[EntryDate],DATE(2026,4,30),tblDaily[WardCode],"MAE")=0,"",SUMIFS(tblDaily[Discharges],tblDaily[EntryDate],DATE(2026,4,30),tblDaily[WardCode],"MAE")),"")</f>
        <v/>
      </c>
      <c r="D153" s="29" t="str">
        <f>IFERROR(IF(SUMIFS(tblDaily[Deaths],tblDaily[EntryDate],DATE(2026,4,30),tblDaily[WardCode],"MAE")=0,"",SUMIFS(tblDaily[Deaths],tblDaily[EntryDate],DATE(2026,4,30),tblDaily[WardCode],"MAE")),"")</f>
        <v/>
      </c>
      <c r="E153" s="29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29" t="str">
        <f>IFERROR(IF(SUMIFS(tblDaily[TransfersIn],tblDaily[EntryDate],DATE(2026,4,30),tblDaily[WardCode],"MAE")=0,"",SUMIFS(tblDaily[TransfersIn],tblDaily[EntryDate],DATE(2026,4,30),tblDaily[WardCode],"MAE")),"")</f>
        <v/>
      </c>
      <c r="G153" s="29" t="str">
        <f>IFERROR(IF(SUMIFS(tblDaily[TransfersOut],tblDaily[EntryDate],DATE(2026,4,30),tblDaily[WardCode],"MAE")=0,"",SUMIFS(tblDaily[TransfersOut],tblDaily[EntryDate],DATE(2026,4,30),tblDaily[WardCode],"MAE")),"")</f>
        <v/>
      </c>
      <c r="H153" s="29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SUMIFS(tblDaily[Admissions],tblDaily[Month],4,tblDaily[WardCode],"MAE") - SUMIFS(tblDaily[DeathsUnder24Hrs],tblDaily[Month],4,tblDaily[WardCode],"MAE")</f>
        <v>9</v>
      </c>
      <c r="C155" s="30">
        <f>SUMIFS(tblDaily[Discharges],tblDaily[Month],4,tblDaily[WardCode],"MAE")</f>
        <v>5</v>
      </c>
      <c r="D155" s="30">
        <f>SUMIFS(tblDaily[Deaths],tblDaily[Month],4,tblDaily[WardCode],"MAE")</f>
        <v>1</v>
      </c>
      <c r="E155" s="30">
        <f>SUMIFS(tblDaily[DeathsUnder24Hrs],tblDaily[Month],4,tblDaily[WardCode],"MAE")</f>
        <v>0</v>
      </c>
      <c r="F155" s="30">
        <f>SUMIFS(tblDaily[TransfersIn],tblDaily[Month],4,tblDaily[WardCode],"MAE")</f>
        <v>0</v>
      </c>
      <c r="G155" s="30">
        <f>SUMIFS(tblDaily[TransfersOut],tblDaily[Month],4,tblDaily[WardCode],"MAE")</f>
        <v>2</v>
      </c>
      <c r="H155" s="30">
        <f>SUMIFS(tblDaily[Remaining],tblDaily[Month],4,tblDaily[WardCode],"MAE")</f>
        <v>18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122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IFERROR(SUMIFS(tblDaily[Remaining],tblDaily[EntryDate],DATE(2026,4,30),tblDaily[WardCode],"MAE"),0)</f>
        <v>0</v>
      </c>
    </row>
    <row r="161" spans="1:8" x14ac:dyDescent="0.25">
      <c r="A161" s="24" t="s">
        <v>109</v>
      </c>
      <c r="H161" s="27">
        <f>IFERROR(INDEX(tblWardConfig[BedComplement],MATCH("MAE",tblWardConfig[WardCode],0)),0)</f>
        <v>10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IFERROR(IF(SUMIFS(tblDaily[Admissions],tblDaily[EntryDate],DATE(2026,5,1),tblDaily[WardCode],"MAE")=0,"",SUMIFS(tblDaily[Admissions],tblDaily[EntryDate],DATE(2026,5,1),tblDaily[WardCode],"MAE")),"")</f>
        <v/>
      </c>
      <c r="C163" s="29" t="str">
        <f>IFERROR(IF(SUMIFS(tblDaily[Discharges],tblDaily[EntryDate],DATE(2026,5,1),tblDaily[WardCode],"MAE")=0,"",SUMIFS(tblDaily[Discharges],tblDaily[EntryDate],DATE(2026,5,1),tblDaily[WardCode],"MAE")),"")</f>
        <v/>
      </c>
      <c r="D163" s="29" t="str">
        <f>IFERROR(IF(SUMIFS(tblDaily[Deaths],tblDaily[EntryDate],DATE(2026,5,1),tblDaily[WardCode],"MAE")=0,"",SUMIFS(tblDaily[Deaths],tblDaily[EntryDate],DATE(2026,5,1),tblDaily[WardCode],"MAE")),"")</f>
        <v/>
      </c>
      <c r="E163" s="29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29" t="str">
        <f>IFERROR(IF(SUMIFS(tblDaily[TransfersIn],tblDaily[EntryDate],DATE(2026,5,1),tblDaily[WardCode],"MAE")=0,"",SUMIFS(tblDaily[TransfersIn],tblDaily[EntryDate],DATE(2026,5,1),tblDaily[WardCode],"MAE")),"")</f>
        <v/>
      </c>
      <c r="G163" s="29" t="str">
        <f>IFERROR(IF(SUMIFS(tblDaily[TransfersOut],tblDaily[EntryDate],DATE(2026,5,1),tblDaily[WardCode],"MAE")=0,"",SUMIFS(tblDaily[TransfersOut],tblDaily[EntryDate],DATE(2026,5,1),tblDaily[WardCode],"MAE")),"")</f>
        <v/>
      </c>
      <c r="H163" s="29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IFERROR(IF(SUMIFS(tblDaily[Admissions],tblDaily[EntryDate],DATE(2026,5,2),tblDaily[WardCode],"MAE")=0,"",SUMIFS(tblDaily[Admissions],tblDaily[EntryDate],DATE(2026,5,2),tblDaily[WardCode],"MAE")),"")</f>
        <v/>
      </c>
      <c r="C164" s="29" t="str">
        <f>IFERROR(IF(SUMIFS(tblDaily[Discharges],tblDaily[EntryDate],DATE(2026,5,2),tblDaily[WardCode],"MAE")=0,"",SUMIFS(tblDaily[Discharges],tblDaily[EntryDate],DATE(2026,5,2),tblDaily[WardCode],"MAE")),"")</f>
        <v/>
      </c>
      <c r="D164" s="29" t="str">
        <f>IFERROR(IF(SUMIFS(tblDaily[Deaths],tblDaily[EntryDate],DATE(2026,5,2),tblDaily[WardCode],"MAE")=0,"",SUMIFS(tblDaily[Deaths],tblDaily[EntryDate],DATE(2026,5,2),tblDaily[WardCode],"MAE")),"")</f>
        <v/>
      </c>
      <c r="E164" s="29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29" t="str">
        <f>IFERROR(IF(SUMIFS(tblDaily[TransfersIn],tblDaily[EntryDate],DATE(2026,5,2),tblDaily[WardCode],"MAE")=0,"",SUMIFS(tblDaily[TransfersIn],tblDaily[EntryDate],DATE(2026,5,2),tblDaily[WardCode],"MAE")),"")</f>
        <v/>
      </c>
      <c r="G164" s="29" t="str">
        <f>IFERROR(IF(SUMIFS(tblDaily[TransfersOut],tblDaily[EntryDate],DATE(2026,5,2),tblDaily[WardCode],"MAE")=0,"",SUMIFS(tblDaily[TransfersOut],tblDaily[EntryDate],DATE(2026,5,2),tblDaily[WardCode],"MAE")),"")</f>
        <v/>
      </c>
      <c r="H164" s="29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IFERROR(IF(SUMIFS(tblDaily[Admissions],tblDaily[EntryDate],DATE(2026,5,3),tblDaily[WardCode],"MAE")=0,"",SUMIFS(tblDaily[Admissions],tblDaily[EntryDate],DATE(2026,5,3),tblDaily[WardCode],"MAE")),"")</f>
        <v/>
      </c>
      <c r="C165" s="29" t="str">
        <f>IFERROR(IF(SUMIFS(tblDaily[Discharges],tblDaily[EntryDate],DATE(2026,5,3),tblDaily[WardCode],"MAE")=0,"",SUMIFS(tblDaily[Discharges],tblDaily[EntryDate],DATE(2026,5,3),tblDaily[WardCode],"MAE")),"")</f>
        <v/>
      </c>
      <c r="D165" s="29" t="str">
        <f>IFERROR(IF(SUMIFS(tblDaily[Deaths],tblDaily[EntryDate],DATE(2026,5,3),tblDaily[WardCode],"MAE")=0,"",SUMIFS(tblDaily[Deaths],tblDaily[EntryDate],DATE(2026,5,3),tblDaily[WardCode],"MAE")),"")</f>
        <v/>
      </c>
      <c r="E165" s="29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29" t="str">
        <f>IFERROR(IF(SUMIFS(tblDaily[TransfersIn],tblDaily[EntryDate],DATE(2026,5,3),tblDaily[WardCode],"MAE")=0,"",SUMIFS(tblDaily[TransfersIn],tblDaily[EntryDate],DATE(2026,5,3),tblDaily[WardCode],"MAE")),"")</f>
        <v/>
      </c>
      <c r="G165" s="29" t="str">
        <f>IFERROR(IF(SUMIFS(tblDaily[TransfersOut],tblDaily[EntryDate],DATE(2026,5,3),tblDaily[WardCode],"MAE")=0,"",SUMIFS(tblDaily[TransfersOut],tblDaily[EntryDate],DATE(2026,5,3),tblDaily[WardCode],"MAE")),"")</f>
        <v/>
      </c>
      <c r="H165" s="29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IFERROR(IF(SUMIFS(tblDaily[Admissions],tblDaily[EntryDate],DATE(2026,5,4),tblDaily[WardCode],"MAE")=0,"",SUMIFS(tblDaily[Admissions],tblDaily[EntryDate],DATE(2026,5,4),tblDaily[WardCode],"MAE")),"")</f>
        <v/>
      </c>
      <c r="C166" s="29" t="str">
        <f>IFERROR(IF(SUMIFS(tblDaily[Discharges],tblDaily[EntryDate],DATE(2026,5,4),tblDaily[WardCode],"MAE")=0,"",SUMIFS(tblDaily[Discharges],tblDaily[EntryDate],DATE(2026,5,4),tblDaily[WardCode],"MAE")),"")</f>
        <v/>
      </c>
      <c r="D166" s="29" t="str">
        <f>IFERROR(IF(SUMIFS(tblDaily[Deaths],tblDaily[EntryDate],DATE(2026,5,4),tblDaily[WardCode],"MAE")=0,"",SUMIFS(tblDaily[Deaths],tblDaily[EntryDate],DATE(2026,5,4),tblDaily[WardCode],"MAE")),"")</f>
        <v/>
      </c>
      <c r="E166" s="29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29" t="str">
        <f>IFERROR(IF(SUMIFS(tblDaily[TransfersIn],tblDaily[EntryDate],DATE(2026,5,4),tblDaily[WardCode],"MAE")=0,"",SUMIFS(tblDaily[TransfersIn],tblDaily[EntryDate],DATE(2026,5,4),tblDaily[WardCode],"MAE")),"")</f>
        <v/>
      </c>
      <c r="G166" s="29" t="str">
        <f>IFERROR(IF(SUMIFS(tblDaily[TransfersOut],tblDaily[EntryDate],DATE(2026,5,4),tblDaily[WardCode],"MAE")=0,"",SUMIFS(tblDaily[TransfersOut],tblDaily[EntryDate],DATE(2026,5,4),tblDaily[WardCode],"MAE")),"")</f>
        <v/>
      </c>
      <c r="H166" s="29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IFERROR(IF(SUMIFS(tblDaily[Admissions],tblDaily[EntryDate],DATE(2026,5,5),tblDaily[WardCode],"MAE")=0,"",SUMIFS(tblDaily[Admissions],tblDaily[EntryDate],DATE(2026,5,5),tblDaily[WardCode],"MAE")),"")</f>
        <v/>
      </c>
      <c r="C167" s="29" t="str">
        <f>IFERROR(IF(SUMIFS(tblDaily[Discharges],tblDaily[EntryDate],DATE(2026,5,5),tblDaily[WardCode],"MAE")=0,"",SUMIFS(tblDaily[Discharges],tblDaily[EntryDate],DATE(2026,5,5),tblDaily[WardCode],"MAE")),"")</f>
        <v/>
      </c>
      <c r="D167" s="29" t="str">
        <f>IFERROR(IF(SUMIFS(tblDaily[Deaths],tblDaily[EntryDate],DATE(2026,5,5),tblDaily[WardCode],"MAE")=0,"",SUMIFS(tblDaily[Deaths],tblDaily[EntryDate],DATE(2026,5,5),tblDaily[WardCode],"MAE")),"")</f>
        <v/>
      </c>
      <c r="E167" s="29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29" t="str">
        <f>IFERROR(IF(SUMIFS(tblDaily[TransfersIn],tblDaily[EntryDate],DATE(2026,5,5),tblDaily[WardCode],"MAE")=0,"",SUMIFS(tblDaily[TransfersIn],tblDaily[EntryDate],DATE(2026,5,5),tblDaily[WardCode],"MAE")),"")</f>
        <v/>
      </c>
      <c r="G167" s="29" t="str">
        <f>IFERROR(IF(SUMIFS(tblDaily[TransfersOut],tblDaily[EntryDate],DATE(2026,5,5),tblDaily[WardCode],"MAE")=0,"",SUMIFS(tblDaily[TransfersOut],tblDaily[EntryDate],DATE(2026,5,5),tblDaily[WardCode],"MAE")),"")</f>
        <v/>
      </c>
      <c r="H167" s="29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IFERROR(IF(SUMIFS(tblDaily[Admissions],tblDaily[EntryDate],DATE(2026,5,6),tblDaily[WardCode],"MAE")=0,"",SUMIFS(tblDaily[Admissions],tblDaily[EntryDate],DATE(2026,5,6),tblDaily[WardCode],"MAE")),"")</f>
        <v/>
      </c>
      <c r="C168" s="29" t="str">
        <f>IFERROR(IF(SUMIFS(tblDaily[Discharges],tblDaily[EntryDate],DATE(2026,5,6),tblDaily[WardCode],"MAE")=0,"",SUMIFS(tblDaily[Discharges],tblDaily[EntryDate],DATE(2026,5,6),tblDaily[WardCode],"MAE")),"")</f>
        <v/>
      </c>
      <c r="D168" s="29" t="str">
        <f>IFERROR(IF(SUMIFS(tblDaily[Deaths],tblDaily[EntryDate],DATE(2026,5,6),tblDaily[WardCode],"MAE")=0,"",SUMIFS(tblDaily[Deaths],tblDaily[EntryDate],DATE(2026,5,6),tblDaily[WardCode],"MAE")),"")</f>
        <v/>
      </c>
      <c r="E168" s="29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29" t="str">
        <f>IFERROR(IF(SUMIFS(tblDaily[TransfersIn],tblDaily[EntryDate],DATE(2026,5,6),tblDaily[WardCode],"MAE")=0,"",SUMIFS(tblDaily[TransfersIn],tblDaily[EntryDate],DATE(2026,5,6),tblDaily[WardCode],"MAE")),"")</f>
        <v/>
      </c>
      <c r="G168" s="29" t="str">
        <f>IFERROR(IF(SUMIFS(tblDaily[TransfersOut],tblDaily[EntryDate],DATE(2026,5,6),tblDaily[WardCode],"MAE")=0,"",SUMIFS(tblDaily[TransfersOut],tblDaily[EntryDate],DATE(2026,5,6),tblDaily[WardCode],"MAE")),"")</f>
        <v/>
      </c>
      <c r="H168" s="29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IFERROR(IF(SUMIFS(tblDaily[Admissions],tblDaily[EntryDate],DATE(2026,5,7),tblDaily[WardCode],"MAE")=0,"",SUMIFS(tblDaily[Admissions],tblDaily[EntryDate],DATE(2026,5,7),tblDaily[WardCode],"MAE")),"")</f>
        <v/>
      </c>
      <c r="C169" s="29" t="str">
        <f>IFERROR(IF(SUMIFS(tblDaily[Discharges],tblDaily[EntryDate],DATE(2026,5,7),tblDaily[WardCode],"MAE")=0,"",SUMIFS(tblDaily[Discharges],tblDaily[EntryDate],DATE(2026,5,7),tblDaily[WardCode],"MAE")),"")</f>
        <v/>
      </c>
      <c r="D169" s="29" t="str">
        <f>IFERROR(IF(SUMIFS(tblDaily[Deaths],tblDaily[EntryDate],DATE(2026,5,7),tblDaily[WardCode],"MAE")=0,"",SUMIFS(tblDaily[Deaths],tblDaily[EntryDate],DATE(2026,5,7),tblDaily[WardCode],"MAE")),"")</f>
        <v/>
      </c>
      <c r="E169" s="29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29" t="str">
        <f>IFERROR(IF(SUMIFS(tblDaily[TransfersIn],tblDaily[EntryDate],DATE(2026,5,7),tblDaily[WardCode],"MAE")=0,"",SUMIFS(tblDaily[TransfersIn],tblDaily[EntryDate],DATE(2026,5,7),tblDaily[WardCode],"MAE")),"")</f>
        <v/>
      </c>
      <c r="G169" s="29" t="str">
        <f>IFERROR(IF(SUMIFS(tblDaily[TransfersOut],tblDaily[EntryDate],DATE(2026,5,7),tblDaily[WardCode],"MAE")=0,"",SUMIFS(tblDaily[TransfersOut],tblDaily[EntryDate],DATE(2026,5,7),tblDaily[WardCode],"MAE")),"")</f>
        <v/>
      </c>
      <c r="H169" s="29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IFERROR(IF(SUMIFS(tblDaily[Admissions],tblDaily[EntryDate],DATE(2026,5,8),tblDaily[WardCode],"MAE")=0,"",SUMIFS(tblDaily[Admissions],tblDaily[EntryDate],DATE(2026,5,8),tblDaily[WardCode],"MAE")),"")</f>
        <v/>
      </c>
      <c r="C170" s="29" t="str">
        <f>IFERROR(IF(SUMIFS(tblDaily[Discharges],tblDaily[EntryDate],DATE(2026,5,8),tblDaily[WardCode],"MAE")=0,"",SUMIFS(tblDaily[Discharges],tblDaily[EntryDate],DATE(2026,5,8),tblDaily[WardCode],"MAE")),"")</f>
        <v/>
      </c>
      <c r="D170" s="29" t="str">
        <f>IFERROR(IF(SUMIFS(tblDaily[Deaths],tblDaily[EntryDate],DATE(2026,5,8),tblDaily[WardCode],"MAE")=0,"",SUMIFS(tblDaily[Deaths],tblDaily[EntryDate],DATE(2026,5,8),tblDaily[WardCode],"MAE")),"")</f>
        <v/>
      </c>
      <c r="E170" s="29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29" t="str">
        <f>IFERROR(IF(SUMIFS(tblDaily[TransfersIn],tblDaily[EntryDate],DATE(2026,5,8),tblDaily[WardCode],"MAE")=0,"",SUMIFS(tblDaily[TransfersIn],tblDaily[EntryDate],DATE(2026,5,8),tblDaily[WardCode],"MAE")),"")</f>
        <v/>
      </c>
      <c r="G170" s="29" t="str">
        <f>IFERROR(IF(SUMIFS(tblDaily[TransfersOut],tblDaily[EntryDate],DATE(2026,5,8),tblDaily[WardCode],"MAE")=0,"",SUMIFS(tblDaily[TransfersOut],tblDaily[EntryDate],DATE(2026,5,8),tblDaily[WardCode],"MAE")),"")</f>
        <v/>
      </c>
      <c r="H170" s="29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IFERROR(IF(SUMIFS(tblDaily[Admissions],tblDaily[EntryDate],DATE(2026,5,9),tblDaily[WardCode],"MAE")=0,"",SUMIFS(tblDaily[Admissions],tblDaily[EntryDate],DATE(2026,5,9),tblDaily[WardCode],"MAE")),"")</f>
        <v/>
      </c>
      <c r="C171" s="29" t="str">
        <f>IFERROR(IF(SUMIFS(tblDaily[Discharges],tblDaily[EntryDate],DATE(2026,5,9),tblDaily[WardCode],"MAE")=0,"",SUMIFS(tblDaily[Discharges],tblDaily[EntryDate],DATE(2026,5,9),tblDaily[WardCode],"MAE")),"")</f>
        <v/>
      </c>
      <c r="D171" s="29" t="str">
        <f>IFERROR(IF(SUMIFS(tblDaily[Deaths],tblDaily[EntryDate],DATE(2026,5,9),tblDaily[WardCode],"MAE")=0,"",SUMIFS(tblDaily[Deaths],tblDaily[EntryDate],DATE(2026,5,9),tblDaily[WardCode],"MAE")),"")</f>
        <v/>
      </c>
      <c r="E171" s="29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29" t="str">
        <f>IFERROR(IF(SUMIFS(tblDaily[TransfersIn],tblDaily[EntryDate],DATE(2026,5,9),tblDaily[WardCode],"MAE")=0,"",SUMIFS(tblDaily[TransfersIn],tblDaily[EntryDate],DATE(2026,5,9),tblDaily[WardCode],"MAE")),"")</f>
        <v/>
      </c>
      <c r="G171" s="29" t="str">
        <f>IFERROR(IF(SUMIFS(tblDaily[TransfersOut],tblDaily[EntryDate],DATE(2026,5,9),tblDaily[WardCode],"MAE")=0,"",SUMIFS(tblDaily[TransfersOut],tblDaily[EntryDate],DATE(2026,5,9),tblDaily[WardCode],"MAE")),"")</f>
        <v/>
      </c>
      <c r="H171" s="29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IFERROR(IF(SUMIFS(tblDaily[Admissions],tblDaily[EntryDate],DATE(2026,5,10),tblDaily[WardCode],"MAE")=0,"",SUMIFS(tblDaily[Admissions],tblDaily[EntryDate],DATE(2026,5,10),tblDaily[WardCode],"MAE")),"")</f>
        <v/>
      </c>
      <c r="C172" s="29" t="str">
        <f>IFERROR(IF(SUMIFS(tblDaily[Discharges],tblDaily[EntryDate],DATE(2026,5,10),tblDaily[WardCode],"MAE")=0,"",SUMIFS(tblDaily[Discharges],tblDaily[EntryDate],DATE(2026,5,10),tblDaily[WardCode],"MAE")),"")</f>
        <v/>
      </c>
      <c r="D172" s="29" t="str">
        <f>IFERROR(IF(SUMIFS(tblDaily[Deaths],tblDaily[EntryDate],DATE(2026,5,10),tblDaily[WardCode],"MAE")=0,"",SUMIFS(tblDaily[Deaths],tblDaily[EntryDate],DATE(2026,5,10),tblDaily[WardCode],"MAE")),"")</f>
        <v/>
      </c>
      <c r="E172" s="29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29" t="str">
        <f>IFERROR(IF(SUMIFS(tblDaily[TransfersIn],tblDaily[EntryDate],DATE(2026,5,10),tblDaily[WardCode],"MAE")=0,"",SUMIFS(tblDaily[TransfersIn],tblDaily[EntryDate],DATE(2026,5,10),tblDaily[WardCode],"MAE")),"")</f>
        <v/>
      </c>
      <c r="G172" s="29" t="str">
        <f>IFERROR(IF(SUMIFS(tblDaily[TransfersOut],tblDaily[EntryDate],DATE(2026,5,10),tblDaily[WardCode],"MAE")=0,"",SUMIFS(tblDaily[TransfersOut],tblDaily[EntryDate],DATE(2026,5,10),tblDaily[WardCode],"MAE")),"")</f>
        <v/>
      </c>
      <c r="H172" s="29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IFERROR(IF(SUMIFS(tblDaily[Admissions],tblDaily[EntryDate],DATE(2026,5,11),tblDaily[WardCode],"MAE")=0,"",SUMIFS(tblDaily[Admissions],tblDaily[EntryDate],DATE(2026,5,11),tblDaily[WardCode],"MAE")),"")</f>
        <v/>
      </c>
      <c r="C173" s="29" t="str">
        <f>IFERROR(IF(SUMIFS(tblDaily[Discharges],tblDaily[EntryDate],DATE(2026,5,11),tblDaily[WardCode],"MAE")=0,"",SUMIFS(tblDaily[Discharges],tblDaily[EntryDate],DATE(2026,5,11),tblDaily[WardCode],"MAE")),"")</f>
        <v/>
      </c>
      <c r="D173" s="29" t="str">
        <f>IFERROR(IF(SUMIFS(tblDaily[Deaths],tblDaily[EntryDate],DATE(2026,5,11),tblDaily[WardCode],"MAE")=0,"",SUMIFS(tblDaily[Deaths],tblDaily[EntryDate],DATE(2026,5,11),tblDaily[WardCode],"MAE")),"")</f>
        <v/>
      </c>
      <c r="E173" s="29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29" t="str">
        <f>IFERROR(IF(SUMIFS(tblDaily[TransfersIn],tblDaily[EntryDate],DATE(2026,5,11),tblDaily[WardCode],"MAE")=0,"",SUMIFS(tblDaily[TransfersIn],tblDaily[EntryDate],DATE(2026,5,11),tblDaily[WardCode],"MAE")),"")</f>
        <v/>
      </c>
      <c r="G173" s="29" t="str">
        <f>IFERROR(IF(SUMIFS(tblDaily[TransfersOut],tblDaily[EntryDate],DATE(2026,5,11),tblDaily[WardCode],"MAE")=0,"",SUMIFS(tblDaily[TransfersOut],tblDaily[EntryDate],DATE(2026,5,11),tblDaily[WardCode],"MAE")),"")</f>
        <v/>
      </c>
      <c r="H173" s="29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IFERROR(IF(SUMIFS(tblDaily[Admissions],tblDaily[EntryDate],DATE(2026,5,12),tblDaily[WardCode],"MAE")=0,"",SUMIFS(tblDaily[Admissions],tblDaily[EntryDate],DATE(2026,5,12),tblDaily[WardCode],"MAE")),"")</f>
        <v/>
      </c>
      <c r="C174" s="29" t="str">
        <f>IFERROR(IF(SUMIFS(tblDaily[Discharges],tblDaily[EntryDate],DATE(2026,5,12),tblDaily[WardCode],"MAE")=0,"",SUMIFS(tblDaily[Discharges],tblDaily[EntryDate],DATE(2026,5,12),tblDaily[WardCode],"MAE")),"")</f>
        <v/>
      </c>
      <c r="D174" s="29" t="str">
        <f>IFERROR(IF(SUMIFS(tblDaily[Deaths],tblDaily[EntryDate],DATE(2026,5,12),tblDaily[WardCode],"MAE")=0,"",SUMIFS(tblDaily[Deaths],tblDaily[EntryDate],DATE(2026,5,12),tblDaily[WardCode],"MAE")),"")</f>
        <v/>
      </c>
      <c r="E174" s="29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29" t="str">
        <f>IFERROR(IF(SUMIFS(tblDaily[TransfersIn],tblDaily[EntryDate],DATE(2026,5,12),tblDaily[WardCode],"MAE")=0,"",SUMIFS(tblDaily[TransfersIn],tblDaily[EntryDate],DATE(2026,5,12),tblDaily[WardCode],"MAE")),"")</f>
        <v/>
      </c>
      <c r="G174" s="29" t="str">
        <f>IFERROR(IF(SUMIFS(tblDaily[TransfersOut],tblDaily[EntryDate],DATE(2026,5,12),tblDaily[WardCode],"MAE")=0,"",SUMIFS(tblDaily[TransfersOut],tblDaily[EntryDate],DATE(2026,5,12),tblDaily[WardCode],"MAE")),"")</f>
        <v/>
      </c>
      <c r="H174" s="29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IFERROR(IF(SUMIFS(tblDaily[Admissions],tblDaily[EntryDate],DATE(2026,5,13),tblDaily[WardCode],"MAE")=0,"",SUMIFS(tblDaily[Admissions],tblDaily[EntryDate],DATE(2026,5,13),tblDaily[WardCode],"MAE")),"")</f>
        <v/>
      </c>
      <c r="C175" s="29" t="str">
        <f>IFERROR(IF(SUMIFS(tblDaily[Discharges],tblDaily[EntryDate],DATE(2026,5,13),tblDaily[WardCode],"MAE")=0,"",SUMIFS(tblDaily[Discharges],tblDaily[EntryDate],DATE(2026,5,13),tblDaily[WardCode],"MAE")),"")</f>
        <v/>
      </c>
      <c r="D175" s="29" t="str">
        <f>IFERROR(IF(SUMIFS(tblDaily[Deaths],tblDaily[EntryDate],DATE(2026,5,13),tblDaily[WardCode],"MAE")=0,"",SUMIFS(tblDaily[Deaths],tblDaily[EntryDate],DATE(2026,5,13),tblDaily[WardCode],"MAE")),"")</f>
        <v/>
      </c>
      <c r="E175" s="29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29" t="str">
        <f>IFERROR(IF(SUMIFS(tblDaily[TransfersIn],tblDaily[EntryDate],DATE(2026,5,13),tblDaily[WardCode],"MAE")=0,"",SUMIFS(tblDaily[TransfersIn],tblDaily[EntryDate],DATE(2026,5,13),tblDaily[WardCode],"MAE")),"")</f>
        <v/>
      </c>
      <c r="G175" s="29" t="str">
        <f>IFERROR(IF(SUMIFS(tblDaily[TransfersOut],tblDaily[EntryDate],DATE(2026,5,13),tblDaily[WardCode],"MAE")=0,"",SUMIFS(tblDaily[TransfersOut],tblDaily[EntryDate],DATE(2026,5,13),tblDaily[WardCode],"MAE")),"")</f>
        <v/>
      </c>
      <c r="H175" s="29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IFERROR(IF(SUMIFS(tblDaily[Admissions],tblDaily[EntryDate],DATE(2026,5,14),tblDaily[WardCode],"MAE")=0,"",SUMIFS(tblDaily[Admissions],tblDaily[EntryDate],DATE(2026,5,14),tblDaily[WardCode],"MAE")),"")</f>
        <v/>
      </c>
      <c r="C176" s="29" t="str">
        <f>IFERROR(IF(SUMIFS(tblDaily[Discharges],tblDaily[EntryDate],DATE(2026,5,14),tblDaily[WardCode],"MAE")=0,"",SUMIFS(tblDaily[Discharges],tblDaily[EntryDate],DATE(2026,5,14),tblDaily[WardCode],"MAE")),"")</f>
        <v/>
      </c>
      <c r="D176" s="29" t="str">
        <f>IFERROR(IF(SUMIFS(tblDaily[Deaths],tblDaily[EntryDate],DATE(2026,5,14),tblDaily[WardCode],"MAE")=0,"",SUMIFS(tblDaily[Deaths],tblDaily[EntryDate],DATE(2026,5,14),tblDaily[WardCode],"MAE")),"")</f>
        <v/>
      </c>
      <c r="E176" s="29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29" t="str">
        <f>IFERROR(IF(SUMIFS(tblDaily[TransfersIn],tblDaily[EntryDate],DATE(2026,5,14),tblDaily[WardCode],"MAE")=0,"",SUMIFS(tblDaily[TransfersIn],tblDaily[EntryDate],DATE(2026,5,14),tblDaily[WardCode],"MAE")),"")</f>
        <v/>
      </c>
      <c r="G176" s="29" t="str">
        <f>IFERROR(IF(SUMIFS(tblDaily[TransfersOut],tblDaily[EntryDate],DATE(2026,5,14),tblDaily[WardCode],"MAE")=0,"",SUMIFS(tblDaily[TransfersOut],tblDaily[EntryDate],DATE(2026,5,14),tblDaily[WardCode],"MAE")),"")</f>
        <v/>
      </c>
      <c r="H176" s="29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IFERROR(IF(SUMIFS(tblDaily[Admissions],tblDaily[EntryDate],DATE(2026,5,15),tblDaily[WardCode],"MAE")=0,"",SUMIFS(tblDaily[Admissions],tblDaily[EntryDate],DATE(2026,5,15),tblDaily[WardCode],"MAE")),"")</f>
        <v/>
      </c>
      <c r="C177" s="29" t="str">
        <f>IFERROR(IF(SUMIFS(tblDaily[Discharges],tblDaily[EntryDate],DATE(2026,5,15),tblDaily[WardCode],"MAE")=0,"",SUMIFS(tblDaily[Discharges],tblDaily[EntryDate],DATE(2026,5,15),tblDaily[WardCode],"MAE")),"")</f>
        <v/>
      </c>
      <c r="D177" s="29" t="str">
        <f>IFERROR(IF(SUMIFS(tblDaily[Deaths],tblDaily[EntryDate],DATE(2026,5,15),tblDaily[WardCode],"MAE")=0,"",SUMIFS(tblDaily[Deaths],tblDaily[EntryDate],DATE(2026,5,15),tblDaily[WardCode],"MAE")),"")</f>
        <v/>
      </c>
      <c r="E177" s="29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29" t="str">
        <f>IFERROR(IF(SUMIFS(tblDaily[TransfersIn],tblDaily[EntryDate],DATE(2026,5,15),tblDaily[WardCode],"MAE")=0,"",SUMIFS(tblDaily[TransfersIn],tblDaily[EntryDate],DATE(2026,5,15),tblDaily[WardCode],"MAE")),"")</f>
        <v/>
      </c>
      <c r="G177" s="29" t="str">
        <f>IFERROR(IF(SUMIFS(tblDaily[TransfersOut],tblDaily[EntryDate],DATE(2026,5,15),tblDaily[WardCode],"MAE")=0,"",SUMIFS(tblDaily[TransfersOut],tblDaily[EntryDate],DATE(2026,5,15),tblDaily[WardCode],"MAE")),"")</f>
        <v/>
      </c>
      <c r="H177" s="29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IFERROR(IF(SUMIFS(tblDaily[Admissions],tblDaily[EntryDate],DATE(2026,5,16),tblDaily[WardCode],"MAE")=0,"",SUMIFS(tblDaily[Admissions],tblDaily[EntryDate],DATE(2026,5,16),tblDaily[WardCode],"MAE")),"")</f>
        <v/>
      </c>
      <c r="C178" s="29" t="str">
        <f>IFERROR(IF(SUMIFS(tblDaily[Discharges],tblDaily[EntryDate],DATE(2026,5,16),tblDaily[WardCode],"MAE")=0,"",SUMIFS(tblDaily[Discharges],tblDaily[EntryDate],DATE(2026,5,16),tblDaily[WardCode],"MAE")),"")</f>
        <v/>
      </c>
      <c r="D178" s="29" t="str">
        <f>IFERROR(IF(SUMIFS(tblDaily[Deaths],tblDaily[EntryDate],DATE(2026,5,16),tblDaily[WardCode],"MAE")=0,"",SUMIFS(tblDaily[Deaths],tblDaily[EntryDate],DATE(2026,5,16),tblDaily[WardCode],"MAE")),"")</f>
        <v/>
      </c>
      <c r="E178" s="29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29" t="str">
        <f>IFERROR(IF(SUMIFS(tblDaily[TransfersIn],tblDaily[EntryDate],DATE(2026,5,16),tblDaily[WardCode],"MAE")=0,"",SUMIFS(tblDaily[TransfersIn],tblDaily[EntryDate],DATE(2026,5,16),tblDaily[WardCode],"MAE")),"")</f>
        <v/>
      </c>
      <c r="G178" s="29" t="str">
        <f>IFERROR(IF(SUMIFS(tblDaily[TransfersOut],tblDaily[EntryDate],DATE(2026,5,16),tblDaily[WardCode],"MAE")=0,"",SUMIFS(tblDaily[TransfersOut],tblDaily[EntryDate],DATE(2026,5,16),tblDaily[WardCode],"MAE")),"")</f>
        <v/>
      </c>
      <c r="H178" s="29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IFERROR(IF(SUMIFS(tblDaily[Admissions],tblDaily[EntryDate],DATE(2026,5,17),tblDaily[WardCode],"MAE")=0,"",SUMIFS(tblDaily[Admissions],tblDaily[EntryDate],DATE(2026,5,17),tblDaily[WardCode],"MAE")),"")</f>
        <v/>
      </c>
      <c r="C179" s="29" t="str">
        <f>IFERROR(IF(SUMIFS(tblDaily[Discharges],tblDaily[EntryDate],DATE(2026,5,17),tblDaily[WardCode],"MAE")=0,"",SUMIFS(tblDaily[Discharges],tblDaily[EntryDate],DATE(2026,5,17),tblDaily[WardCode],"MAE")),"")</f>
        <v/>
      </c>
      <c r="D179" s="29" t="str">
        <f>IFERROR(IF(SUMIFS(tblDaily[Deaths],tblDaily[EntryDate],DATE(2026,5,17),tblDaily[WardCode],"MAE")=0,"",SUMIFS(tblDaily[Deaths],tblDaily[EntryDate],DATE(2026,5,17),tblDaily[WardCode],"MAE")),"")</f>
        <v/>
      </c>
      <c r="E179" s="29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29" t="str">
        <f>IFERROR(IF(SUMIFS(tblDaily[TransfersIn],tblDaily[EntryDate],DATE(2026,5,17),tblDaily[WardCode],"MAE")=0,"",SUMIFS(tblDaily[TransfersIn],tblDaily[EntryDate],DATE(2026,5,17),tblDaily[WardCode],"MAE")),"")</f>
        <v/>
      </c>
      <c r="G179" s="29" t="str">
        <f>IFERROR(IF(SUMIFS(tblDaily[TransfersOut],tblDaily[EntryDate],DATE(2026,5,17),tblDaily[WardCode],"MAE")=0,"",SUMIFS(tblDaily[TransfersOut],tblDaily[EntryDate],DATE(2026,5,17),tblDaily[WardCode],"MAE")),"")</f>
        <v/>
      </c>
      <c r="H179" s="29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IFERROR(IF(SUMIFS(tblDaily[Admissions],tblDaily[EntryDate],DATE(2026,5,18),tblDaily[WardCode],"MAE")=0,"",SUMIFS(tblDaily[Admissions],tblDaily[EntryDate],DATE(2026,5,18),tblDaily[WardCode],"MAE")),"")</f>
        <v/>
      </c>
      <c r="C180" s="29" t="str">
        <f>IFERROR(IF(SUMIFS(tblDaily[Discharges],tblDaily[EntryDate],DATE(2026,5,18),tblDaily[WardCode],"MAE")=0,"",SUMIFS(tblDaily[Discharges],tblDaily[EntryDate],DATE(2026,5,18),tblDaily[WardCode],"MAE")),"")</f>
        <v/>
      </c>
      <c r="D180" s="29" t="str">
        <f>IFERROR(IF(SUMIFS(tblDaily[Deaths],tblDaily[EntryDate],DATE(2026,5,18),tblDaily[WardCode],"MAE")=0,"",SUMIFS(tblDaily[Deaths],tblDaily[EntryDate],DATE(2026,5,18),tblDaily[WardCode],"MAE")),"")</f>
        <v/>
      </c>
      <c r="E180" s="29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29" t="str">
        <f>IFERROR(IF(SUMIFS(tblDaily[TransfersIn],tblDaily[EntryDate],DATE(2026,5,18),tblDaily[WardCode],"MAE")=0,"",SUMIFS(tblDaily[TransfersIn],tblDaily[EntryDate],DATE(2026,5,18),tblDaily[WardCode],"MAE")),"")</f>
        <v/>
      </c>
      <c r="G180" s="29" t="str">
        <f>IFERROR(IF(SUMIFS(tblDaily[TransfersOut],tblDaily[EntryDate],DATE(2026,5,18),tblDaily[WardCode],"MAE")=0,"",SUMIFS(tblDaily[TransfersOut],tblDaily[EntryDate],DATE(2026,5,18),tblDaily[WardCode],"MAE")),"")</f>
        <v/>
      </c>
      <c r="H180" s="29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IFERROR(IF(SUMIFS(tblDaily[Admissions],tblDaily[EntryDate],DATE(2026,5,19),tblDaily[WardCode],"MAE")=0,"",SUMIFS(tblDaily[Admissions],tblDaily[EntryDate],DATE(2026,5,19),tblDaily[WardCode],"MAE")),"")</f>
        <v/>
      </c>
      <c r="C181" s="29" t="str">
        <f>IFERROR(IF(SUMIFS(tblDaily[Discharges],tblDaily[EntryDate],DATE(2026,5,19),tblDaily[WardCode],"MAE")=0,"",SUMIFS(tblDaily[Discharges],tblDaily[EntryDate],DATE(2026,5,19),tblDaily[WardCode],"MAE")),"")</f>
        <v/>
      </c>
      <c r="D181" s="29" t="str">
        <f>IFERROR(IF(SUMIFS(tblDaily[Deaths],tblDaily[EntryDate],DATE(2026,5,19),tblDaily[WardCode],"MAE")=0,"",SUMIFS(tblDaily[Deaths],tblDaily[EntryDate],DATE(2026,5,19),tblDaily[WardCode],"MAE")),"")</f>
        <v/>
      </c>
      <c r="E181" s="29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29" t="str">
        <f>IFERROR(IF(SUMIFS(tblDaily[TransfersIn],tblDaily[EntryDate],DATE(2026,5,19),tblDaily[WardCode],"MAE")=0,"",SUMIFS(tblDaily[TransfersIn],tblDaily[EntryDate],DATE(2026,5,19),tblDaily[WardCode],"MAE")),"")</f>
        <v/>
      </c>
      <c r="G181" s="29" t="str">
        <f>IFERROR(IF(SUMIFS(tblDaily[TransfersOut],tblDaily[EntryDate],DATE(2026,5,19),tblDaily[WardCode],"MAE")=0,"",SUMIFS(tblDaily[TransfersOut],tblDaily[EntryDate],DATE(2026,5,19),tblDaily[WardCode],"MAE")),"")</f>
        <v/>
      </c>
      <c r="H181" s="29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IFERROR(IF(SUMIFS(tblDaily[Admissions],tblDaily[EntryDate],DATE(2026,5,20),tblDaily[WardCode],"MAE")=0,"",SUMIFS(tblDaily[Admissions],tblDaily[EntryDate],DATE(2026,5,20),tblDaily[WardCode],"MAE")),"")</f>
        <v/>
      </c>
      <c r="C182" s="29" t="str">
        <f>IFERROR(IF(SUMIFS(tblDaily[Discharges],tblDaily[EntryDate],DATE(2026,5,20),tblDaily[WardCode],"MAE")=0,"",SUMIFS(tblDaily[Discharges],tblDaily[EntryDate],DATE(2026,5,20),tblDaily[WardCode],"MAE")),"")</f>
        <v/>
      </c>
      <c r="D182" s="29" t="str">
        <f>IFERROR(IF(SUMIFS(tblDaily[Deaths],tblDaily[EntryDate],DATE(2026,5,20),tblDaily[WardCode],"MAE")=0,"",SUMIFS(tblDaily[Deaths],tblDaily[EntryDate],DATE(2026,5,20),tblDaily[WardCode],"MAE")),"")</f>
        <v/>
      </c>
      <c r="E182" s="29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29" t="str">
        <f>IFERROR(IF(SUMIFS(tblDaily[TransfersIn],tblDaily[EntryDate],DATE(2026,5,20),tblDaily[WardCode],"MAE")=0,"",SUMIFS(tblDaily[TransfersIn],tblDaily[EntryDate],DATE(2026,5,20),tblDaily[WardCode],"MAE")),"")</f>
        <v/>
      </c>
      <c r="G182" s="29" t="str">
        <f>IFERROR(IF(SUMIFS(tblDaily[TransfersOut],tblDaily[EntryDate],DATE(2026,5,20),tblDaily[WardCode],"MAE")=0,"",SUMIFS(tblDaily[TransfersOut],tblDaily[EntryDate],DATE(2026,5,20),tblDaily[WardCode],"MAE")),"")</f>
        <v/>
      </c>
      <c r="H182" s="29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IFERROR(IF(SUMIFS(tblDaily[Admissions],tblDaily[EntryDate],DATE(2026,5,21),tblDaily[WardCode],"MAE")=0,"",SUMIFS(tblDaily[Admissions],tblDaily[EntryDate],DATE(2026,5,21),tblDaily[WardCode],"MAE")),"")</f>
        <v/>
      </c>
      <c r="C183" s="29" t="str">
        <f>IFERROR(IF(SUMIFS(tblDaily[Discharges],tblDaily[EntryDate],DATE(2026,5,21),tblDaily[WardCode],"MAE")=0,"",SUMIFS(tblDaily[Discharges],tblDaily[EntryDate],DATE(2026,5,21),tblDaily[WardCode],"MAE")),"")</f>
        <v/>
      </c>
      <c r="D183" s="29" t="str">
        <f>IFERROR(IF(SUMIFS(tblDaily[Deaths],tblDaily[EntryDate],DATE(2026,5,21),tblDaily[WardCode],"MAE")=0,"",SUMIFS(tblDaily[Deaths],tblDaily[EntryDate],DATE(2026,5,21),tblDaily[WardCode],"MAE")),"")</f>
        <v/>
      </c>
      <c r="E183" s="29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29" t="str">
        <f>IFERROR(IF(SUMIFS(tblDaily[TransfersIn],tblDaily[EntryDate],DATE(2026,5,21),tblDaily[WardCode],"MAE")=0,"",SUMIFS(tblDaily[TransfersIn],tblDaily[EntryDate],DATE(2026,5,21),tblDaily[WardCode],"MAE")),"")</f>
        <v/>
      </c>
      <c r="G183" s="29" t="str">
        <f>IFERROR(IF(SUMIFS(tblDaily[TransfersOut],tblDaily[EntryDate],DATE(2026,5,21),tblDaily[WardCode],"MAE")=0,"",SUMIFS(tblDaily[TransfersOut],tblDaily[EntryDate],DATE(2026,5,21),tblDaily[WardCode],"MAE")),"")</f>
        <v/>
      </c>
      <c r="H183" s="29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IFERROR(IF(SUMIFS(tblDaily[Admissions],tblDaily[EntryDate],DATE(2026,5,22),tblDaily[WardCode],"MAE")=0,"",SUMIFS(tblDaily[Admissions],tblDaily[EntryDate],DATE(2026,5,22),tblDaily[WardCode],"MAE")),"")</f>
        <v/>
      </c>
      <c r="C184" s="29" t="str">
        <f>IFERROR(IF(SUMIFS(tblDaily[Discharges],tblDaily[EntryDate],DATE(2026,5,22),tblDaily[WardCode],"MAE")=0,"",SUMIFS(tblDaily[Discharges],tblDaily[EntryDate],DATE(2026,5,22),tblDaily[WardCode],"MAE")),"")</f>
        <v/>
      </c>
      <c r="D184" s="29" t="str">
        <f>IFERROR(IF(SUMIFS(tblDaily[Deaths],tblDaily[EntryDate],DATE(2026,5,22),tblDaily[WardCode],"MAE")=0,"",SUMIFS(tblDaily[Deaths],tblDaily[EntryDate],DATE(2026,5,22),tblDaily[WardCode],"MAE")),"")</f>
        <v/>
      </c>
      <c r="E184" s="29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29" t="str">
        <f>IFERROR(IF(SUMIFS(tblDaily[TransfersIn],tblDaily[EntryDate],DATE(2026,5,22),tblDaily[WardCode],"MAE")=0,"",SUMIFS(tblDaily[TransfersIn],tblDaily[EntryDate],DATE(2026,5,22),tblDaily[WardCode],"MAE")),"")</f>
        <v/>
      </c>
      <c r="G184" s="29" t="str">
        <f>IFERROR(IF(SUMIFS(tblDaily[TransfersOut],tblDaily[EntryDate],DATE(2026,5,22),tblDaily[WardCode],"MAE")=0,"",SUMIFS(tblDaily[TransfersOut],tblDaily[EntryDate],DATE(2026,5,22),tblDaily[WardCode],"MAE")),"")</f>
        <v/>
      </c>
      <c r="H184" s="29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IFERROR(IF(SUMIFS(tblDaily[Admissions],tblDaily[EntryDate],DATE(2026,5,23),tblDaily[WardCode],"MAE")=0,"",SUMIFS(tblDaily[Admissions],tblDaily[EntryDate],DATE(2026,5,23),tblDaily[WardCode],"MAE")),"")</f>
        <v/>
      </c>
      <c r="C185" s="29" t="str">
        <f>IFERROR(IF(SUMIFS(tblDaily[Discharges],tblDaily[EntryDate],DATE(2026,5,23),tblDaily[WardCode],"MAE")=0,"",SUMIFS(tblDaily[Discharges],tblDaily[EntryDate],DATE(2026,5,23),tblDaily[WardCode],"MAE")),"")</f>
        <v/>
      </c>
      <c r="D185" s="29" t="str">
        <f>IFERROR(IF(SUMIFS(tblDaily[Deaths],tblDaily[EntryDate],DATE(2026,5,23),tblDaily[WardCode],"MAE")=0,"",SUMIFS(tblDaily[Deaths],tblDaily[EntryDate],DATE(2026,5,23),tblDaily[WardCode],"MAE")),"")</f>
        <v/>
      </c>
      <c r="E185" s="29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29" t="str">
        <f>IFERROR(IF(SUMIFS(tblDaily[TransfersIn],tblDaily[EntryDate],DATE(2026,5,23),tblDaily[WardCode],"MAE")=0,"",SUMIFS(tblDaily[TransfersIn],tblDaily[EntryDate],DATE(2026,5,23),tblDaily[WardCode],"MAE")),"")</f>
        <v/>
      </c>
      <c r="G185" s="29" t="str">
        <f>IFERROR(IF(SUMIFS(tblDaily[TransfersOut],tblDaily[EntryDate],DATE(2026,5,23),tblDaily[WardCode],"MAE")=0,"",SUMIFS(tblDaily[TransfersOut],tblDaily[EntryDate],DATE(2026,5,23),tblDaily[WardCode],"MAE")),"")</f>
        <v/>
      </c>
      <c r="H185" s="29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IFERROR(IF(SUMIFS(tblDaily[Admissions],tblDaily[EntryDate],DATE(2026,5,24),tblDaily[WardCode],"MAE")=0,"",SUMIFS(tblDaily[Admissions],tblDaily[EntryDate],DATE(2026,5,24),tblDaily[WardCode],"MAE")),"")</f>
        <v/>
      </c>
      <c r="C186" s="29" t="str">
        <f>IFERROR(IF(SUMIFS(tblDaily[Discharges],tblDaily[EntryDate],DATE(2026,5,24),tblDaily[WardCode],"MAE")=0,"",SUMIFS(tblDaily[Discharges],tblDaily[EntryDate],DATE(2026,5,24),tblDaily[WardCode],"MAE")),"")</f>
        <v/>
      </c>
      <c r="D186" s="29" t="str">
        <f>IFERROR(IF(SUMIFS(tblDaily[Deaths],tblDaily[EntryDate],DATE(2026,5,24),tblDaily[WardCode],"MAE")=0,"",SUMIFS(tblDaily[Deaths],tblDaily[EntryDate],DATE(2026,5,24),tblDaily[WardCode],"MAE")),"")</f>
        <v/>
      </c>
      <c r="E186" s="29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29" t="str">
        <f>IFERROR(IF(SUMIFS(tblDaily[TransfersIn],tblDaily[EntryDate],DATE(2026,5,24),tblDaily[WardCode],"MAE")=0,"",SUMIFS(tblDaily[TransfersIn],tblDaily[EntryDate],DATE(2026,5,24),tblDaily[WardCode],"MAE")),"")</f>
        <v/>
      </c>
      <c r="G186" s="29" t="str">
        <f>IFERROR(IF(SUMIFS(tblDaily[TransfersOut],tblDaily[EntryDate],DATE(2026,5,24),tblDaily[WardCode],"MAE")=0,"",SUMIFS(tblDaily[TransfersOut],tblDaily[EntryDate],DATE(2026,5,24),tblDaily[WardCode],"MAE")),"")</f>
        <v/>
      </c>
      <c r="H186" s="29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IFERROR(IF(SUMIFS(tblDaily[Admissions],tblDaily[EntryDate],DATE(2026,5,25),tblDaily[WardCode],"MAE")=0,"",SUMIFS(tblDaily[Admissions],tblDaily[EntryDate],DATE(2026,5,25),tblDaily[WardCode],"MAE")),"")</f>
        <v/>
      </c>
      <c r="C187" s="29" t="str">
        <f>IFERROR(IF(SUMIFS(tblDaily[Discharges],tblDaily[EntryDate],DATE(2026,5,25),tblDaily[WardCode],"MAE")=0,"",SUMIFS(tblDaily[Discharges],tblDaily[EntryDate],DATE(2026,5,25),tblDaily[WardCode],"MAE")),"")</f>
        <v/>
      </c>
      <c r="D187" s="29" t="str">
        <f>IFERROR(IF(SUMIFS(tblDaily[Deaths],tblDaily[EntryDate],DATE(2026,5,25),tblDaily[WardCode],"MAE")=0,"",SUMIFS(tblDaily[Deaths],tblDaily[EntryDate],DATE(2026,5,25),tblDaily[WardCode],"MAE")),"")</f>
        <v/>
      </c>
      <c r="E187" s="29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29" t="str">
        <f>IFERROR(IF(SUMIFS(tblDaily[TransfersIn],tblDaily[EntryDate],DATE(2026,5,25),tblDaily[WardCode],"MAE")=0,"",SUMIFS(tblDaily[TransfersIn],tblDaily[EntryDate],DATE(2026,5,25),tblDaily[WardCode],"MAE")),"")</f>
        <v/>
      </c>
      <c r="G187" s="29" t="str">
        <f>IFERROR(IF(SUMIFS(tblDaily[TransfersOut],tblDaily[EntryDate],DATE(2026,5,25),tblDaily[WardCode],"MAE")=0,"",SUMIFS(tblDaily[TransfersOut],tblDaily[EntryDate],DATE(2026,5,25),tblDaily[WardCode],"MAE")),"")</f>
        <v/>
      </c>
      <c r="H187" s="29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IFERROR(IF(SUMIFS(tblDaily[Admissions],tblDaily[EntryDate],DATE(2026,5,26),tblDaily[WardCode],"MAE")=0,"",SUMIFS(tblDaily[Admissions],tblDaily[EntryDate],DATE(2026,5,26),tblDaily[WardCode],"MAE")),"")</f>
        <v/>
      </c>
      <c r="C188" s="29" t="str">
        <f>IFERROR(IF(SUMIFS(tblDaily[Discharges],tblDaily[EntryDate],DATE(2026,5,26),tblDaily[WardCode],"MAE")=0,"",SUMIFS(tblDaily[Discharges],tblDaily[EntryDate],DATE(2026,5,26),tblDaily[WardCode],"MAE")),"")</f>
        <v/>
      </c>
      <c r="D188" s="29" t="str">
        <f>IFERROR(IF(SUMIFS(tblDaily[Deaths],tblDaily[EntryDate],DATE(2026,5,26),tblDaily[WardCode],"MAE")=0,"",SUMIFS(tblDaily[Deaths],tblDaily[EntryDate],DATE(2026,5,26),tblDaily[WardCode],"MAE")),"")</f>
        <v/>
      </c>
      <c r="E188" s="29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29" t="str">
        <f>IFERROR(IF(SUMIFS(tblDaily[TransfersIn],tblDaily[EntryDate],DATE(2026,5,26),tblDaily[WardCode],"MAE")=0,"",SUMIFS(tblDaily[TransfersIn],tblDaily[EntryDate],DATE(2026,5,26),tblDaily[WardCode],"MAE")),"")</f>
        <v/>
      </c>
      <c r="G188" s="29" t="str">
        <f>IFERROR(IF(SUMIFS(tblDaily[TransfersOut],tblDaily[EntryDate],DATE(2026,5,26),tblDaily[WardCode],"MAE")=0,"",SUMIFS(tblDaily[TransfersOut],tblDaily[EntryDate],DATE(2026,5,26),tblDaily[WardCode],"MAE")),"")</f>
        <v/>
      </c>
      <c r="H188" s="29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IFERROR(IF(SUMIFS(tblDaily[Admissions],tblDaily[EntryDate],DATE(2026,5,27),tblDaily[WardCode],"MAE")=0,"",SUMIFS(tblDaily[Admissions],tblDaily[EntryDate],DATE(2026,5,27),tblDaily[WardCode],"MAE")),"")</f>
        <v/>
      </c>
      <c r="C189" s="29" t="str">
        <f>IFERROR(IF(SUMIFS(tblDaily[Discharges],tblDaily[EntryDate],DATE(2026,5,27),tblDaily[WardCode],"MAE")=0,"",SUMIFS(tblDaily[Discharges],tblDaily[EntryDate],DATE(2026,5,27),tblDaily[WardCode],"MAE")),"")</f>
        <v/>
      </c>
      <c r="D189" s="29" t="str">
        <f>IFERROR(IF(SUMIFS(tblDaily[Deaths],tblDaily[EntryDate],DATE(2026,5,27),tblDaily[WardCode],"MAE")=0,"",SUMIFS(tblDaily[Deaths],tblDaily[EntryDate],DATE(2026,5,27),tblDaily[WardCode],"MAE")),"")</f>
        <v/>
      </c>
      <c r="E189" s="29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29" t="str">
        <f>IFERROR(IF(SUMIFS(tblDaily[TransfersIn],tblDaily[EntryDate],DATE(2026,5,27),tblDaily[WardCode],"MAE")=0,"",SUMIFS(tblDaily[TransfersIn],tblDaily[EntryDate],DATE(2026,5,27),tblDaily[WardCode],"MAE")),"")</f>
        <v/>
      </c>
      <c r="G189" s="29" t="str">
        <f>IFERROR(IF(SUMIFS(tblDaily[TransfersOut],tblDaily[EntryDate],DATE(2026,5,27),tblDaily[WardCode],"MAE")=0,"",SUMIFS(tblDaily[TransfersOut],tblDaily[EntryDate],DATE(2026,5,27),tblDaily[WardCode],"MAE")),"")</f>
        <v/>
      </c>
      <c r="H189" s="29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IFERROR(IF(SUMIFS(tblDaily[Admissions],tblDaily[EntryDate],DATE(2026,5,28),tblDaily[WardCode],"MAE")=0,"",SUMIFS(tblDaily[Admissions],tblDaily[EntryDate],DATE(2026,5,28),tblDaily[WardCode],"MAE")),"")</f>
        <v/>
      </c>
      <c r="C190" s="29" t="str">
        <f>IFERROR(IF(SUMIFS(tblDaily[Discharges],tblDaily[EntryDate],DATE(2026,5,28),tblDaily[WardCode],"MAE")=0,"",SUMIFS(tblDaily[Discharges],tblDaily[EntryDate],DATE(2026,5,28),tblDaily[WardCode],"MAE")),"")</f>
        <v/>
      </c>
      <c r="D190" s="29" t="str">
        <f>IFERROR(IF(SUMIFS(tblDaily[Deaths],tblDaily[EntryDate],DATE(2026,5,28),tblDaily[WardCode],"MAE")=0,"",SUMIFS(tblDaily[Deaths],tblDaily[EntryDate],DATE(2026,5,28),tblDaily[WardCode],"MAE")),"")</f>
        <v/>
      </c>
      <c r="E190" s="29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29" t="str">
        <f>IFERROR(IF(SUMIFS(tblDaily[TransfersIn],tblDaily[EntryDate],DATE(2026,5,28),tblDaily[WardCode],"MAE")=0,"",SUMIFS(tblDaily[TransfersIn],tblDaily[EntryDate],DATE(2026,5,28),tblDaily[WardCode],"MAE")),"")</f>
        <v/>
      </c>
      <c r="G190" s="29" t="str">
        <f>IFERROR(IF(SUMIFS(tblDaily[TransfersOut],tblDaily[EntryDate],DATE(2026,5,28),tblDaily[WardCode],"MAE")=0,"",SUMIFS(tblDaily[TransfersOut],tblDaily[EntryDate],DATE(2026,5,28),tblDaily[WardCode],"MAE")),"")</f>
        <v/>
      </c>
      <c r="H190" s="29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IFERROR(IF(SUMIFS(tblDaily[Admissions],tblDaily[EntryDate],DATE(2026,5,29),tblDaily[WardCode],"MAE")=0,"",SUMIFS(tblDaily[Admissions],tblDaily[EntryDate],DATE(2026,5,29),tblDaily[WardCode],"MAE")),"")</f>
        <v/>
      </c>
      <c r="C191" s="29" t="str">
        <f>IFERROR(IF(SUMIFS(tblDaily[Discharges],tblDaily[EntryDate],DATE(2026,5,29),tblDaily[WardCode],"MAE")=0,"",SUMIFS(tblDaily[Discharges],tblDaily[EntryDate],DATE(2026,5,29),tblDaily[WardCode],"MAE")),"")</f>
        <v/>
      </c>
      <c r="D191" s="29" t="str">
        <f>IFERROR(IF(SUMIFS(tblDaily[Deaths],tblDaily[EntryDate],DATE(2026,5,29),tblDaily[WardCode],"MAE")=0,"",SUMIFS(tblDaily[Deaths],tblDaily[EntryDate],DATE(2026,5,29),tblDaily[WardCode],"MAE")),"")</f>
        <v/>
      </c>
      <c r="E191" s="29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29" t="str">
        <f>IFERROR(IF(SUMIFS(tblDaily[TransfersIn],tblDaily[EntryDate],DATE(2026,5,29),tblDaily[WardCode],"MAE")=0,"",SUMIFS(tblDaily[TransfersIn],tblDaily[EntryDate],DATE(2026,5,29),tblDaily[WardCode],"MAE")),"")</f>
        <v/>
      </c>
      <c r="G191" s="29" t="str">
        <f>IFERROR(IF(SUMIFS(tblDaily[TransfersOut],tblDaily[EntryDate],DATE(2026,5,29),tblDaily[WardCode],"MAE")=0,"",SUMIFS(tblDaily[TransfersOut],tblDaily[EntryDate],DATE(2026,5,29),tblDaily[WardCode],"MAE")),"")</f>
        <v/>
      </c>
      <c r="H191" s="29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IFERROR(IF(SUMIFS(tblDaily[Admissions],tblDaily[EntryDate],DATE(2026,5,30),tblDaily[WardCode],"MAE")=0,"",SUMIFS(tblDaily[Admissions],tblDaily[EntryDate],DATE(2026,5,30),tblDaily[WardCode],"MAE")),"")</f>
        <v/>
      </c>
      <c r="C192" s="29" t="str">
        <f>IFERROR(IF(SUMIFS(tblDaily[Discharges],tblDaily[EntryDate],DATE(2026,5,30),tblDaily[WardCode],"MAE")=0,"",SUMIFS(tblDaily[Discharges],tblDaily[EntryDate],DATE(2026,5,30),tblDaily[WardCode],"MAE")),"")</f>
        <v/>
      </c>
      <c r="D192" s="29" t="str">
        <f>IFERROR(IF(SUMIFS(tblDaily[Deaths],tblDaily[EntryDate],DATE(2026,5,30),tblDaily[WardCode],"MAE")=0,"",SUMIFS(tblDaily[Deaths],tblDaily[EntryDate],DATE(2026,5,30),tblDaily[WardCode],"MAE")),"")</f>
        <v/>
      </c>
      <c r="E192" s="29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29" t="str">
        <f>IFERROR(IF(SUMIFS(tblDaily[TransfersIn],tblDaily[EntryDate],DATE(2026,5,30),tblDaily[WardCode],"MAE")=0,"",SUMIFS(tblDaily[TransfersIn],tblDaily[EntryDate],DATE(2026,5,30),tblDaily[WardCode],"MAE")),"")</f>
        <v/>
      </c>
      <c r="G192" s="29" t="str">
        <f>IFERROR(IF(SUMIFS(tblDaily[TransfersOut],tblDaily[EntryDate],DATE(2026,5,30),tblDaily[WardCode],"MAE")=0,"",SUMIFS(tblDaily[TransfersOut],tblDaily[EntryDate],DATE(2026,5,30),tblDaily[WardCode],"MAE")),"")</f>
        <v/>
      </c>
      <c r="H192" s="29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IFERROR(IF(SUMIFS(tblDaily[Admissions],tblDaily[EntryDate],DATE(2026,5,31),tblDaily[WardCode],"MAE")=0,"",SUMIFS(tblDaily[Admissions],tblDaily[EntryDate],DATE(2026,5,31),tblDaily[WardCode],"MAE")),"")</f>
        <v/>
      </c>
      <c r="C193" s="29" t="str">
        <f>IFERROR(IF(SUMIFS(tblDaily[Discharges],tblDaily[EntryDate],DATE(2026,5,31),tblDaily[WardCode],"MAE")=0,"",SUMIFS(tblDaily[Discharges],tblDaily[EntryDate],DATE(2026,5,31),tblDaily[WardCode],"MAE")),"")</f>
        <v/>
      </c>
      <c r="D193" s="29" t="str">
        <f>IFERROR(IF(SUMIFS(tblDaily[Deaths],tblDaily[EntryDate],DATE(2026,5,31),tblDaily[WardCode],"MAE")=0,"",SUMIFS(tblDaily[Deaths],tblDaily[EntryDate],DATE(2026,5,31),tblDaily[WardCode],"MAE")),"")</f>
        <v/>
      </c>
      <c r="E193" s="29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29" t="str">
        <f>IFERROR(IF(SUMIFS(tblDaily[TransfersIn],tblDaily[EntryDate],DATE(2026,5,31),tblDaily[WardCode],"MAE")=0,"",SUMIFS(tblDaily[TransfersIn],tblDaily[EntryDate],DATE(2026,5,31),tblDaily[WardCode],"MAE")),"")</f>
        <v/>
      </c>
      <c r="G193" s="29" t="str">
        <f>IFERROR(IF(SUMIFS(tblDaily[TransfersOut],tblDaily[EntryDate],DATE(2026,5,31),tblDaily[WardCode],"MAE")=0,"",SUMIFS(tblDaily[TransfersOut],tblDaily[EntryDate],DATE(2026,5,31),tblDaily[WardCode],"MAE")),"")</f>
        <v/>
      </c>
      <c r="H193" s="29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30" t="s">
        <v>115</v>
      </c>
      <c r="B194" s="30">
        <f>SUMIFS(tblDaily[Admissions],tblDaily[Month],5,tblDaily[WardCode],"MAE") - SUMIFS(tblDaily[DeathsUnder24Hrs],tblDaily[Month],5,tblDaily[WardCode],"MAE")</f>
        <v>0</v>
      </c>
      <c r="C194" s="30">
        <f>SUMIFS(tblDaily[Discharges],tblDaily[Month],5,tblDaily[WardCode],"MAE")</f>
        <v>0</v>
      </c>
      <c r="D194" s="30">
        <f>SUMIFS(tblDaily[Deaths],tblDaily[Month],5,tblDaily[WardCode],"MAE")</f>
        <v>0</v>
      </c>
      <c r="E194" s="30">
        <f>SUMIFS(tblDaily[DeathsUnder24Hrs],tblDaily[Month],5,tblDaily[WardCode],"MAE")</f>
        <v>0</v>
      </c>
      <c r="F194" s="30">
        <f>SUMIFS(tblDaily[TransfersIn],tblDaily[Month],5,tblDaily[WardCode],"MAE")</f>
        <v>0</v>
      </c>
      <c r="G194" s="30">
        <f>SUMIFS(tblDaily[TransfersOut],tblDaily[Month],5,tblDaily[WardCode],"MAE")</f>
        <v>0</v>
      </c>
      <c r="H194" s="30">
        <f>SUMIFS(tblDaily[Remaining],tblDaily[Month],5,tblDaily[WardCode],"MAE")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122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IFERROR(SUMIFS(tblDaily[Remaining],tblDaily[EntryDate],DATE(2026,5,31),tblDaily[WardCode],"MAE"),0)</f>
        <v>0</v>
      </c>
    </row>
    <row r="200" spans="1:8" x14ac:dyDescent="0.25">
      <c r="A200" s="24" t="s">
        <v>109</v>
      </c>
      <c r="H200" s="27">
        <f>IFERROR(INDEX(tblWardConfig[BedComplement],MATCH("MAE",tblWardConfig[WardCode],0)),0)</f>
        <v>10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IFERROR(IF(SUMIFS(tblDaily[Admissions],tblDaily[EntryDate],DATE(2026,6,1),tblDaily[WardCode],"MAE")=0,"",SUMIFS(tblDaily[Admissions],tblDaily[EntryDate],DATE(2026,6,1),tblDaily[WardCode],"MAE")),"")</f>
        <v/>
      </c>
      <c r="C202" s="29" t="str">
        <f>IFERROR(IF(SUMIFS(tblDaily[Discharges],tblDaily[EntryDate],DATE(2026,6,1),tblDaily[WardCode],"MAE")=0,"",SUMIFS(tblDaily[Discharges],tblDaily[EntryDate],DATE(2026,6,1),tblDaily[WardCode],"MAE")),"")</f>
        <v/>
      </c>
      <c r="D202" s="29" t="str">
        <f>IFERROR(IF(SUMIFS(tblDaily[Deaths],tblDaily[EntryDate],DATE(2026,6,1),tblDaily[WardCode],"MAE")=0,"",SUMIFS(tblDaily[Deaths],tblDaily[EntryDate],DATE(2026,6,1),tblDaily[WardCode],"MAE")),"")</f>
        <v/>
      </c>
      <c r="E202" s="29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29" t="str">
        <f>IFERROR(IF(SUMIFS(tblDaily[TransfersIn],tblDaily[EntryDate],DATE(2026,6,1),tblDaily[WardCode],"MAE")=0,"",SUMIFS(tblDaily[TransfersIn],tblDaily[EntryDate],DATE(2026,6,1),tblDaily[WardCode],"MAE")),"")</f>
        <v/>
      </c>
      <c r="G202" s="29" t="str">
        <f>IFERROR(IF(SUMIFS(tblDaily[TransfersOut],tblDaily[EntryDate],DATE(2026,6,1),tblDaily[WardCode],"MAE")=0,"",SUMIFS(tblDaily[TransfersOut],tblDaily[EntryDate],DATE(2026,6,1),tblDaily[WardCode],"MAE")),"")</f>
        <v/>
      </c>
      <c r="H202" s="29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IFERROR(IF(SUMIFS(tblDaily[Admissions],tblDaily[EntryDate],DATE(2026,6,2),tblDaily[WardCode],"MAE")=0,"",SUMIFS(tblDaily[Admissions],tblDaily[EntryDate],DATE(2026,6,2),tblDaily[WardCode],"MAE")),"")</f>
        <v/>
      </c>
      <c r="C203" s="29" t="str">
        <f>IFERROR(IF(SUMIFS(tblDaily[Discharges],tblDaily[EntryDate],DATE(2026,6,2),tblDaily[WardCode],"MAE")=0,"",SUMIFS(tblDaily[Discharges],tblDaily[EntryDate],DATE(2026,6,2),tblDaily[WardCode],"MAE")),"")</f>
        <v/>
      </c>
      <c r="D203" s="29" t="str">
        <f>IFERROR(IF(SUMIFS(tblDaily[Deaths],tblDaily[EntryDate],DATE(2026,6,2),tblDaily[WardCode],"MAE")=0,"",SUMIFS(tblDaily[Deaths],tblDaily[EntryDate],DATE(2026,6,2),tblDaily[WardCode],"MAE")),"")</f>
        <v/>
      </c>
      <c r="E203" s="29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29" t="str">
        <f>IFERROR(IF(SUMIFS(tblDaily[TransfersIn],tblDaily[EntryDate],DATE(2026,6,2),tblDaily[WardCode],"MAE")=0,"",SUMIFS(tblDaily[TransfersIn],tblDaily[EntryDate],DATE(2026,6,2),tblDaily[WardCode],"MAE")),"")</f>
        <v/>
      </c>
      <c r="G203" s="29" t="str">
        <f>IFERROR(IF(SUMIFS(tblDaily[TransfersOut],tblDaily[EntryDate],DATE(2026,6,2),tblDaily[WardCode],"MAE")=0,"",SUMIFS(tblDaily[TransfersOut],tblDaily[EntryDate],DATE(2026,6,2),tblDaily[WardCode],"MAE")),"")</f>
        <v/>
      </c>
      <c r="H203" s="29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IFERROR(IF(SUMIFS(tblDaily[Admissions],tblDaily[EntryDate],DATE(2026,6,3),tblDaily[WardCode],"MAE")=0,"",SUMIFS(tblDaily[Admissions],tblDaily[EntryDate],DATE(2026,6,3),tblDaily[WardCode],"MAE")),"")</f>
        <v/>
      </c>
      <c r="C204" s="29" t="str">
        <f>IFERROR(IF(SUMIFS(tblDaily[Discharges],tblDaily[EntryDate],DATE(2026,6,3),tblDaily[WardCode],"MAE")=0,"",SUMIFS(tblDaily[Discharges],tblDaily[EntryDate],DATE(2026,6,3),tblDaily[WardCode],"MAE")),"")</f>
        <v/>
      </c>
      <c r="D204" s="29" t="str">
        <f>IFERROR(IF(SUMIFS(tblDaily[Deaths],tblDaily[EntryDate],DATE(2026,6,3),tblDaily[WardCode],"MAE")=0,"",SUMIFS(tblDaily[Deaths],tblDaily[EntryDate],DATE(2026,6,3),tblDaily[WardCode],"MAE")),"")</f>
        <v/>
      </c>
      <c r="E204" s="29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29" t="str">
        <f>IFERROR(IF(SUMIFS(tblDaily[TransfersIn],tblDaily[EntryDate],DATE(2026,6,3),tblDaily[WardCode],"MAE")=0,"",SUMIFS(tblDaily[TransfersIn],tblDaily[EntryDate],DATE(2026,6,3),tblDaily[WardCode],"MAE")),"")</f>
        <v/>
      </c>
      <c r="G204" s="29" t="str">
        <f>IFERROR(IF(SUMIFS(tblDaily[TransfersOut],tblDaily[EntryDate],DATE(2026,6,3),tblDaily[WardCode],"MAE")=0,"",SUMIFS(tblDaily[TransfersOut],tblDaily[EntryDate],DATE(2026,6,3),tblDaily[WardCode],"MAE")),"")</f>
        <v/>
      </c>
      <c r="H204" s="29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IFERROR(IF(SUMIFS(tblDaily[Admissions],tblDaily[EntryDate],DATE(2026,6,4),tblDaily[WardCode],"MAE")=0,"",SUMIFS(tblDaily[Admissions],tblDaily[EntryDate],DATE(2026,6,4),tblDaily[WardCode],"MAE")),"")</f>
        <v/>
      </c>
      <c r="C205" s="29" t="str">
        <f>IFERROR(IF(SUMIFS(tblDaily[Discharges],tblDaily[EntryDate],DATE(2026,6,4),tblDaily[WardCode],"MAE")=0,"",SUMIFS(tblDaily[Discharges],tblDaily[EntryDate],DATE(2026,6,4),tblDaily[WardCode],"MAE")),"")</f>
        <v/>
      </c>
      <c r="D205" s="29" t="str">
        <f>IFERROR(IF(SUMIFS(tblDaily[Deaths],tblDaily[EntryDate],DATE(2026,6,4),tblDaily[WardCode],"MAE")=0,"",SUMIFS(tblDaily[Deaths],tblDaily[EntryDate],DATE(2026,6,4),tblDaily[WardCode],"MAE")),"")</f>
        <v/>
      </c>
      <c r="E205" s="29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29" t="str">
        <f>IFERROR(IF(SUMIFS(tblDaily[TransfersIn],tblDaily[EntryDate],DATE(2026,6,4),tblDaily[WardCode],"MAE")=0,"",SUMIFS(tblDaily[TransfersIn],tblDaily[EntryDate],DATE(2026,6,4),tblDaily[WardCode],"MAE")),"")</f>
        <v/>
      </c>
      <c r="G205" s="29" t="str">
        <f>IFERROR(IF(SUMIFS(tblDaily[TransfersOut],tblDaily[EntryDate],DATE(2026,6,4),tblDaily[WardCode],"MAE")=0,"",SUMIFS(tblDaily[TransfersOut],tblDaily[EntryDate],DATE(2026,6,4),tblDaily[WardCode],"MAE")),"")</f>
        <v/>
      </c>
      <c r="H205" s="29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IFERROR(IF(SUMIFS(tblDaily[Admissions],tblDaily[EntryDate],DATE(2026,6,5),tblDaily[WardCode],"MAE")=0,"",SUMIFS(tblDaily[Admissions],tblDaily[EntryDate],DATE(2026,6,5),tblDaily[WardCode],"MAE")),"")</f>
        <v/>
      </c>
      <c r="C206" s="29" t="str">
        <f>IFERROR(IF(SUMIFS(tblDaily[Discharges],tblDaily[EntryDate],DATE(2026,6,5),tblDaily[WardCode],"MAE")=0,"",SUMIFS(tblDaily[Discharges],tblDaily[EntryDate],DATE(2026,6,5),tblDaily[WardCode],"MAE")),"")</f>
        <v/>
      </c>
      <c r="D206" s="29" t="str">
        <f>IFERROR(IF(SUMIFS(tblDaily[Deaths],tblDaily[EntryDate],DATE(2026,6,5),tblDaily[WardCode],"MAE")=0,"",SUMIFS(tblDaily[Deaths],tblDaily[EntryDate],DATE(2026,6,5),tblDaily[WardCode],"MAE")),"")</f>
        <v/>
      </c>
      <c r="E206" s="29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29" t="str">
        <f>IFERROR(IF(SUMIFS(tblDaily[TransfersIn],tblDaily[EntryDate],DATE(2026,6,5),tblDaily[WardCode],"MAE")=0,"",SUMIFS(tblDaily[TransfersIn],tblDaily[EntryDate],DATE(2026,6,5),tblDaily[WardCode],"MAE")),"")</f>
        <v/>
      </c>
      <c r="G206" s="29" t="str">
        <f>IFERROR(IF(SUMIFS(tblDaily[TransfersOut],tblDaily[EntryDate],DATE(2026,6,5),tblDaily[WardCode],"MAE")=0,"",SUMIFS(tblDaily[TransfersOut],tblDaily[EntryDate],DATE(2026,6,5),tblDaily[WardCode],"MAE")),"")</f>
        <v/>
      </c>
      <c r="H206" s="29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IFERROR(IF(SUMIFS(tblDaily[Admissions],tblDaily[EntryDate],DATE(2026,6,6),tblDaily[WardCode],"MAE")=0,"",SUMIFS(tblDaily[Admissions],tblDaily[EntryDate],DATE(2026,6,6),tblDaily[WardCode],"MAE")),"")</f>
        <v/>
      </c>
      <c r="C207" s="29" t="str">
        <f>IFERROR(IF(SUMIFS(tblDaily[Discharges],tblDaily[EntryDate],DATE(2026,6,6),tblDaily[WardCode],"MAE")=0,"",SUMIFS(tblDaily[Discharges],tblDaily[EntryDate],DATE(2026,6,6),tblDaily[WardCode],"MAE")),"")</f>
        <v/>
      </c>
      <c r="D207" s="29" t="str">
        <f>IFERROR(IF(SUMIFS(tblDaily[Deaths],tblDaily[EntryDate],DATE(2026,6,6),tblDaily[WardCode],"MAE")=0,"",SUMIFS(tblDaily[Deaths],tblDaily[EntryDate],DATE(2026,6,6),tblDaily[WardCode],"MAE")),"")</f>
        <v/>
      </c>
      <c r="E207" s="29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29" t="str">
        <f>IFERROR(IF(SUMIFS(tblDaily[TransfersIn],tblDaily[EntryDate],DATE(2026,6,6),tblDaily[WardCode],"MAE")=0,"",SUMIFS(tblDaily[TransfersIn],tblDaily[EntryDate],DATE(2026,6,6),tblDaily[WardCode],"MAE")),"")</f>
        <v/>
      </c>
      <c r="G207" s="29" t="str">
        <f>IFERROR(IF(SUMIFS(tblDaily[TransfersOut],tblDaily[EntryDate],DATE(2026,6,6),tblDaily[WardCode],"MAE")=0,"",SUMIFS(tblDaily[TransfersOut],tblDaily[EntryDate],DATE(2026,6,6),tblDaily[WardCode],"MAE")),"")</f>
        <v/>
      </c>
      <c r="H207" s="29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IFERROR(IF(SUMIFS(tblDaily[Admissions],tblDaily[EntryDate],DATE(2026,6,7),tblDaily[WardCode],"MAE")=0,"",SUMIFS(tblDaily[Admissions],tblDaily[EntryDate],DATE(2026,6,7),tblDaily[WardCode],"MAE")),"")</f>
        <v/>
      </c>
      <c r="C208" s="29" t="str">
        <f>IFERROR(IF(SUMIFS(tblDaily[Discharges],tblDaily[EntryDate],DATE(2026,6,7),tblDaily[WardCode],"MAE")=0,"",SUMIFS(tblDaily[Discharges],tblDaily[EntryDate],DATE(2026,6,7),tblDaily[WardCode],"MAE")),"")</f>
        <v/>
      </c>
      <c r="D208" s="29" t="str">
        <f>IFERROR(IF(SUMIFS(tblDaily[Deaths],tblDaily[EntryDate],DATE(2026,6,7),tblDaily[WardCode],"MAE")=0,"",SUMIFS(tblDaily[Deaths],tblDaily[EntryDate],DATE(2026,6,7),tblDaily[WardCode],"MAE")),"")</f>
        <v/>
      </c>
      <c r="E208" s="29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29" t="str">
        <f>IFERROR(IF(SUMIFS(tblDaily[TransfersIn],tblDaily[EntryDate],DATE(2026,6,7),tblDaily[WardCode],"MAE")=0,"",SUMIFS(tblDaily[TransfersIn],tblDaily[EntryDate],DATE(2026,6,7),tblDaily[WardCode],"MAE")),"")</f>
        <v/>
      </c>
      <c r="G208" s="29" t="str">
        <f>IFERROR(IF(SUMIFS(tblDaily[TransfersOut],tblDaily[EntryDate],DATE(2026,6,7),tblDaily[WardCode],"MAE")=0,"",SUMIFS(tblDaily[TransfersOut],tblDaily[EntryDate],DATE(2026,6,7),tblDaily[WardCode],"MAE")),"")</f>
        <v/>
      </c>
      <c r="H208" s="29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IFERROR(IF(SUMIFS(tblDaily[Admissions],tblDaily[EntryDate],DATE(2026,6,8),tblDaily[WardCode],"MAE")=0,"",SUMIFS(tblDaily[Admissions],tblDaily[EntryDate],DATE(2026,6,8),tblDaily[WardCode],"MAE")),"")</f>
        <v/>
      </c>
      <c r="C209" s="29" t="str">
        <f>IFERROR(IF(SUMIFS(tblDaily[Discharges],tblDaily[EntryDate],DATE(2026,6,8),tblDaily[WardCode],"MAE")=0,"",SUMIFS(tblDaily[Discharges],tblDaily[EntryDate],DATE(2026,6,8),tblDaily[WardCode],"MAE")),"")</f>
        <v/>
      </c>
      <c r="D209" s="29" t="str">
        <f>IFERROR(IF(SUMIFS(tblDaily[Deaths],tblDaily[EntryDate],DATE(2026,6,8),tblDaily[WardCode],"MAE")=0,"",SUMIFS(tblDaily[Deaths],tblDaily[EntryDate],DATE(2026,6,8),tblDaily[WardCode],"MAE")),"")</f>
        <v/>
      </c>
      <c r="E209" s="29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29" t="str">
        <f>IFERROR(IF(SUMIFS(tblDaily[TransfersIn],tblDaily[EntryDate],DATE(2026,6,8),tblDaily[WardCode],"MAE")=0,"",SUMIFS(tblDaily[TransfersIn],tblDaily[EntryDate],DATE(2026,6,8),tblDaily[WardCode],"MAE")),"")</f>
        <v/>
      </c>
      <c r="G209" s="29" t="str">
        <f>IFERROR(IF(SUMIFS(tblDaily[TransfersOut],tblDaily[EntryDate],DATE(2026,6,8),tblDaily[WardCode],"MAE")=0,"",SUMIFS(tblDaily[TransfersOut],tblDaily[EntryDate],DATE(2026,6,8),tblDaily[WardCode],"MAE")),"")</f>
        <v/>
      </c>
      <c r="H209" s="29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IFERROR(IF(SUMIFS(tblDaily[Admissions],tblDaily[EntryDate],DATE(2026,6,9),tblDaily[WardCode],"MAE")=0,"",SUMIFS(tblDaily[Admissions],tblDaily[EntryDate],DATE(2026,6,9),tblDaily[WardCode],"MAE")),"")</f>
        <v/>
      </c>
      <c r="C210" s="29" t="str">
        <f>IFERROR(IF(SUMIFS(tblDaily[Discharges],tblDaily[EntryDate],DATE(2026,6,9),tblDaily[WardCode],"MAE")=0,"",SUMIFS(tblDaily[Discharges],tblDaily[EntryDate],DATE(2026,6,9),tblDaily[WardCode],"MAE")),"")</f>
        <v/>
      </c>
      <c r="D210" s="29" t="str">
        <f>IFERROR(IF(SUMIFS(tblDaily[Deaths],tblDaily[EntryDate],DATE(2026,6,9),tblDaily[WardCode],"MAE")=0,"",SUMIFS(tblDaily[Deaths],tblDaily[EntryDate],DATE(2026,6,9),tblDaily[WardCode],"MAE")),"")</f>
        <v/>
      </c>
      <c r="E210" s="29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29" t="str">
        <f>IFERROR(IF(SUMIFS(tblDaily[TransfersIn],tblDaily[EntryDate],DATE(2026,6,9),tblDaily[WardCode],"MAE")=0,"",SUMIFS(tblDaily[TransfersIn],tblDaily[EntryDate],DATE(2026,6,9),tblDaily[WardCode],"MAE")),"")</f>
        <v/>
      </c>
      <c r="G210" s="29" t="str">
        <f>IFERROR(IF(SUMIFS(tblDaily[TransfersOut],tblDaily[EntryDate],DATE(2026,6,9),tblDaily[WardCode],"MAE")=0,"",SUMIFS(tblDaily[TransfersOut],tblDaily[EntryDate],DATE(2026,6,9),tblDaily[WardCode],"MAE")),"")</f>
        <v/>
      </c>
      <c r="H210" s="29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IFERROR(IF(SUMIFS(tblDaily[Admissions],tblDaily[EntryDate],DATE(2026,6,10),tblDaily[WardCode],"MAE")=0,"",SUMIFS(tblDaily[Admissions],tblDaily[EntryDate],DATE(2026,6,10),tblDaily[WardCode],"MAE")),"")</f>
        <v/>
      </c>
      <c r="C211" s="29" t="str">
        <f>IFERROR(IF(SUMIFS(tblDaily[Discharges],tblDaily[EntryDate],DATE(2026,6,10),tblDaily[WardCode],"MAE")=0,"",SUMIFS(tblDaily[Discharges],tblDaily[EntryDate],DATE(2026,6,10),tblDaily[WardCode],"MAE")),"")</f>
        <v/>
      </c>
      <c r="D211" s="29" t="str">
        <f>IFERROR(IF(SUMIFS(tblDaily[Deaths],tblDaily[EntryDate],DATE(2026,6,10),tblDaily[WardCode],"MAE")=0,"",SUMIFS(tblDaily[Deaths],tblDaily[EntryDate],DATE(2026,6,10),tblDaily[WardCode],"MAE")),"")</f>
        <v/>
      </c>
      <c r="E211" s="29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29" t="str">
        <f>IFERROR(IF(SUMIFS(tblDaily[TransfersIn],tblDaily[EntryDate],DATE(2026,6,10),tblDaily[WardCode],"MAE")=0,"",SUMIFS(tblDaily[TransfersIn],tblDaily[EntryDate],DATE(2026,6,10),tblDaily[WardCode],"MAE")),"")</f>
        <v/>
      </c>
      <c r="G211" s="29" t="str">
        <f>IFERROR(IF(SUMIFS(tblDaily[TransfersOut],tblDaily[EntryDate],DATE(2026,6,10),tblDaily[WardCode],"MAE")=0,"",SUMIFS(tblDaily[TransfersOut],tblDaily[EntryDate],DATE(2026,6,10),tblDaily[WardCode],"MAE")),"")</f>
        <v/>
      </c>
      <c r="H211" s="29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IFERROR(IF(SUMIFS(tblDaily[Admissions],tblDaily[EntryDate],DATE(2026,6,11),tblDaily[WardCode],"MAE")=0,"",SUMIFS(tblDaily[Admissions],tblDaily[EntryDate],DATE(2026,6,11),tblDaily[WardCode],"MAE")),"")</f>
        <v/>
      </c>
      <c r="C212" s="29" t="str">
        <f>IFERROR(IF(SUMIFS(tblDaily[Discharges],tblDaily[EntryDate],DATE(2026,6,11),tblDaily[WardCode],"MAE")=0,"",SUMIFS(tblDaily[Discharges],tblDaily[EntryDate],DATE(2026,6,11),tblDaily[WardCode],"MAE")),"")</f>
        <v/>
      </c>
      <c r="D212" s="29" t="str">
        <f>IFERROR(IF(SUMIFS(tblDaily[Deaths],tblDaily[EntryDate],DATE(2026,6,11),tblDaily[WardCode],"MAE")=0,"",SUMIFS(tblDaily[Deaths],tblDaily[EntryDate],DATE(2026,6,11),tblDaily[WardCode],"MAE")),"")</f>
        <v/>
      </c>
      <c r="E212" s="29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29" t="str">
        <f>IFERROR(IF(SUMIFS(tblDaily[TransfersIn],tblDaily[EntryDate],DATE(2026,6,11),tblDaily[WardCode],"MAE")=0,"",SUMIFS(tblDaily[TransfersIn],tblDaily[EntryDate],DATE(2026,6,11),tblDaily[WardCode],"MAE")),"")</f>
        <v/>
      </c>
      <c r="G212" s="29" t="str">
        <f>IFERROR(IF(SUMIFS(tblDaily[TransfersOut],tblDaily[EntryDate],DATE(2026,6,11),tblDaily[WardCode],"MAE")=0,"",SUMIFS(tblDaily[TransfersOut],tblDaily[EntryDate],DATE(2026,6,11),tblDaily[WardCode],"MAE")),"")</f>
        <v/>
      </c>
      <c r="H212" s="29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IFERROR(IF(SUMIFS(tblDaily[Admissions],tblDaily[EntryDate],DATE(2026,6,12),tblDaily[WardCode],"MAE")=0,"",SUMIFS(tblDaily[Admissions],tblDaily[EntryDate],DATE(2026,6,12),tblDaily[WardCode],"MAE")),"")</f>
        <v/>
      </c>
      <c r="C213" s="29" t="str">
        <f>IFERROR(IF(SUMIFS(tblDaily[Discharges],tblDaily[EntryDate],DATE(2026,6,12),tblDaily[WardCode],"MAE")=0,"",SUMIFS(tblDaily[Discharges],tblDaily[EntryDate],DATE(2026,6,12),tblDaily[WardCode],"MAE")),"")</f>
        <v/>
      </c>
      <c r="D213" s="29" t="str">
        <f>IFERROR(IF(SUMIFS(tblDaily[Deaths],tblDaily[EntryDate],DATE(2026,6,12),tblDaily[WardCode],"MAE")=0,"",SUMIFS(tblDaily[Deaths],tblDaily[EntryDate],DATE(2026,6,12),tblDaily[WardCode],"MAE")),"")</f>
        <v/>
      </c>
      <c r="E213" s="29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29" t="str">
        <f>IFERROR(IF(SUMIFS(tblDaily[TransfersIn],tblDaily[EntryDate],DATE(2026,6,12),tblDaily[WardCode],"MAE")=0,"",SUMIFS(tblDaily[TransfersIn],tblDaily[EntryDate],DATE(2026,6,12),tblDaily[WardCode],"MAE")),"")</f>
        <v/>
      </c>
      <c r="G213" s="29" t="str">
        <f>IFERROR(IF(SUMIFS(tblDaily[TransfersOut],tblDaily[EntryDate],DATE(2026,6,12),tblDaily[WardCode],"MAE")=0,"",SUMIFS(tblDaily[TransfersOut],tblDaily[EntryDate],DATE(2026,6,12),tblDaily[WardCode],"MAE")),"")</f>
        <v/>
      </c>
      <c r="H213" s="29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IFERROR(IF(SUMIFS(tblDaily[Admissions],tblDaily[EntryDate],DATE(2026,6,13),tblDaily[WardCode],"MAE")=0,"",SUMIFS(tblDaily[Admissions],tblDaily[EntryDate],DATE(2026,6,13),tblDaily[WardCode],"MAE")),"")</f>
        <v/>
      </c>
      <c r="C214" s="29" t="str">
        <f>IFERROR(IF(SUMIFS(tblDaily[Discharges],tblDaily[EntryDate],DATE(2026,6,13),tblDaily[WardCode],"MAE")=0,"",SUMIFS(tblDaily[Discharges],tblDaily[EntryDate],DATE(2026,6,13),tblDaily[WardCode],"MAE")),"")</f>
        <v/>
      </c>
      <c r="D214" s="29" t="str">
        <f>IFERROR(IF(SUMIFS(tblDaily[Deaths],tblDaily[EntryDate],DATE(2026,6,13),tblDaily[WardCode],"MAE")=0,"",SUMIFS(tblDaily[Deaths],tblDaily[EntryDate],DATE(2026,6,13),tblDaily[WardCode],"MAE")),"")</f>
        <v/>
      </c>
      <c r="E214" s="29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29" t="str">
        <f>IFERROR(IF(SUMIFS(tblDaily[TransfersIn],tblDaily[EntryDate],DATE(2026,6,13),tblDaily[WardCode],"MAE")=0,"",SUMIFS(tblDaily[TransfersIn],tblDaily[EntryDate],DATE(2026,6,13),tblDaily[WardCode],"MAE")),"")</f>
        <v/>
      </c>
      <c r="G214" s="29" t="str">
        <f>IFERROR(IF(SUMIFS(tblDaily[TransfersOut],tblDaily[EntryDate],DATE(2026,6,13),tblDaily[WardCode],"MAE")=0,"",SUMIFS(tblDaily[TransfersOut],tblDaily[EntryDate],DATE(2026,6,13),tblDaily[WardCode],"MAE")),"")</f>
        <v/>
      </c>
      <c r="H214" s="29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IFERROR(IF(SUMIFS(tblDaily[Admissions],tblDaily[EntryDate],DATE(2026,6,14),tblDaily[WardCode],"MAE")=0,"",SUMIFS(tblDaily[Admissions],tblDaily[EntryDate],DATE(2026,6,14),tblDaily[WardCode],"MAE")),"")</f>
        <v/>
      </c>
      <c r="C215" s="29" t="str">
        <f>IFERROR(IF(SUMIFS(tblDaily[Discharges],tblDaily[EntryDate],DATE(2026,6,14),tblDaily[WardCode],"MAE")=0,"",SUMIFS(tblDaily[Discharges],tblDaily[EntryDate],DATE(2026,6,14),tblDaily[WardCode],"MAE")),"")</f>
        <v/>
      </c>
      <c r="D215" s="29" t="str">
        <f>IFERROR(IF(SUMIFS(tblDaily[Deaths],tblDaily[EntryDate],DATE(2026,6,14),tblDaily[WardCode],"MAE")=0,"",SUMIFS(tblDaily[Deaths],tblDaily[EntryDate],DATE(2026,6,14),tblDaily[WardCode],"MAE")),"")</f>
        <v/>
      </c>
      <c r="E215" s="29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29" t="str">
        <f>IFERROR(IF(SUMIFS(tblDaily[TransfersIn],tblDaily[EntryDate],DATE(2026,6,14),tblDaily[WardCode],"MAE")=0,"",SUMIFS(tblDaily[TransfersIn],tblDaily[EntryDate],DATE(2026,6,14),tblDaily[WardCode],"MAE")),"")</f>
        <v/>
      </c>
      <c r="G215" s="29" t="str">
        <f>IFERROR(IF(SUMIFS(tblDaily[TransfersOut],tblDaily[EntryDate],DATE(2026,6,14),tblDaily[WardCode],"MAE")=0,"",SUMIFS(tblDaily[TransfersOut],tblDaily[EntryDate],DATE(2026,6,14),tblDaily[WardCode],"MAE")),"")</f>
        <v/>
      </c>
      <c r="H215" s="29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IFERROR(IF(SUMIFS(tblDaily[Admissions],tblDaily[EntryDate],DATE(2026,6,15),tblDaily[WardCode],"MAE")=0,"",SUMIFS(tblDaily[Admissions],tblDaily[EntryDate],DATE(2026,6,15),tblDaily[WardCode],"MAE")),"")</f>
        <v/>
      </c>
      <c r="C216" s="29" t="str">
        <f>IFERROR(IF(SUMIFS(tblDaily[Discharges],tblDaily[EntryDate],DATE(2026,6,15),tblDaily[WardCode],"MAE")=0,"",SUMIFS(tblDaily[Discharges],tblDaily[EntryDate],DATE(2026,6,15),tblDaily[WardCode],"MAE")),"")</f>
        <v/>
      </c>
      <c r="D216" s="29" t="str">
        <f>IFERROR(IF(SUMIFS(tblDaily[Deaths],tblDaily[EntryDate],DATE(2026,6,15),tblDaily[WardCode],"MAE")=0,"",SUMIFS(tblDaily[Deaths],tblDaily[EntryDate],DATE(2026,6,15),tblDaily[WardCode],"MAE")),"")</f>
        <v/>
      </c>
      <c r="E216" s="29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29" t="str">
        <f>IFERROR(IF(SUMIFS(tblDaily[TransfersIn],tblDaily[EntryDate],DATE(2026,6,15),tblDaily[WardCode],"MAE")=0,"",SUMIFS(tblDaily[TransfersIn],tblDaily[EntryDate],DATE(2026,6,15),tblDaily[WardCode],"MAE")),"")</f>
        <v/>
      </c>
      <c r="G216" s="29" t="str">
        <f>IFERROR(IF(SUMIFS(tblDaily[TransfersOut],tblDaily[EntryDate],DATE(2026,6,15),tblDaily[WardCode],"MAE")=0,"",SUMIFS(tblDaily[TransfersOut],tblDaily[EntryDate],DATE(2026,6,15),tblDaily[WardCode],"MAE")),"")</f>
        <v/>
      </c>
      <c r="H216" s="29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IFERROR(IF(SUMIFS(tblDaily[Admissions],tblDaily[EntryDate],DATE(2026,6,16),tblDaily[WardCode],"MAE")=0,"",SUMIFS(tblDaily[Admissions],tblDaily[EntryDate],DATE(2026,6,16),tblDaily[WardCode],"MAE")),"")</f>
        <v/>
      </c>
      <c r="C217" s="29" t="str">
        <f>IFERROR(IF(SUMIFS(tblDaily[Discharges],tblDaily[EntryDate],DATE(2026,6,16),tblDaily[WardCode],"MAE")=0,"",SUMIFS(tblDaily[Discharges],tblDaily[EntryDate],DATE(2026,6,16),tblDaily[WardCode],"MAE")),"")</f>
        <v/>
      </c>
      <c r="D217" s="29" t="str">
        <f>IFERROR(IF(SUMIFS(tblDaily[Deaths],tblDaily[EntryDate],DATE(2026,6,16),tblDaily[WardCode],"MAE")=0,"",SUMIFS(tblDaily[Deaths],tblDaily[EntryDate],DATE(2026,6,16),tblDaily[WardCode],"MAE")),"")</f>
        <v/>
      </c>
      <c r="E217" s="29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29" t="str">
        <f>IFERROR(IF(SUMIFS(tblDaily[TransfersIn],tblDaily[EntryDate],DATE(2026,6,16),tblDaily[WardCode],"MAE")=0,"",SUMIFS(tblDaily[TransfersIn],tblDaily[EntryDate],DATE(2026,6,16),tblDaily[WardCode],"MAE")),"")</f>
        <v/>
      </c>
      <c r="G217" s="29" t="str">
        <f>IFERROR(IF(SUMIFS(tblDaily[TransfersOut],tblDaily[EntryDate],DATE(2026,6,16),tblDaily[WardCode],"MAE")=0,"",SUMIFS(tblDaily[TransfersOut],tblDaily[EntryDate],DATE(2026,6,16),tblDaily[WardCode],"MAE")),"")</f>
        <v/>
      </c>
      <c r="H217" s="29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IFERROR(IF(SUMIFS(tblDaily[Admissions],tblDaily[EntryDate],DATE(2026,6,17),tblDaily[WardCode],"MAE")=0,"",SUMIFS(tblDaily[Admissions],tblDaily[EntryDate],DATE(2026,6,17),tblDaily[WardCode],"MAE")),"")</f>
        <v/>
      </c>
      <c r="C218" s="29" t="str">
        <f>IFERROR(IF(SUMIFS(tblDaily[Discharges],tblDaily[EntryDate],DATE(2026,6,17),tblDaily[WardCode],"MAE")=0,"",SUMIFS(tblDaily[Discharges],tblDaily[EntryDate],DATE(2026,6,17),tblDaily[WardCode],"MAE")),"")</f>
        <v/>
      </c>
      <c r="D218" s="29" t="str">
        <f>IFERROR(IF(SUMIFS(tblDaily[Deaths],tblDaily[EntryDate],DATE(2026,6,17),tblDaily[WardCode],"MAE")=0,"",SUMIFS(tblDaily[Deaths],tblDaily[EntryDate],DATE(2026,6,17),tblDaily[WardCode],"MAE")),"")</f>
        <v/>
      </c>
      <c r="E218" s="29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29" t="str">
        <f>IFERROR(IF(SUMIFS(tblDaily[TransfersIn],tblDaily[EntryDate],DATE(2026,6,17),tblDaily[WardCode],"MAE")=0,"",SUMIFS(tblDaily[TransfersIn],tblDaily[EntryDate],DATE(2026,6,17),tblDaily[WardCode],"MAE")),"")</f>
        <v/>
      </c>
      <c r="G218" s="29" t="str">
        <f>IFERROR(IF(SUMIFS(tblDaily[TransfersOut],tblDaily[EntryDate],DATE(2026,6,17),tblDaily[WardCode],"MAE")=0,"",SUMIFS(tblDaily[TransfersOut],tblDaily[EntryDate],DATE(2026,6,17),tblDaily[WardCode],"MAE")),"")</f>
        <v/>
      </c>
      <c r="H218" s="29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IFERROR(IF(SUMIFS(tblDaily[Admissions],tblDaily[EntryDate],DATE(2026,6,18),tblDaily[WardCode],"MAE")=0,"",SUMIFS(tblDaily[Admissions],tblDaily[EntryDate],DATE(2026,6,18),tblDaily[WardCode],"MAE")),"")</f>
        <v/>
      </c>
      <c r="C219" s="29" t="str">
        <f>IFERROR(IF(SUMIFS(tblDaily[Discharges],tblDaily[EntryDate],DATE(2026,6,18),tblDaily[WardCode],"MAE")=0,"",SUMIFS(tblDaily[Discharges],tblDaily[EntryDate],DATE(2026,6,18),tblDaily[WardCode],"MAE")),"")</f>
        <v/>
      </c>
      <c r="D219" s="29" t="str">
        <f>IFERROR(IF(SUMIFS(tblDaily[Deaths],tblDaily[EntryDate],DATE(2026,6,18),tblDaily[WardCode],"MAE")=0,"",SUMIFS(tblDaily[Deaths],tblDaily[EntryDate],DATE(2026,6,18),tblDaily[WardCode],"MAE")),"")</f>
        <v/>
      </c>
      <c r="E219" s="29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29" t="str">
        <f>IFERROR(IF(SUMIFS(tblDaily[TransfersIn],tblDaily[EntryDate],DATE(2026,6,18),tblDaily[WardCode],"MAE")=0,"",SUMIFS(tblDaily[TransfersIn],tblDaily[EntryDate],DATE(2026,6,18),tblDaily[WardCode],"MAE")),"")</f>
        <v/>
      </c>
      <c r="G219" s="29" t="str">
        <f>IFERROR(IF(SUMIFS(tblDaily[TransfersOut],tblDaily[EntryDate],DATE(2026,6,18),tblDaily[WardCode],"MAE")=0,"",SUMIFS(tblDaily[TransfersOut],tblDaily[EntryDate],DATE(2026,6,18),tblDaily[WardCode],"MAE")),"")</f>
        <v/>
      </c>
      <c r="H219" s="29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IFERROR(IF(SUMIFS(tblDaily[Admissions],tblDaily[EntryDate],DATE(2026,6,19),tblDaily[WardCode],"MAE")=0,"",SUMIFS(tblDaily[Admissions],tblDaily[EntryDate],DATE(2026,6,19),tblDaily[WardCode],"MAE")),"")</f>
        <v/>
      </c>
      <c r="C220" s="29" t="str">
        <f>IFERROR(IF(SUMIFS(tblDaily[Discharges],tblDaily[EntryDate],DATE(2026,6,19),tblDaily[WardCode],"MAE")=0,"",SUMIFS(tblDaily[Discharges],tblDaily[EntryDate],DATE(2026,6,19),tblDaily[WardCode],"MAE")),"")</f>
        <v/>
      </c>
      <c r="D220" s="29" t="str">
        <f>IFERROR(IF(SUMIFS(tblDaily[Deaths],tblDaily[EntryDate],DATE(2026,6,19),tblDaily[WardCode],"MAE")=0,"",SUMIFS(tblDaily[Deaths],tblDaily[EntryDate],DATE(2026,6,19),tblDaily[WardCode],"MAE")),"")</f>
        <v/>
      </c>
      <c r="E220" s="29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29" t="str">
        <f>IFERROR(IF(SUMIFS(tblDaily[TransfersIn],tblDaily[EntryDate],DATE(2026,6,19),tblDaily[WardCode],"MAE")=0,"",SUMIFS(tblDaily[TransfersIn],tblDaily[EntryDate],DATE(2026,6,19),tblDaily[WardCode],"MAE")),"")</f>
        <v/>
      </c>
      <c r="G220" s="29" t="str">
        <f>IFERROR(IF(SUMIFS(tblDaily[TransfersOut],tblDaily[EntryDate],DATE(2026,6,19),tblDaily[WardCode],"MAE")=0,"",SUMIFS(tblDaily[TransfersOut],tblDaily[EntryDate],DATE(2026,6,19),tblDaily[WardCode],"MAE")),"")</f>
        <v/>
      </c>
      <c r="H220" s="29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IFERROR(IF(SUMIFS(tblDaily[Admissions],tblDaily[EntryDate],DATE(2026,6,20),tblDaily[WardCode],"MAE")=0,"",SUMIFS(tblDaily[Admissions],tblDaily[EntryDate],DATE(2026,6,20),tblDaily[WardCode],"MAE")),"")</f>
        <v/>
      </c>
      <c r="C221" s="29" t="str">
        <f>IFERROR(IF(SUMIFS(tblDaily[Discharges],tblDaily[EntryDate],DATE(2026,6,20),tblDaily[WardCode],"MAE")=0,"",SUMIFS(tblDaily[Discharges],tblDaily[EntryDate],DATE(2026,6,20),tblDaily[WardCode],"MAE")),"")</f>
        <v/>
      </c>
      <c r="D221" s="29" t="str">
        <f>IFERROR(IF(SUMIFS(tblDaily[Deaths],tblDaily[EntryDate],DATE(2026,6,20),tblDaily[WardCode],"MAE")=0,"",SUMIFS(tblDaily[Deaths],tblDaily[EntryDate],DATE(2026,6,20),tblDaily[WardCode],"MAE")),"")</f>
        <v/>
      </c>
      <c r="E221" s="29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29" t="str">
        <f>IFERROR(IF(SUMIFS(tblDaily[TransfersIn],tblDaily[EntryDate],DATE(2026,6,20),tblDaily[WardCode],"MAE")=0,"",SUMIFS(tblDaily[TransfersIn],tblDaily[EntryDate],DATE(2026,6,20),tblDaily[WardCode],"MAE")),"")</f>
        <v/>
      </c>
      <c r="G221" s="29" t="str">
        <f>IFERROR(IF(SUMIFS(tblDaily[TransfersOut],tblDaily[EntryDate],DATE(2026,6,20),tblDaily[WardCode],"MAE")=0,"",SUMIFS(tblDaily[TransfersOut],tblDaily[EntryDate],DATE(2026,6,20),tblDaily[WardCode],"MAE")),"")</f>
        <v/>
      </c>
      <c r="H221" s="29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IFERROR(IF(SUMIFS(tblDaily[Admissions],tblDaily[EntryDate],DATE(2026,6,21),tblDaily[WardCode],"MAE")=0,"",SUMIFS(tblDaily[Admissions],tblDaily[EntryDate],DATE(2026,6,21),tblDaily[WardCode],"MAE")),"")</f>
        <v/>
      </c>
      <c r="C222" s="29" t="str">
        <f>IFERROR(IF(SUMIFS(tblDaily[Discharges],tblDaily[EntryDate],DATE(2026,6,21),tblDaily[WardCode],"MAE")=0,"",SUMIFS(tblDaily[Discharges],tblDaily[EntryDate],DATE(2026,6,21),tblDaily[WardCode],"MAE")),"")</f>
        <v/>
      </c>
      <c r="D222" s="29" t="str">
        <f>IFERROR(IF(SUMIFS(tblDaily[Deaths],tblDaily[EntryDate],DATE(2026,6,21),tblDaily[WardCode],"MAE")=0,"",SUMIFS(tblDaily[Deaths],tblDaily[EntryDate],DATE(2026,6,21),tblDaily[WardCode],"MAE")),"")</f>
        <v/>
      </c>
      <c r="E222" s="29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29" t="str">
        <f>IFERROR(IF(SUMIFS(tblDaily[TransfersIn],tblDaily[EntryDate],DATE(2026,6,21),tblDaily[WardCode],"MAE")=0,"",SUMIFS(tblDaily[TransfersIn],tblDaily[EntryDate],DATE(2026,6,21),tblDaily[WardCode],"MAE")),"")</f>
        <v/>
      </c>
      <c r="G222" s="29" t="str">
        <f>IFERROR(IF(SUMIFS(tblDaily[TransfersOut],tblDaily[EntryDate],DATE(2026,6,21),tblDaily[WardCode],"MAE")=0,"",SUMIFS(tblDaily[TransfersOut],tblDaily[EntryDate],DATE(2026,6,21),tblDaily[WardCode],"MAE")),"")</f>
        <v/>
      </c>
      <c r="H222" s="29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IFERROR(IF(SUMIFS(tblDaily[Admissions],tblDaily[EntryDate],DATE(2026,6,22),tblDaily[WardCode],"MAE")=0,"",SUMIFS(tblDaily[Admissions],tblDaily[EntryDate],DATE(2026,6,22),tblDaily[WardCode],"MAE")),"")</f>
        <v/>
      </c>
      <c r="C223" s="29" t="str">
        <f>IFERROR(IF(SUMIFS(tblDaily[Discharges],tblDaily[EntryDate],DATE(2026,6,22),tblDaily[WardCode],"MAE")=0,"",SUMIFS(tblDaily[Discharges],tblDaily[EntryDate],DATE(2026,6,22),tblDaily[WardCode],"MAE")),"")</f>
        <v/>
      </c>
      <c r="D223" s="29" t="str">
        <f>IFERROR(IF(SUMIFS(tblDaily[Deaths],tblDaily[EntryDate],DATE(2026,6,22),tblDaily[WardCode],"MAE")=0,"",SUMIFS(tblDaily[Deaths],tblDaily[EntryDate],DATE(2026,6,22),tblDaily[WardCode],"MAE")),"")</f>
        <v/>
      </c>
      <c r="E223" s="29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29" t="str">
        <f>IFERROR(IF(SUMIFS(tblDaily[TransfersIn],tblDaily[EntryDate],DATE(2026,6,22),tblDaily[WardCode],"MAE")=0,"",SUMIFS(tblDaily[TransfersIn],tblDaily[EntryDate],DATE(2026,6,22),tblDaily[WardCode],"MAE")),"")</f>
        <v/>
      </c>
      <c r="G223" s="29" t="str">
        <f>IFERROR(IF(SUMIFS(tblDaily[TransfersOut],tblDaily[EntryDate],DATE(2026,6,22),tblDaily[WardCode],"MAE")=0,"",SUMIFS(tblDaily[TransfersOut],tblDaily[EntryDate],DATE(2026,6,22),tblDaily[WardCode],"MAE")),"")</f>
        <v/>
      </c>
      <c r="H223" s="29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IFERROR(IF(SUMIFS(tblDaily[Admissions],tblDaily[EntryDate],DATE(2026,6,23),tblDaily[WardCode],"MAE")=0,"",SUMIFS(tblDaily[Admissions],tblDaily[EntryDate],DATE(2026,6,23),tblDaily[WardCode],"MAE")),"")</f>
        <v/>
      </c>
      <c r="C224" s="29" t="str">
        <f>IFERROR(IF(SUMIFS(tblDaily[Discharges],tblDaily[EntryDate],DATE(2026,6,23),tblDaily[WardCode],"MAE")=0,"",SUMIFS(tblDaily[Discharges],tblDaily[EntryDate],DATE(2026,6,23),tblDaily[WardCode],"MAE")),"")</f>
        <v/>
      </c>
      <c r="D224" s="29" t="str">
        <f>IFERROR(IF(SUMIFS(tblDaily[Deaths],tblDaily[EntryDate],DATE(2026,6,23),tblDaily[WardCode],"MAE")=0,"",SUMIFS(tblDaily[Deaths],tblDaily[EntryDate],DATE(2026,6,23),tblDaily[WardCode],"MAE")),"")</f>
        <v/>
      </c>
      <c r="E224" s="29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29" t="str">
        <f>IFERROR(IF(SUMIFS(tblDaily[TransfersIn],tblDaily[EntryDate],DATE(2026,6,23),tblDaily[WardCode],"MAE")=0,"",SUMIFS(tblDaily[TransfersIn],tblDaily[EntryDate],DATE(2026,6,23),tblDaily[WardCode],"MAE")),"")</f>
        <v/>
      </c>
      <c r="G224" s="29" t="str">
        <f>IFERROR(IF(SUMIFS(tblDaily[TransfersOut],tblDaily[EntryDate],DATE(2026,6,23),tblDaily[WardCode],"MAE")=0,"",SUMIFS(tblDaily[TransfersOut],tblDaily[EntryDate],DATE(2026,6,23),tblDaily[WardCode],"MAE")),"")</f>
        <v/>
      </c>
      <c r="H224" s="29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IFERROR(IF(SUMIFS(tblDaily[Admissions],tblDaily[EntryDate],DATE(2026,6,24),tblDaily[WardCode],"MAE")=0,"",SUMIFS(tblDaily[Admissions],tblDaily[EntryDate],DATE(2026,6,24),tblDaily[WardCode],"MAE")),"")</f>
        <v/>
      </c>
      <c r="C225" s="29" t="str">
        <f>IFERROR(IF(SUMIFS(tblDaily[Discharges],tblDaily[EntryDate],DATE(2026,6,24),tblDaily[WardCode],"MAE")=0,"",SUMIFS(tblDaily[Discharges],tblDaily[EntryDate],DATE(2026,6,24),tblDaily[WardCode],"MAE")),"")</f>
        <v/>
      </c>
      <c r="D225" s="29" t="str">
        <f>IFERROR(IF(SUMIFS(tblDaily[Deaths],tblDaily[EntryDate],DATE(2026,6,24),tblDaily[WardCode],"MAE")=0,"",SUMIFS(tblDaily[Deaths],tblDaily[EntryDate],DATE(2026,6,24),tblDaily[WardCode],"MAE")),"")</f>
        <v/>
      </c>
      <c r="E225" s="29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29" t="str">
        <f>IFERROR(IF(SUMIFS(tblDaily[TransfersIn],tblDaily[EntryDate],DATE(2026,6,24),tblDaily[WardCode],"MAE")=0,"",SUMIFS(tblDaily[TransfersIn],tblDaily[EntryDate],DATE(2026,6,24),tblDaily[WardCode],"MAE")),"")</f>
        <v/>
      </c>
      <c r="G225" s="29" t="str">
        <f>IFERROR(IF(SUMIFS(tblDaily[TransfersOut],tblDaily[EntryDate],DATE(2026,6,24),tblDaily[WardCode],"MAE")=0,"",SUMIFS(tblDaily[TransfersOut],tblDaily[EntryDate],DATE(2026,6,24),tblDaily[WardCode],"MAE")),"")</f>
        <v/>
      </c>
      <c r="H225" s="29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IFERROR(IF(SUMIFS(tblDaily[Admissions],tblDaily[EntryDate],DATE(2026,6,25),tblDaily[WardCode],"MAE")=0,"",SUMIFS(tblDaily[Admissions],tblDaily[EntryDate],DATE(2026,6,25),tblDaily[WardCode],"MAE")),"")</f>
        <v/>
      </c>
      <c r="C226" s="29" t="str">
        <f>IFERROR(IF(SUMIFS(tblDaily[Discharges],tblDaily[EntryDate],DATE(2026,6,25),tblDaily[WardCode],"MAE")=0,"",SUMIFS(tblDaily[Discharges],tblDaily[EntryDate],DATE(2026,6,25),tblDaily[WardCode],"MAE")),"")</f>
        <v/>
      </c>
      <c r="D226" s="29" t="str">
        <f>IFERROR(IF(SUMIFS(tblDaily[Deaths],tblDaily[EntryDate],DATE(2026,6,25),tblDaily[WardCode],"MAE")=0,"",SUMIFS(tblDaily[Deaths],tblDaily[EntryDate],DATE(2026,6,25),tblDaily[WardCode],"MAE")),"")</f>
        <v/>
      </c>
      <c r="E226" s="29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29" t="str">
        <f>IFERROR(IF(SUMIFS(tblDaily[TransfersIn],tblDaily[EntryDate],DATE(2026,6,25),tblDaily[WardCode],"MAE")=0,"",SUMIFS(tblDaily[TransfersIn],tblDaily[EntryDate],DATE(2026,6,25),tblDaily[WardCode],"MAE")),"")</f>
        <v/>
      </c>
      <c r="G226" s="29" t="str">
        <f>IFERROR(IF(SUMIFS(tblDaily[TransfersOut],tblDaily[EntryDate],DATE(2026,6,25),tblDaily[WardCode],"MAE")=0,"",SUMIFS(tblDaily[TransfersOut],tblDaily[EntryDate],DATE(2026,6,25),tblDaily[WardCode],"MAE")),"")</f>
        <v/>
      </c>
      <c r="H226" s="29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IFERROR(IF(SUMIFS(tblDaily[Admissions],tblDaily[EntryDate],DATE(2026,6,26),tblDaily[WardCode],"MAE")=0,"",SUMIFS(tblDaily[Admissions],tblDaily[EntryDate],DATE(2026,6,26),tblDaily[WardCode],"MAE")),"")</f>
        <v/>
      </c>
      <c r="C227" s="29" t="str">
        <f>IFERROR(IF(SUMIFS(tblDaily[Discharges],tblDaily[EntryDate],DATE(2026,6,26),tblDaily[WardCode],"MAE")=0,"",SUMIFS(tblDaily[Discharges],tblDaily[EntryDate],DATE(2026,6,26),tblDaily[WardCode],"MAE")),"")</f>
        <v/>
      </c>
      <c r="D227" s="29" t="str">
        <f>IFERROR(IF(SUMIFS(tblDaily[Deaths],tblDaily[EntryDate],DATE(2026,6,26),tblDaily[WardCode],"MAE")=0,"",SUMIFS(tblDaily[Deaths],tblDaily[EntryDate],DATE(2026,6,26),tblDaily[WardCode],"MAE")),"")</f>
        <v/>
      </c>
      <c r="E227" s="29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29" t="str">
        <f>IFERROR(IF(SUMIFS(tblDaily[TransfersIn],tblDaily[EntryDate],DATE(2026,6,26),tblDaily[WardCode],"MAE")=0,"",SUMIFS(tblDaily[TransfersIn],tblDaily[EntryDate],DATE(2026,6,26),tblDaily[WardCode],"MAE")),"")</f>
        <v/>
      </c>
      <c r="G227" s="29" t="str">
        <f>IFERROR(IF(SUMIFS(tblDaily[TransfersOut],tblDaily[EntryDate],DATE(2026,6,26),tblDaily[WardCode],"MAE")=0,"",SUMIFS(tblDaily[TransfersOut],tblDaily[EntryDate],DATE(2026,6,26),tblDaily[WardCode],"MAE")),"")</f>
        <v/>
      </c>
      <c r="H227" s="29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IFERROR(IF(SUMIFS(tblDaily[Admissions],tblDaily[EntryDate],DATE(2026,6,27),tblDaily[WardCode],"MAE")=0,"",SUMIFS(tblDaily[Admissions],tblDaily[EntryDate],DATE(2026,6,27),tblDaily[WardCode],"MAE")),"")</f>
        <v/>
      </c>
      <c r="C228" s="29" t="str">
        <f>IFERROR(IF(SUMIFS(tblDaily[Discharges],tblDaily[EntryDate],DATE(2026,6,27),tblDaily[WardCode],"MAE")=0,"",SUMIFS(tblDaily[Discharges],tblDaily[EntryDate],DATE(2026,6,27),tblDaily[WardCode],"MAE")),"")</f>
        <v/>
      </c>
      <c r="D228" s="29" t="str">
        <f>IFERROR(IF(SUMIFS(tblDaily[Deaths],tblDaily[EntryDate],DATE(2026,6,27),tblDaily[WardCode],"MAE")=0,"",SUMIFS(tblDaily[Deaths],tblDaily[EntryDate],DATE(2026,6,27),tblDaily[WardCode],"MAE")),"")</f>
        <v/>
      </c>
      <c r="E228" s="29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29" t="str">
        <f>IFERROR(IF(SUMIFS(tblDaily[TransfersIn],tblDaily[EntryDate],DATE(2026,6,27),tblDaily[WardCode],"MAE")=0,"",SUMIFS(tblDaily[TransfersIn],tblDaily[EntryDate],DATE(2026,6,27),tblDaily[WardCode],"MAE")),"")</f>
        <v/>
      </c>
      <c r="G228" s="29" t="str">
        <f>IFERROR(IF(SUMIFS(tblDaily[TransfersOut],tblDaily[EntryDate],DATE(2026,6,27),tblDaily[WardCode],"MAE")=0,"",SUMIFS(tblDaily[TransfersOut],tblDaily[EntryDate],DATE(2026,6,27),tblDaily[WardCode],"MAE")),"")</f>
        <v/>
      </c>
      <c r="H228" s="29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IFERROR(IF(SUMIFS(tblDaily[Admissions],tblDaily[EntryDate],DATE(2026,6,28),tblDaily[WardCode],"MAE")=0,"",SUMIFS(tblDaily[Admissions],tblDaily[EntryDate],DATE(2026,6,28),tblDaily[WardCode],"MAE")),"")</f>
        <v/>
      </c>
      <c r="C229" s="29" t="str">
        <f>IFERROR(IF(SUMIFS(tblDaily[Discharges],tblDaily[EntryDate],DATE(2026,6,28),tblDaily[WardCode],"MAE")=0,"",SUMIFS(tblDaily[Discharges],tblDaily[EntryDate],DATE(2026,6,28),tblDaily[WardCode],"MAE")),"")</f>
        <v/>
      </c>
      <c r="D229" s="29" t="str">
        <f>IFERROR(IF(SUMIFS(tblDaily[Deaths],tblDaily[EntryDate],DATE(2026,6,28),tblDaily[WardCode],"MAE")=0,"",SUMIFS(tblDaily[Deaths],tblDaily[EntryDate],DATE(2026,6,28),tblDaily[WardCode],"MAE")),"")</f>
        <v/>
      </c>
      <c r="E229" s="29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29" t="str">
        <f>IFERROR(IF(SUMIFS(tblDaily[TransfersIn],tblDaily[EntryDate],DATE(2026,6,28),tblDaily[WardCode],"MAE")=0,"",SUMIFS(tblDaily[TransfersIn],tblDaily[EntryDate],DATE(2026,6,28),tblDaily[WardCode],"MAE")),"")</f>
        <v/>
      </c>
      <c r="G229" s="29" t="str">
        <f>IFERROR(IF(SUMIFS(tblDaily[TransfersOut],tblDaily[EntryDate],DATE(2026,6,28),tblDaily[WardCode],"MAE")=0,"",SUMIFS(tblDaily[TransfersOut],tblDaily[EntryDate],DATE(2026,6,28),tblDaily[WardCode],"MAE")),"")</f>
        <v/>
      </c>
      <c r="H229" s="29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IFERROR(IF(SUMIFS(tblDaily[Admissions],tblDaily[EntryDate],DATE(2026,6,29),tblDaily[WardCode],"MAE")=0,"",SUMIFS(tblDaily[Admissions],tblDaily[EntryDate],DATE(2026,6,29),tblDaily[WardCode],"MAE")),"")</f>
        <v/>
      </c>
      <c r="C230" s="29" t="str">
        <f>IFERROR(IF(SUMIFS(tblDaily[Discharges],tblDaily[EntryDate],DATE(2026,6,29),tblDaily[WardCode],"MAE")=0,"",SUMIFS(tblDaily[Discharges],tblDaily[EntryDate],DATE(2026,6,29),tblDaily[WardCode],"MAE")),"")</f>
        <v/>
      </c>
      <c r="D230" s="29" t="str">
        <f>IFERROR(IF(SUMIFS(tblDaily[Deaths],tblDaily[EntryDate],DATE(2026,6,29),tblDaily[WardCode],"MAE")=0,"",SUMIFS(tblDaily[Deaths],tblDaily[EntryDate],DATE(2026,6,29),tblDaily[WardCode],"MAE")),"")</f>
        <v/>
      </c>
      <c r="E230" s="29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29" t="str">
        <f>IFERROR(IF(SUMIFS(tblDaily[TransfersIn],tblDaily[EntryDate],DATE(2026,6,29),tblDaily[WardCode],"MAE")=0,"",SUMIFS(tblDaily[TransfersIn],tblDaily[EntryDate],DATE(2026,6,29),tblDaily[WardCode],"MAE")),"")</f>
        <v/>
      </c>
      <c r="G230" s="29" t="str">
        <f>IFERROR(IF(SUMIFS(tblDaily[TransfersOut],tblDaily[EntryDate],DATE(2026,6,29),tblDaily[WardCode],"MAE")=0,"",SUMIFS(tblDaily[TransfersOut],tblDaily[EntryDate],DATE(2026,6,29),tblDaily[WardCode],"MAE")),"")</f>
        <v/>
      </c>
      <c r="H230" s="29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IFERROR(IF(SUMIFS(tblDaily[Admissions],tblDaily[EntryDate],DATE(2026,6,30),tblDaily[WardCode],"MAE")=0,"",SUMIFS(tblDaily[Admissions],tblDaily[EntryDate],DATE(2026,6,30),tblDaily[WardCode],"MAE")),"")</f>
        <v/>
      </c>
      <c r="C231" s="29" t="str">
        <f>IFERROR(IF(SUMIFS(tblDaily[Discharges],tblDaily[EntryDate],DATE(2026,6,30),tblDaily[WardCode],"MAE")=0,"",SUMIFS(tblDaily[Discharges],tblDaily[EntryDate],DATE(2026,6,30),tblDaily[WardCode],"MAE")),"")</f>
        <v/>
      </c>
      <c r="D231" s="29" t="str">
        <f>IFERROR(IF(SUMIFS(tblDaily[Deaths],tblDaily[EntryDate],DATE(2026,6,30),tblDaily[WardCode],"MAE")=0,"",SUMIFS(tblDaily[Deaths],tblDaily[EntryDate],DATE(2026,6,30),tblDaily[WardCode],"MAE")),"")</f>
        <v/>
      </c>
      <c r="E231" s="29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29" t="str">
        <f>IFERROR(IF(SUMIFS(tblDaily[TransfersIn],tblDaily[EntryDate],DATE(2026,6,30),tblDaily[WardCode],"MAE")=0,"",SUMIFS(tblDaily[TransfersIn],tblDaily[EntryDate],DATE(2026,6,30),tblDaily[WardCode],"MAE")),"")</f>
        <v/>
      </c>
      <c r="G231" s="29" t="str">
        <f>IFERROR(IF(SUMIFS(tblDaily[TransfersOut],tblDaily[EntryDate],DATE(2026,6,30),tblDaily[WardCode],"MAE")=0,"",SUMIFS(tblDaily[TransfersOut],tblDaily[EntryDate],DATE(2026,6,30),tblDaily[WardCode],"MAE")),"")</f>
        <v/>
      </c>
      <c r="H231" s="29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SUMIFS(tblDaily[Admissions],tblDaily[Month],6,tblDaily[WardCode],"MAE") - SUMIFS(tblDaily[DeathsUnder24Hrs],tblDaily[Month],6,tblDaily[WardCode],"MAE")</f>
        <v>0</v>
      </c>
      <c r="C233" s="30">
        <f>SUMIFS(tblDaily[Discharges],tblDaily[Month],6,tblDaily[WardCode],"MAE")</f>
        <v>0</v>
      </c>
      <c r="D233" s="30">
        <f>SUMIFS(tblDaily[Deaths],tblDaily[Month],6,tblDaily[WardCode],"MAE")</f>
        <v>0</v>
      </c>
      <c r="E233" s="30">
        <f>SUMIFS(tblDaily[DeathsUnder24Hrs],tblDaily[Month],6,tblDaily[WardCode],"MAE")</f>
        <v>0</v>
      </c>
      <c r="F233" s="30">
        <f>SUMIFS(tblDaily[TransfersIn],tblDaily[Month],6,tblDaily[WardCode],"MAE")</f>
        <v>0</v>
      </c>
      <c r="G233" s="30">
        <f>SUMIFS(tblDaily[TransfersOut],tblDaily[Month],6,tblDaily[WardCode],"MAE")</f>
        <v>0</v>
      </c>
      <c r="H233" s="30">
        <f>SUMIFS(tblDaily[Remaining],tblDaily[Month],6,tblDaily[WardCode],"MAE")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122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IFERROR(SUMIFS(tblDaily[Remaining],tblDaily[EntryDate],DATE(2026,6,30),tblDaily[WardCode],"MAE"),0)</f>
        <v>0</v>
      </c>
    </row>
    <row r="239" spans="1:8" x14ac:dyDescent="0.25">
      <c r="A239" s="24" t="s">
        <v>109</v>
      </c>
      <c r="H239" s="27">
        <f>IFERROR(INDEX(tblWardConfig[BedComplement],MATCH("MAE",tblWardConfig[WardCode],0)),0)</f>
        <v>10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IFERROR(IF(SUMIFS(tblDaily[Admissions],tblDaily[EntryDate],DATE(2026,7,1),tblDaily[WardCode],"MAE")=0,"",SUMIFS(tblDaily[Admissions],tblDaily[EntryDate],DATE(2026,7,1),tblDaily[WardCode],"MAE")),"")</f>
        <v/>
      </c>
      <c r="C241" s="29" t="str">
        <f>IFERROR(IF(SUMIFS(tblDaily[Discharges],tblDaily[EntryDate],DATE(2026,7,1),tblDaily[WardCode],"MAE")=0,"",SUMIFS(tblDaily[Discharges],tblDaily[EntryDate],DATE(2026,7,1),tblDaily[WardCode],"MAE")),"")</f>
        <v/>
      </c>
      <c r="D241" s="29" t="str">
        <f>IFERROR(IF(SUMIFS(tblDaily[Deaths],tblDaily[EntryDate],DATE(2026,7,1),tblDaily[WardCode],"MAE")=0,"",SUMIFS(tblDaily[Deaths],tblDaily[EntryDate],DATE(2026,7,1),tblDaily[WardCode],"MAE")),"")</f>
        <v/>
      </c>
      <c r="E241" s="29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29" t="str">
        <f>IFERROR(IF(SUMIFS(tblDaily[TransfersIn],tblDaily[EntryDate],DATE(2026,7,1),tblDaily[WardCode],"MAE")=0,"",SUMIFS(tblDaily[TransfersIn],tblDaily[EntryDate],DATE(2026,7,1),tblDaily[WardCode],"MAE")),"")</f>
        <v/>
      </c>
      <c r="G241" s="29" t="str">
        <f>IFERROR(IF(SUMIFS(tblDaily[TransfersOut],tblDaily[EntryDate],DATE(2026,7,1),tblDaily[WardCode],"MAE")=0,"",SUMIFS(tblDaily[TransfersOut],tblDaily[EntryDate],DATE(2026,7,1),tblDaily[WardCode],"MAE")),"")</f>
        <v/>
      </c>
      <c r="H241" s="29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IFERROR(IF(SUMIFS(tblDaily[Admissions],tblDaily[EntryDate],DATE(2026,7,2),tblDaily[WardCode],"MAE")=0,"",SUMIFS(tblDaily[Admissions],tblDaily[EntryDate],DATE(2026,7,2),tblDaily[WardCode],"MAE")),"")</f>
        <v/>
      </c>
      <c r="C242" s="29" t="str">
        <f>IFERROR(IF(SUMIFS(tblDaily[Discharges],tblDaily[EntryDate],DATE(2026,7,2),tblDaily[WardCode],"MAE")=0,"",SUMIFS(tblDaily[Discharges],tblDaily[EntryDate],DATE(2026,7,2),tblDaily[WardCode],"MAE")),"")</f>
        <v/>
      </c>
      <c r="D242" s="29" t="str">
        <f>IFERROR(IF(SUMIFS(tblDaily[Deaths],tblDaily[EntryDate],DATE(2026,7,2),tblDaily[WardCode],"MAE")=0,"",SUMIFS(tblDaily[Deaths],tblDaily[EntryDate],DATE(2026,7,2),tblDaily[WardCode],"MAE")),"")</f>
        <v/>
      </c>
      <c r="E242" s="29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29" t="str">
        <f>IFERROR(IF(SUMIFS(tblDaily[TransfersIn],tblDaily[EntryDate],DATE(2026,7,2),tblDaily[WardCode],"MAE")=0,"",SUMIFS(tblDaily[TransfersIn],tblDaily[EntryDate],DATE(2026,7,2),tblDaily[WardCode],"MAE")),"")</f>
        <v/>
      </c>
      <c r="G242" s="29" t="str">
        <f>IFERROR(IF(SUMIFS(tblDaily[TransfersOut],tblDaily[EntryDate],DATE(2026,7,2),tblDaily[WardCode],"MAE")=0,"",SUMIFS(tblDaily[TransfersOut],tblDaily[EntryDate],DATE(2026,7,2),tblDaily[WardCode],"MAE")),"")</f>
        <v/>
      </c>
      <c r="H242" s="29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IFERROR(IF(SUMIFS(tblDaily[Admissions],tblDaily[EntryDate],DATE(2026,7,3),tblDaily[WardCode],"MAE")=0,"",SUMIFS(tblDaily[Admissions],tblDaily[EntryDate],DATE(2026,7,3),tblDaily[WardCode],"MAE")),"")</f>
        <v/>
      </c>
      <c r="C243" s="29" t="str">
        <f>IFERROR(IF(SUMIFS(tblDaily[Discharges],tblDaily[EntryDate],DATE(2026,7,3),tblDaily[WardCode],"MAE")=0,"",SUMIFS(tblDaily[Discharges],tblDaily[EntryDate],DATE(2026,7,3),tblDaily[WardCode],"MAE")),"")</f>
        <v/>
      </c>
      <c r="D243" s="29" t="str">
        <f>IFERROR(IF(SUMIFS(tblDaily[Deaths],tblDaily[EntryDate],DATE(2026,7,3),tblDaily[WardCode],"MAE")=0,"",SUMIFS(tblDaily[Deaths],tblDaily[EntryDate],DATE(2026,7,3),tblDaily[WardCode],"MAE")),"")</f>
        <v/>
      </c>
      <c r="E243" s="29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29" t="str">
        <f>IFERROR(IF(SUMIFS(tblDaily[TransfersIn],tblDaily[EntryDate],DATE(2026,7,3),tblDaily[WardCode],"MAE")=0,"",SUMIFS(tblDaily[TransfersIn],tblDaily[EntryDate],DATE(2026,7,3),tblDaily[WardCode],"MAE")),"")</f>
        <v/>
      </c>
      <c r="G243" s="29" t="str">
        <f>IFERROR(IF(SUMIFS(tblDaily[TransfersOut],tblDaily[EntryDate],DATE(2026,7,3),tblDaily[WardCode],"MAE")=0,"",SUMIFS(tblDaily[TransfersOut],tblDaily[EntryDate],DATE(2026,7,3),tblDaily[WardCode],"MAE")),"")</f>
        <v/>
      </c>
      <c r="H243" s="29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IFERROR(IF(SUMIFS(tblDaily[Admissions],tblDaily[EntryDate],DATE(2026,7,4),tblDaily[WardCode],"MAE")=0,"",SUMIFS(tblDaily[Admissions],tblDaily[EntryDate],DATE(2026,7,4),tblDaily[WardCode],"MAE")),"")</f>
        <v/>
      </c>
      <c r="C244" s="29" t="str">
        <f>IFERROR(IF(SUMIFS(tblDaily[Discharges],tblDaily[EntryDate],DATE(2026,7,4),tblDaily[WardCode],"MAE")=0,"",SUMIFS(tblDaily[Discharges],tblDaily[EntryDate],DATE(2026,7,4),tblDaily[WardCode],"MAE")),"")</f>
        <v/>
      </c>
      <c r="D244" s="29" t="str">
        <f>IFERROR(IF(SUMIFS(tblDaily[Deaths],tblDaily[EntryDate],DATE(2026,7,4),tblDaily[WardCode],"MAE")=0,"",SUMIFS(tblDaily[Deaths],tblDaily[EntryDate],DATE(2026,7,4),tblDaily[WardCode],"MAE")),"")</f>
        <v/>
      </c>
      <c r="E244" s="29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29" t="str">
        <f>IFERROR(IF(SUMIFS(tblDaily[TransfersIn],tblDaily[EntryDate],DATE(2026,7,4),tblDaily[WardCode],"MAE")=0,"",SUMIFS(tblDaily[TransfersIn],tblDaily[EntryDate],DATE(2026,7,4),tblDaily[WardCode],"MAE")),"")</f>
        <v/>
      </c>
      <c r="G244" s="29" t="str">
        <f>IFERROR(IF(SUMIFS(tblDaily[TransfersOut],tblDaily[EntryDate],DATE(2026,7,4),tblDaily[WardCode],"MAE")=0,"",SUMIFS(tblDaily[TransfersOut],tblDaily[EntryDate],DATE(2026,7,4),tblDaily[WardCode],"MAE")),"")</f>
        <v/>
      </c>
      <c r="H244" s="29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IFERROR(IF(SUMIFS(tblDaily[Admissions],tblDaily[EntryDate],DATE(2026,7,5),tblDaily[WardCode],"MAE")=0,"",SUMIFS(tblDaily[Admissions],tblDaily[EntryDate],DATE(2026,7,5),tblDaily[WardCode],"MAE")),"")</f>
        <v/>
      </c>
      <c r="C245" s="29" t="str">
        <f>IFERROR(IF(SUMIFS(tblDaily[Discharges],tblDaily[EntryDate],DATE(2026,7,5),tblDaily[WardCode],"MAE")=0,"",SUMIFS(tblDaily[Discharges],tblDaily[EntryDate],DATE(2026,7,5),tblDaily[WardCode],"MAE")),"")</f>
        <v/>
      </c>
      <c r="D245" s="29" t="str">
        <f>IFERROR(IF(SUMIFS(tblDaily[Deaths],tblDaily[EntryDate],DATE(2026,7,5),tblDaily[WardCode],"MAE")=0,"",SUMIFS(tblDaily[Deaths],tblDaily[EntryDate],DATE(2026,7,5),tblDaily[WardCode],"MAE")),"")</f>
        <v/>
      </c>
      <c r="E245" s="29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29" t="str">
        <f>IFERROR(IF(SUMIFS(tblDaily[TransfersIn],tblDaily[EntryDate],DATE(2026,7,5),tblDaily[WardCode],"MAE")=0,"",SUMIFS(tblDaily[TransfersIn],tblDaily[EntryDate],DATE(2026,7,5),tblDaily[WardCode],"MAE")),"")</f>
        <v/>
      </c>
      <c r="G245" s="29" t="str">
        <f>IFERROR(IF(SUMIFS(tblDaily[TransfersOut],tblDaily[EntryDate],DATE(2026,7,5),tblDaily[WardCode],"MAE")=0,"",SUMIFS(tblDaily[TransfersOut],tblDaily[EntryDate],DATE(2026,7,5),tblDaily[WardCode],"MAE")),"")</f>
        <v/>
      </c>
      <c r="H245" s="29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IFERROR(IF(SUMIFS(tblDaily[Admissions],tblDaily[EntryDate],DATE(2026,7,6),tblDaily[WardCode],"MAE")=0,"",SUMIFS(tblDaily[Admissions],tblDaily[EntryDate],DATE(2026,7,6),tblDaily[WardCode],"MAE")),"")</f>
        <v/>
      </c>
      <c r="C246" s="29" t="str">
        <f>IFERROR(IF(SUMIFS(tblDaily[Discharges],tblDaily[EntryDate],DATE(2026,7,6),tblDaily[WardCode],"MAE")=0,"",SUMIFS(tblDaily[Discharges],tblDaily[EntryDate],DATE(2026,7,6),tblDaily[WardCode],"MAE")),"")</f>
        <v/>
      </c>
      <c r="D246" s="29" t="str">
        <f>IFERROR(IF(SUMIFS(tblDaily[Deaths],tblDaily[EntryDate],DATE(2026,7,6),tblDaily[WardCode],"MAE")=0,"",SUMIFS(tblDaily[Deaths],tblDaily[EntryDate],DATE(2026,7,6),tblDaily[WardCode],"MAE")),"")</f>
        <v/>
      </c>
      <c r="E246" s="29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29" t="str">
        <f>IFERROR(IF(SUMIFS(tblDaily[TransfersIn],tblDaily[EntryDate],DATE(2026,7,6),tblDaily[WardCode],"MAE")=0,"",SUMIFS(tblDaily[TransfersIn],tblDaily[EntryDate],DATE(2026,7,6),tblDaily[WardCode],"MAE")),"")</f>
        <v/>
      </c>
      <c r="G246" s="29" t="str">
        <f>IFERROR(IF(SUMIFS(tblDaily[TransfersOut],tblDaily[EntryDate],DATE(2026,7,6),tblDaily[WardCode],"MAE")=0,"",SUMIFS(tblDaily[TransfersOut],tblDaily[EntryDate],DATE(2026,7,6),tblDaily[WardCode],"MAE")),"")</f>
        <v/>
      </c>
      <c r="H246" s="29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IFERROR(IF(SUMIFS(tblDaily[Admissions],tblDaily[EntryDate],DATE(2026,7,7),tblDaily[WardCode],"MAE")=0,"",SUMIFS(tblDaily[Admissions],tblDaily[EntryDate],DATE(2026,7,7),tblDaily[WardCode],"MAE")),"")</f>
        <v/>
      </c>
      <c r="C247" s="29" t="str">
        <f>IFERROR(IF(SUMIFS(tblDaily[Discharges],tblDaily[EntryDate],DATE(2026,7,7),tblDaily[WardCode],"MAE")=0,"",SUMIFS(tblDaily[Discharges],tblDaily[EntryDate],DATE(2026,7,7),tblDaily[WardCode],"MAE")),"")</f>
        <v/>
      </c>
      <c r="D247" s="29" t="str">
        <f>IFERROR(IF(SUMIFS(tblDaily[Deaths],tblDaily[EntryDate],DATE(2026,7,7),tblDaily[WardCode],"MAE")=0,"",SUMIFS(tblDaily[Deaths],tblDaily[EntryDate],DATE(2026,7,7),tblDaily[WardCode],"MAE")),"")</f>
        <v/>
      </c>
      <c r="E247" s="29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29" t="str">
        <f>IFERROR(IF(SUMIFS(tblDaily[TransfersIn],tblDaily[EntryDate],DATE(2026,7,7),tblDaily[WardCode],"MAE")=0,"",SUMIFS(tblDaily[TransfersIn],tblDaily[EntryDate],DATE(2026,7,7),tblDaily[WardCode],"MAE")),"")</f>
        <v/>
      </c>
      <c r="G247" s="29" t="str">
        <f>IFERROR(IF(SUMIFS(tblDaily[TransfersOut],tblDaily[EntryDate],DATE(2026,7,7),tblDaily[WardCode],"MAE")=0,"",SUMIFS(tblDaily[TransfersOut],tblDaily[EntryDate],DATE(2026,7,7),tblDaily[WardCode],"MAE")),"")</f>
        <v/>
      </c>
      <c r="H247" s="29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IFERROR(IF(SUMIFS(tblDaily[Admissions],tblDaily[EntryDate],DATE(2026,7,8),tblDaily[WardCode],"MAE")=0,"",SUMIFS(tblDaily[Admissions],tblDaily[EntryDate],DATE(2026,7,8),tblDaily[WardCode],"MAE")),"")</f>
        <v/>
      </c>
      <c r="C248" s="29" t="str">
        <f>IFERROR(IF(SUMIFS(tblDaily[Discharges],tblDaily[EntryDate],DATE(2026,7,8),tblDaily[WardCode],"MAE")=0,"",SUMIFS(tblDaily[Discharges],tblDaily[EntryDate],DATE(2026,7,8),tblDaily[WardCode],"MAE")),"")</f>
        <v/>
      </c>
      <c r="D248" s="29" t="str">
        <f>IFERROR(IF(SUMIFS(tblDaily[Deaths],tblDaily[EntryDate],DATE(2026,7,8),tblDaily[WardCode],"MAE")=0,"",SUMIFS(tblDaily[Deaths],tblDaily[EntryDate],DATE(2026,7,8),tblDaily[WardCode],"MAE")),"")</f>
        <v/>
      </c>
      <c r="E248" s="29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29" t="str">
        <f>IFERROR(IF(SUMIFS(tblDaily[TransfersIn],tblDaily[EntryDate],DATE(2026,7,8),tblDaily[WardCode],"MAE")=0,"",SUMIFS(tblDaily[TransfersIn],tblDaily[EntryDate],DATE(2026,7,8),tblDaily[WardCode],"MAE")),"")</f>
        <v/>
      </c>
      <c r="G248" s="29" t="str">
        <f>IFERROR(IF(SUMIFS(tblDaily[TransfersOut],tblDaily[EntryDate],DATE(2026,7,8),tblDaily[WardCode],"MAE")=0,"",SUMIFS(tblDaily[TransfersOut],tblDaily[EntryDate],DATE(2026,7,8),tblDaily[WardCode],"MAE")),"")</f>
        <v/>
      </c>
      <c r="H248" s="29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IFERROR(IF(SUMIFS(tblDaily[Admissions],tblDaily[EntryDate],DATE(2026,7,9),tblDaily[WardCode],"MAE")=0,"",SUMIFS(tblDaily[Admissions],tblDaily[EntryDate],DATE(2026,7,9),tblDaily[WardCode],"MAE")),"")</f>
        <v/>
      </c>
      <c r="C249" s="29" t="str">
        <f>IFERROR(IF(SUMIFS(tblDaily[Discharges],tblDaily[EntryDate],DATE(2026,7,9),tblDaily[WardCode],"MAE")=0,"",SUMIFS(tblDaily[Discharges],tblDaily[EntryDate],DATE(2026,7,9),tblDaily[WardCode],"MAE")),"")</f>
        <v/>
      </c>
      <c r="D249" s="29" t="str">
        <f>IFERROR(IF(SUMIFS(tblDaily[Deaths],tblDaily[EntryDate],DATE(2026,7,9),tblDaily[WardCode],"MAE")=0,"",SUMIFS(tblDaily[Deaths],tblDaily[EntryDate],DATE(2026,7,9),tblDaily[WardCode],"MAE")),"")</f>
        <v/>
      </c>
      <c r="E249" s="29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29" t="str">
        <f>IFERROR(IF(SUMIFS(tblDaily[TransfersIn],tblDaily[EntryDate],DATE(2026,7,9),tblDaily[WardCode],"MAE")=0,"",SUMIFS(tblDaily[TransfersIn],tblDaily[EntryDate],DATE(2026,7,9),tblDaily[WardCode],"MAE")),"")</f>
        <v/>
      </c>
      <c r="G249" s="29" t="str">
        <f>IFERROR(IF(SUMIFS(tblDaily[TransfersOut],tblDaily[EntryDate],DATE(2026,7,9),tblDaily[WardCode],"MAE")=0,"",SUMIFS(tblDaily[TransfersOut],tblDaily[EntryDate],DATE(2026,7,9),tblDaily[WardCode],"MAE")),"")</f>
        <v/>
      </c>
      <c r="H249" s="29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IFERROR(IF(SUMIFS(tblDaily[Admissions],tblDaily[EntryDate],DATE(2026,7,10),tblDaily[WardCode],"MAE")=0,"",SUMIFS(tblDaily[Admissions],tblDaily[EntryDate],DATE(2026,7,10),tblDaily[WardCode],"MAE")),"")</f>
        <v/>
      </c>
      <c r="C250" s="29" t="str">
        <f>IFERROR(IF(SUMIFS(tblDaily[Discharges],tblDaily[EntryDate],DATE(2026,7,10),tblDaily[WardCode],"MAE")=0,"",SUMIFS(tblDaily[Discharges],tblDaily[EntryDate],DATE(2026,7,10),tblDaily[WardCode],"MAE")),"")</f>
        <v/>
      </c>
      <c r="D250" s="29" t="str">
        <f>IFERROR(IF(SUMIFS(tblDaily[Deaths],tblDaily[EntryDate],DATE(2026,7,10),tblDaily[WardCode],"MAE")=0,"",SUMIFS(tblDaily[Deaths],tblDaily[EntryDate],DATE(2026,7,10),tblDaily[WardCode],"MAE")),"")</f>
        <v/>
      </c>
      <c r="E250" s="29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29" t="str">
        <f>IFERROR(IF(SUMIFS(tblDaily[TransfersIn],tblDaily[EntryDate],DATE(2026,7,10),tblDaily[WardCode],"MAE")=0,"",SUMIFS(tblDaily[TransfersIn],tblDaily[EntryDate],DATE(2026,7,10),tblDaily[WardCode],"MAE")),"")</f>
        <v/>
      </c>
      <c r="G250" s="29" t="str">
        <f>IFERROR(IF(SUMIFS(tblDaily[TransfersOut],tblDaily[EntryDate],DATE(2026,7,10),tblDaily[WardCode],"MAE")=0,"",SUMIFS(tblDaily[TransfersOut],tblDaily[EntryDate],DATE(2026,7,10),tblDaily[WardCode],"MAE")),"")</f>
        <v/>
      </c>
      <c r="H250" s="29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IFERROR(IF(SUMIFS(tblDaily[Admissions],tblDaily[EntryDate],DATE(2026,7,11),tblDaily[WardCode],"MAE")=0,"",SUMIFS(tblDaily[Admissions],tblDaily[EntryDate],DATE(2026,7,11),tblDaily[WardCode],"MAE")),"")</f>
        <v/>
      </c>
      <c r="C251" s="29" t="str">
        <f>IFERROR(IF(SUMIFS(tblDaily[Discharges],tblDaily[EntryDate],DATE(2026,7,11),tblDaily[WardCode],"MAE")=0,"",SUMIFS(tblDaily[Discharges],tblDaily[EntryDate],DATE(2026,7,11),tblDaily[WardCode],"MAE")),"")</f>
        <v/>
      </c>
      <c r="D251" s="29" t="str">
        <f>IFERROR(IF(SUMIFS(tblDaily[Deaths],tblDaily[EntryDate],DATE(2026,7,11),tblDaily[WardCode],"MAE")=0,"",SUMIFS(tblDaily[Deaths],tblDaily[EntryDate],DATE(2026,7,11),tblDaily[WardCode],"MAE")),"")</f>
        <v/>
      </c>
      <c r="E251" s="29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29" t="str">
        <f>IFERROR(IF(SUMIFS(tblDaily[TransfersIn],tblDaily[EntryDate],DATE(2026,7,11),tblDaily[WardCode],"MAE")=0,"",SUMIFS(tblDaily[TransfersIn],tblDaily[EntryDate],DATE(2026,7,11),tblDaily[WardCode],"MAE")),"")</f>
        <v/>
      </c>
      <c r="G251" s="29" t="str">
        <f>IFERROR(IF(SUMIFS(tblDaily[TransfersOut],tblDaily[EntryDate],DATE(2026,7,11),tblDaily[WardCode],"MAE")=0,"",SUMIFS(tblDaily[TransfersOut],tblDaily[EntryDate],DATE(2026,7,11),tblDaily[WardCode],"MAE")),"")</f>
        <v/>
      </c>
      <c r="H251" s="29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IFERROR(IF(SUMIFS(tblDaily[Admissions],tblDaily[EntryDate],DATE(2026,7,12),tblDaily[WardCode],"MAE")=0,"",SUMIFS(tblDaily[Admissions],tblDaily[EntryDate],DATE(2026,7,12),tblDaily[WardCode],"MAE")),"")</f>
        <v/>
      </c>
      <c r="C252" s="29" t="str">
        <f>IFERROR(IF(SUMIFS(tblDaily[Discharges],tblDaily[EntryDate],DATE(2026,7,12),tblDaily[WardCode],"MAE")=0,"",SUMIFS(tblDaily[Discharges],tblDaily[EntryDate],DATE(2026,7,12),tblDaily[WardCode],"MAE")),"")</f>
        <v/>
      </c>
      <c r="D252" s="29" t="str">
        <f>IFERROR(IF(SUMIFS(tblDaily[Deaths],tblDaily[EntryDate],DATE(2026,7,12),tblDaily[WardCode],"MAE")=0,"",SUMIFS(tblDaily[Deaths],tblDaily[EntryDate],DATE(2026,7,12),tblDaily[WardCode],"MAE")),"")</f>
        <v/>
      </c>
      <c r="E252" s="29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29" t="str">
        <f>IFERROR(IF(SUMIFS(tblDaily[TransfersIn],tblDaily[EntryDate],DATE(2026,7,12),tblDaily[WardCode],"MAE")=0,"",SUMIFS(tblDaily[TransfersIn],tblDaily[EntryDate],DATE(2026,7,12),tblDaily[WardCode],"MAE")),"")</f>
        <v/>
      </c>
      <c r="G252" s="29" t="str">
        <f>IFERROR(IF(SUMIFS(tblDaily[TransfersOut],tblDaily[EntryDate],DATE(2026,7,12),tblDaily[WardCode],"MAE")=0,"",SUMIFS(tblDaily[TransfersOut],tblDaily[EntryDate],DATE(2026,7,12),tblDaily[WardCode],"MAE")),"")</f>
        <v/>
      </c>
      <c r="H252" s="29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IFERROR(IF(SUMIFS(tblDaily[Admissions],tblDaily[EntryDate],DATE(2026,7,13),tblDaily[WardCode],"MAE")=0,"",SUMIFS(tblDaily[Admissions],tblDaily[EntryDate],DATE(2026,7,13),tblDaily[WardCode],"MAE")),"")</f>
        <v/>
      </c>
      <c r="C253" s="29" t="str">
        <f>IFERROR(IF(SUMIFS(tblDaily[Discharges],tblDaily[EntryDate],DATE(2026,7,13),tblDaily[WardCode],"MAE")=0,"",SUMIFS(tblDaily[Discharges],tblDaily[EntryDate],DATE(2026,7,13),tblDaily[WardCode],"MAE")),"")</f>
        <v/>
      </c>
      <c r="D253" s="29" t="str">
        <f>IFERROR(IF(SUMIFS(tblDaily[Deaths],tblDaily[EntryDate],DATE(2026,7,13),tblDaily[WardCode],"MAE")=0,"",SUMIFS(tblDaily[Deaths],tblDaily[EntryDate],DATE(2026,7,13),tblDaily[WardCode],"MAE")),"")</f>
        <v/>
      </c>
      <c r="E253" s="29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29" t="str">
        <f>IFERROR(IF(SUMIFS(tblDaily[TransfersIn],tblDaily[EntryDate],DATE(2026,7,13),tblDaily[WardCode],"MAE")=0,"",SUMIFS(tblDaily[TransfersIn],tblDaily[EntryDate],DATE(2026,7,13),tblDaily[WardCode],"MAE")),"")</f>
        <v/>
      </c>
      <c r="G253" s="29" t="str">
        <f>IFERROR(IF(SUMIFS(tblDaily[TransfersOut],tblDaily[EntryDate],DATE(2026,7,13),tblDaily[WardCode],"MAE")=0,"",SUMIFS(tblDaily[TransfersOut],tblDaily[EntryDate],DATE(2026,7,13),tblDaily[WardCode],"MAE")),"")</f>
        <v/>
      </c>
      <c r="H253" s="29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IFERROR(IF(SUMIFS(tblDaily[Admissions],tblDaily[EntryDate],DATE(2026,7,14),tblDaily[WardCode],"MAE")=0,"",SUMIFS(tblDaily[Admissions],tblDaily[EntryDate],DATE(2026,7,14),tblDaily[WardCode],"MAE")),"")</f>
        <v/>
      </c>
      <c r="C254" s="29" t="str">
        <f>IFERROR(IF(SUMIFS(tblDaily[Discharges],tblDaily[EntryDate],DATE(2026,7,14),tblDaily[WardCode],"MAE")=0,"",SUMIFS(tblDaily[Discharges],tblDaily[EntryDate],DATE(2026,7,14),tblDaily[WardCode],"MAE")),"")</f>
        <v/>
      </c>
      <c r="D254" s="29" t="str">
        <f>IFERROR(IF(SUMIFS(tblDaily[Deaths],tblDaily[EntryDate],DATE(2026,7,14),tblDaily[WardCode],"MAE")=0,"",SUMIFS(tblDaily[Deaths],tblDaily[EntryDate],DATE(2026,7,14),tblDaily[WardCode],"MAE")),"")</f>
        <v/>
      </c>
      <c r="E254" s="29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29" t="str">
        <f>IFERROR(IF(SUMIFS(tblDaily[TransfersIn],tblDaily[EntryDate],DATE(2026,7,14),tblDaily[WardCode],"MAE")=0,"",SUMIFS(tblDaily[TransfersIn],tblDaily[EntryDate],DATE(2026,7,14),tblDaily[WardCode],"MAE")),"")</f>
        <v/>
      </c>
      <c r="G254" s="29" t="str">
        <f>IFERROR(IF(SUMIFS(tblDaily[TransfersOut],tblDaily[EntryDate],DATE(2026,7,14),tblDaily[WardCode],"MAE")=0,"",SUMIFS(tblDaily[TransfersOut],tblDaily[EntryDate],DATE(2026,7,14),tblDaily[WardCode],"MAE")),"")</f>
        <v/>
      </c>
      <c r="H254" s="29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IFERROR(IF(SUMIFS(tblDaily[Admissions],tblDaily[EntryDate],DATE(2026,7,15),tblDaily[WardCode],"MAE")=0,"",SUMIFS(tblDaily[Admissions],tblDaily[EntryDate],DATE(2026,7,15),tblDaily[WardCode],"MAE")),"")</f>
        <v/>
      </c>
      <c r="C255" s="29" t="str">
        <f>IFERROR(IF(SUMIFS(tblDaily[Discharges],tblDaily[EntryDate],DATE(2026,7,15),tblDaily[WardCode],"MAE")=0,"",SUMIFS(tblDaily[Discharges],tblDaily[EntryDate],DATE(2026,7,15),tblDaily[WardCode],"MAE")),"")</f>
        <v/>
      </c>
      <c r="D255" s="29" t="str">
        <f>IFERROR(IF(SUMIFS(tblDaily[Deaths],tblDaily[EntryDate],DATE(2026,7,15),tblDaily[WardCode],"MAE")=0,"",SUMIFS(tblDaily[Deaths],tblDaily[EntryDate],DATE(2026,7,15),tblDaily[WardCode],"MAE")),"")</f>
        <v/>
      </c>
      <c r="E255" s="29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29" t="str">
        <f>IFERROR(IF(SUMIFS(tblDaily[TransfersIn],tblDaily[EntryDate],DATE(2026,7,15),tblDaily[WardCode],"MAE")=0,"",SUMIFS(tblDaily[TransfersIn],tblDaily[EntryDate],DATE(2026,7,15),tblDaily[WardCode],"MAE")),"")</f>
        <v/>
      </c>
      <c r="G255" s="29" t="str">
        <f>IFERROR(IF(SUMIFS(tblDaily[TransfersOut],tblDaily[EntryDate],DATE(2026,7,15),tblDaily[WardCode],"MAE")=0,"",SUMIFS(tblDaily[TransfersOut],tblDaily[EntryDate],DATE(2026,7,15),tblDaily[WardCode],"MAE")),"")</f>
        <v/>
      </c>
      <c r="H255" s="29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IFERROR(IF(SUMIFS(tblDaily[Admissions],tblDaily[EntryDate],DATE(2026,7,16),tblDaily[WardCode],"MAE")=0,"",SUMIFS(tblDaily[Admissions],tblDaily[EntryDate],DATE(2026,7,16),tblDaily[WardCode],"MAE")),"")</f>
        <v/>
      </c>
      <c r="C256" s="29" t="str">
        <f>IFERROR(IF(SUMIFS(tblDaily[Discharges],tblDaily[EntryDate],DATE(2026,7,16),tblDaily[WardCode],"MAE")=0,"",SUMIFS(tblDaily[Discharges],tblDaily[EntryDate],DATE(2026,7,16),tblDaily[WardCode],"MAE")),"")</f>
        <v/>
      </c>
      <c r="D256" s="29" t="str">
        <f>IFERROR(IF(SUMIFS(tblDaily[Deaths],tblDaily[EntryDate],DATE(2026,7,16),tblDaily[WardCode],"MAE")=0,"",SUMIFS(tblDaily[Deaths],tblDaily[EntryDate],DATE(2026,7,16),tblDaily[WardCode],"MAE")),"")</f>
        <v/>
      </c>
      <c r="E256" s="29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29" t="str">
        <f>IFERROR(IF(SUMIFS(tblDaily[TransfersIn],tblDaily[EntryDate],DATE(2026,7,16),tblDaily[WardCode],"MAE")=0,"",SUMIFS(tblDaily[TransfersIn],tblDaily[EntryDate],DATE(2026,7,16),tblDaily[WardCode],"MAE")),"")</f>
        <v/>
      </c>
      <c r="G256" s="29" t="str">
        <f>IFERROR(IF(SUMIFS(tblDaily[TransfersOut],tblDaily[EntryDate],DATE(2026,7,16),tblDaily[WardCode],"MAE")=0,"",SUMIFS(tblDaily[TransfersOut],tblDaily[EntryDate],DATE(2026,7,16),tblDaily[WardCode],"MAE")),"")</f>
        <v/>
      </c>
      <c r="H256" s="29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IFERROR(IF(SUMIFS(tblDaily[Admissions],tblDaily[EntryDate],DATE(2026,7,17),tblDaily[WardCode],"MAE")=0,"",SUMIFS(tblDaily[Admissions],tblDaily[EntryDate],DATE(2026,7,17),tblDaily[WardCode],"MAE")),"")</f>
        <v/>
      </c>
      <c r="C257" s="29" t="str">
        <f>IFERROR(IF(SUMIFS(tblDaily[Discharges],tblDaily[EntryDate],DATE(2026,7,17),tblDaily[WardCode],"MAE")=0,"",SUMIFS(tblDaily[Discharges],tblDaily[EntryDate],DATE(2026,7,17),tblDaily[WardCode],"MAE")),"")</f>
        <v/>
      </c>
      <c r="D257" s="29" t="str">
        <f>IFERROR(IF(SUMIFS(tblDaily[Deaths],tblDaily[EntryDate],DATE(2026,7,17),tblDaily[WardCode],"MAE")=0,"",SUMIFS(tblDaily[Deaths],tblDaily[EntryDate],DATE(2026,7,17),tblDaily[WardCode],"MAE")),"")</f>
        <v/>
      </c>
      <c r="E257" s="29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29" t="str">
        <f>IFERROR(IF(SUMIFS(tblDaily[TransfersIn],tblDaily[EntryDate],DATE(2026,7,17),tblDaily[WardCode],"MAE")=0,"",SUMIFS(tblDaily[TransfersIn],tblDaily[EntryDate],DATE(2026,7,17),tblDaily[WardCode],"MAE")),"")</f>
        <v/>
      </c>
      <c r="G257" s="29" t="str">
        <f>IFERROR(IF(SUMIFS(tblDaily[TransfersOut],tblDaily[EntryDate],DATE(2026,7,17),tblDaily[WardCode],"MAE")=0,"",SUMIFS(tblDaily[TransfersOut],tblDaily[EntryDate],DATE(2026,7,17),tblDaily[WardCode],"MAE")),"")</f>
        <v/>
      </c>
      <c r="H257" s="29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IFERROR(IF(SUMIFS(tblDaily[Admissions],tblDaily[EntryDate],DATE(2026,7,18),tblDaily[WardCode],"MAE")=0,"",SUMIFS(tblDaily[Admissions],tblDaily[EntryDate],DATE(2026,7,18),tblDaily[WardCode],"MAE")),"")</f>
        <v/>
      </c>
      <c r="C258" s="29" t="str">
        <f>IFERROR(IF(SUMIFS(tblDaily[Discharges],tblDaily[EntryDate],DATE(2026,7,18),tblDaily[WardCode],"MAE")=0,"",SUMIFS(tblDaily[Discharges],tblDaily[EntryDate],DATE(2026,7,18),tblDaily[WardCode],"MAE")),"")</f>
        <v/>
      </c>
      <c r="D258" s="29" t="str">
        <f>IFERROR(IF(SUMIFS(tblDaily[Deaths],tblDaily[EntryDate],DATE(2026,7,18),tblDaily[WardCode],"MAE")=0,"",SUMIFS(tblDaily[Deaths],tblDaily[EntryDate],DATE(2026,7,18),tblDaily[WardCode],"MAE")),"")</f>
        <v/>
      </c>
      <c r="E258" s="29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29" t="str">
        <f>IFERROR(IF(SUMIFS(tblDaily[TransfersIn],tblDaily[EntryDate],DATE(2026,7,18),tblDaily[WardCode],"MAE")=0,"",SUMIFS(tblDaily[TransfersIn],tblDaily[EntryDate],DATE(2026,7,18),tblDaily[WardCode],"MAE")),"")</f>
        <v/>
      </c>
      <c r="G258" s="29" t="str">
        <f>IFERROR(IF(SUMIFS(tblDaily[TransfersOut],tblDaily[EntryDate],DATE(2026,7,18),tblDaily[WardCode],"MAE")=0,"",SUMIFS(tblDaily[TransfersOut],tblDaily[EntryDate],DATE(2026,7,18),tblDaily[WardCode],"MAE")),"")</f>
        <v/>
      </c>
      <c r="H258" s="29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IFERROR(IF(SUMIFS(tblDaily[Admissions],tblDaily[EntryDate],DATE(2026,7,19),tblDaily[WardCode],"MAE")=0,"",SUMIFS(tblDaily[Admissions],tblDaily[EntryDate],DATE(2026,7,19),tblDaily[WardCode],"MAE")),"")</f>
        <v/>
      </c>
      <c r="C259" s="29" t="str">
        <f>IFERROR(IF(SUMIFS(tblDaily[Discharges],tblDaily[EntryDate],DATE(2026,7,19),tblDaily[WardCode],"MAE")=0,"",SUMIFS(tblDaily[Discharges],tblDaily[EntryDate],DATE(2026,7,19),tblDaily[WardCode],"MAE")),"")</f>
        <v/>
      </c>
      <c r="D259" s="29" t="str">
        <f>IFERROR(IF(SUMIFS(tblDaily[Deaths],tblDaily[EntryDate],DATE(2026,7,19),tblDaily[WardCode],"MAE")=0,"",SUMIFS(tblDaily[Deaths],tblDaily[EntryDate],DATE(2026,7,19),tblDaily[WardCode],"MAE")),"")</f>
        <v/>
      </c>
      <c r="E259" s="29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29" t="str">
        <f>IFERROR(IF(SUMIFS(tblDaily[TransfersIn],tblDaily[EntryDate],DATE(2026,7,19),tblDaily[WardCode],"MAE")=0,"",SUMIFS(tblDaily[TransfersIn],tblDaily[EntryDate],DATE(2026,7,19),tblDaily[WardCode],"MAE")),"")</f>
        <v/>
      </c>
      <c r="G259" s="29" t="str">
        <f>IFERROR(IF(SUMIFS(tblDaily[TransfersOut],tblDaily[EntryDate],DATE(2026,7,19),tblDaily[WardCode],"MAE")=0,"",SUMIFS(tblDaily[TransfersOut],tblDaily[EntryDate],DATE(2026,7,19),tblDaily[WardCode],"MAE")),"")</f>
        <v/>
      </c>
      <c r="H259" s="29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IFERROR(IF(SUMIFS(tblDaily[Admissions],tblDaily[EntryDate],DATE(2026,7,20),tblDaily[WardCode],"MAE")=0,"",SUMIFS(tblDaily[Admissions],tblDaily[EntryDate],DATE(2026,7,20),tblDaily[WardCode],"MAE")),"")</f>
        <v/>
      </c>
      <c r="C260" s="29" t="str">
        <f>IFERROR(IF(SUMIFS(tblDaily[Discharges],tblDaily[EntryDate],DATE(2026,7,20),tblDaily[WardCode],"MAE")=0,"",SUMIFS(tblDaily[Discharges],tblDaily[EntryDate],DATE(2026,7,20),tblDaily[WardCode],"MAE")),"")</f>
        <v/>
      </c>
      <c r="D260" s="29" t="str">
        <f>IFERROR(IF(SUMIFS(tblDaily[Deaths],tblDaily[EntryDate],DATE(2026,7,20),tblDaily[WardCode],"MAE")=0,"",SUMIFS(tblDaily[Deaths],tblDaily[EntryDate],DATE(2026,7,20),tblDaily[WardCode],"MAE")),"")</f>
        <v/>
      </c>
      <c r="E260" s="29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29" t="str">
        <f>IFERROR(IF(SUMIFS(tblDaily[TransfersIn],tblDaily[EntryDate],DATE(2026,7,20),tblDaily[WardCode],"MAE")=0,"",SUMIFS(tblDaily[TransfersIn],tblDaily[EntryDate],DATE(2026,7,20),tblDaily[WardCode],"MAE")),"")</f>
        <v/>
      </c>
      <c r="G260" s="29" t="str">
        <f>IFERROR(IF(SUMIFS(tblDaily[TransfersOut],tblDaily[EntryDate],DATE(2026,7,20),tblDaily[WardCode],"MAE")=0,"",SUMIFS(tblDaily[TransfersOut],tblDaily[EntryDate],DATE(2026,7,20),tblDaily[WardCode],"MAE")),"")</f>
        <v/>
      </c>
      <c r="H260" s="29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IFERROR(IF(SUMIFS(tblDaily[Admissions],tblDaily[EntryDate],DATE(2026,7,21),tblDaily[WardCode],"MAE")=0,"",SUMIFS(tblDaily[Admissions],tblDaily[EntryDate],DATE(2026,7,21),tblDaily[WardCode],"MAE")),"")</f>
        <v/>
      </c>
      <c r="C261" s="29" t="str">
        <f>IFERROR(IF(SUMIFS(tblDaily[Discharges],tblDaily[EntryDate],DATE(2026,7,21),tblDaily[WardCode],"MAE")=0,"",SUMIFS(tblDaily[Discharges],tblDaily[EntryDate],DATE(2026,7,21),tblDaily[WardCode],"MAE")),"")</f>
        <v/>
      </c>
      <c r="D261" s="29" t="str">
        <f>IFERROR(IF(SUMIFS(tblDaily[Deaths],tblDaily[EntryDate],DATE(2026,7,21),tblDaily[WardCode],"MAE")=0,"",SUMIFS(tblDaily[Deaths],tblDaily[EntryDate],DATE(2026,7,21),tblDaily[WardCode],"MAE")),"")</f>
        <v/>
      </c>
      <c r="E261" s="29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29" t="str">
        <f>IFERROR(IF(SUMIFS(tblDaily[TransfersIn],tblDaily[EntryDate],DATE(2026,7,21),tblDaily[WardCode],"MAE")=0,"",SUMIFS(tblDaily[TransfersIn],tblDaily[EntryDate],DATE(2026,7,21),tblDaily[WardCode],"MAE")),"")</f>
        <v/>
      </c>
      <c r="G261" s="29" t="str">
        <f>IFERROR(IF(SUMIFS(tblDaily[TransfersOut],tblDaily[EntryDate],DATE(2026,7,21),tblDaily[WardCode],"MAE")=0,"",SUMIFS(tblDaily[TransfersOut],tblDaily[EntryDate],DATE(2026,7,21),tblDaily[WardCode],"MAE")),"")</f>
        <v/>
      </c>
      <c r="H261" s="29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IFERROR(IF(SUMIFS(tblDaily[Admissions],tblDaily[EntryDate],DATE(2026,7,22),tblDaily[WardCode],"MAE")=0,"",SUMIFS(tblDaily[Admissions],tblDaily[EntryDate],DATE(2026,7,22),tblDaily[WardCode],"MAE")),"")</f>
        <v/>
      </c>
      <c r="C262" s="29" t="str">
        <f>IFERROR(IF(SUMIFS(tblDaily[Discharges],tblDaily[EntryDate],DATE(2026,7,22),tblDaily[WardCode],"MAE")=0,"",SUMIFS(tblDaily[Discharges],tblDaily[EntryDate],DATE(2026,7,22),tblDaily[WardCode],"MAE")),"")</f>
        <v/>
      </c>
      <c r="D262" s="29" t="str">
        <f>IFERROR(IF(SUMIFS(tblDaily[Deaths],tblDaily[EntryDate],DATE(2026,7,22),tblDaily[WardCode],"MAE")=0,"",SUMIFS(tblDaily[Deaths],tblDaily[EntryDate],DATE(2026,7,22),tblDaily[WardCode],"MAE")),"")</f>
        <v/>
      </c>
      <c r="E262" s="29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29" t="str">
        <f>IFERROR(IF(SUMIFS(tblDaily[TransfersIn],tblDaily[EntryDate],DATE(2026,7,22),tblDaily[WardCode],"MAE")=0,"",SUMIFS(tblDaily[TransfersIn],tblDaily[EntryDate],DATE(2026,7,22),tblDaily[WardCode],"MAE")),"")</f>
        <v/>
      </c>
      <c r="G262" s="29" t="str">
        <f>IFERROR(IF(SUMIFS(tblDaily[TransfersOut],tblDaily[EntryDate],DATE(2026,7,22),tblDaily[WardCode],"MAE")=0,"",SUMIFS(tblDaily[TransfersOut],tblDaily[EntryDate],DATE(2026,7,22),tblDaily[WardCode],"MAE")),"")</f>
        <v/>
      </c>
      <c r="H262" s="29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IFERROR(IF(SUMIFS(tblDaily[Admissions],tblDaily[EntryDate],DATE(2026,7,23),tblDaily[WardCode],"MAE")=0,"",SUMIFS(tblDaily[Admissions],tblDaily[EntryDate],DATE(2026,7,23),tblDaily[WardCode],"MAE")),"")</f>
        <v/>
      </c>
      <c r="C263" s="29" t="str">
        <f>IFERROR(IF(SUMIFS(tblDaily[Discharges],tblDaily[EntryDate],DATE(2026,7,23),tblDaily[WardCode],"MAE")=0,"",SUMIFS(tblDaily[Discharges],tblDaily[EntryDate],DATE(2026,7,23),tblDaily[WardCode],"MAE")),"")</f>
        <v/>
      </c>
      <c r="D263" s="29" t="str">
        <f>IFERROR(IF(SUMIFS(tblDaily[Deaths],tblDaily[EntryDate],DATE(2026,7,23),tblDaily[WardCode],"MAE")=0,"",SUMIFS(tblDaily[Deaths],tblDaily[EntryDate],DATE(2026,7,23),tblDaily[WardCode],"MAE")),"")</f>
        <v/>
      </c>
      <c r="E263" s="29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29" t="str">
        <f>IFERROR(IF(SUMIFS(tblDaily[TransfersIn],tblDaily[EntryDate],DATE(2026,7,23),tblDaily[WardCode],"MAE")=0,"",SUMIFS(tblDaily[TransfersIn],tblDaily[EntryDate],DATE(2026,7,23),tblDaily[WardCode],"MAE")),"")</f>
        <v/>
      </c>
      <c r="G263" s="29" t="str">
        <f>IFERROR(IF(SUMIFS(tblDaily[TransfersOut],tblDaily[EntryDate],DATE(2026,7,23),tblDaily[WardCode],"MAE")=0,"",SUMIFS(tblDaily[TransfersOut],tblDaily[EntryDate],DATE(2026,7,23),tblDaily[WardCode],"MAE")),"")</f>
        <v/>
      </c>
      <c r="H263" s="29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IFERROR(IF(SUMIFS(tblDaily[Admissions],tblDaily[EntryDate],DATE(2026,7,24),tblDaily[WardCode],"MAE")=0,"",SUMIFS(tblDaily[Admissions],tblDaily[EntryDate],DATE(2026,7,24),tblDaily[WardCode],"MAE")),"")</f>
        <v/>
      </c>
      <c r="C264" s="29" t="str">
        <f>IFERROR(IF(SUMIFS(tblDaily[Discharges],tblDaily[EntryDate],DATE(2026,7,24),tblDaily[WardCode],"MAE")=0,"",SUMIFS(tblDaily[Discharges],tblDaily[EntryDate],DATE(2026,7,24),tblDaily[WardCode],"MAE")),"")</f>
        <v/>
      </c>
      <c r="D264" s="29" t="str">
        <f>IFERROR(IF(SUMIFS(tblDaily[Deaths],tblDaily[EntryDate],DATE(2026,7,24),tblDaily[WardCode],"MAE")=0,"",SUMIFS(tblDaily[Deaths],tblDaily[EntryDate],DATE(2026,7,24),tblDaily[WardCode],"MAE")),"")</f>
        <v/>
      </c>
      <c r="E264" s="29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29" t="str">
        <f>IFERROR(IF(SUMIFS(tblDaily[TransfersIn],tblDaily[EntryDate],DATE(2026,7,24),tblDaily[WardCode],"MAE")=0,"",SUMIFS(tblDaily[TransfersIn],tblDaily[EntryDate],DATE(2026,7,24),tblDaily[WardCode],"MAE")),"")</f>
        <v/>
      </c>
      <c r="G264" s="29" t="str">
        <f>IFERROR(IF(SUMIFS(tblDaily[TransfersOut],tblDaily[EntryDate],DATE(2026,7,24),tblDaily[WardCode],"MAE")=0,"",SUMIFS(tblDaily[TransfersOut],tblDaily[EntryDate],DATE(2026,7,24),tblDaily[WardCode],"MAE")),"")</f>
        <v/>
      </c>
      <c r="H264" s="29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IFERROR(IF(SUMIFS(tblDaily[Admissions],tblDaily[EntryDate],DATE(2026,7,25),tblDaily[WardCode],"MAE")=0,"",SUMIFS(tblDaily[Admissions],tblDaily[EntryDate],DATE(2026,7,25),tblDaily[WardCode],"MAE")),"")</f>
        <v/>
      </c>
      <c r="C265" s="29" t="str">
        <f>IFERROR(IF(SUMIFS(tblDaily[Discharges],tblDaily[EntryDate],DATE(2026,7,25),tblDaily[WardCode],"MAE")=0,"",SUMIFS(tblDaily[Discharges],tblDaily[EntryDate],DATE(2026,7,25),tblDaily[WardCode],"MAE")),"")</f>
        <v/>
      </c>
      <c r="D265" s="29" t="str">
        <f>IFERROR(IF(SUMIFS(tblDaily[Deaths],tblDaily[EntryDate],DATE(2026,7,25),tblDaily[WardCode],"MAE")=0,"",SUMIFS(tblDaily[Deaths],tblDaily[EntryDate],DATE(2026,7,25),tblDaily[WardCode],"MAE")),"")</f>
        <v/>
      </c>
      <c r="E265" s="29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29" t="str">
        <f>IFERROR(IF(SUMIFS(tblDaily[TransfersIn],tblDaily[EntryDate],DATE(2026,7,25),tblDaily[WardCode],"MAE")=0,"",SUMIFS(tblDaily[TransfersIn],tblDaily[EntryDate],DATE(2026,7,25),tblDaily[WardCode],"MAE")),"")</f>
        <v/>
      </c>
      <c r="G265" s="29" t="str">
        <f>IFERROR(IF(SUMIFS(tblDaily[TransfersOut],tblDaily[EntryDate],DATE(2026,7,25),tblDaily[WardCode],"MAE")=0,"",SUMIFS(tblDaily[TransfersOut],tblDaily[EntryDate],DATE(2026,7,25),tblDaily[WardCode],"MAE")),"")</f>
        <v/>
      </c>
      <c r="H265" s="29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IFERROR(IF(SUMIFS(tblDaily[Admissions],tblDaily[EntryDate],DATE(2026,7,26),tblDaily[WardCode],"MAE")=0,"",SUMIFS(tblDaily[Admissions],tblDaily[EntryDate],DATE(2026,7,26),tblDaily[WardCode],"MAE")),"")</f>
        <v/>
      </c>
      <c r="C266" s="29" t="str">
        <f>IFERROR(IF(SUMIFS(tblDaily[Discharges],tblDaily[EntryDate],DATE(2026,7,26),tblDaily[WardCode],"MAE")=0,"",SUMIFS(tblDaily[Discharges],tblDaily[EntryDate],DATE(2026,7,26),tblDaily[WardCode],"MAE")),"")</f>
        <v/>
      </c>
      <c r="D266" s="29" t="str">
        <f>IFERROR(IF(SUMIFS(tblDaily[Deaths],tblDaily[EntryDate],DATE(2026,7,26),tblDaily[WardCode],"MAE")=0,"",SUMIFS(tblDaily[Deaths],tblDaily[EntryDate],DATE(2026,7,26),tblDaily[WardCode],"MAE")),"")</f>
        <v/>
      </c>
      <c r="E266" s="29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29" t="str">
        <f>IFERROR(IF(SUMIFS(tblDaily[TransfersIn],tblDaily[EntryDate],DATE(2026,7,26),tblDaily[WardCode],"MAE")=0,"",SUMIFS(tblDaily[TransfersIn],tblDaily[EntryDate],DATE(2026,7,26),tblDaily[WardCode],"MAE")),"")</f>
        <v/>
      </c>
      <c r="G266" s="29" t="str">
        <f>IFERROR(IF(SUMIFS(tblDaily[TransfersOut],tblDaily[EntryDate],DATE(2026,7,26),tblDaily[WardCode],"MAE")=0,"",SUMIFS(tblDaily[TransfersOut],tblDaily[EntryDate],DATE(2026,7,26),tblDaily[WardCode],"MAE")),"")</f>
        <v/>
      </c>
      <c r="H266" s="29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IFERROR(IF(SUMIFS(tblDaily[Admissions],tblDaily[EntryDate],DATE(2026,7,27),tblDaily[WardCode],"MAE")=0,"",SUMIFS(tblDaily[Admissions],tblDaily[EntryDate],DATE(2026,7,27),tblDaily[WardCode],"MAE")),"")</f>
        <v/>
      </c>
      <c r="C267" s="29" t="str">
        <f>IFERROR(IF(SUMIFS(tblDaily[Discharges],tblDaily[EntryDate],DATE(2026,7,27),tblDaily[WardCode],"MAE")=0,"",SUMIFS(tblDaily[Discharges],tblDaily[EntryDate],DATE(2026,7,27),tblDaily[WardCode],"MAE")),"")</f>
        <v/>
      </c>
      <c r="D267" s="29" t="str">
        <f>IFERROR(IF(SUMIFS(tblDaily[Deaths],tblDaily[EntryDate],DATE(2026,7,27),tblDaily[WardCode],"MAE")=0,"",SUMIFS(tblDaily[Deaths],tblDaily[EntryDate],DATE(2026,7,27),tblDaily[WardCode],"MAE")),"")</f>
        <v/>
      </c>
      <c r="E267" s="29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29" t="str">
        <f>IFERROR(IF(SUMIFS(tblDaily[TransfersIn],tblDaily[EntryDate],DATE(2026,7,27),tblDaily[WardCode],"MAE")=0,"",SUMIFS(tblDaily[TransfersIn],tblDaily[EntryDate],DATE(2026,7,27),tblDaily[WardCode],"MAE")),"")</f>
        <v/>
      </c>
      <c r="G267" s="29" t="str">
        <f>IFERROR(IF(SUMIFS(tblDaily[TransfersOut],tblDaily[EntryDate],DATE(2026,7,27),tblDaily[WardCode],"MAE")=0,"",SUMIFS(tblDaily[TransfersOut],tblDaily[EntryDate],DATE(2026,7,27),tblDaily[WardCode],"MAE")),"")</f>
        <v/>
      </c>
      <c r="H267" s="29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IFERROR(IF(SUMIFS(tblDaily[Admissions],tblDaily[EntryDate],DATE(2026,7,28),tblDaily[WardCode],"MAE")=0,"",SUMIFS(tblDaily[Admissions],tblDaily[EntryDate],DATE(2026,7,28),tblDaily[WardCode],"MAE")),"")</f>
        <v/>
      </c>
      <c r="C268" s="29" t="str">
        <f>IFERROR(IF(SUMIFS(tblDaily[Discharges],tblDaily[EntryDate],DATE(2026,7,28),tblDaily[WardCode],"MAE")=0,"",SUMIFS(tblDaily[Discharges],tblDaily[EntryDate],DATE(2026,7,28),tblDaily[WardCode],"MAE")),"")</f>
        <v/>
      </c>
      <c r="D268" s="29" t="str">
        <f>IFERROR(IF(SUMIFS(tblDaily[Deaths],tblDaily[EntryDate],DATE(2026,7,28),tblDaily[WardCode],"MAE")=0,"",SUMIFS(tblDaily[Deaths],tblDaily[EntryDate],DATE(2026,7,28),tblDaily[WardCode],"MAE")),"")</f>
        <v/>
      </c>
      <c r="E268" s="29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29" t="str">
        <f>IFERROR(IF(SUMIFS(tblDaily[TransfersIn],tblDaily[EntryDate],DATE(2026,7,28),tblDaily[WardCode],"MAE")=0,"",SUMIFS(tblDaily[TransfersIn],tblDaily[EntryDate],DATE(2026,7,28),tblDaily[WardCode],"MAE")),"")</f>
        <v/>
      </c>
      <c r="G268" s="29" t="str">
        <f>IFERROR(IF(SUMIFS(tblDaily[TransfersOut],tblDaily[EntryDate],DATE(2026,7,28),tblDaily[WardCode],"MAE")=0,"",SUMIFS(tblDaily[TransfersOut],tblDaily[EntryDate],DATE(2026,7,28),tblDaily[WardCode],"MAE")),"")</f>
        <v/>
      </c>
      <c r="H268" s="29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IFERROR(IF(SUMIFS(tblDaily[Admissions],tblDaily[EntryDate],DATE(2026,7,29),tblDaily[WardCode],"MAE")=0,"",SUMIFS(tblDaily[Admissions],tblDaily[EntryDate],DATE(2026,7,29),tblDaily[WardCode],"MAE")),"")</f>
        <v/>
      </c>
      <c r="C269" s="29" t="str">
        <f>IFERROR(IF(SUMIFS(tblDaily[Discharges],tblDaily[EntryDate],DATE(2026,7,29),tblDaily[WardCode],"MAE")=0,"",SUMIFS(tblDaily[Discharges],tblDaily[EntryDate],DATE(2026,7,29),tblDaily[WardCode],"MAE")),"")</f>
        <v/>
      </c>
      <c r="D269" s="29" t="str">
        <f>IFERROR(IF(SUMIFS(tblDaily[Deaths],tblDaily[EntryDate],DATE(2026,7,29),tblDaily[WardCode],"MAE")=0,"",SUMIFS(tblDaily[Deaths],tblDaily[EntryDate],DATE(2026,7,29),tblDaily[WardCode],"MAE")),"")</f>
        <v/>
      </c>
      <c r="E269" s="29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29" t="str">
        <f>IFERROR(IF(SUMIFS(tblDaily[TransfersIn],tblDaily[EntryDate],DATE(2026,7,29),tblDaily[WardCode],"MAE")=0,"",SUMIFS(tblDaily[TransfersIn],tblDaily[EntryDate],DATE(2026,7,29),tblDaily[WardCode],"MAE")),"")</f>
        <v/>
      </c>
      <c r="G269" s="29" t="str">
        <f>IFERROR(IF(SUMIFS(tblDaily[TransfersOut],tblDaily[EntryDate],DATE(2026,7,29),tblDaily[WardCode],"MAE")=0,"",SUMIFS(tblDaily[TransfersOut],tblDaily[EntryDate],DATE(2026,7,29),tblDaily[WardCode],"MAE")),"")</f>
        <v/>
      </c>
      <c r="H269" s="29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IFERROR(IF(SUMIFS(tblDaily[Admissions],tblDaily[EntryDate],DATE(2026,7,30),tblDaily[WardCode],"MAE")=0,"",SUMIFS(tblDaily[Admissions],tblDaily[EntryDate],DATE(2026,7,30),tblDaily[WardCode],"MAE")),"")</f>
        <v/>
      </c>
      <c r="C270" s="29" t="str">
        <f>IFERROR(IF(SUMIFS(tblDaily[Discharges],tblDaily[EntryDate],DATE(2026,7,30),tblDaily[WardCode],"MAE")=0,"",SUMIFS(tblDaily[Discharges],tblDaily[EntryDate],DATE(2026,7,30),tblDaily[WardCode],"MAE")),"")</f>
        <v/>
      </c>
      <c r="D270" s="29" t="str">
        <f>IFERROR(IF(SUMIFS(tblDaily[Deaths],tblDaily[EntryDate],DATE(2026,7,30),tblDaily[WardCode],"MAE")=0,"",SUMIFS(tblDaily[Deaths],tblDaily[EntryDate],DATE(2026,7,30),tblDaily[WardCode],"MAE")),"")</f>
        <v/>
      </c>
      <c r="E270" s="29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29" t="str">
        <f>IFERROR(IF(SUMIFS(tblDaily[TransfersIn],tblDaily[EntryDate],DATE(2026,7,30),tblDaily[WardCode],"MAE")=0,"",SUMIFS(tblDaily[TransfersIn],tblDaily[EntryDate],DATE(2026,7,30),tblDaily[WardCode],"MAE")),"")</f>
        <v/>
      </c>
      <c r="G270" s="29" t="str">
        <f>IFERROR(IF(SUMIFS(tblDaily[TransfersOut],tblDaily[EntryDate],DATE(2026,7,30),tblDaily[WardCode],"MAE")=0,"",SUMIFS(tblDaily[TransfersOut],tblDaily[EntryDate],DATE(2026,7,30),tblDaily[WardCode],"MAE")),"")</f>
        <v/>
      </c>
      <c r="H270" s="29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IFERROR(IF(SUMIFS(tblDaily[Admissions],tblDaily[EntryDate],DATE(2026,7,31),tblDaily[WardCode],"MAE")=0,"",SUMIFS(tblDaily[Admissions],tblDaily[EntryDate],DATE(2026,7,31),tblDaily[WardCode],"MAE")),"")</f>
        <v/>
      </c>
      <c r="C271" s="29" t="str">
        <f>IFERROR(IF(SUMIFS(tblDaily[Discharges],tblDaily[EntryDate],DATE(2026,7,31),tblDaily[WardCode],"MAE")=0,"",SUMIFS(tblDaily[Discharges],tblDaily[EntryDate],DATE(2026,7,31),tblDaily[WardCode],"MAE")),"")</f>
        <v/>
      </c>
      <c r="D271" s="29" t="str">
        <f>IFERROR(IF(SUMIFS(tblDaily[Deaths],tblDaily[EntryDate],DATE(2026,7,31),tblDaily[WardCode],"MAE")=0,"",SUMIFS(tblDaily[Deaths],tblDaily[EntryDate],DATE(2026,7,31),tblDaily[WardCode],"MAE")),"")</f>
        <v/>
      </c>
      <c r="E271" s="29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29" t="str">
        <f>IFERROR(IF(SUMIFS(tblDaily[TransfersIn],tblDaily[EntryDate],DATE(2026,7,31),tblDaily[WardCode],"MAE")=0,"",SUMIFS(tblDaily[TransfersIn],tblDaily[EntryDate],DATE(2026,7,31),tblDaily[WardCode],"MAE")),"")</f>
        <v/>
      </c>
      <c r="G271" s="29" t="str">
        <f>IFERROR(IF(SUMIFS(tblDaily[TransfersOut],tblDaily[EntryDate],DATE(2026,7,31),tblDaily[WardCode],"MAE")=0,"",SUMIFS(tblDaily[TransfersOut],tblDaily[EntryDate],DATE(2026,7,31),tblDaily[WardCode],"MAE")),"")</f>
        <v/>
      </c>
      <c r="H271" s="29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30" t="s">
        <v>115</v>
      </c>
      <c r="B272" s="30">
        <f>SUMIFS(tblDaily[Admissions],tblDaily[Month],7,tblDaily[WardCode],"MAE") - SUMIFS(tblDaily[DeathsUnder24Hrs],tblDaily[Month],7,tblDaily[WardCode],"MAE")</f>
        <v>0</v>
      </c>
      <c r="C272" s="30">
        <f>SUMIFS(tblDaily[Discharges],tblDaily[Month],7,tblDaily[WardCode],"MAE")</f>
        <v>0</v>
      </c>
      <c r="D272" s="30">
        <f>SUMIFS(tblDaily[Deaths],tblDaily[Month],7,tblDaily[WardCode],"MAE")</f>
        <v>0</v>
      </c>
      <c r="E272" s="30">
        <f>SUMIFS(tblDaily[DeathsUnder24Hrs],tblDaily[Month],7,tblDaily[WardCode],"MAE")</f>
        <v>0</v>
      </c>
      <c r="F272" s="30">
        <f>SUMIFS(tblDaily[TransfersIn],tblDaily[Month],7,tblDaily[WardCode],"MAE")</f>
        <v>0</v>
      </c>
      <c r="G272" s="30">
        <f>SUMIFS(tblDaily[TransfersOut],tblDaily[Month],7,tblDaily[WardCode],"MAE")</f>
        <v>0</v>
      </c>
      <c r="H272" s="30">
        <f>SUMIFS(tblDaily[Remaining],tblDaily[Month],7,tblDaily[WardCode],"MAE")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122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IFERROR(SUMIFS(tblDaily[Remaining],tblDaily[EntryDate],DATE(2026,7,31),tblDaily[WardCode],"MAE"),0)</f>
        <v>0</v>
      </c>
    </row>
    <row r="278" spans="1:8" x14ac:dyDescent="0.25">
      <c r="A278" s="24" t="s">
        <v>109</v>
      </c>
      <c r="H278" s="27">
        <f>IFERROR(INDEX(tblWardConfig[BedComplement],MATCH("MAE",tblWardConfig[WardCode],0)),0)</f>
        <v>10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IFERROR(IF(SUMIFS(tblDaily[Admissions],tblDaily[EntryDate],DATE(2026,8,1),tblDaily[WardCode],"MAE")=0,"",SUMIFS(tblDaily[Admissions],tblDaily[EntryDate],DATE(2026,8,1),tblDaily[WardCode],"MAE")),"")</f>
        <v/>
      </c>
      <c r="C280" s="29" t="str">
        <f>IFERROR(IF(SUMIFS(tblDaily[Discharges],tblDaily[EntryDate],DATE(2026,8,1),tblDaily[WardCode],"MAE")=0,"",SUMIFS(tblDaily[Discharges],tblDaily[EntryDate],DATE(2026,8,1),tblDaily[WardCode],"MAE")),"")</f>
        <v/>
      </c>
      <c r="D280" s="29" t="str">
        <f>IFERROR(IF(SUMIFS(tblDaily[Deaths],tblDaily[EntryDate],DATE(2026,8,1),tblDaily[WardCode],"MAE")=0,"",SUMIFS(tblDaily[Deaths],tblDaily[EntryDate],DATE(2026,8,1),tblDaily[WardCode],"MAE")),"")</f>
        <v/>
      </c>
      <c r="E280" s="29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29" t="str">
        <f>IFERROR(IF(SUMIFS(tblDaily[TransfersIn],tblDaily[EntryDate],DATE(2026,8,1),tblDaily[WardCode],"MAE")=0,"",SUMIFS(tblDaily[TransfersIn],tblDaily[EntryDate],DATE(2026,8,1),tblDaily[WardCode],"MAE")),"")</f>
        <v/>
      </c>
      <c r="G280" s="29" t="str">
        <f>IFERROR(IF(SUMIFS(tblDaily[TransfersOut],tblDaily[EntryDate],DATE(2026,8,1),tblDaily[WardCode],"MAE")=0,"",SUMIFS(tblDaily[TransfersOut],tblDaily[EntryDate],DATE(2026,8,1),tblDaily[WardCode],"MAE")),"")</f>
        <v/>
      </c>
      <c r="H280" s="29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IFERROR(IF(SUMIFS(tblDaily[Admissions],tblDaily[EntryDate],DATE(2026,8,2),tblDaily[WardCode],"MAE")=0,"",SUMIFS(tblDaily[Admissions],tblDaily[EntryDate],DATE(2026,8,2),tblDaily[WardCode],"MAE")),"")</f>
        <v/>
      </c>
      <c r="C281" s="29" t="str">
        <f>IFERROR(IF(SUMIFS(tblDaily[Discharges],tblDaily[EntryDate],DATE(2026,8,2),tblDaily[WardCode],"MAE")=0,"",SUMIFS(tblDaily[Discharges],tblDaily[EntryDate],DATE(2026,8,2),tblDaily[WardCode],"MAE")),"")</f>
        <v/>
      </c>
      <c r="D281" s="29" t="str">
        <f>IFERROR(IF(SUMIFS(tblDaily[Deaths],tblDaily[EntryDate],DATE(2026,8,2),tblDaily[WardCode],"MAE")=0,"",SUMIFS(tblDaily[Deaths],tblDaily[EntryDate],DATE(2026,8,2),tblDaily[WardCode],"MAE")),"")</f>
        <v/>
      </c>
      <c r="E281" s="29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29" t="str">
        <f>IFERROR(IF(SUMIFS(tblDaily[TransfersIn],tblDaily[EntryDate],DATE(2026,8,2),tblDaily[WardCode],"MAE")=0,"",SUMIFS(tblDaily[TransfersIn],tblDaily[EntryDate],DATE(2026,8,2),tblDaily[WardCode],"MAE")),"")</f>
        <v/>
      </c>
      <c r="G281" s="29" t="str">
        <f>IFERROR(IF(SUMIFS(tblDaily[TransfersOut],tblDaily[EntryDate],DATE(2026,8,2),tblDaily[WardCode],"MAE")=0,"",SUMIFS(tblDaily[TransfersOut],tblDaily[EntryDate],DATE(2026,8,2),tblDaily[WardCode],"MAE")),"")</f>
        <v/>
      </c>
      <c r="H281" s="29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IFERROR(IF(SUMIFS(tblDaily[Admissions],tblDaily[EntryDate],DATE(2026,8,3),tblDaily[WardCode],"MAE")=0,"",SUMIFS(tblDaily[Admissions],tblDaily[EntryDate],DATE(2026,8,3),tblDaily[WardCode],"MAE")),"")</f>
        <v/>
      </c>
      <c r="C282" s="29" t="str">
        <f>IFERROR(IF(SUMIFS(tblDaily[Discharges],tblDaily[EntryDate],DATE(2026,8,3),tblDaily[WardCode],"MAE")=0,"",SUMIFS(tblDaily[Discharges],tblDaily[EntryDate],DATE(2026,8,3),tblDaily[WardCode],"MAE")),"")</f>
        <v/>
      </c>
      <c r="D282" s="29" t="str">
        <f>IFERROR(IF(SUMIFS(tblDaily[Deaths],tblDaily[EntryDate],DATE(2026,8,3),tblDaily[WardCode],"MAE")=0,"",SUMIFS(tblDaily[Deaths],tblDaily[EntryDate],DATE(2026,8,3),tblDaily[WardCode],"MAE")),"")</f>
        <v/>
      </c>
      <c r="E282" s="29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29" t="str">
        <f>IFERROR(IF(SUMIFS(tblDaily[TransfersIn],tblDaily[EntryDate],DATE(2026,8,3),tblDaily[WardCode],"MAE")=0,"",SUMIFS(tblDaily[TransfersIn],tblDaily[EntryDate],DATE(2026,8,3),tblDaily[WardCode],"MAE")),"")</f>
        <v/>
      </c>
      <c r="G282" s="29" t="str">
        <f>IFERROR(IF(SUMIFS(tblDaily[TransfersOut],tblDaily[EntryDate],DATE(2026,8,3),tblDaily[WardCode],"MAE")=0,"",SUMIFS(tblDaily[TransfersOut],tblDaily[EntryDate],DATE(2026,8,3),tblDaily[WardCode],"MAE")),"")</f>
        <v/>
      </c>
      <c r="H282" s="29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IFERROR(IF(SUMIFS(tblDaily[Admissions],tblDaily[EntryDate],DATE(2026,8,4),tblDaily[WardCode],"MAE")=0,"",SUMIFS(tblDaily[Admissions],tblDaily[EntryDate],DATE(2026,8,4),tblDaily[WardCode],"MAE")),"")</f>
        <v/>
      </c>
      <c r="C283" s="29" t="str">
        <f>IFERROR(IF(SUMIFS(tblDaily[Discharges],tblDaily[EntryDate],DATE(2026,8,4),tblDaily[WardCode],"MAE")=0,"",SUMIFS(tblDaily[Discharges],tblDaily[EntryDate],DATE(2026,8,4),tblDaily[WardCode],"MAE")),"")</f>
        <v/>
      </c>
      <c r="D283" s="29" t="str">
        <f>IFERROR(IF(SUMIFS(tblDaily[Deaths],tblDaily[EntryDate],DATE(2026,8,4),tblDaily[WardCode],"MAE")=0,"",SUMIFS(tblDaily[Deaths],tblDaily[EntryDate],DATE(2026,8,4),tblDaily[WardCode],"MAE")),"")</f>
        <v/>
      </c>
      <c r="E283" s="29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29" t="str">
        <f>IFERROR(IF(SUMIFS(tblDaily[TransfersIn],tblDaily[EntryDate],DATE(2026,8,4),tblDaily[WardCode],"MAE")=0,"",SUMIFS(tblDaily[TransfersIn],tblDaily[EntryDate],DATE(2026,8,4),tblDaily[WardCode],"MAE")),"")</f>
        <v/>
      </c>
      <c r="G283" s="29" t="str">
        <f>IFERROR(IF(SUMIFS(tblDaily[TransfersOut],tblDaily[EntryDate],DATE(2026,8,4),tblDaily[WardCode],"MAE")=0,"",SUMIFS(tblDaily[TransfersOut],tblDaily[EntryDate],DATE(2026,8,4),tblDaily[WardCode],"MAE")),"")</f>
        <v/>
      </c>
      <c r="H283" s="29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IFERROR(IF(SUMIFS(tblDaily[Admissions],tblDaily[EntryDate],DATE(2026,8,5),tblDaily[WardCode],"MAE")=0,"",SUMIFS(tblDaily[Admissions],tblDaily[EntryDate],DATE(2026,8,5),tblDaily[WardCode],"MAE")),"")</f>
        <v/>
      </c>
      <c r="C284" s="29" t="str">
        <f>IFERROR(IF(SUMIFS(tblDaily[Discharges],tblDaily[EntryDate],DATE(2026,8,5),tblDaily[WardCode],"MAE")=0,"",SUMIFS(tblDaily[Discharges],tblDaily[EntryDate],DATE(2026,8,5),tblDaily[WardCode],"MAE")),"")</f>
        <v/>
      </c>
      <c r="D284" s="29" t="str">
        <f>IFERROR(IF(SUMIFS(tblDaily[Deaths],tblDaily[EntryDate],DATE(2026,8,5),tblDaily[WardCode],"MAE")=0,"",SUMIFS(tblDaily[Deaths],tblDaily[EntryDate],DATE(2026,8,5),tblDaily[WardCode],"MAE")),"")</f>
        <v/>
      </c>
      <c r="E284" s="29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29" t="str">
        <f>IFERROR(IF(SUMIFS(tblDaily[TransfersIn],tblDaily[EntryDate],DATE(2026,8,5),tblDaily[WardCode],"MAE")=0,"",SUMIFS(tblDaily[TransfersIn],tblDaily[EntryDate],DATE(2026,8,5),tblDaily[WardCode],"MAE")),"")</f>
        <v/>
      </c>
      <c r="G284" s="29" t="str">
        <f>IFERROR(IF(SUMIFS(tblDaily[TransfersOut],tblDaily[EntryDate],DATE(2026,8,5),tblDaily[WardCode],"MAE")=0,"",SUMIFS(tblDaily[TransfersOut],tblDaily[EntryDate],DATE(2026,8,5),tblDaily[WardCode],"MAE")),"")</f>
        <v/>
      </c>
      <c r="H284" s="29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IFERROR(IF(SUMIFS(tblDaily[Admissions],tblDaily[EntryDate],DATE(2026,8,6),tblDaily[WardCode],"MAE")=0,"",SUMIFS(tblDaily[Admissions],tblDaily[EntryDate],DATE(2026,8,6),tblDaily[WardCode],"MAE")),"")</f>
        <v/>
      </c>
      <c r="C285" s="29" t="str">
        <f>IFERROR(IF(SUMIFS(tblDaily[Discharges],tblDaily[EntryDate],DATE(2026,8,6),tblDaily[WardCode],"MAE")=0,"",SUMIFS(tblDaily[Discharges],tblDaily[EntryDate],DATE(2026,8,6),tblDaily[WardCode],"MAE")),"")</f>
        <v/>
      </c>
      <c r="D285" s="29" t="str">
        <f>IFERROR(IF(SUMIFS(tblDaily[Deaths],tblDaily[EntryDate],DATE(2026,8,6),tblDaily[WardCode],"MAE")=0,"",SUMIFS(tblDaily[Deaths],tblDaily[EntryDate],DATE(2026,8,6),tblDaily[WardCode],"MAE")),"")</f>
        <v/>
      </c>
      <c r="E285" s="29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29" t="str">
        <f>IFERROR(IF(SUMIFS(tblDaily[TransfersIn],tblDaily[EntryDate],DATE(2026,8,6),tblDaily[WardCode],"MAE")=0,"",SUMIFS(tblDaily[TransfersIn],tblDaily[EntryDate],DATE(2026,8,6),tblDaily[WardCode],"MAE")),"")</f>
        <v/>
      </c>
      <c r="G285" s="29" t="str">
        <f>IFERROR(IF(SUMIFS(tblDaily[TransfersOut],tblDaily[EntryDate],DATE(2026,8,6),tblDaily[WardCode],"MAE")=0,"",SUMIFS(tblDaily[TransfersOut],tblDaily[EntryDate],DATE(2026,8,6),tblDaily[WardCode],"MAE")),"")</f>
        <v/>
      </c>
      <c r="H285" s="29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IFERROR(IF(SUMIFS(tblDaily[Admissions],tblDaily[EntryDate],DATE(2026,8,7),tblDaily[WardCode],"MAE")=0,"",SUMIFS(tblDaily[Admissions],tblDaily[EntryDate],DATE(2026,8,7),tblDaily[WardCode],"MAE")),"")</f>
        <v/>
      </c>
      <c r="C286" s="29" t="str">
        <f>IFERROR(IF(SUMIFS(tblDaily[Discharges],tblDaily[EntryDate],DATE(2026,8,7),tblDaily[WardCode],"MAE")=0,"",SUMIFS(tblDaily[Discharges],tblDaily[EntryDate],DATE(2026,8,7),tblDaily[WardCode],"MAE")),"")</f>
        <v/>
      </c>
      <c r="D286" s="29" t="str">
        <f>IFERROR(IF(SUMIFS(tblDaily[Deaths],tblDaily[EntryDate],DATE(2026,8,7),tblDaily[WardCode],"MAE")=0,"",SUMIFS(tblDaily[Deaths],tblDaily[EntryDate],DATE(2026,8,7),tblDaily[WardCode],"MAE")),"")</f>
        <v/>
      </c>
      <c r="E286" s="29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29" t="str">
        <f>IFERROR(IF(SUMIFS(tblDaily[TransfersIn],tblDaily[EntryDate],DATE(2026,8,7),tblDaily[WardCode],"MAE")=0,"",SUMIFS(tblDaily[TransfersIn],tblDaily[EntryDate],DATE(2026,8,7),tblDaily[WardCode],"MAE")),"")</f>
        <v/>
      </c>
      <c r="G286" s="29" t="str">
        <f>IFERROR(IF(SUMIFS(tblDaily[TransfersOut],tblDaily[EntryDate],DATE(2026,8,7),tblDaily[WardCode],"MAE")=0,"",SUMIFS(tblDaily[TransfersOut],tblDaily[EntryDate],DATE(2026,8,7),tblDaily[WardCode],"MAE")),"")</f>
        <v/>
      </c>
      <c r="H286" s="29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IFERROR(IF(SUMIFS(tblDaily[Admissions],tblDaily[EntryDate],DATE(2026,8,8),tblDaily[WardCode],"MAE")=0,"",SUMIFS(tblDaily[Admissions],tblDaily[EntryDate],DATE(2026,8,8),tblDaily[WardCode],"MAE")),"")</f>
        <v/>
      </c>
      <c r="C287" s="29" t="str">
        <f>IFERROR(IF(SUMIFS(tblDaily[Discharges],tblDaily[EntryDate],DATE(2026,8,8),tblDaily[WardCode],"MAE")=0,"",SUMIFS(tblDaily[Discharges],tblDaily[EntryDate],DATE(2026,8,8),tblDaily[WardCode],"MAE")),"")</f>
        <v/>
      </c>
      <c r="D287" s="29" t="str">
        <f>IFERROR(IF(SUMIFS(tblDaily[Deaths],tblDaily[EntryDate],DATE(2026,8,8),tblDaily[WardCode],"MAE")=0,"",SUMIFS(tblDaily[Deaths],tblDaily[EntryDate],DATE(2026,8,8),tblDaily[WardCode],"MAE")),"")</f>
        <v/>
      </c>
      <c r="E287" s="29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29" t="str">
        <f>IFERROR(IF(SUMIFS(tblDaily[TransfersIn],tblDaily[EntryDate],DATE(2026,8,8),tblDaily[WardCode],"MAE")=0,"",SUMIFS(tblDaily[TransfersIn],tblDaily[EntryDate],DATE(2026,8,8),tblDaily[WardCode],"MAE")),"")</f>
        <v/>
      </c>
      <c r="G287" s="29" t="str">
        <f>IFERROR(IF(SUMIFS(tblDaily[TransfersOut],tblDaily[EntryDate],DATE(2026,8,8),tblDaily[WardCode],"MAE")=0,"",SUMIFS(tblDaily[TransfersOut],tblDaily[EntryDate],DATE(2026,8,8),tblDaily[WardCode],"MAE")),"")</f>
        <v/>
      </c>
      <c r="H287" s="29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IFERROR(IF(SUMIFS(tblDaily[Admissions],tblDaily[EntryDate],DATE(2026,8,9),tblDaily[WardCode],"MAE")=0,"",SUMIFS(tblDaily[Admissions],tblDaily[EntryDate],DATE(2026,8,9),tblDaily[WardCode],"MAE")),"")</f>
        <v/>
      </c>
      <c r="C288" s="29" t="str">
        <f>IFERROR(IF(SUMIFS(tblDaily[Discharges],tblDaily[EntryDate],DATE(2026,8,9),tblDaily[WardCode],"MAE")=0,"",SUMIFS(tblDaily[Discharges],tblDaily[EntryDate],DATE(2026,8,9),tblDaily[WardCode],"MAE")),"")</f>
        <v/>
      </c>
      <c r="D288" s="29" t="str">
        <f>IFERROR(IF(SUMIFS(tblDaily[Deaths],tblDaily[EntryDate],DATE(2026,8,9),tblDaily[WardCode],"MAE")=0,"",SUMIFS(tblDaily[Deaths],tblDaily[EntryDate],DATE(2026,8,9),tblDaily[WardCode],"MAE")),"")</f>
        <v/>
      </c>
      <c r="E288" s="29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29" t="str">
        <f>IFERROR(IF(SUMIFS(tblDaily[TransfersIn],tblDaily[EntryDate],DATE(2026,8,9),tblDaily[WardCode],"MAE")=0,"",SUMIFS(tblDaily[TransfersIn],tblDaily[EntryDate],DATE(2026,8,9),tblDaily[WardCode],"MAE")),"")</f>
        <v/>
      </c>
      <c r="G288" s="29" t="str">
        <f>IFERROR(IF(SUMIFS(tblDaily[TransfersOut],tblDaily[EntryDate],DATE(2026,8,9),tblDaily[WardCode],"MAE")=0,"",SUMIFS(tblDaily[TransfersOut],tblDaily[EntryDate],DATE(2026,8,9),tblDaily[WardCode],"MAE")),"")</f>
        <v/>
      </c>
      <c r="H288" s="29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IFERROR(IF(SUMIFS(tblDaily[Admissions],tblDaily[EntryDate],DATE(2026,8,10),tblDaily[WardCode],"MAE")=0,"",SUMIFS(tblDaily[Admissions],tblDaily[EntryDate],DATE(2026,8,10),tblDaily[WardCode],"MAE")),"")</f>
        <v/>
      </c>
      <c r="C289" s="29" t="str">
        <f>IFERROR(IF(SUMIFS(tblDaily[Discharges],tblDaily[EntryDate],DATE(2026,8,10),tblDaily[WardCode],"MAE")=0,"",SUMIFS(tblDaily[Discharges],tblDaily[EntryDate],DATE(2026,8,10),tblDaily[WardCode],"MAE")),"")</f>
        <v/>
      </c>
      <c r="D289" s="29" t="str">
        <f>IFERROR(IF(SUMIFS(tblDaily[Deaths],tblDaily[EntryDate],DATE(2026,8,10),tblDaily[WardCode],"MAE")=0,"",SUMIFS(tblDaily[Deaths],tblDaily[EntryDate],DATE(2026,8,10),tblDaily[WardCode],"MAE")),"")</f>
        <v/>
      </c>
      <c r="E289" s="29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29" t="str">
        <f>IFERROR(IF(SUMIFS(tblDaily[TransfersIn],tblDaily[EntryDate],DATE(2026,8,10),tblDaily[WardCode],"MAE")=0,"",SUMIFS(tblDaily[TransfersIn],tblDaily[EntryDate],DATE(2026,8,10),tblDaily[WardCode],"MAE")),"")</f>
        <v/>
      </c>
      <c r="G289" s="29" t="str">
        <f>IFERROR(IF(SUMIFS(tblDaily[TransfersOut],tblDaily[EntryDate],DATE(2026,8,10),tblDaily[WardCode],"MAE")=0,"",SUMIFS(tblDaily[TransfersOut],tblDaily[EntryDate],DATE(2026,8,10),tblDaily[WardCode],"MAE")),"")</f>
        <v/>
      </c>
      <c r="H289" s="29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IFERROR(IF(SUMIFS(tblDaily[Admissions],tblDaily[EntryDate],DATE(2026,8,11),tblDaily[WardCode],"MAE")=0,"",SUMIFS(tblDaily[Admissions],tblDaily[EntryDate],DATE(2026,8,11),tblDaily[WardCode],"MAE")),"")</f>
        <v/>
      </c>
      <c r="C290" s="29" t="str">
        <f>IFERROR(IF(SUMIFS(tblDaily[Discharges],tblDaily[EntryDate],DATE(2026,8,11),tblDaily[WardCode],"MAE")=0,"",SUMIFS(tblDaily[Discharges],tblDaily[EntryDate],DATE(2026,8,11),tblDaily[WardCode],"MAE")),"")</f>
        <v/>
      </c>
      <c r="D290" s="29" t="str">
        <f>IFERROR(IF(SUMIFS(tblDaily[Deaths],tblDaily[EntryDate],DATE(2026,8,11),tblDaily[WardCode],"MAE")=0,"",SUMIFS(tblDaily[Deaths],tblDaily[EntryDate],DATE(2026,8,11),tblDaily[WardCode],"MAE")),"")</f>
        <v/>
      </c>
      <c r="E290" s="29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29" t="str">
        <f>IFERROR(IF(SUMIFS(tblDaily[TransfersIn],tblDaily[EntryDate],DATE(2026,8,11),tblDaily[WardCode],"MAE")=0,"",SUMIFS(tblDaily[TransfersIn],tblDaily[EntryDate],DATE(2026,8,11),tblDaily[WardCode],"MAE")),"")</f>
        <v/>
      </c>
      <c r="G290" s="29" t="str">
        <f>IFERROR(IF(SUMIFS(tblDaily[TransfersOut],tblDaily[EntryDate],DATE(2026,8,11),tblDaily[WardCode],"MAE")=0,"",SUMIFS(tblDaily[TransfersOut],tblDaily[EntryDate],DATE(2026,8,11),tblDaily[WardCode],"MAE")),"")</f>
        <v/>
      </c>
      <c r="H290" s="29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IFERROR(IF(SUMIFS(tblDaily[Admissions],tblDaily[EntryDate],DATE(2026,8,12),tblDaily[WardCode],"MAE")=0,"",SUMIFS(tblDaily[Admissions],tblDaily[EntryDate],DATE(2026,8,12),tblDaily[WardCode],"MAE")),"")</f>
        <v/>
      </c>
      <c r="C291" s="29" t="str">
        <f>IFERROR(IF(SUMIFS(tblDaily[Discharges],tblDaily[EntryDate],DATE(2026,8,12),tblDaily[WardCode],"MAE")=0,"",SUMIFS(tblDaily[Discharges],tblDaily[EntryDate],DATE(2026,8,12),tblDaily[WardCode],"MAE")),"")</f>
        <v/>
      </c>
      <c r="D291" s="29" t="str">
        <f>IFERROR(IF(SUMIFS(tblDaily[Deaths],tblDaily[EntryDate],DATE(2026,8,12),tblDaily[WardCode],"MAE")=0,"",SUMIFS(tblDaily[Deaths],tblDaily[EntryDate],DATE(2026,8,12),tblDaily[WardCode],"MAE")),"")</f>
        <v/>
      </c>
      <c r="E291" s="29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29" t="str">
        <f>IFERROR(IF(SUMIFS(tblDaily[TransfersIn],tblDaily[EntryDate],DATE(2026,8,12),tblDaily[WardCode],"MAE")=0,"",SUMIFS(tblDaily[TransfersIn],tblDaily[EntryDate],DATE(2026,8,12),tblDaily[WardCode],"MAE")),"")</f>
        <v/>
      </c>
      <c r="G291" s="29" t="str">
        <f>IFERROR(IF(SUMIFS(tblDaily[TransfersOut],tblDaily[EntryDate],DATE(2026,8,12),tblDaily[WardCode],"MAE")=0,"",SUMIFS(tblDaily[TransfersOut],tblDaily[EntryDate],DATE(2026,8,12),tblDaily[WardCode],"MAE")),"")</f>
        <v/>
      </c>
      <c r="H291" s="29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IFERROR(IF(SUMIFS(tblDaily[Admissions],tblDaily[EntryDate],DATE(2026,8,13),tblDaily[WardCode],"MAE")=0,"",SUMIFS(tblDaily[Admissions],tblDaily[EntryDate],DATE(2026,8,13),tblDaily[WardCode],"MAE")),"")</f>
        <v/>
      </c>
      <c r="C292" s="29" t="str">
        <f>IFERROR(IF(SUMIFS(tblDaily[Discharges],tblDaily[EntryDate],DATE(2026,8,13),tblDaily[WardCode],"MAE")=0,"",SUMIFS(tblDaily[Discharges],tblDaily[EntryDate],DATE(2026,8,13),tblDaily[WardCode],"MAE")),"")</f>
        <v/>
      </c>
      <c r="D292" s="29" t="str">
        <f>IFERROR(IF(SUMIFS(tblDaily[Deaths],tblDaily[EntryDate],DATE(2026,8,13),tblDaily[WardCode],"MAE")=0,"",SUMIFS(tblDaily[Deaths],tblDaily[EntryDate],DATE(2026,8,13),tblDaily[WardCode],"MAE")),"")</f>
        <v/>
      </c>
      <c r="E292" s="29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29" t="str">
        <f>IFERROR(IF(SUMIFS(tblDaily[TransfersIn],tblDaily[EntryDate],DATE(2026,8,13),tblDaily[WardCode],"MAE")=0,"",SUMIFS(tblDaily[TransfersIn],tblDaily[EntryDate],DATE(2026,8,13),tblDaily[WardCode],"MAE")),"")</f>
        <v/>
      </c>
      <c r="G292" s="29" t="str">
        <f>IFERROR(IF(SUMIFS(tblDaily[TransfersOut],tblDaily[EntryDate],DATE(2026,8,13),tblDaily[WardCode],"MAE")=0,"",SUMIFS(tblDaily[TransfersOut],tblDaily[EntryDate],DATE(2026,8,13),tblDaily[WardCode],"MAE")),"")</f>
        <v/>
      </c>
      <c r="H292" s="29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IFERROR(IF(SUMIFS(tblDaily[Admissions],tblDaily[EntryDate],DATE(2026,8,14),tblDaily[WardCode],"MAE")=0,"",SUMIFS(tblDaily[Admissions],tblDaily[EntryDate],DATE(2026,8,14),tblDaily[WardCode],"MAE")),"")</f>
        <v/>
      </c>
      <c r="C293" s="29" t="str">
        <f>IFERROR(IF(SUMIFS(tblDaily[Discharges],tblDaily[EntryDate],DATE(2026,8,14),tblDaily[WardCode],"MAE")=0,"",SUMIFS(tblDaily[Discharges],tblDaily[EntryDate],DATE(2026,8,14),tblDaily[WardCode],"MAE")),"")</f>
        <v/>
      </c>
      <c r="D293" s="29" t="str">
        <f>IFERROR(IF(SUMIFS(tblDaily[Deaths],tblDaily[EntryDate],DATE(2026,8,14),tblDaily[WardCode],"MAE")=0,"",SUMIFS(tblDaily[Deaths],tblDaily[EntryDate],DATE(2026,8,14),tblDaily[WardCode],"MAE")),"")</f>
        <v/>
      </c>
      <c r="E293" s="29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29" t="str">
        <f>IFERROR(IF(SUMIFS(tblDaily[TransfersIn],tblDaily[EntryDate],DATE(2026,8,14),tblDaily[WardCode],"MAE")=0,"",SUMIFS(tblDaily[TransfersIn],tblDaily[EntryDate],DATE(2026,8,14),tblDaily[WardCode],"MAE")),"")</f>
        <v/>
      </c>
      <c r="G293" s="29" t="str">
        <f>IFERROR(IF(SUMIFS(tblDaily[TransfersOut],tblDaily[EntryDate],DATE(2026,8,14),tblDaily[WardCode],"MAE")=0,"",SUMIFS(tblDaily[TransfersOut],tblDaily[EntryDate],DATE(2026,8,14),tblDaily[WardCode],"MAE")),"")</f>
        <v/>
      </c>
      <c r="H293" s="29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IFERROR(IF(SUMIFS(tblDaily[Admissions],tblDaily[EntryDate],DATE(2026,8,15),tblDaily[WardCode],"MAE")=0,"",SUMIFS(tblDaily[Admissions],tblDaily[EntryDate],DATE(2026,8,15),tblDaily[WardCode],"MAE")),"")</f>
        <v/>
      </c>
      <c r="C294" s="29" t="str">
        <f>IFERROR(IF(SUMIFS(tblDaily[Discharges],tblDaily[EntryDate],DATE(2026,8,15),tblDaily[WardCode],"MAE")=0,"",SUMIFS(tblDaily[Discharges],tblDaily[EntryDate],DATE(2026,8,15),tblDaily[WardCode],"MAE")),"")</f>
        <v/>
      </c>
      <c r="D294" s="29" t="str">
        <f>IFERROR(IF(SUMIFS(tblDaily[Deaths],tblDaily[EntryDate],DATE(2026,8,15),tblDaily[WardCode],"MAE")=0,"",SUMIFS(tblDaily[Deaths],tblDaily[EntryDate],DATE(2026,8,15),tblDaily[WardCode],"MAE")),"")</f>
        <v/>
      </c>
      <c r="E294" s="29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29" t="str">
        <f>IFERROR(IF(SUMIFS(tblDaily[TransfersIn],tblDaily[EntryDate],DATE(2026,8,15),tblDaily[WardCode],"MAE")=0,"",SUMIFS(tblDaily[TransfersIn],tblDaily[EntryDate],DATE(2026,8,15),tblDaily[WardCode],"MAE")),"")</f>
        <v/>
      </c>
      <c r="G294" s="29" t="str">
        <f>IFERROR(IF(SUMIFS(tblDaily[TransfersOut],tblDaily[EntryDate],DATE(2026,8,15),tblDaily[WardCode],"MAE")=0,"",SUMIFS(tblDaily[TransfersOut],tblDaily[EntryDate],DATE(2026,8,15),tblDaily[WardCode],"MAE")),"")</f>
        <v/>
      </c>
      <c r="H294" s="29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IFERROR(IF(SUMIFS(tblDaily[Admissions],tblDaily[EntryDate],DATE(2026,8,16),tblDaily[WardCode],"MAE")=0,"",SUMIFS(tblDaily[Admissions],tblDaily[EntryDate],DATE(2026,8,16),tblDaily[WardCode],"MAE")),"")</f>
        <v/>
      </c>
      <c r="C295" s="29" t="str">
        <f>IFERROR(IF(SUMIFS(tblDaily[Discharges],tblDaily[EntryDate],DATE(2026,8,16),tblDaily[WardCode],"MAE")=0,"",SUMIFS(tblDaily[Discharges],tblDaily[EntryDate],DATE(2026,8,16),tblDaily[WardCode],"MAE")),"")</f>
        <v/>
      </c>
      <c r="D295" s="29" t="str">
        <f>IFERROR(IF(SUMIFS(tblDaily[Deaths],tblDaily[EntryDate],DATE(2026,8,16),tblDaily[WardCode],"MAE")=0,"",SUMIFS(tblDaily[Deaths],tblDaily[EntryDate],DATE(2026,8,16),tblDaily[WardCode],"MAE")),"")</f>
        <v/>
      </c>
      <c r="E295" s="29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29" t="str">
        <f>IFERROR(IF(SUMIFS(tblDaily[TransfersIn],tblDaily[EntryDate],DATE(2026,8,16),tblDaily[WardCode],"MAE")=0,"",SUMIFS(tblDaily[TransfersIn],tblDaily[EntryDate],DATE(2026,8,16),tblDaily[WardCode],"MAE")),"")</f>
        <v/>
      </c>
      <c r="G295" s="29" t="str">
        <f>IFERROR(IF(SUMIFS(tblDaily[TransfersOut],tblDaily[EntryDate],DATE(2026,8,16),tblDaily[WardCode],"MAE")=0,"",SUMIFS(tblDaily[TransfersOut],tblDaily[EntryDate],DATE(2026,8,16),tblDaily[WardCode],"MAE")),"")</f>
        <v/>
      </c>
      <c r="H295" s="29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IFERROR(IF(SUMIFS(tblDaily[Admissions],tblDaily[EntryDate],DATE(2026,8,17),tblDaily[WardCode],"MAE")=0,"",SUMIFS(tblDaily[Admissions],tblDaily[EntryDate],DATE(2026,8,17),tblDaily[WardCode],"MAE")),"")</f>
        <v/>
      </c>
      <c r="C296" s="29" t="str">
        <f>IFERROR(IF(SUMIFS(tblDaily[Discharges],tblDaily[EntryDate],DATE(2026,8,17),tblDaily[WardCode],"MAE")=0,"",SUMIFS(tblDaily[Discharges],tblDaily[EntryDate],DATE(2026,8,17),tblDaily[WardCode],"MAE")),"")</f>
        <v/>
      </c>
      <c r="D296" s="29" t="str">
        <f>IFERROR(IF(SUMIFS(tblDaily[Deaths],tblDaily[EntryDate],DATE(2026,8,17),tblDaily[WardCode],"MAE")=0,"",SUMIFS(tblDaily[Deaths],tblDaily[EntryDate],DATE(2026,8,17),tblDaily[WardCode],"MAE")),"")</f>
        <v/>
      </c>
      <c r="E296" s="29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29" t="str">
        <f>IFERROR(IF(SUMIFS(tblDaily[TransfersIn],tblDaily[EntryDate],DATE(2026,8,17),tblDaily[WardCode],"MAE")=0,"",SUMIFS(tblDaily[TransfersIn],tblDaily[EntryDate],DATE(2026,8,17),tblDaily[WardCode],"MAE")),"")</f>
        <v/>
      </c>
      <c r="G296" s="29" t="str">
        <f>IFERROR(IF(SUMIFS(tblDaily[TransfersOut],tblDaily[EntryDate],DATE(2026,8,17),tblDaily[WardCode],"MAE")=0,"",SUMIFS(tblDaily[TransfersOut],tblDaily[EntryDate],DATE(2026,8,17),tblDaily[WardCode],"MAE")),"")</f>
        <v/>
      </c>
      <c r="H296" s="29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IFERROR(IF(SUMIFS(tblDaily[Admissions],tblDaily[EntryDate],DATE(2026,8,18),tblDaily[WardCode],"MAE")=0,"",SUMIFS(tblDaily[Admissions],tblDaily[EntryDate],DATE(2026,8,18),tblDaily[WardCode],"MAE")),"")</f>
        <v/>
      </c>
      <c r="C297" s="29" t="str">
        <f>IFERROR(IF(SUMIFS(tblDaily[Discharges],tblDaily[EntryDate],DATE(2026,8,18),tblDaily[WardCode],"MAE")=0,"",SUMIFS(tblDaily[Discharges],tblDaily[EntryDate],DATE(2026,8,18),tblDaily[WardCode],"MAE")),"")</f>
        <v/>
      </c>
      <c r="D297" s="29" t="str">
        <f>IFERROR(IF(SUMIFS(tblDaily[Deaths],tblDaily[EntryDate],DATE(2026,8,18),tblDaily[WardCode],"MAE")=0,"",SUMIFS(tblDaily[Deaths],tblDaily[EntryDate],DATE(2026,8,18),tblDaily[WardCode],"MAE")),"")</f>
        <v/>
      </c>
      <c r="E297" s="29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29" t="str">
        <f>IFERROR(IF(SUMIFS(tblDaily[TransfersIn],tblDaily[EntryDate],DATE(2026,8,18),tblDaily[WardCode],"MAE")=0,"",SUMIFS(tblDaily[TransfersIn],tblDaily[EntryDate],DATE(2026,8,18),tblDaily[WardCode],"MAE")),"")</f>
        <v/>
      </c>
      <c r="G297" s="29" t="str">
        <f>IFERROR(IF(SUMIFS(tblDaily[TransfersOut],tblDaily[EntryDate],DATE(2026,8,18),tblDaily[WardCode],"MAE")=0,"",SUMIFS(tblDaily[TransfersOut],tblDaily[EntryDate],DATE(2026,8,18),tblDaily[WardCode],"MAE")),"")</f>
        <v/>
      </c>
      <c r="H297" s="29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IFERROR(IF(SUMIFS(tblDaily[Admissions],tblDaily[EntryDate],DATE(2026,8,19),tblDaily[WardCode],"MAE")=0,"",SUMIFS(tblDaily[Admissions],tblDaily[EntryDate],DATE(2026,8,19),tblDaily[WardCode],"MAE")),"")</f>
        <v/>
      </c>
      <c r="C298" s="29" t="str">
        <f>IFERROR(IF(SUMIFS(tblDaily[Discharges],tblDaily[EntryDate],DATE(2026,8,19),tblDaily[WardCode],"MAE")=0,"",SUMIFS(tblDaily[Discharges],tblDaily[EntryDate],DATE(2026,8,19),tblDaily[WardCode],"MAE")),"")</f>
        <v/>
      </c>
      <c r="D298" s="29" t="str">
        <f>IFERROR(IF(SUMIFS(tblDaily[Deaths],tblDaily[EntryDate],DATE(2026,8,19),tblDaily[WardCode],"MAE")=0,"",SUMIFS(tblDaily[Deaths],tblDaily[EntryDate],DATE(2026,8,19),tblDaily[WardCode],"MAE")),"")</f>
        <v/>
      </c>
      <c r="E298" s="29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29" t="str">
        <f>IFERROR(IF(SUMIFS(tblDaily[TransfersIn],tblDaily[EntryDate],DATE(2026,8,19),tblDaily[WardCode],"MAE")=0,"",SUMIFS(tblDaily[TransfersIn],tblDaily[EntryDate],DATE(2026,8,19),tblDaily[WardCode],"MAE")),"")</f>
        <v/>
      </c>
      <c r="G298" s="29" t="str">
        <f>IFERROR(IF(SUMIFS(tblDaily[TransfersOut],tblDaily[EntryDate],DATE(2026,8,19),tblDaily[WardCode],"MAE")=0,"",SUMIFS(tblDaily[TransfersOut],tblDaily[EntryDate],DATE(2026,8,19),tblDaily[WardCode],"MAE")),"")</f>
        <v/>
      </c>
      <c r="H298" s="29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IFERROR(IF(SUMIFS(tblDaily[Admissions],tblDaily[EntryDate],DATE(2026,8,20),tblDaily[WardCode],"MAE")=0,"",SUMIFS(tblDaily[Admissions],tblDaily[EntryDate],DATE(2026,8,20),tblDaily[WardCode],"MAE")),"")</f>
        <v/>
      </c>
      <c r="C299" s="29" t="str">
        <f>IFERROR(IF(SUMIFS(tblDaily[Discharges],tblDaily[EntryDate],DATE(2026,8,20),tblDaily[WardCode],"MAE")=0,"",SUMIFS(tblDaily[Discharges],tblDaily[EntryDate],DATE(2026,8,20),tblDaily[WardCode],"MAE")),"")</f>
        <v/>
      </c>
      <c r="D299" s="29" t="str">
        <f>IFERROR(IF(SUMIFS(tblDaily[Deaths],tblDaily[EntryDate],DATE(2026,8,20),tblDaily[WardCode],"MAE")=0,"",SUMIFS(tblDaily[Deaths],tblDaily[EntryDate],DATE(2026,8,20),tblDaily[WardCode],"MAE")),"")</f>
        <v/>
      </c>
      <c r="E299" s="29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29" t="str">
        <f>IFERROR(IF(SUMIFS(tblDaily[TransfersIn],tblDaily[EntryDate],DATE(2026,8,20),tblDaily[WardCode],"MAE")=0,"",SUMIFS(tblDaily[TransfersIn],tblDaily[EntryDate],DATE(2026,8,20),tblDaily[WardCode],"MAE")),"")</f>
        <v/>
      </c>
      <c r="G299" s="29" t="str">
        <f>IFERROR(IF(SUMIFS(tblDaily[TransfersOut],tblDaily[EntryDate],DATE(2026,8,20),tblDaily[WardCode],"MAE")=0,"",SUMIFS(tblDaily[TransfersOut],tblDaily[EntryDate],DATE(2026,8,20),tblDaily[WardCode],"MAE")),"")</f>
        <v/>
      </c>
      <c r="H299" s="29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IFERROR(IF(SUMIFS(tblDaily[Admissions],tblDaily[EntryDate],DATE(2026,8,21),tblDaily[WardCode],"MAE")=0,"",SUMIFS(tblDaily[Admissions],tblDaily[EntryDate],DATE(2026,8,21),tblDaily[WardCode],"MAE")),"")</f>
        <v/>
      </c>
      <c r="C300" s="29" t="str">
        <f>IFERROR(IF(SUMIFS(tblDaily[Discharges],tblDaily[EntryDate],DATE(2026,8,21),tblDaily[WardCode],"MAE")=0,"",SUMIFS(tblDaily[Discharges],tblDaily[EntryDate],DATE(2026,8,21),tblDaily[WardCode],"MAE")),"")</f>
        <v/>
      </c>
      <c r="D300" s="29" t="str">
        <f>IFERROR(IF(SUMIFS(tblDaily[Deaths],tblDaily[EntryDate],DATE(2026,8,21),tblDaily[WardCode],"MAE")=0,"",SUMIFS(tblDaily[Deaths],tblDaily[EntryDate],DATE(2026,8,21),tblDaily[WardCode],"MAE")),"")</f>
        <v/>
      </c>
      <c r="E300" s="29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29" t="str">
        <f>IFERROR(IF(SUMIFS(tblDaily[TransfersIn],tblDaily[EntryDate],DATE(2026,8,21),tblDaily[WardCode],"MAE")=0,"",SUMIFS(tblDaily[TransfersIn],tblDaily[EntryDate],DATE(2026,8,21),tblDaily[WardCode],"MAE")),"")</f>
        <v/>
      </c>
      <c r="G300" s="29" t="str">
        <f>IFERROR(IF(SUMIFS(tblDaily[TransfersOut],tblDaily[EntryDate],DATE(2026,8,21),tblDaily[WardCode],"MAE")=0,"",SUMIFS(tblDaily[TransfersOut],tblDaily[EntryDate],DATE(2026,8,21),tblDaily[WardCode],"MAE")),"")</f>
        <v/>
      </c>
      <c r="H300" s="29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IFERROR(IF(SUMIFS(tblDaily[Admissions],tblDaily[EntryDate],DATE(2026,8,22),tblDaily[WardCode],"MAE")=0,"",SUMIFS(tblDaily[Admissions],tblDaily[EntryDate],DATE(2026,8,22),tblDaily[WardCode],"MAE")),"")</f>
        <v/>
      </c>
      <c r="C301" s="29" t="str">
        <f>IFERROR(IF(SUMIFS(tblDaily[Discharges],tblDaily[EntryDate],DATE(2026,8,22),tblDaily[WardCode],"MAE")=0,"",SUMIFS(tblDaily[Discharges],tblDaily[EntryDate],DATE(2026,8,22),tblDaily[WardCode],"MAE")),"")</f>
        <v/>
      </c>
      <c r="D301" s="29" t="str">
        <f>IFERROR(IF(SUMIFS(tblDaily[Deaths],tblDaily[EntryDate],DATE(2026,8,22),tblDaily[WardCode],"MAE")=0,"",SUMIFS(tblDaily[Deaths],tblDaily[EntryDate],DATE(2026,8,22),tblDaily[WardCode],"MAE")),"")</f>
        <v/>
      </c>
      <c r="E301" s="29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29" t="str">
        <f>IFERROR(IF(SUMIFS(tblDaily[TransfersIn],tblDaily[EntryDate],DATE(2026,8,22),tblDaily[WardCode],"MAE")=0,"",SUMIFS(tblDaily[TransfersIn],tblDaily[EntryDate],DATE(2026,8,22),tblDaily[WardCode],"MAE")),"")</f>
        <v/>
      </c>
      <c r="G301" s="29" t="str">
        <f>IFERROR(IF(SUMIFS(tblDaily[TransfersOut],tblDaily[EntryDate],DATE(2026,8,22),tblDaily[WardCode],"MAE")=0,"",SUMIFS(tblDaily[TransfersOut],tblDaily[EntryDate],DATE(2026,8,22),tblDaily[WardCode],"MAE")),"")</f>
        <v/>
      </c>
      <c r="H301" s="29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IFERROR(IF(SUMIFS(tblDaily[Admissions],tblDaily[EntryDate],DATE(2026,8,23),tblDaily[WardCode],"MAE")=0,"",SUMIFS(tblDaily[Admissions],tblDaily[EntryDate],DATE(2026,8,23),tblDaily[WardCode],"MAE")),"")</f>
        <v/>
      </c>
      <c r="C302" s="29" t="str">
        <f>IFERROR(IF(SUMIFS(tblDaily[Discharges],tblDaily[EntryDate],DATE(2026,8,23),tblDaily[WardCode],"MAE")=0,"",SUMIFS(tblDaily[Discharges],tblDaily[EntryDate],DATE(2026,8,23),tblDaily[WardCode],"MAE")),"")</f>
        <v/>
      </c>
      <c r="D302" s="29" t="str">
        <f>IFERROR(IF(SUMIFS(tblDaily[Deaths],tblDaily[EntryDate],DATE(2026,8,23),tblDaily[WardCode],"MAE")=0,"",SUMIFS(tblDaily[Deaths],tblDaily[EntryDate],DATE(2026,8,23),tblDaily[WardCode],"MAE")),"")</f>
        <v/>
      </c>
      <c r="E302" s="29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29" t="str">
        <f>IFERROR(IF(SUMIFS(tblDaily[TransfersIn],tblDaily[EntryDate],DATE(2026,8,23),tblDaily[WardCode],"MAE")=0,"",SUMIFS(tblDaily[TransfersIn],tblDaily[EntryDate],DATE(2026,8,23),tblDaily[WardCode],"MAE")),"")</f>
        <v/>
      </c>
      <c r="G302" s="29" t="str">
        <f>IFERROR(IF(SUMIFS(tblDaily[TransfersOut],tblDaily[EntryDate],DATE(2026,8,23),tblDaily[WardCode],"MAE")=0,"",SUMIFS(tblDaily[TransfersOut],tblDaily[EntryDate],DATE(2026,8,23),tblDaily[WardCode],"MAE")),"")</f>
        <v/>
      </c>
      <c r="H302" s="29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IFERROR(IF(SUMIFS(tblDaily[Admissions],tblDaily[EntryDate],DATE(2026,8,24),tblDaily[WardCode],"MAE")=0,"",SUMIFS(tblDaily[Admissions],tblDaily[EntryDate],DATE(2026,8,24),tblDaily[WardCode],"MAE")),"")</f>
        <v/>
      </c>
      <c r="C303" s="29" t="str">
        <f>IFERROR(IF(SUMIFS(tblDaily[Discharges],tblDaily[EntryDate],DATE(2026,8,24),tblDaily[WardCode],"MAE")=0,"",SUMIFS(tblDaily[Discharges],tblDaily[EntryDate],DATE(2026,8,24),tblDaily[WardCode],"MAE")),"")</f>
        <v/>
      </c>
      <c r="D303" s="29" t="str">
        <f>IFERROR(IF(SUMIFS(tblDaily[Deaths],tblDaily[EntryDate],DATE(2026,8,24),tblDaily[WardCode],"MAE")=0,"",SUMIFS(tblDaily[Deaths],tblDaily[EntryDate],DATE(2026,8,24),tblDaily[WardCode],"MAE")),"")</f>
        <v/>
      </c>
      <c r="E303" s="29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29" t="str">
        <f>IFERROR(IF(SUMIFS(tblDaily[TransfersIn],tblDaily[EntryDate],DATE(2026,8,24),tblDaily[WardCode],"MAE")=0,"",SUMIFS(tblDaily[TransfersIn],tblDaily[EntryDate],DATE(2026,8,24),tblDaily[WardCode],"MAE")),"")</f>
        <v/>
      </c>
      <c r="G303" s="29" t="str">
        <f>IFERROR(IF(SUMIFS(tblDaily[TransfersOut],tblDaily[EntryDate],DATE(2026,8,24),tblDaily[WardCode],"MAE")=0,"",SUMIFS(tblDaily[TransfersOut],tblDaily[EntryDate],DATE(2026,8,24),tblDaily[WardCode],"MAE")),"")</f>
        <v/>
      </c>
      <c r="H303" s="29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IFERROR(IF(SUMIFS(tblDaily[Admissions],tblDaily[EntryDate],DATE(2026,8,25),tblDaily[WardCode],"MAE")=0,"",SUMIFS(tblDaily[Admissions],tblDaily[EntryDate],DATE(2026,8,25),tblDaily[WardCode],"MAE")),"")</f>
        <v/>
      </c>
      <c r="C304" s="29" t="str">
        <f>IFERROR(IF(SUMIFS(tblDaily[Discharges],tblDaily[EntryDate],DATE(2026,8,25),tblDaily[WardCode],"MAE")=0,"",SUMIFS(tblDaily[Discharges],tblDaily[EntryDate],DATE(2026,8,25),tblDaily[WardCode],"MAE")),"")</f>
        <v/>
      </c>
      <c r="D304" s="29" t="str">
        <f>IFERROR(IF(SUMIFS(tblDaily[Deaths],tblDaily[EntryDate],DATE(2026,8,25),tblDaily[WardCode],"MAE")=0,"",SUMIFS(tblDaily[Deaths],tblDaily[EntryDate],DATE(2026,8,25),tblDaily[WardCode],"MAE")),"")</f>
        <v/>
      </c>
      <c r="E304" s="29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29" t="str">
        <f>IFERROR(IF(SUMIFS(tblDaily[TransfersIn],tblDaily[EntryDate],DATE(2026,8,25),tblDaily[WardCode],"MAE")=0,"",SUMIFS(tblDaily[TransfersIn],tblDaily[EntryDate],DATE(2026,8,25),tblDaily[WardCode],"MAE")),"")</f>
        <v/>
      </c>
      <c r="G304" s="29" t="str">
        <f>IFERROR(IF(SUMIFS(tblDaily[TransfersOut],tblDaily[EntryDate],DATE(2026,8,25),tblDaily[WardCode],"MAE")=0,"",SUMIFS(tblDaily[TransfersOut],tblDaily[EntryDate],DATE(2026,8,25),tblDaily[WardCode],"MAE")),"")</f>
        <v/>
      </c>
      <c r="H304" s="29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IFERROR(IF(SUMIFS(tblDaily[Admissions],tblDaily[EntryDate],DATE(2026,8,26),tblDaily[WardCode],"MAE")=0,"",SUMIFS(tblDaily[Admissions],tblDaily[EntryDate],DATE(2026,8,26),tblDaily[WardCode],"MAE")),"")</f>
        <v/>
      </c>
      <c r="C305" s="29" t="str">
        <f>IFERROR(IF(SUMIFS(tblDaily[Discharges],tblDaily[EntryDate],DATE(2026,8,26),tblDaily[WardCode],"MAE")=0,"",SUMIFS(tblDaily[Discharges],tblDaily[EntryDate],DATE(2026,8,26),tblDaily[WardCode],"MAE")),"")</f>
        <v/>
      </c>
      <c r="D305" s="29" t="str">
        <f>IFERROR(IF(SUMIFS(tblDaily[Deaths],tblDaily[EntryDate],DATE(2026,8,26),tblDaily[WardCode],"MAE")=0,"",SUMIFS(tblDaily[Deaths],tblDaily[EntryDate],DATE(2026,8,26),tblDaily[WardCode],"MAE")),"")</f>
        <v/>
      </c>
      <c r="E305" s="29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29" t="str">
        <f>IFERROR(IF(SUMIFS(tblDaily[TransfersIn],tblDaily[EntryDate],DATE(2026,8,26),tblDaily[WardCode],"MAE")=0,"",SUMIFS(tblDaily[TransfersIn],tblDaily[EntryDate],DATE(2026,8,26),tblDaily[WardCode],"MAE")),"")</f>
        <v/>
      </c>
      <c r="G305" s="29" t="str">
        <f>IFERROR(IF(SUMIFS(tblDaily[TransfersOut],tblDaily[EntryDate],DATE(2026,8,26),tblDaily[WardCode],"MAE")=0,"",SUMIFS(tblDaily[TransfersOut],tblDaily[EntryDate],DATE(2026,8,26),tblDaily[WardCode],"MAE")),"")</f>
        <v/>
      </c>
      <c r="H305" s="29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IFERROR(IF(SUMIFS(tblDaily[Admissions],tblDaily[EntryDate],DATE(2026,8,27),tblDaily[WardCode],"MAE")=0,"",SUMIFS(tblDaily[Admissions],tblDaily[EntryDate],DATE(2026,8,27),tblDaily[WardCode],"MAE")),"")</f>
        <v/>
      </c>
      <c r="C306" s="29" t="str">
        <f>IFERROR(IF(SUMIFS(tblDaily[Discharges],tblDaily[EntryDate],DATE(2026,8,27),tblDaily[WardCode],"MAE")=0,"",SUMIFS(tblDaily[Discharges],tblDaily[EntryDate],DATE(2026,8,27),tblDaily[WardCode],"MAE")),"")</f>
        <v/>
      </c>
      <c r="D306" s="29" t="str">
        <f>IFERROR(IF(SUMIFS(tblDaily[Deaths],tblDaily[EntryDate],DATE(2026,8,27),tblDaily[WardCode],"MAE")=0,"",SUMIFS(tblDaily[Deaths],tblDaily[EntryDate],DATE(2026,8,27),tblDaily[WardCode],"MAE")),"")</f>
        <v/>
      </c>
      <c r="E306" s="29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29" t="str">
        <f>IFERROR(IF(SUMIFS(tblDaily[TransfersIn],tblDaily[EntryDate],DATE(2026,8,27),tblDaily[WardCode],"MAE")=0,"",SUMIFS(tblDaily[TransfersIn],tblDaily[EntryDate],DATE(2026,8,27),tblDaily[WardCode],"MAE")),"")</f>
        <v/>
      </c>
      <c r="G306" s="29" t="str">
        <f>IFERROR(IF(SUMIFS(tblDaily[TransfersOut],tblDaily[EntryDate],DATE(2026,8,27),tblDaily[WardCode],"MAE")=0,"",SUMIFS(tblDaily[TransfersOut],tblDaily[EntryDate],DATE(2026,8,27),tblDaily[WardCode],"MAE")),"")</f>
        <v/>
      </c>
      <c r="H306" s="29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IFERROR(IF(SUMIFS(tblDaily[Admissions],tblDaily[EntryDate],DATE(2026,8,28),tblDaily[WardCode],"MAE")=0,"",SUMIFS(tblDaily[Admissions],tblDaily[EntryDate],DATE(2026,8,28),tblDaily[WardCode],"MAE")),"")</f>
        <v/>
      </c>
      <c r="C307" s="29" t="str">
        <f>IFERROR(IF(SUMIFS(tblDaily[Discharges],tblDaily[EntryDate],DATE(2026,8,28),tblDaily[WardCode],"MAE")=0,"",SUMIFS(tblDaily[Discharges],tblDaily[EntryDate],DATE(2026,8,28),tblDaily[WardCode],"MAE")),"")</f>
        <v/>
      </c>
      <c r="D307" s="29" t="str">
        <f>IFERROR(IF(SUMIFS(tblDaily[Deaths],tblDaily[EntryDate],DATE(2026,8,28),tblDaily[WardCode],"MAE")=0,"",SUMIFS(tblDaily[Deaths],tblDaily[EntryDate],DATE(2026,8,28),tblDaily[WardCode],"MAE")),"")</f>
        <v/>
      </c>
      <c r="E307" s="29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29" t="str">
        <f>IFERROR(IF(SUMIFS(tblDaily[TransfersIn],tblDaily[EntryDate],DATE(2026,8,28),tblDaily[WardCode],"MAE")=0,"",SUMIFS(tblDaily[TransfersIn],tblDaily[EntryDate],DATE(2026,8,28),tblDaily[WardCode],"MAE")),"")</f>
        <v/>
      </c>
      <c r="G307" s="29" t="str">
        <f>IFERROR(IF(SUMIFS(tblDaily[TransfersOut],tblDaily[EntryDate],DATE(2026,8,28),tblDaily[WardCode],"MAE")=0,"",SUMIFS(tblDaily[TransfersOut],tblDaily[EntryDate],DATE(2026,8,28),tblDaily[WardCode],"MAE")),"")</f>
        <v/>
      </c>
      <c r="H307" s="29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IFERROR(IF(SUMIFS(tblDaily[Admissions],tblDaily[EntryDate],DATE(2026,8,29),tblDaily[WardCode],"MAE")=0,"",SUMIFS(tblDaily[Admissions],tblDaily[EntryDate],DATE(2026,8,29),tblDaily[WardCode],"MAE")),"")</f>
        <v/>
      </c>
      <c r="C308" s="29" t="str">
        <f>IFERROR(IF(SUMIFS(tblDaily[Discharges],tblDaily[EntryDate],DATE(2026,8,29),tblDaily[WardCode],"MAE")=0,"",SUMIFS(tblDaily[Discharges],tblDaily[EntryDate],DATE(2026,8,29),tblDaily[WardCode],"MAE")),"")</f>
        <v/>
      </c>
      <c r="D308" s="29" t="str">
        <f>IFERROR(IF(SUMIFS(tblDaily[Deaths],tblDaily[EntryDate],DATE(2026,8,29),tblDaily[WardCode],"MAE")=0,"",SUMIFS(tblDaily[Deaths],tblDaily[EntryDate],DATE(2026,8,29),tblDaily[WardCode],"MAE")),"")</f>
        <v/>
      </c>
      <c r="E308" s="29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29" t="str">
        <f>IFERROR(IF(SUMIFS(tblDaily[TransfersIn],tblDaily[EntryDate],DATE(2026,8,29),tblDaily[WardCode],"MAE")=0,"",SUMIFS(tblDaily[TransfersIn],tblDaily[EntryDate],DATE(2026,8,29),tblDaily[WardCode],"MAE")),"")</f>
        <v/>
      </c>
      <c r="G308" s="29" t="str">
        <f>IFERROR(IF(SUMIFS(tblDaily[TransfersOut],tblDaily[EntryDate],DATE(2026,8,29),tblDaily[WardCode],"MAE")=0,"",SUMIFS(tblDaily[TransfersOut],tblDaily[EntryDate],DATE(2026,8,29),tblDaily[WardCode],"MAE")),"")</f>
        <v/>
      </c>
      <c r="H308" s="29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IFERROR(IF(SUMIFS(tblDaily[Admissions],tblDaily[EntryDate],DATE(2026,8,30),tblDaily[WardCode],"MAE")=0,"",SUMIFS(tblDaily[Admissions],tblDaily[EntryDate],DATE(2026,8,30),tblDaily[WardCode],"MAE")),"")</f>
        <v/>
      </c>
      <c r="C309" s="29" t="str">
        <f>IFERROR(IF(SUMIFS(tblDaily[Discharges],tblDaily[EntryDate],DATE(2026,8,30),tblDaily[WardCode],"MAE")=0,"",SUMIFS(tblDaily[Discharges],tblDaily[EntryDate],DATE(2026,8,30),tblDaily[WardCode],"MAE")),"")</f>
        <v/>
      </c>
      <c r="D309" s="29" t="str">
        <f>IFERROR(IF(SUMIFS(tblDaily[Deaths],tblDaily[EntryDate],DATE(2026,8,30),tblDaily[WardCode],"MAE")=0,"",SUMIFS(tblDaily[Deaths],tblDaily[EntryDate],DATE(2026,8,30),tblDaily[WardCode],"MAE")),"")</f>
        <v/>
      </c>
      <c r="E309" s="29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29" t="str">
        <f>IFERROR(IF(SUMIFS(tblDaily[TransfersIn],tblDaily[EntryDate],DATE(2026,8,30),tblDaily[WardCode],"MAE")=0,"",SUMIFS(tblDaily[TransfersIn],tblDaily[EntryDate],DATE(2026,8,30),tblDaily[WardCode],"MAE")),"")</f>
        <v/>
      </c>
      <c r="G309" s="29" t="str">
        <f>IFERROR(IF(SUMIFS(tblDaily[TransfersOut],tblDaily[EntryDate],DATE(2026,8,30),tblDaily[WardCode],"MAE")=0,"",SUMIFS(tblDaily[TransfersOut],tblDaily[EntryDate],DATE(2026,8,30),tblDaily[WardCode],"MAE")),"")</f>
        <v/>
      </c>
      <c r="H309" s="29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IFERROR(IF(SUMIFS(tblDaily[Admissions],tblDaily[EntryDate],DATE(2026,8,31),tblDaily[WardCode],"MAE")=0,"",SUMIFS(tblDaily[Admissions],tblDaily[EntryDate],DATE(2026,8,31),tblDaily[WardCode],"MAE")),"")</f>
        <v/>
      </c>
      <c r="C310" s="29" t="str">
        <f>IFERROR(IF(SUMIFS(tblDaily[Discharges],tblDaily[EntryDate],DATE(2026,8,31),tblDaily[WardCode],"MAE")=0,"",SUMIFS(tblDaily[Discharges],tblDaily[EntryDate],DATE(2026,8,31),tblDaily[WardCode],"MAE")),"")</f>
        <v/>
      </c>
      <c r="D310" s="29" t="str">
        <f>IFERROR(IF(SUMIFS(tblDaily[Deaths],tblDaily[EntryDate],DATE(2026,8,31),tblDaily[WardCode],"MAE")=0,"",SUMIFS(tblDaily[Deaths],tblDaily[EntryDate],DATE(2026,8,31),tblDaily[WardCode],"MAE")),"")</f>
        <v/>
      </c>
      <c r="E310" s="29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29" t="str">
        <f>IFERROR(IF(SUMIFS(tblDaily[TransfersIn],tblDaily[EntryDate],DATE(2026,8,31),tblDaily[WardCode],"MAE")=0,"",SUMIFS(tblDaily[TransfersIn],tblDaily[EntryDate],DATE(2026,8,31),tblDaily[WardCode],"MAE")),"")</f>
        <v/>
      </c>
      <c r="G310" s="29" t="str">
        <f>IFERROR(IF(SUMIFS(tblDaily[TransfersOut],tblDaily[EntryDate],DATE(2026,8,31),tblDaily[WardCode],"MAE")=0,"",SUMIFS(tblDaily[TransfersOut],tblDaily[EntryDate],DATE(2026,8,31),tblDaily[WardCode],"MAE")),"")</f>
        <v/>
      </c>
      <c r="H310" s="29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30" t="s">
        <v>115</v>
      </c>
      <c r="B311" s="30">
        <f>SUMIFS(tblDaily[Admissions],tblDaily[Month],8,tblDaily[WardCode],"MAE") - SUMIFS(tblDaily[DeathsUnder24Hrs],tblDaily[Month],8,tblDaily[WardCode],"MAE")</f>
        <v>0</v>
      </c>
      <c r="C311" s="30">
        <f>SUMIFS(tblDaily[Discharges],tblDaily[Month],8,tblDaily[WardCode],"MAE")</f>
        <v>0</v>
      </c>
      <c r="D311" s="30">
        <f>SUMIFS(tblDaily[Deaths],tblDaily[Month],8,tblDaily[WardCode],"MAE")</f>
        <v>0</v>
      </c>
      <c r="E311" s="30">
        <f>SUMIFS(tblDaily[DeathsUnder24Hrs],tblDaily[Month],8,tblDaily[WardCode],"MAE")</f>
        <v>0</v>
      </c>
      <c r="F311" s="30">
        <f>SUMIFS(tblDaily[TransfersIn],tblDaily[Month],8,tblDaily[WardCode],"MAE")</f>
        <v>0</v>
      </c>
      <c r="G311" s="30">
        <f>SUMIFS(tblDaily[TransfersOut],tblDaily[Month],8,tblDaily[WardCode],"MAE")</f>
        <v>0</v>
      </c>
      <c r="H311" s="30">
        <f>SUMIFS(tblDaily[Remaining],tblDaily[Month],8,tblDaily[WardCode],"MAE")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122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IFERROR(SUMIFS(tblDaily[Remaining],tblDaily[EntryDate],DATE(2026,8,31),tblDaily[WardCode],"MAE"),0)</f>
        <v>0</v>
      </c>
    </row>
    <row r="317" spans="1:8" x14ac:dyDescent="0.25">
      <c r="A317" s="24" t="s">
        <v>109</v>
      </c>
      <c r="H317" s="27">
        <f>IFERROR(INDEX(tblWardConfig[BedComplement],MATCH("MAE",tblWardConfig[WardCode],0)),0)</f>
        <v>10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IFERROR(IF(SUMIFS(tblDaily[Admissions],tblDaily[EntryDate],DATE(2026,9,1),tblDaily[WardCode],"MAE")=0,"",SUMIFS(tblDaily[Admissions],tblDaily[EntryDate],DATE(2026,9,1),tblDaily[WardCode],"MAE")),"")</f>
        <v/>
      </c>
      <c r="C319" s="29" t="str">
        <f>IFERROR(IF(SUMIFS(tblDaily[Discharges],tblDaily[EntryDate],DATE(2026,9,1),tblDaily[WardCode],"MAE")=0,"",SUMIFS(tblDaily[Discharges],tblDaily[EntryDate],DATE(2026,9,1),tblDaily[WardCode],"MAE")),"")</f>
        <v/>
      </c>
      <c r="D319" s="29" t="str">
        <f>IFERROR(IF(SUMIFS(tblDaily[Deaths],tblDaily[EntryDate],DATE(2026,9,1),tblDaily[WardCode],"MAE")=0,"",SUMIFS(tblDaily[Deaths],tblDaily[EntryDate],DATE(2026,9,1),tblDaily[WardCode],"MAE")),"")</f>
        <v/>
      </c>
      <c r="E319" s="29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29" t="str">
        <f>IFERROR(IF(SUMIFS(tblDaily[TransfersIn],tblDaily[EntryDate],DATE(2026,9,1),tblDaily[WardCode],"MAE")=0,"",SUMIFS(tblDaily[TransfersIn],tblDaily[EntryDate],DATE(2026,9,1),tblDaily[WardCode],"MAE")),"")</f>
        <v/>
      </c>
      <c r="G319" s="29" t="str">
        <f>IFERROR(IF(SUMIFS(tblDaily[TransfersOut],tblDaily[EntryDate],DATE(2026,9,1),tblDaily[WardCode],"MAE")=0,"",SUMIFS(tblDaily[TransfersOut],tblDaily[EntryDate],DATE(2026,9,1),tblDaily[WardCode],"MAE")),"")</f>
        <v/>
      </c>
      <c r="H319" s="29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IFERROR(IF(SUMIFS(tblDaily[Admissions],tblDaily[EntryDate],DATE(2026,9,2),tblDaily[WardCode],"MAE")=0,"",SUMIFS(tblDaily[Admissions],tblDaily[EntryDate],DATE(2026,9,2),tblDaily[WardCode],"MAE")),"")</f>
        <v/>
      </c>
      <c r="C320" s="29" t="str">
        <f>IFERROR(IF(SUMIFS(tblDaily[Discharges],tblDaily[EntryDate],DATE(2026,9,2),tblDaily[WardCode],"MAE")=0,"",SUMIFS(tblDaily[Discharges],tblDaily[EntryDate],DATE(2026,9,2),tblDaily[WardCode],"MAE")),"")</f>
        <v/>
      </c>
      <c r="D320" s="29" t="str">
        <f>IFERROR(IF(SUMIFS(tblDaily[Deaths],tblDaily[EntryDate],DATE(2026,9,2),tblDaily[WardCode],"MAE")=0,"",SUMIFS(tblDaily[Deaths],tblDaily[EntryDate],DATE(2026,9,2),tblDaily[WardCode],"MAE")),"")</f>
        <v/>
      </c>
      <c r="E320" s="29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29" t="str">
        <f>IFERROR(IF(SUMIFS(tblDaily[TransfersIn],tblDaily[EntryDate],DATE(2026,9,2),tblDaily[WardCode],"MAE")=0,"",SUMIFS(tblDaily[TransfersIn],tblDaily[EntryDate],DATE(2026,9,2),tblDaily[WardCode],"MAE")),"")</f>
        <v/>
      </c>
      <c r="G320" s="29" t="str">
        <f>IFERROR(IF(SUMIFS(tblDaily[TransfersOut],tblDaily[EntryDate],DATE(2026,9,2),tblDaily[WardCode],"MAE")=0,"",SUMIFS(tblDaily[TransfersOut],tblDaily[EntryDate],DATE(2026,9,2),tblDaily[WardCode],"MAE")),"")</f>
        <v/>
      </c>
      <c r="H320" s="29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IFERROR(IF(SUMIFS(tblDaily[Admissions],tblDaily[EntryDate],DATE(2026,9,3),tblDaily[WardCode],"MAE")=0,"",SUMIFS(tblDaily[Admissions],tblDaily[EntryDate],DATE(2026,9,3),tblDaily[WardCode],"MAE")),"")</f>
        <v/>
      </c>
      <c r="C321" s="29" t="str">
        <f>IFERROR(IF(SUMIFS(tblDaily[Discharges],tblDaily[EntryDate],DATE(2026,9,3),tblDaily[WardCode],"MAE")=0,"",SUMIFS(tblDaily[Discharges],tblDaily[EntryDate],DATE(2026,9,3),tblDaily[WardCode],"MAE")),"")</f>
        <v/>
      </c>
      <c r="D321" s="29" t="str">
        <f>IFERROR(IF(SUMIFS(tblDaily[Deaths],tblDaily[EntryDate],DATE(2026,9,3),tblDaily[WardCode],"MAE")=0,"",SUMIFS(tblDaily[Deaths],tblDaily[EntryDate],DATE(2026,9,3),tblDaily[WardCode],"MAE")),"")</f>
        <v/>
      </c>
      <c r="E321" s="29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29" t="str">
        <f>IFERROR(IF(SUMIFS(tblDaily[TransfersIn],tblDaily[EntryDate],DATE(2026,9,3),tblDaily[WardCode],"MAE")=0,"",SUMIFS(tblDaily[TransfersIn],tblDaily[EntryDate],DATE(2026,9,3),tblDaily[WardCode],"MAE")),"")</f>
        <v/>
      </c>
      <c r="G321" s="29" t="str">
        <f>IFERROR(IF(SUMIFS(tblDaily[TransfersOut],tblDaily[EntryDate],DATE(2026,9,3),tblDaily[WardCode],"MAE")=0,"",SUMIFS(tblDaily[TransfersOut],tblDaily[EntryDate],DATE(2026,9,3),tblDaily[WardCode],"MAE")),"")</f>
        <v/>
      </c>
      <c r="H321" s="29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IFERROR(IF(SUMIFS(tblDaily[Admissions],tblDaily[EntryDate],DATE(2026,9,4),tblDaily[WardCode],"MAE")=0,"",SUMIFS(tblDaily[Admissions],tblDaily[EntryDate],DATE(2026,9,4),tblDaily[WardCode],"MAE")),"")</f>
        <v/>
      </c>
      <c r="C322" s="29" t="str">
        <f>IFERROR(IF(SUMIFS(tblDaily[Discharges],tblDaily[EntryDate],DATE(2026,9,4),tblDaily[WardCode],"MAE")=0,"",SUMIFS(tblDaily[Discharges],tblDaily[EntryDate],DATE(2026,9,4),tblDaily[WardCode],"MAE")),"")</f>
        <v/>
      </c>
      <c r="D322" s="29" t="str">
        <f>IFERROR(IF(SUMIFS(tblDaily[Deaths],tblDaily[EntryDate],DATE(2026,9,4),tblDaily[WardCode],"MAE")=0,"",SUMIFS(tblDaily[Deaths],tblDaily[EntryDate],DATE(2026,9,4),tblDaily[WardCode],"MAE")),"")</f>
        <v/>
      </c>
      <c r="E322" s="29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29" t="str">
        <f>IFERROR(IF(SUMIFS(tblDaily[TransfersIn],tblDaily[EntryDate],DATE(2026,9,4),tblDaily[WardCode],"MAE")=0,"",SUMIFS(tblDaily[TransfersIn],tblDaily[EntryDate],DATE(2026,9,4),tblDaily[WardCode],"MAE")),"")</f>
        <v/>
      </c>
      <c r="G322" s="29" t="str">
        <f>IFERROR(IF(SUMIFS(tblDaily[TransfersOut],tblDaily[EntryDate],DATE(2026,9,4),tblDaily[WardCode],"MAE")=0,"",SUMIFS(tblDaily[TransfersOut],tblDaily[EntryDate],DATE(2026,9,4),tblDaily[WardCode],"MAE")),"")</f>
        <v/>
      </c>
      <c r="H322" s="29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IFERROR(IF(SUMIFS(tblDaily[Admissions],tblDaily[EntryDate],DATE(2026,9,5),tblDaily[WardCode],"MAE")=0,"",SUMIFS(tblDaily[Admissions],tblDaily[EntryDate],DATE(2026,9,5),tblDaily[WardCode],"MAE")),"")</f>
        <v/>
      </c>
      <c r="C323" s="29" t="str">
        <f>IFERROR(IF(SUMIFS(tblDaily[Discharges],tblDaily[EntryDate],DATE(2026,9,5),tblDaily[WardCode],"MAE")=0,"",SUMIFS(tblDaily[Discharges],tblDaily[EntryDate],DATE(2026,9,5),tblDaily[WardCode],"MAE")),"")</f>
        <v/>
      </c>
      <c r="D323" s="29" t="str">
        <f>IFERROR(IF(SUMIFS(tblDaily[Deaths],tblDaily[EntryDate],DATE(2026,9,5),tblDaily[WardCode],"MAE")=0,"",SUMIFS(tblDaily[Deaths],tblDaily[EntryDate],DATE(2026,9,5),tblDaily[WardCode],"MAE")),"")</f>
        <v/>
      </c>
      <c r="E323" s="29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29" t="str">
        <f>IFERROR(IF(SUMIFS(tblDaily[TransfersIn],tblDaily[EntryDate],DATE(2026,9,5),tblDaily[WardCode],"MAE")=0,"",SUMIFS(tblDaily[TransfersIn],tblDaily[EntryDate],DATE(2026,9,5),tblDaily[WardCode],"MAE")),"")</f>
        <v/>
      </c>
      <c r="G323" s="29" t="str">
        <f>IFERROR(IF(SUMIFS(tblDaily[TransfersOut],tblDaily[EntryDate],DATE(2026,9,5),tblDaily[WardCode],"MAE")=0,"",SUMIFS(tblDaily[TransfersOut],tblDaily[EntryDate],DATE(2026,9,5),tblDaily[WardCode],"MAE")),"")</f>
        <v/>
      </c>
      <c r="H323" s="29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IFERROR(IF(SUMIFS(tblDaily[Admissions],tblDaily[EntryDate],DATE(2026,9,6),tblDaily[WardCode],"MAE")=0,"",SUMIFS(tblDaily[Admissions],tblDaily[EntryDate],DATE(2026,9,6),tblDaily[WardCode],"MAE")),"")</f>
        <v/>
      </c>
      <c r="C324" s="29" t="str">
        <f>IFERROR(IF(SUMIFS(tblDaily[Discharges],tblDaily[EntryDate],DATE(2026,9,6),tblDaily[WardCode],"MAE")=0,"",SUMIFS(tblDaily[Discharges],tblDaily[EntryDate],DATE(2026,9,6),tblDaily[WardCode],"MAE")),"")</f>
        <v/>
      </c>
      <c r="D324" s="29" t="str">
        <f>IFERROR(IF(SUMIFS(tblDaily[Deaths],tblDaily[EntryDate],DATE(2026,9,6),tblDaily[WardCode],"MAE")=0,"",SUMIFS(tblDaily[Deaths],tblDaily[EntryDate],DATE(2026,9,6),tblDaily[WardCode],"MAE")),"")</f>
        <v/>
      </c>
      <c r="E324" s="29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29" t="str">
        <f>IFERROR(IF(SUMIFS(tblDaily[TransfersIn],tblDaily[EntryDate],DATE(2026,9,6),tblDaily[WardCode],"MAE")=0,"",SUMIFS(tblDaily[TransfersIn],tblDaily[EntryDate],DATE(2026,9,6),tblDaily[WardCode],"MAE")),"")</f>
        <v/>
      </c>
      <c r="G324" s="29" t="str">
        <f>IFERROR(IF(SUMIFS(tblDaily[TransfersOut],tblDaily[EntryDate],DATE(2026,9,6),tblDaily[WardCode],"MAE")=0,"",SUMIFS(tblDaily[TransfersOut],tblDaily[EntryDate],DATE(2026,9,6),tblDaily[WardCode],"MAE")),"")</f>
        <v/>
      </c>
      <c r="H324" s="29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IFERROR(IF(SUMIFS(tblDaily[Admissions],tblDaily[EntryDate],DATE(2026,9,7),tblDaily[WardCode],"MAE")=0,"",SUMIFS(tblDaily[Admissions],tblDaily[EntryDate],DATE(2026,9,7),tblDaily[WardCode],"MAE")),"")</f>
        <v/>
      </c>
      <c r="C325" s="29" t="str">
        <f>IFERROR(IF(SUMIFS(tblDaily[Discharges],tblDaily[EntryDate],DATE(2026,9,7),tblDaily[WardCode],"MAE")=0,"",SUMIFS(tblDaily[Discharges],tblDaily[EntryDate],DATE(2026,9,7),tblDaily[WardCode],"MAE")),"")</f>
        <v/>
      </c>
      <c r="D325" s="29" t="str">
        <f>IFERROR(IF(SUMIFS(tblDaily[Deaths],tblDaily[EntryDate],DATE(2026,9,7),tblDaily[WardCode],"MAE")=0,"",SUMIFS(tblDaily[Deaths],tblDaily[EntryDate],DATE(2026,9,7),tblDaily[WardCode],"MAE")),"")</f>
        <v/>
      </c>
      <c r="E325" s="29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29" t="str">
        <f>IFERROR(IF(SUMIFS(tblDaily[TransfersIn],tblDaily[EntryDate],DATE(2026,9,7),tblDaily[WardCode],"MAE")=0,"",SUMIFS(tblDaily[TransfersIn],tblDaily[EntryDate],DATE(2026,9,7),tblDaily[WardCode],"MAE")),"")</f>
        <v/>
      </c>
      <c r="G325" s="29" t="str">
        <f>IFERROR(IF(SUMIFS(tblDaily[TransfersOut],tblDaily[EntryDate],DATE(2026,9,7),tblDaily[WardCode],"MAE")=0,"",SUMIFS(tblDaily[TransfersOut],tblDaily[EntryDate],DATE(2026,9,7),tblDaily[WardCode],"MAE")),"")</f>
        <v/>
      </c>
      <c r="H325" s="29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IFERROR(IF(SUMIFS(tblDaily[Admissions],tblDaily[EntryDate],DATE(2026,9,8),tblDaily[WardCode],"MAE")=0,"",SUMIFS(tblDaily[Admissions],tblDaily[EntryDate],DATE(2026,9,8),tblDaily[WardCode],"MAE")),"")</f>
        <v/>
      </c>
      <c r="C326" s="29" t="str">
        <f>IFERROR(IF(SUMIFS(tblDaily[Discharges],tblDaily[EntryDate],DATE(2026,9,8),tblDaily[WardCode],"MAE")=0,"",SUMIFS(tblDaily[Discharges],tblDaily[EntryDate],DATE(2026,9,8),tblDaily[WardCode],"MAE")),"")</f>
        <v/>
      </c>
      <c r="D326" s="29" t="str">
        <f>IFERROR(IF(SUMIFS(tblDaily[Deaths],tblDaily[EntryDate],DATE(2026,9,8),tblDaily[WardCode],"MAE")=0,"",SUMIFS(tblDaily[Deaths],tblDaily[EntryDate],DATE(2026,9,8),tblDaily[WardCode],"MAE")),"")</f>
        <v/>
      </c>
      <c r="E326" s="29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29" t="str">
        <f>IFERROR(IF(SUMIFS(tblDaily[TransfersIn],tblDaily[EntryDate],DATE(2026,9,8),tblDaily[WardCode],"MAE")=0,"",SUMIFS(tblDaily[TransfersIn],tblDaily[EntryDate],DATE(2026,9,8),tblDaily[WardCode],"MAE")),"")</f>
        <v/>
      </c>
      <c r="G326" s="29" t="str">
        <f>IFERROR(IF(SUMIFS(tblDaily[TransfersOut],tblDaily[EntryDate],DATE(2026,9,8),tblDaily[WardCode],"MAE")=0,"",SUMIFS(tblDaily[TransfersOut],tblDaily[EntryDate],DATE(2026,9,8),tblDaily[WardCode],"MAE")),"")</f>
        <v/>
      </c>
      <c r="H326" s="29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IFERROR(IF(SUMIFS(tblDaily[Admissions],tblDaily[EntryDate],DATE(2026,9,9),tblDaily[WardCode],"MAE")=0,"",SUMIFS(tblDaily[Admissions],tblDaily[EntryDate],DATE(2026,9,9),tblDaily[WardCode],"MAE")),"")</f>
        <v/>
      </c>
      <c r="C327" s="29" t="str">
        <f>IFERROR(IF(SUMIFS(tblDaily[Discharges],tblDaily[EntryDate],DATE(2026,9,9),tblDaily[WardCode],"MAE")=0,"",SUMIFS(tblDaily[Discharges],tblDaily[EntryDate],DATE(2026,9,9),tblDaily[WardCode],"MAE")),"")</f>
        <v/>
      </c>
      <c r="D327" s="29" t="str">
        <f>IFERROR(IF(SUMIFS(tblDaily[Deaths],tblDaily[EntryDate],DATE(2026,9,9),tblDaily[WardCode],"MAE")=0,"",SUMIFS(tblDaily[Deaths],tblDaily[EntryDate],DATE(2026,9,9),tblDaily[WardCode],"MAE")),"")</f>
        <v/>
      </c>
      <c r="E327" s="29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29" t="str">
        <f>IFERROR(IF(SUMIFS(tblDaily[TransfersIn],tblDaily[EntryDate],DATE(2026,9,9),tblDaily[WardCode],"MAE")=0,"",SUMIFS(tblDaily[TransfersIn],tblDaily[EntryDate],DATE(2026,9,9),tblDaily[WardCode],"MAE")),"")</f>
        <v/>
      </c>
      <c r="G327" s="29" t="str">
        <f>IFERROR(IF(SUMIFS(tblDaily[TransfersOut],tblDaily[EntryDate],DATE(2026,9,9),tblDaily[WardCode],"MAE")=0,"",SUMIFS(tblDaily[TransfersOut],tblDaily[EntryDate],DATE(2026,9,9),tblDaily[WardCode],"MAE")),"")</f>
        <v/>
      </c>
      <c r="H327" s="29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IFERROR(IF(SUMIFS(tblDaily[Admissions],tblDaily[EntryDate],DATE(2026,9,10),tblDaily[WardCode],"MAE")=0,"",SUMIFS(tblDaily[Admissions],tblDaily[EntryDate],DATE(2026,9,10),tblDaily[WardCode],"MAE")),"")</f>
        <v/>
      </c>
      <c r="C328" s="29" t="str">
        <f>IFERROR(IF(SUMIFS(tblDaily[Discharges],tblDaily[EntryDate],DATE(2026,9,10),tblDaily[WardCode],"MAE")=0,"",SUMIFS(tblDaily[Discharges],tblDaily[EntryDate],DATE(2026,9,10),tblDaily[WardCode],"MAE")),"")</f>
        <v/>
      </c>
      <c r="D328" s="29" t="str">
        <f>IFERROR(IF(SUMIFS(tblDaily[Deaths],tblDaily[EntryDate],DATE(2026,9,10),tblDaily[WardCode],"MAE")=0,"",SUMIFS(tblDaily[Deaths],tblDaily[EntryDate],DATE(2026,9,10),tblDaily[WardCode],"MAE")),"")</f>
        <v/>
      </c>
      <c r="E328" s="29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29" t="str">
        <f>IFERROR(IF(SUMIFS(tblDaily[TransfersIn],tblDaily[EntryDate],DATE(2026,9,10),tblDaily[WardCode],"MAE")=0,"",SUMIFS(tblDaily[TransfersIn],tblDaily[EntryDate],DATE(2026,9,10),tblDaily[WardCode],"MAE")),"")</f>
        <v/>
      </c>
      <c r="G328" s="29" t="str">
        <f>IFERROR(IF(SUMIFS(tblDaily[TransfersOut],tblDaily[EntryDate],DATE(2026,9,10),tblDaily[WardCode],"MAE")=0,"",SUMIFS(tblDaily[TransfersOut],tblDaily[EntryDate],DATE(2026,9,10),tblDaily[WardCode],"MAE")),"")</f>
        <v/>
      </c>
      <c r="H328" s="29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IFERROR(IF(SUMIFS(tblDaily[Admissions],tblDaily[EntryDate],DATE(2026,9,11),tblDaily[WardCode],"MAE")=0,"",SUMIFS(tblDaily[Admissions],tblDaily[EntryDate],DATE(2026,9,11),tblDaily[WardCode],"MAE")),"")</f>
        <v/>
      </c>
      <c r="C329" s="29" t="str">
        <f>IFERROR(IF(SUMIFS(tblDaily[Discharges],tblDaily[EntryDate],DATE(2026,9,11),tblDaily[WardCode],"MAE")=0,"",SUMIFS(tblDaily[Discharges],tblDaily[EntryDate],DATE(2026,9,11),tblDaily[WardCode],"MAE")),"")</f>
        <v/>
      </c>
      <c r="D329" s="29" t="str">
        <f>IFERROR(IF(SUMIFS(tblDaily[Deaths],tblDaily[EntryDate],DATE(2026,9,11),tblDaily[WardCode],"MAE")=0,"",SUMIFS(tblDaily[Deaths],tblDaily[EntryDate],DATE(2026,9,11),tblDaily[WardCode],"MAE")),"")</f>
        <v/>
      </c>
      <c r="E329" s="29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29" t="str">
        <f>IFERROR(IF(SUMIFS(tblDaily[TransfersIn],tblDaily[EntryDate],DATE(2026,9,11),tblDaily[WardCode],"MAE")=0,"",SUMIFS(tblDaily[TransfersIn],tblDaily[EntryDate],DATE(2026,9,11),tblDaily[WardCode],"MAE")),"")</f>
        <v/>
      </c>
      <c r="G329" s="29" t="str">
        <f>IFERROR(IF(SUMIFS(tblDaily[TransfersOut],tblDaily[EntryDate],DATE(2026,9,11),tblDaily[WardCode],"MAE")=0,"",SUMIFS(tblDaily[TransfersOut],tblDaily[EntryDate],DATE(2026,9,11),tblDaily[WardCode],"MAE")),"")</f>
        <v/>
      </c>
      <c r="H329" s="29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IFERROR(IF(SUMIFS(tblDaily[Admissions],tblDaily[EntryDate],DATE(2026,9,12),tblDaily[WardCode],"MAE")=0,"",SUMIFS(tblDaily[Admissions],tblDaily[EntryDate],DATE(2026,9,12),tblDaily[WardCode],"MAE")),"")</f>
        <v/>
      </c>
      <c r="C330" s="29" t="str">
        <f>IFERROR(IF(SUMIFS(tblDaily[Discharges],tblDaily[EntryDate],DATE(2026,9,12),tblDaily[WardCode],"MAE")=0,"",SUMIFS(tblDaily[Discharges],tblDaily[EntryDate],DATE(2026,9,12),tblDaily[WardCode],"MAE")),"")</f>
        <v/>
      </c>
      <c r="D330" s="29" t="str">
        <f>IFERROR(IF(SUMIFS(tblDaily[Deaths],tblDaily[EntryDate],DATE(2026,9,12),tblDaily[WardCode],"MAE")=0,"",SUMIFS(tblDaily[Deaths],tblDaily[EntryDate],DATE(2026,9,12),tblDaily[WardCode],"MAE")),"")</f>
        <v/>
      </c>
      <c r="E330" s="29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29" t="str">
        <f>IFERROR(IF(SUMIFS(tblDaily[TransfersIn],tblDaily[EntryDate],DATE(2026,9,12),tblDaily[WardCode],"MAE")=0,"",SUMIFS(tblDaily[TransfersIn],tblDaily[EntryDate],DATE(2026,9,12),tblDaily[WardCode],"MAE")),"")</f>
        <v/>
      </c>
      <c r="G330" s="29" t="str">
        <f>IFERROR(IF(SUMIFS(tblDaily[TransfersOut],tblDaily[EntryDate],DATE(2026,9,12),tblDaily[WardCode],"MAE")=0,"",SUMIFS(tblDaily[TransfersOut],tblDaily[EntryDate],DATE(2026,9,12),tblDaily[WardCode],"MAE")),"")</f>
        <v/>
      </c>
      <c r="H330" s="29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IFERROR(IF(SUMIFS(tblDaily[Admissions],tblDaily[EntryDate],DATE(2026,9,13),tblDaily[WardCode],"MAE")=0,"",SUMIFS(tblDaily[Admissions],tblDaily[EntryDate],DATE(2026,9,13),tblDaily[WardCode],"MAE")),"")</f>
        <v/>
      </c>
      <c r="C331" s="29" t="str">
        <f>IFERROR(IF(SUMIFS(tblDaily[Discharges],tblDaily[EntryDate],DATE(2026,9,13),tblDaily[WardCode],"MAE")=0,"",SUMIFS(tblDaily[Discharges],tblDaily[EntryDate],DATE(2026,9,13),tblDaily[WardCode],"MAE")),"")</f>
        <v/>
      </c>
      <c r="D331" s="29" t="str">
        <f>IFERROR(IF(SUMIFS(tblDaily[Deaths],tblDaily[EntryDate],DATE(2026,9,13),tblDaily[WardCode],"MAE")=0,"",SUMIFS(tblDaily[Deaths],tblDaily[EntryDate],DATE(2026,9,13),tblDaily[WardCode],"MAE")),"")</f>
        <v/>
      </c>
      <c r="E331" s="29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29" t="str">
        <f>IFERROR(IF(SUMIFS(tblDaily[TransfersIn],tblDaily[EntryDate],DATE(2026,9,13),tblDaily[WardCode],"MAE")=0,"",SUMIFS(tblDaily[TransfersIn],tblDaily[EntryDate],DATE(2026,9,13),tblDaily[WardCode],"MAE")),"")</f>
        <v/>
      </c>
      <c r="G331" s="29" t="str">
        <f>IFERROR(IF(SUMIFS(tblDaily[TransfersOut],tblDaily[EntryDate],DATE(2026,9,13),tblDaily[WardCode],"MAE")=0,"",SUMIFS(tblDaily[TransfersOut],tblDaily[EntryDate],DATE(2026,9,13),tblDaily[WardCode],"MAE")),"")</f>
        <v/>
      </c>
      <c r="H331" s="29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IFERROR(IF(SUMIFS(tblDaily[Admissions],tblDaily[EntryDate],DATE(2026,9,14),tblDaily[WardCode],"MAE")=0,"",SUMIFS(tblDaily[Admissions],tblDaily[EntryDate],DATE(2026,9,14),tblDaily[WardCode],"MAE")),"")</f>
        <v/>
      </c>
      <c r="C332" s="29" t="str">
        <f>IFERROR(IF(SUMIFS(tblDaily[Discharges],tblDaily[EntryDate],DATE(2026,9,14),tblDaily[WardCode],"MAE")=0,"",SUMIFS(tblDaily[Discharges],tblDaily[EntryDate],DATE(2026,9,14),tblDaily[WardCode],"MAE")),"")</f>
        <v/>
      </c>
      <c r="D332" s="29" t="str">
        <f>IFERROR(IF(SUMIFS(tblDaily[Deaths],tblDaily[EntryDate],DATE(2026,9,14),tblDaily[WardCode],"MAE")=0,"",SUMIFS(tblDaily[Deaths],tblDaily[EntryDate],DATE(2026,9,14),tblDaily[WardCode],"MAE")),"")</f>
        <v/>
      </c>
      <c r="E332" s="29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29" t="str">
        <f>IFERROR(IF(SUMIFS(tblDaily[TransfersIn],tblDaily[EntryDate],DATE(2026,9,14),tblDaily[WardCode],"MAE")=0,"",SUMIFS(tblDaily[TransfersIn],tblDaily[EntryDate],DATE(2026,9,14),tblDaily[WardCode],"MAE")),"")</f>
        <v/>
      </c>
      <c r="G332" s="29" t="str">
        <f>IFERROR(IF(SUMIFS(tblDaily[TransfersOut],tblDaily[EntryDate],DATE(2026,9,14),tblDaily[WardCode],"MAE")=0,"",SUMIFS(tblDaily[TransfersOut],tblDaily[EntryDate],DATE(2026,9,14),tblDaily[WardCode],"MAE")),"")</f>
        <v/>
      </c>
      <c r="H332" s="29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IFERROR(IF(SUMIFS(tblDaily[Admissions],tblDaily[EntryDate],DATE(2026,9,15),tblDaily[WardCode],"MAE")=0,"",SUMIFS(tblDaily[Admissions],tblDaily[EntryDate],DATE(2026,9,15),tblDaily[WardCode],"MAE")),"")</f>
        <v/>
      </c>
      <c r="C333" s="29" t="str">
        <f>IFERROR(IF(SUMIFS(tblDaily[Discharges],tblDaily[EntryDate],DATE(2026,9,15),tblDaily[WardCode],"MAE")=0,"",SUMIFS(tblDaily[Discharges],tblDaily[EntryDate],DATE(2026,9,15),tblDaily[WardCode],"MAE")),"")</f>
        <v/>
      </c>
      <c r="D333" s="29" t="str">
        <f>IFERROR(IF(SUMIFS(tblDaily[Deaths],tblDaily[EntryDate],DATE(2026,9,15),tblDaily[WardCode],"MAE")=0,"",SUMIFS(tblDaily[Deaths],tblDaily[EntryDate],DATE(2026,9,15),tblDaily[WardCode],"MAE")),"")</f>
        <v/>
      </c>
      <c r="E333" s="29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29" t="str">
        <f>IFERROR(IF(SUMIFS(tblDaily[TransfersIn],tblDaily[EntryDate],DATE(2026,9,15),tblDaily[WardCode],"MAE")=0,"",SUMIFS(tblDaily[TransfersIn],tblDaily[EntryDate],DATE(2026,9,15),tblDaily[WardCode],"MAE")),"")</f>
        <v/>
      </c>
      <c r="G333" s="29" t="str">
        <f>IFERROR(IF(SUMIFS(tblDaily[TransfersOut],tblDaily[EntryDate],DATE(2026,9,15),tblDaily[WardCode],"MAE")=0,"",SUMIFS(tblDaily[TransfersOut],tblDaily[EntryDate],DATE(2026,9,15),tblDaily[WardCode],"MAE")),"")</f>
        <v/>
      </c>
      <c r="H333" s="29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IFERROR(IF(SUMIFS(tblDaily[Admissions],tblDaily[EntryDate],DATE(2026,9,16),tblDaily[WardCode],"MAE")=0,"",SUMIFS(tblDaily[Admissions],tblDaily[EntryDate],DATE(2026,9,16),tblDaily[WardCode],"MAE")),"")</f>
        <v/>
      </c>
      <c r="C334" s="29" t="str">
        <f>IFERROR(IF(SUMIFS(tblDaily[Discharges],tblDaily[EntryDate],DATE(2026,9,16),tblDaily[WardCode],"MAE")=0,"",SUMIFS(tblDaily[Discharges],tblDaily[EntryDate],DATE(2026,9,16),tblDaily[WardCode],"MAE")),"")</f>
        <v/>
      </c>
      <c r="D334" s="29" t="str">
        <f>IFERROR(IF(SUMIFS(tblDaily[Deaths],tblDaily[EntryDate],DATE(2026,9,16),tblDaily[WardCode],"MAE")=0,"",SUMIFS(tblDaily[Deaths],tblDaily[EntryDate],DATE(2026,9,16),tblDaily[WardCode],"MAE")),"")</f>
        <v/>
      </c>
      <c r="E334" s="29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29" t="str">
        <f>IFERROR(IF(SUMIFS(tblDaily[TransfersIn],tblDaily[EntryDate],DATE(2026,9,16),tblDaily[WardCode],"MAE")=0,"",SUMIFS(tblDaily[TransfersIn],tblDaily[EntryDate],DATE(2026,9,16),tblDaily[WardCode],"MAE")),"")</f>
        <v/>
      </c>
      <c r="G334" s="29" t="str">
        <f>IFERROR(IF(SUMIFS(tblDaily[TransfersOut],tblDaily[EntryDate],DATE(2026,9,16),tblDaily[WardCode],"MAE")=0,"",SUMIFS(tblDaily[TransfersOut],tblDaily[EntryDate],DATE(2026,9,16),tblDaily[WardCode],"MAE")),"")</f>
        <v/>
      </c>
      <c r="H334" s="29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IFERROR(IF(SUMIFS(tblDaily[Admissions],tblDaily[EntryDate],DATE(2026,9,17),tblDaily[WardCode],"MAE")=0,"",SUMIFS(tblDaily[Admissions],tblDaily[EntryDate],DATE(2026,9,17),tblDaily[WardCode],"MAE")),"")</f>
        <v/>
      </c>
      <c r="C335" s="29" t="str">
        <f>IFERROR(IF(SUMIFS(tblDaily[Discharges],tblDaily[EntryDate],DATE(2026,9,17),tblDaily[WardCode],"MAE")=0,"",SUMIFS(tblDaily[Discharges],tblDaily[EntryDate],DATE(2026,9,17),tblDaily[WardCode],"MAE")),"")</f>
        <v/>
      </c>
      <c r="D335" s="29" t="str">
        <f>IFERROR(IF(SUMIFS(tblDaily[Deaths],tblDaily[EntryDate],DATE(2026,9,17),tblDaily[WardCode],"MAE")=0,"",SUMIFS(tblDaily[Deaths],tblDaily[EntryDate],DATE(2026,9,17),tblDaily[WardCode],"MAE")),"")</f>
        <v/>
      </c>
      <c r="E335" s="29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29" t="str">
        <f>IFERROR(IF(SUMIFS(tblDaily[TransfersIn],tblDaily[EntryDate],DATE(2026,9,17),tblDaily[WardCode],"MAE")=0,"",SUMIFS(tblDaily[TransfersIn],tblDaily[EntryDate],DATE(2026,9,17),tblDaily[WardCode],"MAE")),"")</f>
        <v/>
      </c>
      <c r="G335" s="29" t="str">
        <f>IFERROR(IF(SUMIFS(tblDaily[TransfersOut],tblDaily[EntryDate],DATE(2026,9,17),tblDaily[WardCode],"MAE")=0,"",SUMIFS(tblDaily[TransfersOut],tblDaily[EntryDate],DATE(2026,9,17),tblDaily[WardCode],"MAE")),"")</f>
        <v/>
      </c>
      <c r="H335" s="29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IFERROR(IF(SUMIFS(tblDaily[Admissions],tblDaily[EntryDate],DATE(2026,9,18),tblDaily[WardCode],"MAE")=0,"",SUMIFS(tblDaily[Admissions],tblDaily[EntryDate],DATE(2026,9,18),tblDaily[WardCode],"MAE")),"")</f>
        <v/>
      </c>
      <c r="C336" s="29" t="str">
        <f>IFERROR(IF(SUMIFS(tblDaily[Discharges],tblDaily[EntryDate],DATE(2026,9,18),tblDaily[WardCode],"MAE")=0,"",SUMIFS(tblDaily[Discharges],tblDaily[EntryDate],DATE(2026,9,18),tblDaily[WardCode],"MAE")),"")</f>
        <v/>
      </c>
      <c r="D336" s="29" t="str">
        <f>IFERROR(IF(SUMIFS(tblDaily[Deaths],tblDaily[EntryDate],DATE(2026,9,18),tblDaily[WardCode],"MAE")=0,"",SUMIFS(tblDaily[Deaths],tblDaily[EntryDate],DATE(2026,9,18),tblDaily[WardCode],"MAE")),"")</f>
        <v/>
      </c>
      <c r="E336" s="29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29" t="str">
        <f>IFERROR(IF(SUMIFS(tblDaily[TransfersIn],tblDaily[EntryDate],DATE(2026,9,18),tblDaily[WardCode],"MAE")=0,"",SUMIFS(tblDaily[TransfersIn],tblDaily[EntryDate],DATE(2026,9,18),tblDaily[WardCode],"MAE")),"")</f>
        <v/>
      </c>
      <c r="G336" s="29" t="str">
        <f>IFERROR(IF(SUMIFS(tblDaily[TransfersOut],tblDaily[EntryDate],DATE(2026,9,18),tblDaily[WardCode],"MAE")=0,"",SUMIFS(tblDaily[TransfersOut],tblDaily[EntryDate],DATE(2026,9,18),tblDaily[WardCode],"MAE")),"")</f>
        <v/>
      </c>
      <c r="H336" s="29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IFERROR(IF(SUMIFS(tblDaily[Admissions],tblDaily[EntryDate],DATE(2026,9,19),tblDaily[WardCode],"MAE")=0,"",SUMIFS(tblDaily[Admissions],tblDaily[EntryDate],DATE(2026,9,19),tblDaily[WardCode],"MAE")),"")</f>
        <v/>
      </c>
      <c r="C337" s="29" t="str">
        <f>IFERROR(IF(SUMIFS(tblDaily[Discharges],tblDaily[EntryDate],DATE(2026,9,19),tblDaily[WardCode],"MAE")=0,"",SUMIFS(tblDaily[Discharges],tblDaily[EntryDate],DATE(2026,9,19),tblDaily[WardCode],"MAE")),"")</f>
        <v/>
      </c>
      <c r="D337" s="29" t="str">
        <f>IFERROR(IF(SUMIFS(tblDaily[Deaths],tblDaily[EntryDate],DATE(2026,9,19),tblDaily[WardCode],"MAE")=0,"",SUMIFS(tblDaily[Deaths],tblDaily[EntryDate],DATE(2026,9,19),tblDaily[WardCode],"MAE")),"")</f>
        <v/>
      </c>
      <c r="E337" s="29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29" t="str">
        <f>IFERROR(IF(SUMIFS(tblDaily[TransfersIn],tblDaily[EntryDate],DATE(2026,9,19),tblDaily[WardCode],"MAE")=0,"",SUMIFS(tblDaily[TransfersIn],tblDaily[EntryDate],DATE(2026,9,19),tblDaily[WardCode],"MAE")),"")</f>
        <v/>
      </c>
      <c r="G337" s="29" t="str">
        <f>IFERROR(IF(SUMIFS(tblDaily[TransfersOut],tblDaily[EntryDate],DATE(2026,9,19),tblDaily[WardCode],"MAE")=0,"",SUMIFS(tblDaily[TransfersOut],tblDaily[EntryDate],DATE(2026,9,19),tblDaily[WardCode],"MAE")),"")</f>
        <v/>
      </c>
      <c r="H337" s="29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IFERROR(IF(SUMIFS(tblDaily[Admissions],tblDaily[EntryDate],DATE(2026,9,20),tblDaily[WardCode],"MAE")=0,"",SUMIFS(tblDaily[Admissions],tblDaily[EntryDate],DATE(2026,9,20),tblDaily[WardCode],"MAE")),"")</f>
        <v/>
      </c>
      <c r="C338" s="29" t="str">
        <f>IFERROR(IF(SUMIFS(tblDaily[Discharges],tblDaily[EntryDate],DATE(2026,9,20),tblDaily[WardCode],"MAE")=0,"",SUMIFS(tblDaily[Discharges],tblDaily[EntryDate],DATE(2026,9,20),tblDaily[WardCode],"MAE")),"")</f>
        <v/>
      </c>
      <c r="D338" s="29" t="str">
        <f>IFERROR(IF(SUMIFS(tblDaily[Deaths],tblDaily[EntryDate],DATE(2026,9,20),tblDaily[WardCode],"MAE")=0,"",SUMIFS(tblDaily[Deaths],tblDaily[EntryDate],DATE(2026,9,20),tblDaily[WardCode],"MAE")),"")</f>
        <v/>
      </c>
      <c r="E338" s="29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29" t="str">
        <f>IFERROR(IF(SUMIFS(tblDaily[TransfersIn],tblDaily[EntryDate],DATE(2026,9,20),tblDaily[WardCode],"MAE")=0,"",SUMIFS(tblDaily[TransfersIn],tblDaily[EntryDate],DATE(2026,9,20),tblDaily[WardCode],"MAE")),"")</f>
        <v/>
      </c>
      <c r="G338" s="29" t="str">
        <f>IFERROR(IF(SUMIFS(tblDaily[TransfersOut],tblDaily[EntryDate],DATE(2026,9,20),tblDaily[WardCode],"MAE")=0,"",SUMIFS(tblDaily[TransfersOut],tblDaily[EntryDate],DATE(2026,9,20),tblDaily[WardCode],"MAE")),"")</f>
        <v/>
      </c>
      <c r="H338" s="29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IFERROR(IF(SUMIFS(tblDaily[Admissions],tblDaily[EntryDate],DATE(2026,9,21),tblDaily[WardCode],"MAE")=0,"",SUMIFS(tblDaily[Admissions],tblDaily[EntryDate],DATE(2026,9,21),tblDaily[WardCode],"MAE")),"")</f>
        <v/>
      </c>
      <c r="C339" s="29" t="str">
        <f>IFERROR(IF(SUMIFS(tblDaily[Discharges],tblDaily[EntryDate],DATE(2026,9,21),tblDaily[WardCode],"MAE")=0,"",SUMIFS(tblDaily[Discharges],tblDaily[EntryDate],DATE(2026,9,21),tblDaily[WardCode],"MAE")),"")</f>
        <v/>
      </c>
      <c r="D339" s="29" t="str">
        <f>IFERROR(IF(SUMIFS(tblDaily[Deaths],tblDaily[EntryDate],DATE(2026,9,21),tblDaily[WardCode],"MAE")=0,"",SUMIFS(tblDaily[Deaths],tblDaily[EntryDate],DATE(2026,9,21),tblDaily[WardCode],"MAE")),"")</f>
        <v/>
      </c>
      <c r="E339" s="29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29" t="str">
        <f>IFERROR(IF(SUMIFS(tblDaily[TransfersIn],tblDaily[EntryDate],DATE(2026,9,21),tblDaily[WardCode],"MAE")=0,"",SUMIFS(tblDaily[TransfersIn],tblDaily[EntryDate],DATE(2026,9,21),tblDaily[WardCode],"MAE")),"")</f>
        <v/>
      </c>
      <c r="G339" s="29" t="str">
        <f>IFERROR(IF(SUMIFS(tblDaily[TransfersOut],tblDaily[EntryDate],DATE(2026,9,21),tblDaily[WardCode],"MAE")=0,"",SUMIFS(tblDaily[TransfersOut],tblDaily[EntryDate],DATE(2026,9,21),tblDaily[WardCode],"MAE")),"")</f>
        <v/>
      </c>
      <c r="H339" s="29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IFERROR(IF(SUMIFS(tblDaily[Admissions],tblDaily[EntryDate],DATE(2026,9,22),tblDaily[WardCode],"MAE")=0,"",SUMIFS(tblDaily[Admissions],tblDaily[EntryDate],DATE(2026,9,22),tblDaily[WardCode],"MAE")),"")</f>
        <v/>
      </c>
      <c r="C340" s="29" t="str">
        <f>IFERROR(IF(SUMIFS(tblDaily[Discharges],tblDaily[EntryDate],DATE(2026,9,22),tblDaily[WardCode],"MAE")=0,"",SUMIFS(tblDaily[Discharges],tblDaily[EntryDate],DATE(2026,9,22),tblDaily[WardCode],"MAE")),"")</f>
        <v/>
      </c>
      <c r="D340" s="29" t="str">
        <f>IFERROR(IF(SUMIFS(tblDaily[Deaths],tblDaily[EntryDate],DATE(2026,9,22),tblDaily[WardCode],"MAE")=0,"",SUMIFS(tblDaily[Deaths],tblDaily[EntryDate],DATE(2026,9,22),tblDaily[WardCode],"MAE")),"")</f>
        <v/>
      </c>
      <c r="E340" s="29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29" t="str">
        <f>IFERROR(IF(SUMIFS(tblDaily[TransfersIn],tblDaily[EntryDate],DATE(2026,9,22),tblDaily[WardCode],"MAE")=0,"",SUMIFS(tblDaily[TransfersIn],tblDaily[EntryDate],DATE(2026,9,22),tblDaily[WardCode],"MAE")),"")</f>
        <v/>
      </c>
      <c r="G340" s="29" t="str">
        <f>IFERROR(IF(SUMIFS(tblDaily[TransfersOut],tblDaily[EntryDate],DATE(2026,9,22),tblDaily[WardCode],"MAE")=0,"",SUMIFS(tblDaily[TransfersOut],tblDaily[EntryDate],DATE(2026,9,22),tblDaily[WardCode],"MAE")),"")</f>
        <v/>
      </c>
      <c r="H340" s="29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IFERROR(IF(SUMIFS(tblDaily[Admissions],tblDaily[EntryDate],DATE(2026,9,23),tblDaily[WardCode],"MAE")=0,"",SUMIFS(tblDaily[Admissions],tblDaily[EntryDate],DATE(2026,9,23),tblDaily[WardCode],"MAE")),"")</f>
        <v/>
      </c>
      <c r="C341" s="29" t="str">
        <f>IFERROR(IF(SUMIFS(tblDaily[Discharges],tblDaily[EntryDate],DATE(2026,9,23),tblDaily[WardCode],"MAE")=0,"",SUMIFS(tblDaily[Discharges],tblDaily[EntryDate],DATE(2026,9,23),tblDaily[WardCode],"MAE")),"")</f>
        <v/>
      </c>
      <c r="D341" s="29" t="str">
        <f>IFERROR(IF(SUMIFS(tblDaily[Deaths],tblDaily[EntryDate],DATE(2026,9,23),tblDaily[WardCode],"MAE")=0,"",SUMIFS(tblDaily[Deaths],tblDaily[EntryDate],DATE(2026,9,23),tblDaily[WardCode],"MAE")),"")</f>
        <v/>
      </c>
      <c r="E341" s="29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29" t="str">
        <f>IFERROR(IF(SUMIFS(tblDaily[TransfersIn],tblDaily[EntryDate],DATE(2026,9,23),tblDaily[WardCode],"MAE")=0,"",SUMIFS(tblDaily[TransfersIn],tblDaily[EntryDate],DATE(2026,9,23),tblDaily[WardCode],"MAE")),"")</f>
        <v/>
      </c>
      <c r="G341" s="29" t="str">
        <f>IFERROR(IF(SUMIFS(tblDaily[TransfersOut],tblDaily[EntryDate],DATE(2026,9,23),tblDaily[WardCode],"MAE")=0,"",SUMIFS(tblDaily[TransfersOut],tblDaily[EntryDate],DATE(2026,9,23),tblDaily[WardCode],"MAE")),"")</f>
        <v/>
      </c>
      <c r="H341" s="29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IFERROR(IF(SUMIFS(tblDaily[Admissions],tblDaily[EntryDate],DATE(2026,9,24),tblDaily[WardCode],"MAE")=0,"",SUMIFS(tblDaily[Admissions],tblDaily[EntryDate],DATE(2026,9,24),tblDaily[WardCode],"MAE")),"")</f>
        <v/>
      </c>
      <c r="C342" s="29" t="str">
        <f>IFERROR(IF(SUMIFS(tblDaily[Discharges],tblDaily[EntryDate],DATE(2026,9,24),tblDaily[WardCode],"MAE")=0,"",SUMIFS(tblDaily[Discharges],tblDaily[EntryDate],DATE(2026,9,24),tblDaily[WardCode],"MAE")),"")</f>
        <v/>
      </c>
      <c r="D342" s="29" t="str">
        <f>IFERROR(IF(SUMIFS(tblDaily[Deaths],tblDaily[EntryDate],DATE(2026,9,24),tblDaily[WardCode],"MAE")=0,"",SUMIFS(tblDaily[Deaths],tblDaily[EntryDate],DATE(2026,9,24),tblDaily[WardCode],"MAE")),"")</f>
        <v/>
      </c>
      <c r="E342" s="29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29" t="str">
        <f>IFERROR(IF(SUMIFS(tblDaily[TransfersIn],tblDaily[EntryDate],DATE(2026,9,24),tblDaily[WardCode],"MAE")=0,"",SUMIFS(tblDaily[TransfersIn],tblDaily[EntryDate],DATE(2026,9,24),tblDaily[WardCode],"MAE")),"")</f>
        <v/>
      </c>
      <c r="G342" s="29" t="str">
        <f>IFERROR(IF(SUMIFS(tblDaily[TransfersOut],tblDaily[EntryDate],DATE(2026,9,24),tblDaily[WardCode],"MAE")=0,"",SUMIFS(tblDaily[TransfersOut],tblDaily[EntryDate],DATE(2026,9,24),tblDaily[WardCode],"MAE")),"")</f>
        <v/>
      </c>
      <c r="H342" s="29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IFERROR(IF(SUMIFS(tblDaily[Admissions],tblDaily[EntryDate],DATE(2026,9,25),tblDaily[WardCode],"MAE")=0,"",SUMIFS(tblDaily[Admissions],tblDaily[EntryDate],DATE(2026,9,25),tblDaily[WardCode],"MAE")),"")</f>
        <v/>
      </c>
      <c r="C343" s="29" t="str">
        <f>IFERROR(IF(SUMIFS(tblDaily[Discharges],tblDaily[EntryDate],DATE(2026,9,25),tblDaily[WardCode],"MAE")=0,"",SUMIFS(tblDaily[Discharges],tblDaily[EntryDate],DATE(2026,9,25),tblDaily[WardCode],"MAE")),"")</f>
        <v/>
      </c>
      <c r="D343" s="29" t="str">
        <f>IFERROR(IF(SUMIFS(tblDaily[Deaths],tblDaily[EntryDate],DATE(2026,9,25),tblDaily[WardCode],"MAE")=0,"",SUMIFS(tblDaily[Deaths],tblDaily[EntryDate],DATE(2026,9,25),tblDaily[WardCode],"MAE")),"")</f>
        <v/>
      </c>
      <c r="E343" s="29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29" t="str">
        <f>IFERROR(IF(SUMIFS(tblDaily[TransfersIn],tblDaily[EntryDate],DATE(2026,9,25),tblDaily[WardCode],"MAE")=0,"",SUMIFS(tblDaily[TransfersIn],tblDaily[EntryDate],DATE(2026,9,25),tblDaily[WardCode],"MAE")),"")</f>
        <v/>
      </c>
      <c r="G343" s="29" t="str">
        <f>IFERROR(IF(SUMIFS(tblDaily[TransfersOut],tblDaily[EntryDate],DATE(2026,9,25),tblDaily[WardCode],"MAE")=0,"",SUMIFS(tblDaily[TransfersOut],tblDaily[EntryDate],DATE(2026,9,25),tblDaily[WardCode],"MAE")),"")</f>
        <v/>
      </c>
      <c r="H343" s="29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IFERROR(IF(SUMIFS(tblDaily[Admissions],tblDaily[EntryDate],DATE(2026,9,26),tblDaily[WardCode],"MAE")=0,"",SUMIFS(tblDaily[Admissions],tblDaily[EntryDate],DATE(2026,9,26),tblDaily[WardCode],"MAE")),"")</f>
        <v/>
      </c>
      <c r="C344" s="29" t="str">
        <f>IFERROR(IF(SUMIFS(tblDaily[Discharges],tblDaily[EntryDate],DATE(2026,9,26),tblDaily[WardCode],"MAE")=0,"",SUMIFS(tblDaily[Discharges],tblDaily[EntryDate],DATE(2026,9,26),tblDaily[WardCode],"MAE")),"")</f>
        <v/>
      </c>
      <c r="D344" s="29" t="str">
        <f>IFERROR(IF(SUMIFS(tblDaily[Deaths],tblDaily[EntryDate],DATE(2026,9,26),tblDaily[WardCode],"MAE")=0,"",SUMIFS(tblDaily[Deaths],tblDaily[EntryDate],DATE(2026,9,26),tblDaily[WardCode],"MAE")),"")</f>
        <v/>
      </c>
      <c r="E344" s="29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29" t="str">
        <f>IFERROR(IF(SUMIFS(tblDaily[TransfersIn],tblDaily[EntryDate],DATE(2026,9,26),tblDaily[WardCode],"MAE")=0,"",SUMIFS(tblDaily[TransfersIn],tblDaily[EntryDate],DATE(2026,9,26),tblDaily[WardCode],"MAE")),"")</f>
        <v/>
      </c>
      <c r="G344" s="29" t="str">
        <f>IFERROR(IF(SUMIFS(tblDaily[TransfersOut],tblDaily[EntryDate],DATE(2026,9,26),tblDaily[WardCode],"MAE")=0,"",SUMIFS(tblDaily[TransfersOut],tblDaily[EntryDate],DATE(2026,9,26),tblDaily[WardCode],"MAE")),"")</f>
        <v/>
      </c>
      <c r="H344" s="29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IFERROR(IF(SUMIFS(tblDaily[Admissions],tblDaily[EntryDate],DATE(2026,9,27),tblDaily[WardCode],"MAE")=0,"",SUMIFS(tblDaily[Admissions],tblDaily[EntryDate],DATE(2026,9,27),tblDaily[WardCode],"MAE")),"")</f>
        <v/>
      </c>
      <c r="C345" s="29" t="str">
        <f>IFERROR(IF(SUMIFS(tblDaily[Discharges],tblDaily[EntryDate],DATE(2026,9,27),tblDaily[WardCode],"MAE")=0,"",SUMIFS(tblDaily[Discharges],tblDaily[EntryDate],DATE(2026,9,27),tblDaily[WardCode],"MAE")),"")</f>
        <v/>
      </c>
      <c r="D345" s="29" t="str">
        <f>IFERROR(IF(SUMIFS(tblDaily[Deaths],tblDaily[EntryDate],DATE(2026,9,27),tblDaily[WardCode],"MAE")=0,"",SUMIFS(tblDaily[Deaths],tblDaily[EntryDate],DATE(2026,9,27),tblDaily[WardCode],"MAE")),"")</f>
        <v/>
      </c>
      <c r="E345" s="29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29" t="str">
        <f>IFERROR(IF(SUMIFS(tblDaily[TransfersIn],tblDaily[EntryDate],DATE(2026,9,27),tblDaily[WardCode],"MAE")=0,"",SUMIFS(tblDaily[TransfersIn],tblDaily[EntryDate],DATE(2026,9,27),tblDaily[WardCode],"MAE")),"")</f>
        <v/>
      </c>
      <c r="G345" s="29" t="str">
        <f>IFERROR(IF(SUMIFS(tblDaily[TransfersOut],tblDaily[EntryDate],DATE(2026,9,27),tblDaily[WardCode],"MAE")=0,"",SUMIFS(tblDaily[TransfersOut],tblDaily[EntryDate],DATE(2026,9,27),tblDaily[WardCode],"MAE")),"")</f>
        <v/>
      </c>
      <c r="H345" s="29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IFERROR(IF(SUMIFS(tblDaily[Admissions],tblDaily[EntryDate],DATE(2026,9,28),tblDaily[WardCode],"MAE")=0,"",SUMIFS(tblDaily[Admissions],tblDaily[EntryDate],DATE(2026,9,28),tblDaily[WardCode],"MAE")),"")</f>
        <v/>
      </c>
      <c r="C346" s="29" t="str">
        <f>IFERROR(IF(SUMIFS(tblDaily[Discharges],tblDaily[EntryDate],DATE(2026,9,28),tblDaily[WardCode],"MAE")=0,"",SUMIFS(tblDaily[Discharges],tblDaily[EntryDate],DATE(2026,9,28),tblDaily[WardCode],"MAE")),"")</f>
        <v/>
      </c>
      <c r="D346" s="29" t="str">
        <f>IFERROR(IF(SUMIFS(tblDaily[Deaths],tblDaily[EntryDate],DATE(2026,9,28),tblDaily[WardCode],"MAE")=0,"",SUMIFS(tblDaily[Deaths],tblDaily[EntryDate],DATE(2026,9,28),tblDaily[WardCode],"MAE")),"")</f>
        <v/>
      </c>
      <c r="E346" s="29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29" t="str">
        <f>IFERROR(IF(SUMIFS(tblDaily[TransfersIn],tblDaily[EntryDate],DATE(2026,9,28),tblDaily[WardCode],"MAE")=0,"",SUMIFS(tblDaily[TransfersIn],tblDaily[EntryDate],DATE(2026,9,28),tblDaily[WardCode],"MAE")),"")</f>
        <v/>
      </c>
      <c r="G346" s="29" t="str">
        <f>IFERROR(IF(SUMIFS(tblDaily[TransfersOut],tblDaily[EntryDate],DATE(2026,9,28),tblDaily[WardCode],"MAE")=0,"",SUMIFS(tblDaily[TransfersOut],tblDaily[EntryDate],DATE(2026,9,28),tblDaily[WardCode],"MAE")),"")</f>
        <v/>
      </c>
      <c r="H346" s="29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IFERROR(IF(SUMIFS(tblDaily[Admissions],tblDaily[EntryDate],DATE(2026,9,29),tblDaily[WardCode],"MAE")=0,"",SUMIFS(tblDaily[Admissions],tblDaily[EntryDate],DATE(2026,9,29),tblDaily[WardCode],"MAE")),"")</f>
        <v/>
      </c>
      <c r="C347" s="29" t="str">
        <f>IFERROR(IF(SUMIFS(tblDaily[Discharges],tblDaily[EntryDate],DATE(2026,9,29),tblDaily[WardCode],"MAE")=0,"",SUMIFS(tblDaily[Discharges],tblDaily[EntryDate],DATE(2026,9,29),tblDaily[WardCode],"MAE")),"")</f>
        <v/>
      </c>
      <c r="D347" s="29" t="str">
        <f>IFERROR(IF(SUMIFS(tblDaily[Deaths],tblDaily[EntryDate],DATE(2026,9,29),tblDaily[WardCode],"MAE")=0,"",SUMIFS(tblDaily[Deaths],tblDaily[EntryDate],DATE(2026,9,29),tblDaily[WardCode],"MAE")),"")</f>
        <v/>
      </c>
      <c r="E347" s="29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29" t="str">
        <f>IFERROR(IF(SUMIFS(tblDaily[TransfersIn],tblDaily[EntryDate],DATE(2026,9,29),tblDaily[WardCode],"MAE")=0,"",SUMIFS(tblDaily[TransfersIn],tblDaily[EntryDate],DATE(2026,9,29),tblDaily[WardCode],"MAE")),"")</f>
        <v/>
      </c>
      <c r="G347" s="29" t="str">
        <f>IFERROR(IF(SUMIFS(tblDaily[TransfersOut],tblDaily[EntryDate],DATE(2026,9,29),tblDaily[WardCode],"MAE")=0,"",SUMIFS(tblDaily[TransfersOut],tblDaily[EntryDate],DATE(2026,9,29),tblDaily[WardCode],"MAE")),"")</f>
        <v/>
      </c>
      <c r="H347" s="29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IFERROR(IF(SUMIFS(tblDaily[Admissions],tblDaily[EntryDate],DATE(2026,9,30),tblDaily[WardCode],"MAE")=0,"",SUMIFS(tblDaily[Admissions],tblDaily[EntryDate],DATE(2026,9,30),tblDaily[WardCode],"MAE")),"")</f>
        <v/>
      </c>
      <c r="C348" s="29" t="str">
        <f>IFERROR(IF(SUMIFS(tblDaily[Discharges],tblDaily[EntryDate],DATE(2026,9,30),tblDaily[WardCode],"MAE")=0,"",SUMIFS(tblDaily[Discharges],tblDaily[EntryDate],DATE(2026,9,30),tblDaily[WardCode],"MAE")),"")</f>
        <v/>
      </c>
      <c r="D348" s="29" t="str">
        <f>IFERROR(IF(SUMIFS(tblDaily[Deaths],tblDaily[EntryDate],DATE(2026,9,30),tblDaily[WardCode],"MAE")=0,"",SUMIFS(tblDaily[Deaths],tblDaily[EntryDate],DATE(2026,9,30),tblDaily[WardCode],"MAE")),"")</f>
        <v/>
      </c>
      <c r="E348" s="29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29" t="str">
        <f>IFERROR(IF(SUMIFS(tblDaily[TransfersIn],tblDaily[EntryDate],DATE(2026,9,30),tblDaily[WardCode],"MAE")=0,"",SUMIFS(tblDaily[TransfersIn],tblDaily[EntryDate],DATE(2026,9,30),tblDaily[WardCode],"MAE")),"")</f>
        <v/>
      </c>
      <c r="G348" s="29" t="str">
        <f>IFERROR(IF(SUMIFS(tblDaily[TransfersOut],tblDaily[EntryDate],DATE(2026,9,30),tblDaily[WardCode],"MAE")=0,"",SUMIFS(tblDaily[TransfersOut],tblDaily[EntryDate],DATE(2026,9,30),tblDaily[WardCode],"MAE")),"")</f>
        <v/>
      </c>
      <c r="H348" s="29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SUMIFS(tblDaily[Admissions],tblDaily[Month],9,tblDaily[WardCode],"MAE") - SUMIFS(tblDaily[DeathsUnder24Hrs],tblDaily[Month],9,tblDaily[WardCode],"MAE")</f>
        <v>0</v>
      </c>
      <c r="C350" s="30">
        <f>SUMIFS(tblDaily[Discharges],tblDaily[Month],9,tblDaily[WardCode],"MAE")</f>
        <v>0</v>
      </c>
      <c r="D350" s="30">
        <f>SUMIFS(tblDaily[Deaths],tblDaily[Month],9,tblDaily[WardCode],"MAE")</f>
        <v>0</v>
      </c>
      <c r="E350" s="30">
        <f>SUMIFS(tblDaily[DeathsUnder24Hrs],tblDaily[Month],9,tblDaily[WardCode],"MAE")</f>
        <v>0</v>
      </c>
      <c r="F350" s="30">
        <f>SUMIFS(tblDaily[TransfersIn],tblDaily[Month],9,tblDaily[WardCode],"MAE")</f>
        <v>0</v>
      </c>
      <c r="G350" s="30">
        <f>SUMIFS(tblDaily[TransfersOut],tblDaily[Month],9,tblDaily[WardCode],"MAE")</f>
        <v>0</v>
      </c>
      <c r="H350" s="30">
        <f>SUMIFS(tblDaily[Remaining],tblDaily[Month],9,tblDaily[WardCode],"MAE")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122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IFERROR(SUMIFS(tblDaily[Remaining],tblDaily[EntryDate],DATE(2026,9,30),tblDaily[WardCode],"MAE"),0)</f>
        <v>0</v>
      </c>
    </row>
    <row r="356" spans="1:8" x14ac:dyDescent="0.25">
      <c r="A356" s="24" t="s">
        <v>109</v>
      </c>
      <c r="H356" s="27">
        <f>IFERROR(INDEX(tblWardConfig[BedComplement],MATCH("MAE",tblWardConfig[WardCode],0)),0)</f>
        <v>10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IFERROR(IF(SUMIFS(tblDaily[Admissions],tblDaily[EntryDate],DATE(2026,10,1),tblDaily[WardCode],"MAE")=0,"",SUMIFS(tblDaily[Admissions],tblDaily[EntryDate],DATE(2026,10,1),tblDaily[WardCode],"MAE")),"")</f>
        <v/>
      </c>
      <c r="C358" s="29" t="str">
        <f>IFERROR(IF(SUMIFS(tblDaily[Discharges],tblDaily[EntryDate],DATE(2026,10,1),tblDaily[WardCode],"MAE")=0,"",SUMIFS(tblDaily[Discharges],tblDaily[EntryDate],DATE(2026,10,1),tblDaily[WardCode],"MAE")),"")</f>
        <v/>
      </c>
      <c r="D358" s="29" t="str">
        <f>IFERROR(IF(SUMIFS(tblDaily[Deaths],tblDaily[EntryDate],DATE(2026,10,1),tblDaily[WardCode],"MAE")=0,"",SUMIFS(tblDaily[Deaths],tblDaily[EntryDate],DATE(2026,10,1),tblDaily[WardCode],"MAE")),"")</f>
        <v/>
      </c>
      <c r="E358" s="29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29" t="str">
        <f>IFERROR(IF(SUMIFS(tblDaily[TransfersIn],tblDaily[EntryDate],DATE(2026,10,1),tblDaily[WardCode],"MAE")=0,"",SUMIFS(tblDaily[TransfersIn],tblDaily[EntryDate],DATE(2026,10,1),tblDaily[WardCode],"MAE")),"")</f>
        <v/>
      </c>
      <c r="G358" s="29" t="str">
        <f>IFERROR(IF(SUMIFS(tblDaily[TransfersOut],tblDaily[EntryDate],DATE(2026,10,1),tblDaily[WardCode],"MAE")=0,"",SUMIFS(tblDaily[TransfersOut],tblDaily[EntryDate],DATE(2026,10,1),tblDaily[WardCode],"MAE")),"")</f>
        <v/>
      </c>
      <c r="H358" s="29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IFERROR(IF(SUMIFS(tblDaily[Admissions],tblDaily[EntryDate],DATE(2026,10,2),tblDaily[WardCode],"MAE")=0,"",SUMIFS(tblDaily[Admissions],tblDaily[EntryDate],DATE(2026,10,2),tblDaily[WardCode],"MAE")),"")</f>
        <v/>
      </c>
      <c r="C359" s="29" t="str">
        <f>IFERROR(IF(SUMIFS(tblDaily[Discharges],tblDaily[EntryDate],DATE(2026,10,2),tblDaily[WardCode],"MAE")=0,"",SUMIFS(tblDaily[Discharges],tblDaily[EntryDate],DATE(2026,10,2),tblDaily[WardCode],"MAE")),"")</f>
        <v/>
      </c>
      <c r="D359" s="29" t="str">
        <f>IFERROR(IF(SUMIFS(tblDaily[Deaths],tblDaily[EntryDate],DATE(2026,10,2),tblDaily[WardCode],"MAE")=0,"",SUMIFS(tblDaily[Deaths],tblDaily[EntryDate],DATE(2026,10,2),tblDaily[WardCode],"MAE")),"")</f>
        <v/>
      </c>
      <c r="E359" s="29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29" t="str">
        <f>IFERROR(IF(SUMIFS(tblDaily[TransfersIn],tblDaily[EntryDate],DATE(2026,10,2),tblDaily[WardCode],"MAE")=0,"",SUMIFS(tblDaily[TransfersIn],tblDaily[EntryDate],DATE(2026,10,2),tblDaily[WardCode],"MAE")),"")</f>
        <v/>
      </c>
      <c r="G359" s="29" t="str">
        <f>IFERROR(IF(SUMIFS(tblDaily[TransfersOut],tblDaily[EntryDate],DATE(2026,10,2),tblDaily[WardCode],"MAE")=0,"",SUMIFS(tblDaily[TransfersOut],tblDaily[EntryDate],DATE(2026,10,2),tblDaily[WardCode],"MAE")),"")</f>
        <v/>
      </c>
      <c r="H359" s="29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IFERROR(IF(SUMIFS(tblDaily[Admissions],tblDaily[EntryDate],DATE(2026,10,3),tblDaily[WardCode],"MAE")=0,"",SUMIFS(tblDaily[Admissions],tblDaily[EntryDate],DATE(2026,10,3),tblDaily[WardCode],"MAE")),"")</f>
        <v/>
      </c>
      <c r="C360" s="29" t="str">
        <f>IFERROR(IF(SUMIFS(tblDaily[Discharges],tblDaily[EntryDate],DATE(2026,10,3),tblDaily[WardCode],"MAE")=0,"",SUMIFS(tblDaily[Discharges],tblDaily[EntryDate],DATE(2026,10,3),tblDaily[WardCode],"MAE")),"")</f>
        <v/>
      </c>
      <c r="D360" s="29" t="str">
        <f>IFERROR(IF(SUMIFS(tblDaily[Deaths],tblDaily[EntryDate],DATE(2026,10,3),tblDaily[WardCode],"MAE")=0,"",SUMIFS(tblDaily[Deaths],tblDaily[EntryDate],DATE(2026,10,3),tblDaily[WardCode],"MAE")),"")</f>
        <v/>
      </c>
      <c r="E360" s="29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29" t="str">
        <f>IFERROR(IF(SUMIFS(tblDaily[TransfersIn],tblDaily[EntryDate],DATE(2026,10,3),tblDaily[WardCode],"MAE")=0,"",SUMIFS(tblDaily[TransfersIn],tblDaily[EntryDate],DATE(2026,10,3),tblDaily[WardCode],"MAE")),"")</f>
        <v/>
      </c>
      <c r="G360" s="29" t="str">
        <f>IFERROR(IF(SUMIFS(tblDaily[TransfersOut],tblDaily[EntryDate],DATE(2026,10,3),tblDaily[WardCode],"MAE")=0,"",SUMIFS(tblDaily[TransfersOut],tblDaily[EntryDate],DATE(2026,10,3),tblDaily[WardCode],"MAE")),"")</f>
        <v/>
      </c>
      <c r="H360" s="29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IFERROR(IF(SUMIFS(tblDaily[Admissions],tblDaily[EntryDate],DATE(2026,10,4),tblDaily[WardCode],"MAE")=0,"",SUMIFS(tblDaily[Admissions],tblDaily[EntryDate],DATE(2026,10,4),tblDaily[WardCode],"MAE")),"")</f>
        <v/>
      </c>
      <c r="C361" s="29" t="str">
        <f>IFERROR(IF(SUMIFS(tblDaily[Discharges],tblDaily[EntryDate],DATE(2026,10,4),tblDaily[WardCode],"MAE")=0,"",SUMIFS(tblDaily[Discharges],tblDaily[EntryDate],DATE(2026,10,4),tblDaily[WardCode],"MAE")),"")</f>
        <v/>
      </c>
      <c r="D361" s="29" t="str">
        <f>IFERROR(IF(SUMIFS(tblDaily[Deaths],tblDaily[EntryDate],DATE(2026,10,4),tblDaily[WardCode],"MAE")=0,"",SUMIFS(tblDaily[Deaths],tblDaily[EntryDate],DATE(2026,10,4),tblDaily[WardCode],"MAE")),"")</f>
        <v/>
      </c>
      <c r="E361" s="29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29" t="str">
        <f>IFERROR(IF(SUMIFS(tblDaily[TransfersIn],tblDaily[EntryDate],DATE(2026,10,4),tblDaily[WardCode],"MAE")=0,"",SUMIFS(tblDaily[TransfersIn],tblDaily[EntryDate],DATE(2026,10,4),tblDaily[WardCode],"MAE")),"")</f>
        <v/>
      </c>
      <c r="G361" s="29" t="str">
        <f>IFERROR(IF(SUMIFS(tblDaily[TransfersOut],tblDaily[EntryDate],DATE(2026,10,4),tblDaily[WardCode],"MAE")=0,"",SUMIFS(tblDaily[TransfersOut],tblDaily[EntryDate],DATE(2026,10,4),tblDaily[WardCode],"MAE")),"")</f>
        <v/>
      </c>
      <c r="H361" s="29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IFERROR(IF(SUMIFS(tblDaily[Admissions],tblDaily[EntryDate],DATE(2026,10,5),tblDaily[WardCode],"MAE")=0,"",SUMIFS(tblDaily[Admissions],tblDaily[EntryDate],DATE(2026,10,5),tblDaily[WardCode],"MAE")),"")</f>
        <v/>
      </c>
      <c r="C362" s="29" t="str">
        <f>IFERROR(IF(SUMIFS(tblDaily[Discharges],tblDaily[EntryDate],DATE(2026,10,5),tblDaily[WardCode],"MAE")=0,"",SUMIFS(tblDaily[Discharges],tblDaily[EntryDate],DATE(2026,10,5),tblDaily[WardCode],"MAE")),"")</f>
        <v/>
      </c>
      <c r="D362" s="29" t="str">
        <f>IFERROR(IF(SUMIFS(tblDaily[Deaths],tblDaily[EntryDate],DATE(2026,10,5),tblDaily[WardCode],"MAE")=0,"",SUMIFS(tblDaily[Deaths],tblDaily[EntryDate],DATE(2026,10,5),tblDaily[WardCode],"MAE")),"")</f>
        <v/>
      </c>
      <c r="E362" s="29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29" t="str">
        <f>IFERROR(IF(SUMIFS(tblDaily[TransfersIn],tblDaily[EntryDate],DATE(2026,10,5),tblDaily[WardCode],"MAE")=0,"",SUMIFS(tblDaily[TransfersIn],tblDaily[EntryDate],DATE(2026,10,5),tblDaily[WardCode],"MAE")),"")</f>
        <v/>
      </c>
      <c r="G362" s="29" t="str">
        <f>IFERROR(IF(SUMIFS(tblDaily[TransfersOut],tblDaily[EntryDate],DATE(2026,10,5),tblDaily[WardCode],"MAE")=0,"",SUMIFS(tblDaily[TransfersOut],tblDaily[EntryDate],DATE(2026,10,5),tblDaily[WardCode],"MAE")),"")</f>
        <v/>
      </c>
      <c r="H362" s="29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IFERROR(IF(SUMIFS(tblDaily[Admissions],tblDaily[EntryDate],DATE(2026,10,6),tblDaily[WardCode],"MAE")=0,"",SUMIFS(tblDaily[Admissions],tblDaily[EntryDate],DATE(2026,10,6),tblDaily[WardCode],"MAE")),"")</f>
        <v/>
      </c>
      <c r="C363" s="29" t="str">
        <f>IFERROR(IF(SUMIFS(tblDaily[Discharges],tblDaily[EntryDate],DATE(2026,10,6),tblDaily[WardCode],"MAE")=0,"",SUMIFS(tblDaily[Discharges],tblDaily[EntryDate],DATE(2026,10,6),tblDaily[WardCode],"MAE")),"")</f>
        <v/>
      </c>
      <c r="D363" s="29" t="str">
        <f>IFERROR(IF(SUMIFS(tblDaily[Deaths],tblDaily[EntryDate],DATE(2026,10,6),tblDaily[WardCode],"MAE")=0,"",SUMIFS(tblDaily[Deaths],tblDaily[EntryDate],DATE(2026,10,6),tblDaily[WardCode],"MAE")),"")</f>
        <v/>
      </c>
      <c r="E363" s="29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29" t="str">
        <f>IFERROR(IF(SUMIFS(tblDaily[TransfersIn],tblDaily[EntryDate],DATE(2026,10,6),tblDaily[WardCode],"MAE")=0,"",SUMIFS(tblDaily[TransfersIn],tblDaily[EntryDate],DATE(2026,10,6),tblDaily[WardCode],"MAE")),"")</f>
        <v/>
      </c>
      <c r="G363" s="29" t="str">
        <f>IFERROR(IF(SUMIFS(tblDaily[TransfersOut],tblDaily[EntryDate],DATE(2026,10,6),tblDaily[WardCode],"MAE")=0,"",SUMIFS(tblDaily[TransfersOut],tblDaily[EntryDate],DATE(2026,10,6),tblDaily[WardCode],"MAE")),"")</f>
        <v/>
      </c>
      <c r="H363" s="29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IFERROR(IF(SUMIFS(tblDaily[Admissions],tblDaily[EntryDate],DATE(2026,10,7),tblDaily[WardCode],"MAE")=0,"",SUMIFS(tblDaily[Admissions],tblDaily[EntryDate],DATE(2026,10,7),tblDaily[WardCode],"MAE")),"")</f>
        <v/>
      </c>
      <c r="C364" s="29" t="str">
        <f>IFERROR(IF(SUMIFS(tblDaily[Discharges],tblDaily[EntryDate],DATE(2026,10,7),tblDaily[WardCode],"MAE")=0,"",SUMIFS(tblDaily[Discharges],tblDaily[EntryDate],DATE(2026,10,7),tblDaily[WardCode],"MAE")),"")</f>
        <v/>
      </c>
      <c r="D364" s="29" t="str">
        <f>IFERROR(IF(SUMIFS(tblDaily[Deaths],tblDaily[EntryDate],DATE(2026,10,7),tblDaily[WardCode],"MAE")=0,"",SUMIFS(tblDaily[Deaths],tblDaily[EntryDate],DATE(2026,10,7),tblDaily[WardCode],"MAE")),"")</f>
        <v/>
      </c>
      <c r="E364" s="29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29" t="str">
        <f>IFERROR(IF(SUMIFS(tblDaily[TransfersIn],tblDaily[EntryDate],DATE(2026,10,7),tblDaily[WardCode],"MAE")=0,"",SUMIFS(tblDaily[TransfersIn],tblDaily[EntryDate],DATE(2026,10,7),tblDaily[WardCode],"MAE")),"")</f>
        <v/>
      </c>
      <c r="G364" s="29" t="str">
        <f>IFERROR(IF(SUMIFS(tblDaily[TransfersOut],tblDaily[EntryDate],DATE(2026,10,7),tblDaily[WardCode],"MAE")=0,"",SUMIFS(tblDaily[TransfersOut],tblDaily[EntryDate],DATE(2026,10,7),tblDaily[WardCode],"MAE")),"")</f>
        <v/>
      </c>
      <c r="H364" s="29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IFERROR(IF(SUMIFS(tblDaily[Admissions],tblDaily[EntryDate],DATE(2026,10,8),tblDaily[WardCode],"MAE")=0,"",SUMIFS(tblDaily[Admissions],tblDaily[EntryDate],DATE(2026,10,8),tblDaily[WardCode],"MAE")),"")</f>
        <v/>
      </c>
      <c r="C365" s="29" t="str">
        <f>IFERROR(IF(SUMIFS(tblDaily[Discharges],tblDaily[EntryDate],DATE(2026,10,8),tblDaily[WardCode],"MAE")=0,"",SUMIFS(tblDaily[Discharges],tblDaily[EntryDate],DATE(2026,10,8),tblDaily[WardCode],"MAE")),"")</f>
        <v/>
      </c>
      <c r="D365" s="29" t="str">
        <f>IFERROR(IF(SUMIFS(tblDaily[Deaths],tblDaily[EntryDate],DATE(2026,10,8),tblDaily[WardCode],"MAE")=0,"",SUMIFS(tblDaily[Deaths],tblDaily[EntryDate],DATE(2026,10,8),tblDaily[WardCode],"MAE")),"")</f>
        <v/>
      </c>
      <c r="E365" s="29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29" t="str">
        <f>IFERROR(IF(SUMIFS(tblDaily[TransfersIn],tblDaily[EntryDate],DATE(2026,10,8),tblDaily[WardCode],"MAE")=0,"",SUMIFS(tblDaily[TransfersIn],tblDaily[EntryDate],DATE(2026,10,8),tblDaily[WardCode],"MAE")),"")</f>
        <v/>
      </c>
      <c r="G365" s="29" t="str">
        <f>IFERROR(IF(SUMIFS(tblDaily[TransfersOut],tblDaily[EntryDate],DATE(2026,10,8),tblDaily[WardCode],"MAE")=0,"",SUMIFS(tblDaily[TransfersOut],tblDaily[EntryDate],DATE(2026,10,8),tblDaily[WardCode],"MAE")),"")</f>
        <v/>
      </c>
      <c r="H365" s="29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IFERROR(IF(SUMIFS(tblDaily[Admissions],tblDaily[EntryDate],DATE(2026,10,9),tblDaily[WardCode],"MAE")=0,"",SUMIFS(tblDaily[Admissions],tblDaily[EntryDate],DATE(2026,10,9),tblDaily[WardCode],"MAE")),"")</f>
        <v/>
      </c>
      <c r="C366" s="29" t="str">
        <f>IFERROR(IF(SUMIFS(tblDaily[Discharges],tblDaily[EntryDate],DATE(2026,10,9),tblDaily[WardCode],"MAE")=0,"",SUMIFS(tblDaily[Discharges],tblDaily[EntryDate],DATE(2026,10,9),tblDaily[WardCode],"MAE")),"")</f>
        <v/>
      </c>
      <c r="D366" s="29" t="str">
        <f>IFERROR(IF(SUMIFS(tblDaily[Deaths],tblDaily[EntryDate],DATE(2026,10,9),tblDaily[WardCode],"MAE")=0,"",SUMIFS(tblDaily[Deaths],tblDaily[EntryDate],DATE(2026,10,9),tblDaily[WardCode],"MAE")),"")</f>
        <v/>
      </c>
      <c r="E366" s="29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29" t="str">
        <f>IFERROR(IF(SUMIFS(tblDaily[TransfersIn],tblDaily[EntryDate],DATE(2026,10,9),tblDaily[WardCode],"MAE")=0,"",SUMIFS(tblDaily[TransfersIn],tblDaily[EntryDate],DATE(2026,10,9),tblDaily[WardCode],"MAE")),"")</f>
        <v/>
      </c>
      <c r="G366" s="29" t="str">
        <f>IFERROR(IF(SUMIFS(tblDaily[TransfersOut],tblDaily[EntryDate],DATE(2026,10,9),tblDaily[WardCode],"MAE")=0,"",SUMIFS(tblDaily[TransfersOut],tblDaily[EntryDate],DATE(2026,10,9),tblDaily[WardCode],"MAE")),"")</f>
        <v/>
      </c>
      <c r="H366" s="29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IFERROR(IF(SUMIFS(tblDaily[Admissions],tblDaily[EntryDate],DATE(2026,10,10),tblDaily[WardCode],"MAE")=0,"",SUMIFS(tblDaily[Admissions],tblDaily[EntryDate],DATE(2026,10,10),tblDaily[WardCode],"MAE")),"")</f>
        <v/>
      </c>
      <c r="C367" s="29" t="str">
        <f>IFERROR(IF(SUMIFS(tblDaily[Discharges],tblDaily[EntryDate],DATE(2026,10,10),tblDaily[WardCode],"MAE")=0,"",SUMIFS(tblDaily[Discharges],tblDaily[EntryDate],DATE(2026,10,10),tblDaily[WardCode],"MAE")),"")</f>
        <v/>
      </c>
      <c r="D367" s="29" t="str">
        <f>IFERROR(IF(SUMIFS(tblDaily[Deaths],tblDaily[EntryDate],DATE(2026,10,10),tblDaily[WardCode],"MAE")=0,"",SUMIFS(tblDaily[Deaths],tblDaily[EntryDate],DATE(2026,10,10),tblDaily[WardCode],"MAE")),"")</f>
        <v/>
      </c>
      <c r="E367" s="2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29" t="str">
        <f>IFERROR(IF(SUMIFS(tblDaily[TransfersIn],tblDaily[EntryDate],DATE(2026,10,10),tblDaily[WardCode],"MAE")=0,"",SUMIFS(tblDaily[TransfersIn],tblDaily[EntryDate],DATE(2026,10,10),tblDaily[WardCode],"MAE")),"")</f>
        <v/>
      </c>
      <c r="G367" s="29" t="str">
        <f>IFERROR(IF(SUMIFS(tblDaily[TransfersOut],tblDaily[EntryDate],DATE(2026,10,10),tblDaily[WardCode],"MAE")=0,"",SUMIFS(tblDaily[TransfersOut],tblDaily[EntryDate],DATE(2026,10,10),tblDaily[WardCode],"MAE")),"")</f>
        <v/>
      </c>
      <c r="H367" s="29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IFERROR(IF(SUMIFS(tblDaily[Admissions],tblDaily[EntryDate],DATE(2026,10,11),tblDaily[WardCode],"MAE")=0,"",SUMIFS(tblDaily[Admissions],tblDaily[EntryDate],DATE(2026,10,11),tblDaily[WardCode],"MAE")),"")</f>
        <v/>
      </c>
      <c r="C368" s="29" t="str">
        <f>IFERROR(IF(SUMIFS(tblDaily[Discharges],tblDaily[EntryDate],DATE(2026,10,11),tblDaily[WardCode],"MAE")=0,"",SUMIFS(tblDaily[Discharges],tblDaily[EntryDate],DATE(2026,10,11),tblDaily[WardCode],"MAE")),"")</f>
        <v/>
      </c>
      <c r="D368" s="29" t="str">
        <f>IFERROR(IF(SUMIFS(tblDaily[Deaths],tblDaily[EntryDate],DATE(2026,10,11),tblDaily[WardCode],"MAE")=0,"",SUMIFS(tblDaily[Deaths],tblDaily[EntryDate],DATE(2026,10,11),tblDaily[WardCode],"MAE")),"")</f>
        <v/>
      </c>
      <c r="E368" s="2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29" t="str">
        <f>IFERROR(IF(SUMIFS(tblDaily[TransfersIn],tblDaily[EntryDate],DATE(2026,10,11),tblDaily[WardCode],"MAE")=0,"",SUMIFS(tblDaily[TransfersIn],tblDaily[EntryDate],DATE(2026,10,11),tblDaily[WardCode],"MAE")),"")</f>
        <v/>
      </c>
      <c r="G368" s="29" t="str">
        <f>IFERROR(IF(SUMIFS(tblDaily[TransfersOut],tblDaily[EntryDate],DATE(2026,10,11),tblDaily[WardCode],"MAE")=0,"",SUMIFS(tblDaily[TransfersOut],tblDaily[EntryDate],DATE(2026,10,11),tblDaily[WardCode],"MAE")),"")</f>
        <v/>
      </c>
      <c r="H368" s="29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IFERROR(IF(SUMIFS(tblDaily[Admissions],tblDaily[EntryDate],DATE(2026,10,12),tblDaily[WardCode],"MAE")=0,"",SUMIFS(tblDaily[Admissions],tblDaily[EntryDate],DATE(2026,10,12),tblDaily[WardCode],"MAE")),"")</f>
        <v/>
      </c>
      <c r="C369" s="29" t="str">
        <f>IFERROR(IF(SUMIFS(tblDaily[Discharges],tblDaily[EntryDate],DATE(2026,10,12),tblDaily[WardCode],"MAE")=0,"",SUMIFS(tblDaily[Discharges],tblDaily[EntryDate],DATE(2026,10,12),tblDaily[WardCode],"MAE")),"")</f>
        <v/>
      </c>
      <c r="D369" s="29" t="str">
        <f>IFERROR(IF(SUMIFS(tblDaily[Deaths],tblDaily[EntryDate],DATE(2026,10,12),tblDaily[WardCode],"MAE")=0,"",SUMIFS(tblDaily[Deaths],tblDaily[EntryDate],DATE(2026,10,12),tblDaily[WardCode],"MAE")),"")</f>
        <v/>
      </c>
      <c r="E369" s="2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29" t="str">
        <f>IFERROR(IF(SUMIFS(tblDaily[TransfersIn],tblDaily[EntryDate],DATE(2026,10,12),tblDaily[WardCode],"MAE")=0,"",SUMIFS(tblDaily[TransfersIn],tblDaily[EntryDate],DATE(2026,10,12),tblDaily[WardCode],"MAE")),"")</f>
        <v/>
      </c>
      <c r="G369" s="29" t="str">
        <f>IFERROR(IF(SUMIFS(tblDaily[TransfersOut],tblDaily[EntryDate],DATE(2026,10,12),tblDaily[WardCode],"MAE")=0,"",SUMIFS(tblDaily[TransfersOut],tblDaily[EntryDate],DATE(2026,10,12),tblDaily[WardCode],"MAE")),"")</f>
        <v/>
      </c>
      <c r="H369" s="29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IFERROR(IF(SUMIFS(tblDaily[Admissions],tblDaily[EntryDate],DATE(2026,10,13),tblDaily[WardCode],"MAE")=0,"",SUMIFS(tblDaily[Admissions],tblDaily[EntryDate],DATE(2026,10,13),tblDaily[WardCode],"MAE")),"")</f>
        <v/>
      </c>
      <c r="C370" s="29" t="str">
        <f>IFERROR(IF(SUMIFS(tblDaily[Discharges],tblDaily[EntryDate],DATE(2026,10,13),tblDaily[WardCode],"MAE")=0,"",SUMIFS(tblDaily[Discharges],tblDaily[EntryDate],DATE(2026,10,13),tblDaily[WardCode],"MAE")),"")</f>
        <v/>
      </c>
      <c r="D370" s="29" t="str">
        <f>IFERROR(IF(SUMIFS(tblDaily[Deaths],tblDaily[EntryDate],DATE(2026,10,13),tblDaily[WardCode],"MAE")=0,"",SUMIFS(tblDaily[Deaths],tblDaily[EntryDate],DATE(2026,10,13),tblDaily[WardCode],"MAE")),"")</f>
        <v/>
      </c>
      <c r="E370" s="2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29" t="str">
        <f>IFERROR(IF(SUMIFS(tblDaily[TransfersIn],tblDaily[EntryDate],DATE(2026,10,13),tblDaily[WardCode],"MAE")=0,"",SUMIFS(tblDaily[TransfersIn],tblDaily[EntryDate],DATE(2026,10,13),tblDaily[WardCode],"MAE")),"")</f>
        <v/>
      </c>
      <c r="G370" s="29" t="str">
        <f>IFERROR(IF(SUMIFS(tblDaily[TransfersOut],tblDaily[EntryDate],DATE(2026,10,13),tblDaily[WardCode],"MAE")=0,"",SUMIFS(tblDaily[TransfersOut],tblDaily[EntryDate],DATE(2026,10,13),tblDaily[WardCode],"MAE")),"")</f>
        <v/>
      </c>
      <c r="H370" s="29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IFERROR(IF(SUMIFS(tblDaily[Admissions],tblDaily[EntryDate],DATE(2026,10,14),tblDaily[WardCode],"MAE")=0,"",SUMIFS(tblDaily[Admissions],tblDaily[EntryDate],DATE(2026,10,14),tblDaily[WardCode],"MAE")),"")</f>
        <v/>
      </c>
      <c r="C371" s="29" t="str">
        <f>IFERROR(IF(SUMIFS(tblDaily[Discharges],tblDaily[EntryDate],DATE(2026,10,14),tblDaily[WardCode],"MAE")=0,"",SUMIFS(tblDaily[Discharges],tblDaily[EntryDate],DATE(2026,10,14),tblDaily[WardCode],"MAE")),"")</f>
        <v/>
      </c>
      <c r="D371" s="29" t="str">
        <f>IFERROR(IF(SUMIFS(tblDaily[Deaths],tblDaily[EntryDate],DATE(2026,10,14),tblDaily[WardCode],"MAE")=0,"",SUMIFS(tblDaily[Deaths],tblDaily[EntryDate],DATE(2026,10,14),tblDaily[WardCode],"MAE")),"")</f>
        <v/>
      </c>
      <c r="E371" s="2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29" t="str">
        <f>IFERROR(IF(SUMIFS(tblDaily[TransfersIn],tblDaily[EntryDate],DATE(2026,10,14),tblDaily[WardCode],"MAE")=0,"",SUMIFS(tblDaily[TransfersIn],tblDaily[EntryDate],DATE(2026,10,14),tblDaily[WardCode],"MAE")),"")</f>
        <v/>
      </c>
      <c r="G371" s="29" t="str">
        <f>IFERROR(IF(SUMIFS(tblDaily[TransfersOut],tblDaily[EntryDate],DATE(2026,10,14),tblDaily[WardCode],"MAE")=0,"",SUMIFS(tblDaily[TransfersOut],tblDaily[EntryDate],DATE(2026,10,14),tblDaily[WardCode],"MAE")),"")</f>
        <v/>
      </c>
      <c r="H371" s="29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IFERROR(IF(SUMIFS(tblDaily[Admissions],tblDaily[EntryDate],DATE(2026,10,15),tblDaily[WardCode],"MAE")=0,"",SUMIFS(tblDaily[Admissions],tblDaily[EntryDate],DATE(2026,10,15),tblDaily[WardCode],"MAE")),"")</f>
        <v/>
      </c>
      <c r="C372" s="29" t="str">
        <f>IFERROR(IF(SUMIFS(tblDaily[Discharges],tblDaily[EntryDate],DATE(2026,10,15),tblDaily[WardCode],"MAE")=0,"",SUMIFS(tblDaily[Discharges],tblDaily[EntryDate],DATE(2026,10,15),tblDaily[WardCode],"MAE")),"")</f>
        <v/>
      </c>
      <c r="D372" s="29" t="str">
        <f>IFERROR(IF(SUMIFS(tblDaily[Deaths],tblDaily[EntryDate],DATE(2026,10,15),tblDaily[WardCode],"MAE")=0,"",SUMIFS(tblDaily[Deaths],tblDaily[EntryDate],DATE(2026,10,15),tblDaily[WardCode],"MAE")),"")</f>
        <v/>
      </c>
      <c r="E372" s="2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29" t="str">
        <f>IFERROR(IF(SUMIFS(tblDaily[TransfersIn],tblDaily[EntryDate],DATE(2026,10,15),tblDaily[WardCode],"MAE")=0,"",SUMIFS(tblDaily[TransfersIn],tblDaily[EntryDate],DATE(2026,10,15),tblDaily[WardCode],"MAE")),"")</f>
        <v/>
      </c>
      <c r="G372" s="29" t="str">
        <f>IFERROR(IF(SUMIFS(tblDaily[TransfersOut],tblDaily[EntryDate],DATE(2026,10,15),tblDaily[WardCode],"MAE")=0,"",SUMIFS(tblDaily[TransfersOut],tblDaily[EntryDate],DATE(2026,10,15),tblDaily[WardCode],"MAE")),"")</f>
        <v/>
      </c>
      <c r="H372" s="29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IFERROR(IF(SUMIFS(tblDaily[Admissions],tblDaily[EntryDate],DATE(2026,10,16),tblDaily[WardCode],"MAE")=0,"",SUMIFS(tblDaily[Admissions],tblDaily[EntryDate],DATE(2026,10,16),tblDaily[WardCode],"MAE")),"")</f>
        <v/>
      </c>
      <c r="C373" s="29" t="str">
        <f>IFERROR(IF(SUMIFS(tblDaily[Discharges],tblDaily[EntryDate],DATE(2026,10,16),tblDaily[WardCode],"MAE")=0,"",SUMIFS(tblDaily[Discharges],tblDaily[EntryDate],DATE(2026,10,16),tblDaily[WardCode],"MAE")),"")</f>
        <v/>
      </c>
      <c r="D373" s="29" t="str">
        <f>IFERROR(IF(SUMIFS(tblDaily[Deaths],tblDaily[EntryDate],DATE(2026,10,16),tblDaily[WardCode],"MAE")=0,"",SUMIFS(tblDaily[Deaths],tblDaily[EntryDate],DATE(2026,10,16),tblDaily[WardCode],"MAE")),"")</f>
        <v/>
      </c>
      <c r="E373" s="2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29" t="str">
        <f>IFERROR(IF(SUMIFS(tblDaily[TransfersIn],tblDaily[EntryDate],DATE(2026,10,16),tblDaily[WardCode],"MAE")=0,"",SUMIFS(tblDaily[TransfersIn],tblDaily[EntryDate],DATE(2026,10,16),tblDaily[WardCode],"MAE")),"")</f>
        <v/>
      </c>
      <c r="G373" s="29" t="str">
        <f>IFERROR(IF(SUMIFS(tblDaily[TransfersOut],tblDaily[EntryDate],DATE(2026,10,16),tblDaily[WardCode],"MAE")=0,"",SUMIFS(tblDaily[TransfersOut],tblDaily[EntryDate],DATE(2026,10,16),tblDaily[WardCode],"MAE")),"")</f>
        <v/>
      </c>
      <c r="H373" s="29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IFERROR(IF(SUMIFS(tblDaily[Admissions],tblDaily[EntryDate],DATE(2026,10,17),tblDaily[WardCode],"MAE")=0,"",SUMIFS(tblDaily[Admissions],tblDaily[EntryDate],DATE(2026,10,17),tblDaily[WardCode],"MAE")),"")</f>
        <v/>
      </c>
      <c r="C374" s="29" t="str">
        <f>IFERROR(IF(SUMIFS(tblDaily[Discharges],tblDaily[EntryDate],DATE(2026,10,17),tblDaily[WardCode],"MAE")=0,"",SUMIFS(tblDaily[Discharges],tblDaily[EntryDate],DATE(2026,10,17),tblDaily[WardCode],"MAE")),"")</f>
        <v/>
      </c>
      <c r="D374" s="29" t="str">
        <f>IFERROR(IF(SUMIFS(tblDaily[Deaths],tblDaily[EntryDate],DATE(2026,10,17),tblDaily[WardCode],"MAE")=0,"",SUMIFS(tblDaily[Deaths],tblDaily[EntryDate],DATE(2026,10,17),tblDaily[WardCode],"MAE")),"")</f>
        <v/>
      </c>
      <c r="E374" s="2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29" t="str">
        <f>IFERROR(IF(SUMIFS(tblDaily[TransfersIn],tblDaily[EntryDate],DATE(2026,10,17),tblDaily[WardCode],"MAE")=0,"",SUMIFS(tblDaily[TransfersIn],tblDaily[EntryDate],DATE(2026,10,17),tblDaily[WardCode],"MAE")),"")</f>
        <v/>
      </c>
      <c r="G374" s="29" t="str">
        <f>IFERROR(IF(SUMIFS(tblDaily[TransfersOut],tblDaily[EntryDate],DATE(2026,10,17),tblDaily[WardCode],"MAE")=0,"",SUMIFS(tblDaily[TransfersOut],tblDaily[EntryDate],DATE(2026,10,17),tblDaily[WardCode],"MAE")),"")</f>
        <v/>
      </c>
      <c r="H374" s="29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IFERROR(IF(SUMIFS(tblDaily[Admissions],tblDaily[EntryDate],DATE(2026,10,18),tblDaily[WardCode],"MAE")=0,"",SUMIFS(tblDaily[Admissions],tblDaily[EntryDate],DATE(2026,10,18),tblDaily[WardCode],"MAE")),"")</f>
        <v/>
      </c>
      <c r="C375" s="29" t="str">
        <f>IFERROR(IF(SUMIFS(tblDaily[Discharges],tblDaily[EntryDate],DATE(2026,10,18),tblDaily[WardCode],"MAE")=0,"",SUMIFS(tblDaily[Discharges],tblDaily[EntryDate],DATE(2026,10,18),tblDaily[WardCode],"MAE")),"")</f>
        <v/>
      </c>
      <c r="D375" s="29" t="str">
        <f>IFERROR(IF(SUMIFS(tblDaily[Deaths],tblDaily[EntryDate],DATE(2026,10,18),tblDaily[WardCode],"MAE")=0,"",SUMIFS(tblDaily[Deaths],tblDaily[EntryDate],DATE(2026,10,18),tblDaily[WardCode],"MAE")),"")</f>
        <v/>
      </c>
      <c r="E375" s="2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29" t="str">
        <f>IFERROR(IF(SUMIFS(tblDaily[TransfersIn],tblDaily[EntryDate],DATE(2026,10,18),tblDaily[WardCode],"MAE")=0,"",SUMIFS(tblDaily[TransfersIn],tblDaily[EntryDate],DATE(2026,10,18),tblDaily[WardCode],"MAE")),"")</f>
        <v/>
      </c>
      <c r="G375" s="29" t="str">
        <f>IFERROR(IF(SUMIFS(tblDaily[TransfersOut],tblDaily[EntryDate],DATE(2026,10,18),tblDaily[WardCode],"MAE")=0,"",SUMIFS(tblDaily[TransfersOut],tblDaily[EntryDate],DATE(2026,10,18),tblDaily[WardCode],"MAE")),"")</f>
        <v/>
      </c>
      <c r="H375" s="29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IFERROR(IF(SUMIFS(tblDaily[Admissions],tblDaily[EntryDate],DATE(2026,10,19),tblDaily[WardCode],"MAE")=0,"",SUMIFS(tblDaily[Admissions],tblDaily[EntryDate],DATE(2026,10,19),tblDaily[WardCode],"MAE")),"")</f>
        <v/>
      </c>
      <c r="C376" s="29" t="str">
        <f>IFERROR(IF(SUMIFS(tblDaily[Discharges],tblDaily[EntryDate],DATE(2026,10,19),tblDaily[WardCode],"MAE")=0,"",SUMIFS(tblDaily[Discharges],tblDaily[EntryDate],DATE(2026,10,19),tblDaily[WardCode],"MAE")),"")</f>
        <v/>
      </c>
      <c r="D376" s="29" t="str">
        <f>IFERROR(IF(SUMIFS(tblDaily[Deaths],tblDaily[EntryDate],DATE(2026,10,19),tblDaily[WardCode],"MAE")=0,"",SUMIFS(tblDaily[Deaths],tblDaily[EntryDate],DATE(2026,10,19),tblDaily[WardCode],"MAE")),"")</f>
        <v/>
      </c>
      <c r="E376" s="2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29" t="str">
        <f>IFERROR(IF(SUMIFS(tblDaily[TransfersIn],tblDaily[EntryDate],DATE(2026,10,19),tblDaily[WardCode],"MAE")=0,"",SUMIFS(tblDaily[TransfersIn],tblDaily[EntryDate],DATE(2026,10,19),tblDaily[WardCode],"MAE")),"")</f>
        <v/>
      </c>
      <c r="G376" s="29" t="str">
        <f>IFERROR(IF(SUMIFS(tblDaily[TransfersOut],tblDaily[EntryDate],DATE(2026,10,19),tblDaily[WardCode],"MAE")=0,"",SUMIFS(tblDaily[TransfersOut],tblDaily[EntryDate],DATE(2026,10,19),tblDaily[WardCode],"MAE")),"")</f>
        <v/>
      </c>
      <c r="H376" s="29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IFERROR(IF(SUMIFS(tblDaily[Admissions],tblDaily[EntryDate],DATE(2026,10,20),tblDaily[WardCode],"MAE")=0,"",SUMIFS(tblDaily[Admissions],tblDaily[EntryDate],DATE(2026,10,20),tblDaily[WardCode],"MAE")),"")</f>
        <v/>
      </c>
      <c r="C377" s="29" t="str">
        <f>IFERROR(IF(SUMIFS(tblDaily[Discharges],tblDaily[EntryDate],DATE(2026,10,20),tblDaily[WardCode],"MAE")=0,"",SUMIFS(tblDaily[Discharges],tblDaily[EntryDate],DATE(2026,10,20),tblDaily[WardCode],"MAE")),"")</f>
        <v/>
      </c>
      <c r="D377" s="29" t="str">
        <f>IFERROR(IF(SUMIFS(tblDaily[Deaths],tblDaily[EntryDate],DATE(2026,10,20),tblDaily[WardCode],"MAE")=0,"",SUMIFS(tblDaily[Deaths],tblDaily[EntryDate],DATE(2026,10,20),tblDaily[WardCode],"MAE")),"")</f>
        <v/>
      </c>
      <c r="E377" s="2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29" t="str">
        <f>IFERROR(IF(SUMIFS(tblDaily[TransfersIn],tblDaily[EntryDate],DATE(2026,10,20),tblDaily[WardCode],"MAE")=0,"",SUMIFS(tblDaily[TransfersIn],tblDaily[EntryDate],DATE(2026,10,20),tblDaily[WardCode],"MAE")),"")</f>
        <v/>
      </c>
      <c r="G377" s="29" t="str">
        <f>IFERROR(IF(SUMIFS(tblDaily[TransfersOut],tblDaily[EntryDate],DATE(2026,10,20),tblDaily[WardCode],"MAE")=0,"",SUMIFS(tblDaily[TransfersOut],tblDaily[EntryDate],DATE(2026,10,20),tblDaily[WardCode],"MAE")),"")</f>
        <v/>
      </c>
      <c r="H377" s="29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IFERROR(IF(SUMIFS(tblDaily[Admissions],tblDaily[EntryDate],DATE(2026,10,21),tblDaily[WardCode],"MAE")=0,"",SUMIFS(tblDaily[Admissions],tblDaily[EntryDate],DATE(2026,10,21),tblDaily[WardCode],"MAE")),"")</f>
        <v/>
      </c>
      <c r="C378" s="29" t="str">
        <f>IFERROR(IF(SUMIFS(tblDaily[Discharges],tblDaily[EntryDate],DATE(2026,10,21),tblDaily[WardCode],"MAE")=0,"",SUMIFS(tblDaily[Discharges],tblDaily[EntryDate],DATE(2026,10,21),tblDaily[WardCode],"MAE")),"")</f>
        <v/>
      </c>
      <c r="D378" s="29" t="str">
        <f>IFERROR(IF(SUMIFS(tblDaily[Deaths],tblDaily[EntryDate],DATE(2026,10,21),tblDaily[WardCode],"MAE")=0,"",SUMIFS(tblDaily[Deaths],tblDaily[EntryDate],DATE(2026,10,21),tblDaily[WardCode],"MAE")),"")</f>
        <v/>
      </c>
      <c r="E378" s="2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29" t="str">
        <f>IFERROR(IF(SUMIFS(tblDaily[TransfersIn],tblDaily[EntryDate],DATE(2026,10,21),tblDaily[WardCode],"MAE")=0,"",SUMIFS(tblDaily[TransfersIn],tblDaily[EntryDate],DATE(2026,10,21),tblDaily[WardCode],"MAE")),"")</f>
        <v/>
      </c>
      <c r="G378" s="29" t="str">
        <f>IFERROR(IF(SUMIFS(tblDaily[TransfersOut],tblDaily[EntryDate],DATE(2026,10,21),tblDaily[WardCode],"MAE")=0,"",SUMIFS(tblDaily[TransfersOut],tblDaily[EntryDate],DATE(2026,10,21),tblDaily[WardCode],"MAE")),"")</f>
        <v/>
      </c>
      <c r="H378" s="29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IFERROR(IF(SUMIFS(tblDaily[Admissions],tblDaily[EntryDate],DATE(2026,10,22),tblDaily[WardCode],"MAE")=0,"",SUMIFS(tblDaily[Admissions],tblDaily[EntryDate],DATE(2026,10,22),tblDaily[WardCode],"MAE")),"")</f>
        <v/>
      </c>
      <c r="C379" s="29" t="str">
        <f>IFERROR(IF(SUMIFS(tblDaily[Discharges],tblDaily[EntryDate],DATE(2026,10,22),tblDaily[WardCode],"MAE")=0,"",SUMIFS(tblDaily[Discharges],tblDaily[EntryDate],DATE(2026,10,22),tblDaily[WardCode],"MAE")),"")</f>
        <v/>
      </c>
      <c r="D379" s="29" t="str">
        <f>IFERROR(IF(SUMIFS(tblDaily[Deaths],tblDaily[EntryDate],DATE(2026,10,22),tblDaily[WardCode],"MAE")=0,"",SUMIFS(tblDaily[Deaths],tblDaily[EntryDate],DATE(2026,10,22),tblDaily[WardCode],"MAE")),"")</f>
        <v/>
      </c>
      <c r="E379" s="2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29" t="str">
        <f>IFERROR(IF(SUMIFS(tblDaily[TransfersIn],tblDaily[EntryDate],DATE(2026,10,22),tblDaily[WardCode],"MAE")=0,"",SUMIFS(tblDaily[TransfersIn],tblDaily[EntryDate],DATE(2026,10,22),tblDaily[WardCode],"MAE")),"")</f>
        <v/>
      </c>
      <c r="G379" s="29" t="str">
        <f>IFERROR(IF(SUMIFS(tblDaily[TransfersOut],tblDaily[EntryDate],DATE(2026,10,22),tblDaily[WardCode],"MAE")=0,"",SUMIFS(tblDaily[TransfersOut],tblDaily[EntryDate],DATE(2026,10,22),tblDaily[WardCode],"MAE")),"")</f>
        <v/>
      </c>
      <c r="H379" s="29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IFERROR(IF(SUMIFS(tblDaily[Admissions],tblDaily[EntryDate],DATE(2026,10,23),tblDaily[WardCode],"MAE")=0,"",SUMIFS(tblDaily[Admissions],tblDaily[EntryDate],DATE(2026,10,23),tblDaily[WardCode],"MAE")),"")</f>
        <v/>
      </c>
      <c r="C380" s="29" t="str">
        <f>IFERROR(IF(SUMIFS(tblDaily[Discharges],tblDaily[EntryDate],DATE(2026,10,23),tblDaily[WardCode],"MAE")=0,"",SUMIFS(tblDaily[Discharges],tblDaily[EntryDate],DATE(2026,10,23),tblDaily[WardCode],"MAE")),"")</f>
        <v/>
      </c>
      <c r="D380" s="29" t="str">
        <f>IFERROR(IF(SUMIFS(tblDaily[Deaths],tblDaily[EntryDate],DATE(2026,10,23),tblDaily[WardCode],"MAE")=0,"",SUMIFS(tblDaily[Deaths],tblDaily[EntryDate],DATE(2026,10,23),tblDaily[WardCode],"MAE")),"")</f>
        <v/>
      </c>
      <c r="E380" s="2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29" t="str">
        <f>IFERROR(IF(SUMIFS(tblDaily[TransfersIn],tblDaily[EntryDate],DATE(2026,10,23),tblDaily[WardCode],"MAE")=0,"",SUMIFS(tblDaily[TransfersIn],tblDaily[EntryDate],DATE(2026,10,23),tblDaily[WardCode],"MAE")),"")</f>
        <v/>
      </c>
      <c r="G380" s="29" t="str">
        <f>IFERROR(IF(SUMIFS(tblDaily[TransfersOut],tblDaily[EntryDate],DATE(2026,10,23),tblDaily[WardCode],"MAE")=0,"",SUMIFS(tblDaily[TransfersOut],tblDaily[EntryDate],DATE(2026,10,23),tblDaily[WardCode],"MAE")),"")</f>
        <v/>
      </c>
      <c r="H380" s="29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IFERROR(IF(SUMIFS(tblDaily[Admissions],tblDaily[EntryDate],DATE(2026,10,24),tblDaily[WardCode],"MAE")=0,"",SUMIFS(tblDaily[Admissions],tblDaily[EntryDate],DATE(2026,10,24),tblDaily[WardCode],"MAE")),"")</f>
        <v/>
      </c>
      <c r="C381" s="29" t="str">
        <f>IFERROR(IF(SUMIFS(tblDaily[Discharges],tblDaily[EntryDate],DATE(2026,10,24),tblDaily[WardCode],"MAE")=0,"",SUMIFS(tblDaily[Discharges],tblDaily[EntryDate],DATE(2026,10,24),tblDaily[WardCode],"MAE")),"")</f>
        <v/>
      </c>
      <c r="D381" s="29" t="str">
        <f>IFERROR(IF(SUMIFS(tblDaily[Deaths],tblDaily[EntryDate],DATE(2026,10,24),tblDaily[WardCode],"MAE")=0,"",SUMIFS(tblDaily[Deaths],tblDaily[EntryDate],DATE(2026,10,24),tblDaily[WardCode],"MAE")),"")</f>
        <v/>
      </c>
      <c r="E381" s="2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29" t="str">
        <f>IFERROR(IF(SUMIFS(tblDaily[TransfersIn],tblDaily[EntryDate],DATE(2026,10,24),tblDaily[WardCode],"MAE")=0,"",SUMIFS(tblDaily[TransfersIn],tblDaily[EntryDate],DATE(2026,10,24),tblDaily[WardCode],"MAE")),"")</f>
        <v/>
      </c>
      <c r="G381" s="29" t="str">
        <f>IFERROR(IF(SUMIFS(tblDaily[TransfersOut],tblDaily[EntryDate],DATE(2026,10,24),tblDaily[WardCode],"MAE")=0,"",SUMIFS(tblDaily[TransfersOut],tblDaily[EntryDate],DATE(2026,10,24),tblDaily[WardCode],"MAE")),"")</f>
        <v/>
      </c>
      <c r="H381" s="29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IFERROR(IF(SUMIFS(tblDaily[Admissions],tblDaily[EntryDate],DATE(2026,10,25),tblDaily[WardCode],"MAE")=0,"",SUMIFS(tblDaily[Admissions],tblDaily[EntryDate],DATE(2026,10,25),tblDaily[WardCode],"MAE")),"")</f>
        <v/>
      </c>
      <c r="C382" s="29" t="str">
        <f>IFERROR(IF(SUMIFS(tblDaily[Discharges],tblDaily[EntryDate],DATE(2026,10,25),tblDaily[WardCode],"MAE")=0,"",SUMIFS(tblDaily[Discharges],tblDaily[EntryDate],DATE(2026,10,25),tblDaily[WardCode],"MAE")),"")</f>
        <v/>
      </c>
      <c r="D382" s="29" t="str">
        <f>IFERROR(IF(SUMIFS(tblDaily[Deaths],tblDaily[EntryDate],DATE(2026,10,25),tblDaily[WardCode],"MAE")=0,"",SUMIFS(tblDaily[Deaths],tblDaily[EntryDate],DATE(2026,10,25),tblDaily[WardCode],"MAE")),"")</f>
        <v/>
      </c>
      <c r="E382" s="2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29" t="str">
        <f>IFERROR(IF(SUMIFS(tblDaily[TransfersIn],tblDaily[EntryDate],DATE(2026,10,25),tblDaily[WardCode],"MAE")=0,"",SUMIFS(tblDaily[TransfersIn],tblDaily[EntryDate],DATE(2026,10,25),tblDaily[WardCode],"MAE")),"")</f>
        <v/>
      </c>
      <c r="G382" s="29" t="str">
        <f>IFERROR(IF(SUMIFS(tblDaily[TransfersOut],tblDaily[EntryDate],DATE(2026,10,25),tblDaily[WardCode],"MAE")=0,"",SUMIFS(tblDaily[TransfersOut],tblDaily[EntryDate],DATE(2026,10,25),tblDaily[WardCode],"MAE")),"")</f>
        <v/>
      </c>
      <c r="H382" s="29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IFERROR(IF(SUMIFS(tblDaily[Admissions],tblDaily[EntryDate],DATE(2026,10,26),tblDaily[WardCode],"MAE")=0,"",SUMIFS(tblDaily[Admissions],tblDaily[EntryDate],DATE(2026,10,26),tblDaily[WardCode],"MAE")),"")</f>
        <v/>
      </c>
      <c r="C383" s="29" t="str">
        <f>IFERROR(IF(SUMIFS(tblDaily[Discharges],tblDaily[EntryDate],DATE(2026,10,26),tblDaily[WardCode],"MAE")=0,"",SUMIFS(tblDaily[Discharges],tblDaily[EntryDate],DATE(2026,10,26),tblDaily[WardCode],"MAE")),"")</f>
        <v/>
      </c>
      <c r="D383" s="29" t="str">
        <f>IFERROR(IF(SUMIFS(tblDaily[Deaths],tblDaily[EntryDate],DATE(2026,10,26),tblDaily[WardCode],"MAE")=0,"",SUMIFS(tblDaily[Deaths],tblDaily[EntryDate],DATE(2026,10,26),tblDaily[WardCode],"MAE")),"")</f>
        <v/>
      </c>
      <c r="E383" s="2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29" t="str">
        <f>IFERROR(IF(SUMIFS(tblDaily[TransfersIn],tblDaily[EntryDate],DATE(2026,10,26),tblDaily[WardCode],"MAE")=0,"",SUMIFS(tblDaily[TransfersIn],tblDaily[EntryDate],DATE(2026,10,26),tblDaily[WardCode],"MAE")),"")</f>
        <v/>
      </c>
      <c r="G383" s="29" t="str">
        <f>IFERROR(IF(SUMIFS(tblDaily[TransfersOut],tblDaily[EntryDate],DATE(2026,10,26),tblDaily[WardCode],"MAE")=0,"",SUMIFS(tblDaily[TransfersOut],tblDaily[EntryDate],DATE(2026,10,26),tblDaily[WardCode],"MAE")),"")</f>
        <v/>
      </c>
      <c r="H383" s="29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IFERROR(IF(SUMIFS(tblDaily[Admissions],tblDaily[EntryDate],DATE(2026,10,27),tblDaily[WardCode],"MAE")=0,"",SUMIFS(tblDaily[Admissions],tblDaily[EntryDate],DATE(2026,10,27),tblDaily[WardCode],"MAE")),"")</f>
        <v/>
      </c>
      <c r="C384" s="29" t="str">
        <f>IFERROR(IF(SUMIFS(tblDaily[Discharges],tblDaily[EntryDate],DATE(2026,10,27),tblDaily[WardCode],"MAE")=0,"",SUMIFS(tblDaily[Discharges],tblDaily[EntryDate],DATE(2026,10,27),tblDaily[WardCode],"MAE")),"")</f>
        <v/>
      </c>
      <c r="D384" s="29" t="str">
        <f>IFERROR(IF(SUMIFS(tblDaily[Deaths],tblDaily[EntryDate],DATE(2026,10,27),tblDaily[WardCode],"MAE")=0,"",SUMIFS(tblDaily[Deaths],tblDaily[EntryDate],DATE(2026,10,27),tblDaily[WardCode],"MAE")),"")</f>
        <v/>
      </c>
      <c r="E384" s="2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29" t="str">
        <f>IFERROR(IF(SUMIFS(tblDaily[TransfersIn],tblDaily[EntryDate],DATE(2026,10,27),tblDaily[WardCode],"MAE")=0,"",SUMIFS(tblDaily[TransfersIn],tblDaily[EntryDate],DATE(2026,10,27),tblDaily[WardCode],"MAE")),"")</f>
        <v/>
      </c>
      <c r="G384" s="29" t="str">
        <f>IFERROR(IF(SUMIFS(tblDaily[TransfersOut],tblDaily[EntryDate],DATE(2026,10,27),tblDaily[WardCode],"MAE")=0,"",SUMIFS(tblDaily[TransfersOut],tblDaily[EntryDate],DATE(2026,10,27),tblDaily[WardCode],"MAE")),"")</f>
        <v/>
      </c>
      <c r="H384" s="29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IFERROR(IF(SUMIFS(tblDaily[Admissions],tblDaily[EntryDate],DATE(2026,10,28),tblDaily[WardCode],"MAE")=0,"",SUMIFS(tblDaily[Admissions],tblDaily[EntryDate],DATE(2026,10,28),tblDaily[WardCode],"MAE")),"")</f>
        <v/>
      </c>
      <c r="C385" s="29" t="str">
        <f>IFERROR(IF(SUMIFS(tblDaily[Discharges],tblDaily[EntryDate],DATE(2026,10,28),tblDaily[WardCode],"MAE")=0,"",SUMIFS(tblDaily[Discharges],tblDaily[EntryDate],DATE(2026,10,28),tblDaily[WardCode],"MAE")),"")</f>
        <v/>
      </c>
      <c r="D385" s="29" t="str">
        <f>IFERROR(IF(SUMIFS(tblDaily[Deaths],tblDaily[EntryDate],DATE(2026,10,28),tblDaily[WardCode],"MAE")=0,"",SUMIFS(tblDaily[Deaths],tblDaily[EntryDate],DATE(2026,10,28),tblDaily[WardCode],"MAE")),"")</f>
        <v/>
      </c>
      <c r="E385" s="2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29" t="str">
        <f>IFERROR(IF(SUMIFS(tblDaily[TransfersIn],tblDaily[EntryDate],DATE(2026,10,28),tblDaily[WardCode],"MAE")=0,"",SUMIFS(tblDaily[TransfersIn],tblDaily[EntryDate],DATE(2026,10,28),tblDaily[WardCode],"MAE")),"")</f>
        <v/>
      </c>
      <c r="G385" s="29" t="str">
        <f>IFERROR(IF(SUMIFS(tblDaily[TransfersOut],tblDaily[EntryDate],DATE(2026,10,28),tblDaily[WardCode],"MAE")=0,"",SUMIFS(tblDaily[TransfersOut],tblDaily[EntryDate],DATE(2026,10,28),tblDaily[WardCode],"MAE")),"")</f>
        <v/>
      </c>
      <c r="H385" s="29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IFERROR(IF(SUMIFS(tblDaily[Admissions],tblDaily[EntryDate],DATE(2026,10,29),tblDaily[WardCode],"MAE")=0,"",SUMIFS(tblDaily[Admissions],tblDaily[EntryDate],DATE(2026,10,29),tblDaily[WardCode],"MAE")),"")</f>
        <v/>
      </c>
      <c r="C386" s="29" t="str">
        <f>IFERROR(IF(SUMIFS(tblDaily[Discharges],tblDaily[EntryDate],DATE(2026,10,29),tblDaily[WardCode],"MAE")=0,"",SUMIFS(tblDaily[Discharges],tblDaily[EntryDate],DATE(2026,10,29),tblDaily[WardCode],"MAE")),"")</f>
        <v/>
      </c>
      <c r="D386" s="29" t="str">
        <f>IFERROR(IF(SUMIFS(tblDaily[Deaths],tblDaily[EntryDate],DATE(2026,10,29),tblDaily[WardCode],"MAE")=0,"",SUMIFS(tblDaily[Deaths],tblDaily[EntryDate],DATE(2026,10,29),tblDaily[WardCode],"MAE")),"")</f>
        <v/>
      </c>
      <c r="E386" s="2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29" t="str">
        <f>IFERROR(IF(SUMIFS(tblDaily[TransfersIn],tblDaily[EntryDate],DATE(2026,10,29),tblDaily[WardCode],"MAE")=0,"",SUMIFS(tblDaily[TransfersIn],tblDaily[EntryDate],DATE(2026,10,29),tblDaily[WardCode],"MAE")),"")</f>
        <v/>
      </c>
      <c r="G386" s="29" t="str">
        <f>IFERROR(IF(SUMIFS(tblDaily[TransfersOut],tblDaily[EntryDate],DATE(2026,10,29),tblDaily[WardCode],"MAE")=0,"",SUMIFS(tblDaily[TransfersOut],tblDaily[EntryDate],DATE(2026,10,29),tblDaily[WardCode],"MAE")),"")</f>
        <v/>
      </c>
      <c r="H386" s="29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IFERROR(IF(SUMIFS(tblDaily[Admissions],tblDaily[EntryDate],DATE(2026,10,30),tblDaily[WardCode],"MAE")=0,"",SUMIFS(tblDaily[Admissions],tblDaily[EntryDate],DATE(2026,10,30),tblDaily[WardCode],"MAE")),"")</f>
        <v/>
      </c>
      <c r="C387" s="29" t="str">
        <f>IFERROR(IF(SUMIFS(tblDaily[Discharges],tblDaily[EntryDate],DATE(2026,10,30),tblDaily[WardCode],"MAE")=0,"",SUMIFS(tblDaily[Discharges],tblDaily[EntryDate],DATE(2026,10,30),tblDaily[WardCode],"MAE")),"")</f>
        <v/>
      </c>
      <c r="D387" s="29" t="str">
        <f>IFERROR(IF(SUMIFS(tblDaily[Deaths],tblDaily[EntryDate],DATE(2026,10,30),tblDaily[WardCode],"MAE")=0,"",SUMIFS(tblDaily[Deaths],tblDaily[EntryDate],DATE(2026,10,30),tblDaily[WardCode],"MAE")),"")</f>
        <v/>
      </c>
      <c r="E387" s="2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29" t="str">
        <f>IFERROR(IF(SUMIFS(tblDaily[TransfersIn],tblDaily[EntryDate],DATE(2026,10,30),tblDaily[WardCode],"MAE")=0,"",SUMIFS(tblDaily[TransfersIn],tblDaily[EntryDate],DATE(2026,10,30),tblDaily[WardCode],"MAE")),"")</f>
        <v/>
      </c>
      <c r="G387" s="29" t="str">
        <f>IFERROR(IF(SUMIFS(tblDaily[TransfersOut],tblDaily[EntryDate],DATE(2026,10,30),tblDaily[WardCode],"MAE")=0,"",SUMIFS(tblDaily[TransfersOut],tblDaily[EntryDate],DATE(2026,10,30),tblDaily[WardCode],"MAE")),"")</f>
        <v/>
      </c>
      <c r="H387" s="29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IFERROR(IF(SUMIFS(tblDaily[Admissions],tblDaily[EntryDate],DATE(2026,10,31),tblDaily[WardCode],"MAE")=0,"",SUMIFS(tblDaily[Admissions],tblDaily[EntryDate],DATE(2026,10,31),tblDaily[WardCode],"MAE")),"")</f>
        <v/>
      </c>
      <c r="C388" s="29" t="str">
        <f>IFERROR(IF(SUMIFS(tblDaily[Discharges],tblDaily[EntryDate],DATE(2026,10,31),tblDaily[WardCode],"MAE")=0,"",SUMIFS(tblDaily[Discharges],tblDaily[EntryDate],DATE(2026,10,31),tblDaily[WardCode],"MAE")),"")</f>
        <v/>
      </c>
      <c r="D388" s="29" t="str">
        <f>IFERROR(IF(SUMIFS(tblDaily[Deaths],tblDaily[EntryDate],DATE(2026,10,31),tblDaily[WardCode],"MAE")=0,"",SUMIFS(tblDaily[Deaths],tblDaily[EntryDate],DATE(2026,10,31),tblDaily[WardCode],"MAE")),"")</f>
        <v/>
      </c>
      <c r="E388" s="2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29" t="str">
        <f>IFERROR(IF(SUMIFS(tblDaily[TransfersIn],tblDaily[EntryDate],DATE(2026,10,31),tblDaily[WardCode],"MAE")=0,"",SUMIFS(tblDaily[TransfersIn],tblDaily[EntryDate],DATE(2026,10,31),tblDaily[WardCode],"MAE")),"")</f>
        <v/>
      </c>
      <c r="G388" s="29" t="str">
        <f>IFERROR(IF(SUMIFS(tblDaily[TransfersOut],tblDaily[EntryDate],DATE(2026,10,31),tblDaily[WardCode],"MAE")=0,"",SUMIFS(tblDaily[TransfersOut],tblDaily[EntryDate],DATE(2026,10,31),tblDaily[WardCode],"MAE")),"")</f>
        <v/>
      </c>
      <c r="H388" s="29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30" t="s">
        <v>115</v>
      </c>
      <c r="B389" s="30">
        <f>SUMIFS(tblDaily[Admissions],tblDaily[Month],10,tblDaily[WardCode],"MAE") - SUMIFS(tblDaily[DeathsUnder24Hrs],tblDaily[Month],10,tblDaily[WardCode],"MAE")</f>
        <v>0</v>
      </c>
      <c r="C389" s="30">
        <f>SUMIFS(tblDaily[Discharges],tblDaily[Month],10,tblDaily[WardCode],"MAE")</f>
        <v>0</v>
      </c>
      <c r="D389" s="30">
        <f>SUMIFS(tblDaily[Deaths],tblDaily[Month],10,tblDaily[WardCode],"MAE")</f>
        <v>0</v>
      </c>
      <c r="E389" s="30">
        <f>SUMIFS(tblDaily[DeathsUnder24Hrs],tblDaily[Month],10,tblDaily[WardCode],"MAE")</f>
        <v>0</v>
      </c>
      <c r="F389" s="30">
        <f>SUMIFS(tblDaily[TransfersIn],tblDaily[Month],10,tblDaily[WardCode],"MAE")</f>
        <v>0</v>
      </c>
      <c r="G389" s="30">
        <f>SUMIFS(tblDaily[TransfersOut],tblDaily[Month],10,tblDaily[WardCode],"MAE")</f>
        <v>0</v>
      </c>
      <c r="H389" s="30">
        <f>SUMIFS(tblDaily[Remaining],tblDaily[Month],10,tblDaily[WardCode],"MAE")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122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IFERROR(SUMIFS(tblDaily[Remaining],tblDaily[EntryDate],DATE(2026,10,31),tblDaily[WardCode],"MAE"),0)</f>
        <v>0</v>
      </c>
    </row>
    <row r="395" spans="1:8" x14ac:dyDescent="0.25">
      <c r="A395" s="24" t="s">
        <v>109</v>
      </c>
      <c r="H395" s="27">
        <f>IFERROR(INDEX(tblWardConfig[BedComplement],MATCH("MAE",tblWardConfig[WardCode],0)),0)</f>
        <v>10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IFERROR(IF(SUMIFS(tblDaily[Admissions],tblDaily[EntryDate],DATE(2026,11,1),tblDaily[WardCode],"MAE")=0,"",SUMIFS(tblDaily[Admissions],tblDaily[EntryDate],DATE(2026,11,1),tblDaily[WardCode],"MAE")),"")</f>
        <v/>
      </c>
      <c r="C397" s="29" t="str">
        <f>IFERROR(IF(SUMIFS(tblDaily[Discharges],tblDaily[EntryDate],DATE(2026,11,1),tblDaily[WardCode],"MAE")=0,"",SUMIFS(tblDaily[Discharges],tblDaily[EntryDate],DATE(2026,11,1),tblDaily[WardCode],"MAE")),"")</f>
        <v/>
      </c>
      <c r="D397" s="29" t="str">
        <f>IFERROR(IF(SUMIFS(tblDaily[Deaths],tblDaily[EntryDate],DATE(2026,11,1),tblDaily[WardCode],"MAE")=0,"",SUMIFS(tblDaily[Deaths],tblDaily[EntryDate],DATE(2026,11,1),tblDaily[WardCode],"MAE")),"")</f>
        <v/>
      </c>
      <c r="E397" s="29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29" t="str">
        <f>IFERROR(IF(SUMIFS(tblDaily[TransfersIn],tblDaily[EntryDate],DATE(2026,11,1),tblDaily[WardCode],"MAE")=0,"",SUMIFS(tblDaily[TransfersIn],tblDaily[EntryDate],DATE(2026,11,1),tblDaily[WardCode],"MAE")),"")</f>
        <v/>
      </c>
      <c r="G397" s="29" t="str">
        <f>IFERROR(IF(SUMIFS(tblDaily[TransfersOut],tblDaily[EntryDate],DATE(2026,11,1),tblDaily[WardCode],"MAE")=0,"",SUMIFS(tblDaily[TransfersOut],tblDaily[EntryDate],DATE(2026,11,1),tblDaily[WardCode],"MAE")),"")</f>
        <v/>
      </c>
      <c r="H397" s="29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IFERROR(IF(SUMIFS(tblDaily[Admissions],tblDaily[EntryDate],DATE(2026,11,2),tblDaily[WardCode],"MAE")=0,"",SUMIFS(tblDaily[Admissions],tblDaily[EntryDate],DATE(2026,11,2),tblDaily[WardCode],"MAE")),"")</f>
        <v/>
      </c>
      <c r="C398" s="29" t="str">
        <f>IFERROR(IF(SUMIFS(tblDaily[Discharges],tblDaily[EntryDate],DATE(2026,11,2),tblDaily[WardCode],"MAE")=0,"",SUMIFS(tblDaily[Discharges],tblDaily[EntryDate],DATE(2026,11,2),tblDaily[WardCode],"MAE")),"")</f>
        <v/>
      </c>
      <c r="D398" s="29" t="str">
        <f>IFERROR(IF(SUMIFS(tblDaily[Deaths],tblDaily[EntryDate],DATE(2026,11,2),tblDaily[WardCode],"MAE")=0,"",SUMIFS(tblDaily[Deaths],tblDaily[EntryDate],DATE(2026,11,2),tblDaily[WardCode],"MAE")),"")</f>
        <v/>
      </c>
      <c r="E398" s="29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29" t="str">
        <f>IFERROR(IF(SUMIFS(tblDaily[TransfersIn],tblDaily[EntryDate],DATE(2026,11,2),tblDaily[WardCode],"MAE")=0,"",SUMIFS(tblDaily[TransfersIn],tblDaily[EntryDate],DATE(2026,11,2),tblDaily[WardCode],"MAE")),"")</f>
        <v/>
      </c>
      <c r="G398" s="29" t="str">
        <f>IFERROR(IF(SUMIFS(tblDaily[TransfersOut],tblDaily[EntryDate],DATE(2026,11,2),tblDaily[WardCode],"MAE")=0,"",SUMIFS(tblDaily[TransfersOut],tblDaily[EntryDate],DATE(2026,11,2),tblDaily[WardCode],"MAE")),"")</f>
        <v/>
      </c>
      <c r="H398" s="29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IFERROR(IF(SUMIFS(tblDaily[Admissions],tblDaily[EntryDate],DATE(2026,11,3),tblDaily[WardCode],"MAE")=0,"",SUMIFS(tblDaily[Admissions],tblDaily[EntryDate],DATE(2026,11,3),tblDaily[WardCode],"MAE")),"")</f>
        <v/>
      </c>
      <c r="C399" s="29" t="str">
        <f>IFERROR(IF(SUMIFS(tblDaily[Discharges],tblDaily[EntryDate],DATE(2026,11,3),tblDaily[WardCode],"MAE")=0,"",SUMIFS(tblDaily[Discharges],tblDaily[EntryDate],DATE(2026,11,3),tblDaily[WardCode],"MAE")),"")</f>
        <v/>
      </c>
      <c r="D399" s="29" t="str">
        <f>IFERROR(IF(SUMIFS(tblDaily[Deaths],tblDaily[EntryDate],DATE(2026,11,3),tblDaily[WardCode],"MAE")=0,"",SUMIFS(tblDaily[Deaths],tblDaily[EntryDate],DATE(2026,11,3),tblDaily[WardCode],"MAE")),"")</f>
        <v/>
      </c>
      <c r="E399" s="29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29" t="str">
        <f>IFERROR(IF(SUMIFS(tblDaily[TransfersIn],tblDaily[EntryDate],DATE(2026,11,3),tblDaily[WardCode],"MAE")=0,"",SUMIFS(tblDaily[TransfersIn],tblDaily[EntryDate],DATE(2026,11,3),tblDaily[WardCode],"MAE")),"")</f>
        <v/>
      </c>
      <c r="G399" s="29" t="str">
        <f>IFERROR(IF(SUMIFS(tblDaily[TransfersOut],tblDaily[EntryDate],DATE(2026,11,3),tblDaily[WardCode],"MAE")=0,"",SUMIFS(tblDaily[TransfersOut],tblDaily[EntryDate],DATE(2026,11,3),tblDaily[WardCode],"MAE")),"")</f>
        <v/>
      </c>
      <c r="H399" s="29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IFERROR(IF(SUMIFS(tblDaily[Admissions],tblDaily[EntryDate],DATE(2026,11,4),tblDaily[WardCode],"MAE")=0,"",SUMIFS(tblDaily[Admissions],tblDaily[EntryDate],DATE(2026,11,4),tblDaily[WardCode],"MAE")),"")</f>
        <v/>
      </c>
      <c r="C400" s="29" t="str">
        <f>IFERROR(IF(SUMIFS(tblDaily[Discharges],tblDaily[EntryDate],DATE(2026,11,4),tblDaily[WardCode],"MAE")=0,"",SUMIFS(tblDaily[Discharges],tblDaily[EntryDate],DATE(2026,11,4),tblDaily[WardCode],"MAE")),"")</f>
        <v/>
      </c>
      <c r="D400" s="29" t="str">
        <f>IFERROR(IF(SUMIFS(tblDaily[Deaths],tblDaily[EntryDate],DATE(2026,11,4),tblDaily[WardCode],"MAE")=0,"",SUMIFS(tblDaily[Deaths],tblDaily[EntryDate],DATE(2026,11,4),tblDaily[WardCode],"MAE")),"")</f>
        <v/>
      </c>
      <c r="E400" s="29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29" t="str">
        <f>IFERROR(IF(SUMIFS(tblDaily[TransfersIn],tblDaily[EntryDate],DATE(2026,11,4),tblDaily[WardCode],"MAE")=0,"",SUMIFS(tblDaily[TransfersIn],tblDaily[EntryDate],DATE(2026,11,4),tblDaily[WardCode],"MAE")),"")</f>
        <v/>
      </c>
      <c r="G400" s="29" t="str">
        <f>IFERROR(IF(SUMIFS(tblDaily[TransfersOut],tblDaily[EntryDate],DATE(2026,11,4),tblDaily[WardCode],"MAE")=0,"",SUMIFS(tblDaily[TransfersOut],tblDaily[EntryDate],DATE(2026,11,4),tblDaily[WardCode],"MAE")),"")</f>
        <v/>
      </c>
      <c r="H400" s="29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IFERROR(IF(SUMIFS(tblDaily[Admissions],tblDaily[EntryDate],DATE(2026,11,5),tblDaily[WardCode],"MAE")=0,"",SUMIFS(tblDaily[Admissions],tblDaily[EntryDate],DATE(2026,11,5),tblDaily[WardCode],"MAE")),"")</f>
        <v/>
      </c>
      <c r="C401" s="29" t="str">
        <f>IFERROR(IF(SUMIFS(tblDaily[Discharges],tblDaily[EntryDate],DATE(2026,11,5),tblDaily[WardCode],"MAE")=0,"",SUMIFS(tblDaily[Discharges],tblDaily[EntryDate],DATE(2026,11,5),tblDaily[WardCode],"MAE")),"")</f>
        <v/>
      </c>
      <c r="D401" s="29" t="str">
        <f>IFERROR(IF(SUMIFS(tblDaily[Deaths],tblDaily[EntryDate],DATE(2026,11,5),tblDaily[WardCode],"MAE")=0,"",SUMIFS(tblDaily[Deaths],tblDaily[EntryDate],DATE(2026,11,5),tblDaily[WardCode],"MAE")),"")</f>
        <v/>
      </c>
      <c r="E401" s="29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29" t="str">
        <f>IFERROR(IF(SUMIFS(tblDaily[TransfersIn],tblDaily[EntryDate],DATE(2026,11,5),tblDaily[WardCode],"MAE")=0,"",SUMIFS(tblDaily[TransfersIn],tblDaily[EntryDate],DATE(2026,11,5),tblDaily[WardCode],"MAE")),"")</f>
        <v/>
      </c>
      <c r="G401" s="29" t="str">
        <f>IFERROR(IF(SUMIFS(tblDaily[TransfersOut],tblDaily[EntryDate],DATE(2026,11,5),tblDaily[WardCode],"MAE")=0,"",SUMIFS(tblDaily[TransfersOut],tblDaily[EntryDate],DATE(2026,11,5),tblDaily[WardCode],"MAE")),"")</f>
        <v/>
      </c>
      <c r="H401" s="29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IFERROR(IF(SUMIFS(tblDaily[Admissions],tblDaily[EntryDate],DATE(2026,11,6),tblDaily[WardCode],"MAE")=0,"",SUMIFS(tblDaily[Admissions],tblDaily[EntryDate],DATE(2026,11,6),tblDaily[WardCode],"MAE")),"")</f>
        <v/>
      </c>
      <c r="C402" s="29" t="str">
        <f>IFERROR(IF(SUMIFS(tblDaily[Discharges],tblDaily[EntryDate],DATE(2026,11,6),tblDaily[WardCode],"MAE")=0,"",SUMIFS(tblDaily[Discharges],tblDaily[EntryDate],DATE(2026,11,6),tblDaily[WardCode],"MAE")),"")</f>
        <v/>
      </c>
      <c r="D402" s="29" t="str">
        <f>IFERROR(IF(SUMIFS(tblDaily[Deaths],tblDaily[EntryDate],DATE(2026,11,6),tblDaily[WardCode],"MAE")=0,"",SUMIFS(tblDaily[Deaths],tblDaily[EntryDate],DATE(2026,11,6),tblDaily[WardCode],"MAE")),"")</f>
        <v/>
      </c>
      <c r="E402" s="29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29" t="str">
        <f>IFERROR(IF(SUMIFS(tblDaily[TransfersIn],tblDaily[EntryDate],DATE(2026,11,6),tblDaily[WardCode],"MAE")=0,"",SUMIFS(tblDaily[TransfersIn],tblDaily[EntryDate],DATE(2026,11,6),tblDaily[WardCode],"MAE")),"")</f>
        <v/>
      </c>
      <c r="G402" s="29" t="str">
        <f>IFERROR(IF(SUMIFS(tblDaily[TransfersOut],tblDaily[EntryDate],DATE(2026,11,6),tblDaily[WardCode],"MAE")=0,"",SUMIFS(tblDaily[TransfersOut],tblDaily[EntryDate],DATE(2026,11,6),tblDaily[WardCode],"MAE")),"")</f>
        <v/>
      </c>
      <c r="H402" s="29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IFERROR(IF(SUMIFS(tblDaily[Admissions],tblDaily[EntryDate],DATE(2026,11,7),tblDaily[WardCode],"MAE")=0,"",SUMIFS(tblDaily[Admissions],tblDaily[EntryDate],DATE(2026,11,7),tblDaily[WardCode],"MAE")),"")</f>
        <v/>
      </c>
      <c r="C403" s="29" t="str">
        <f>IFERROR(IF(SUMIFS(tblDaily[Discharges],tblDaily[EntryDate],DATE(2026,11,7),tblDaily[WardCode],"MAE")=0,"",SUMIFS(tblDaily[Discharges],tblDaily[EntryDate],DATE(2026,11,7),tblDaily[WardCode],"MAE")),"")</f>
        <v/>
      </c>
      <c r="D403" s="29" t="str">
        <f>IFERROR(IF(SUMIFS(tblDaily[Deaths],tblDaily[EntryDate],DATE(2026,11,7),tblDaily[WardCode],"MAE")=0,"",SUMIFS(tblDaily[Deaths],tblDaily[EntryDate],DATE(2026,11,7),tblDaily[WardCode],"MAE")),"")</f>
        <v/>
      </c>
      <c r="E403" s="29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29" t="str">
        <f>IFERROR(IF(SUMIFS(tblDaily[TransfersIn],tblDaily[EntryDate],DATE(2026,11,7),tblDaily[WardCode],"MAE")=0,"",SUMIFS(tblDaily[TransfersIn],tblDaily[EntryDate],DATE(2026,11,7),tblDaily[WardCode],"MAE")),"")</f>
        <v/>
      </c>
      <c r="G403" s="29" t="str">
        <f>IFERROR(IF(SUMIFS(tblDaily[TransfersOut],tblDaily[EntryDate],DATE(2026,11,7),tblDaily[WardCode],"MAE")=0,"",SUMIFS(tblDaily[TransfersOut],tblDaily[EntryDate],DATE(2026,11,7),tblDaily[WardCode],"MAE")),"")</f>
        <v/>
      </c>
      <c r="H403" s="29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IFERROR(IF(SUMIFS(tblDaily[Admissions],tblDaily[EntryDate],DATE(2026,11,8),tblDaily[WardCode],"MAE")=0,"",SUMIFS(tblDaily[Admissions],tblDaily[EntryDate],DATE(2026,11,8),tblDaily[WardCode],"MAE")),"")</f>
        <v/>
      </c>
      <c r="C404" s="29" t="str">
        <f>IFERROR(IF(SUMIFS(tblDaily[Discharges],tblDaily[EntryDate],DATE(2026,11,8),tblDaily[WardCode],"MAE")=0,"",SUMIFS(tblDaily[Discharges],tblDaily[EntryDate],DATE(2026,11,8),tblDaily[WardCode],"MAE")),"")</f>
        <v/>
      </c>
      <c r="D404" s="29" t="str">
        <f>IFERROR(IF(SUMIFS(tblDaily[Deaths],tblDaily[EntryDate],DATE(2026,11,8),tblDaily[WardCode],"MAE")=0,"",SUMIFS(tblDaily[Deaths],tblDaily[EntryDate],DATE(2026,11,8),tblDaily[WardCode],"MAE")),"")</f>
        <v/>
      </c>
      <c r="E404" s="29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29" t="str">
        <f>IFERROR(IF(SUMIFS(tblDaily[TransfersIn],tblDaily[EntryDate],DATE(2026,11,8),tblDaily[WardCode],"MAE")=0,"",SUMIFS(tblDaily[TransfersIn],tblDaily[EntryDate],DATE(2026,11,8),tblDaily[WardCode],"MAE")),"")</f>
        <v/>
      </c>
      <c r="G404" s="29" t="str">
        <f>IFERROR(IF(SUMIFS(tblDaily[TransfersOut],tblDaily[EntryDate],DATE(2026,11,8),tblDaily[WardCode],"MAE")=0,"",SUMIFS(tblDaily[TransfersOut],tblDaily[EntryDate],DATE(2026,11,8),tblDaily[WardCode],"MAE")),"")</f>
        <v/>
      </c>
      <c r="H404" s="29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IFERROR(IF(SUMIFS(tblDaily[Admissions],tblDaily[EntryDate],DATE(2026,11,9),tblDaily[WardCode],"MAE")=0,"",SUMIFS(tblDaily[Admissions],tblDaily[EntryDate],DATE(2026,11,9),tblDaily[WardCode],"MAE")),"")</f>
        <v/>
      </c>
      <c r="C405" s="29" t="str">
        <f>IFERROR(IF(SUMIFS(tblDaily[Discharges],tblDaily[EntryDate],DATE(2026,11,9),tblDaily[WardCode],"MAE")=0,"",SUMIFS(tblDaily[Discharges],tblDaily[EntryDate],DATE(2026,11,9),tblDaily[WardCode],"MAE")),"")</f>
        <v/>
      </c>
      <c r="D405" s="29" t="str">
        <f>IFERROR(IF(SUMIFS(tblDaily[Deaths],tblDaily[EntryDate],DATE(2026,11,9),tblDaily[WardCode],"MAE")=0,"",SUMIFS(tblDaily[Deaths],tblDaily[EntryDate],DATE(2026,11,9),tblDaily[WardCode],"MAE")),"")</f>
        <v/>
      </c>
      <c r="E405" s="29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29" t="str">
        <f>IFERROR(IF(SUMIFS(tblDaily[TransfersIn],tblDaily[EntryDate],DATE(2026,11,9),tblDaily[WardCode],"MAE")=0,"",SUMIFS(tblDaily[TransfersIn],tblDaily[EntryDate],DATE(2026,11,9),tblDaily[WardCode],"MAE")),"")</f>
        <v/>
      </c>
      <c r="G405" s="29" t="str">
        <f>IFERROR(IF(SUMIFS(tblDaily[TransfersOut],tblDaily[EntryDate],DATE(2026,11,9),tblDaily[WardCode],"MAE")=0,"",SUMIFS(tblDaily[TransfersOut],tblDaily[EntryDate],DATE(2026,11,9),tblDaily[WardCode],"MAE")),"")</f>
        <v/>
      </c>
      <c r="H405" s="29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IFERROR(IF(SUMIFS(tblDaily[Admissions],tblDaily[EntryDate],DATE(2026,11,10),tblDaily[WardCode],"MAE")=0,"",SUMIFS(tblDaily[Admissions],tblDaily[EntryDate],DATE(2026,11,10),tblDaily[WardCode],"MAE")),"")</f>
        <v/>
      </c>
      <c r="C406" s="29" t="str">
        <f>IFERROR(IF(SUMIFS(tblDaily[Discharges],tblDaily[EntryDate],DATE(2026,11,10),tblDaily[WardCode],"MAE")=0,"",SUMIFS(tblDaily[Discharges],tblDaily[EntryDate],DATE(2026,11,10),tblDaily[WardCode],"MAE")),"")</f>
        <v/>
      </c>
      <c r="D406" s="29" t="str">
        <f>IFERROR(IF(SUMIFS(tblDaily[Deaths],tblDaily[EntryDate],DATE(2026,11,10),tblDaily[WardCode],"MAE")=0,"",SUMIFS(tblDaily[Deaths],tblDaily[EntryDate],DATE(2026,11,10),tblDaily[WardCode],"MAE")),"")</f>
        <v/>
      </c>
      <c r="E406" s="2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29" t="str">
        <f>IFERROR(IF(SUMIFS(tblDaily[TransfersIn],tblDaily[EntryDate],DATE(2026,11,10),tblDaily[WardCode],"MAE")=0,"",SUMIFS(tblDaily[TransfersIn],tblDaily[EntryDate],DATE(2026,11,10),tblDaily[WardCode],"MAE")),"")</f>
        <v/>
      </c>
      <c r="G406" s="29" t="str">
        <f>IFERROR(IF(SUMIFS(tblDaily[TransfersOut],tblDaily[EntryDate],DATE(2026,11,10),tblDaily[WardCode],"MAE")=0,"",SUMIFS(tblDaily[TransfersOut],tblDaily[EntryDate],DATE(2026,11,10),tblDaily[WardCode],"MAE")),"")</f>
        <v/>
      </c>
      <c r="H406" s="29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IFERROR(IF(SUMIFS(tblDaily[Admissions],tblDaily[EntryDate],DATE(2026,11,11),tblDaily[WardCode],"MAE")=0,"",SUMIFS(tblDaily[Admissions],tblDaily[EntryDate],DATE(2026,11,11),tblDaily[WardCode],"MAE")),"")</f>
        <v/>
      </c>
      <c r="C407" s="29" t="str">
        <f>IFERROR(IF(SUMIFS(tblDaily[Discharges],tblDaily[EntryDate],DATE(2026,11,11),tblDaily[WardCode],"MAE")=0,"",SUMIFS(tblDaily[Discharges],tblDaily[EntryDate],DATE(2026,11,11),tblDaily[WardCode],"MAE")),"")</f>
        <v/>
      </c>
      <c r="D407" s="29" t="str">
        <f>IFERROR(IF(SUMIFS(tblDaily[Deaths],tblDaily[EntryDate],DATE(2026,11,11),tblDaily[WardCode],"MAE")=0,"",SUMIFS(tblDaily[Deaths],tblDaily[EntryDate],DATE(2026,11,11),tblDaily[WardCode],"MAE")),"")</f>
        <v/>
      </c>
      <c r="E407" s="2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29" t="str">
        <f>IFERROR(IF(SUMIFS(tblDaily[TransfersIn],tblDaily[EntryDate],DATE(2026,11,11),tblDaily[WardCode],"MAE")=0,"",SUMIFS(tblDaily[TransfersIn],tblDaily[EntryDate],DATE(2026,11,11),tblDaily[WardCode],"MAE")),"")</f>
        <v/>
      </c>
      <c r="G407" s="29" t="str">
        <f>IFERROR(IF(SUMIFS(tblDaily[TransfersOut],tblDaily[EntryDate],DATE(2026,11,11),tblDaily[WardCode],"MAE")=0,"",SUMIFS(tblDaily[TransfersOut],tblDaily[EntryDate],DATE(2026,11,11),tblDaily[WardCode],"MAE")),"")</f>
        <v/>
      </c>
      <c r="H407" s="29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IFERROR(IF(SUMIFS(tblDaily[Admissions],tblDaily[EntryDate],DATE(2026,11,12),tblDaily[WardCode],"MAE")=0,"",SUMIFS(tblDaily[Admissions],tblDaily[EntryDate],DATE(2026,11,12),tblDaily[WardCode],"MAE")),"")</f>
        <v/>
      </c>
      <c r="C408" s="29" t="str">
        <f>IFERROR(IF(SUMIFS(tblDaily[Discharges],tblDaily[EntryDate],DATE(2026,11,12),tblDaily[WardCode],"MAE")=0,"",SUMIFS(tblDaily[Discharges],tblDaily[EntryDate],DATE(2026,11,12),tblDaily[WardCode],"MAE")),"")</f>
        <v/>
      </c>
      <c r="D408" s="29" t="str">
        <f>IFERROR(IF(SUMIFS(tblDaily[Deaths],tblDaily[EntryDate],DATE(2026,11,12),tblDaily[WardCode],"MAE")=0,"",SUMIFS(tblDaily[Deaths],tblDaily[EntryDate],DATE(2026,11,12),tblDaily[WardCode],"MAE")),"")</f>
        <v/>
      </c>
      <c r="E408" s="2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29" t="str">
        <f>IFERROR(IF(SUMIFS(tblDaily[TransfersIn],tblDaily[EntryDate],DATE(2026,11,12),tblDaily[WardCode],"MAE")=0,"",SUMIFS(tblDaily[TransfersIn],tblDaily[EntryDate],DATE(2026,11,12),tblDaily[WardCode],"MAE")),"")</f>
        <v/>
      </c>
      <c r="G408" s="29" t="str">
        <f>IFERROR(IF(SUMIFS(tblDaily[TransfersOut],tblDaily[EntryDate],DATE(2026,11,12),tblDaily[WardCode],"MAE")=0,"",SUMIFS(tblDaily[TransfersOut],tblDaily[EntryDate],DATE(2026,11,12),tblDaily[WardCode],"MAE")),"")</f>
        <v/>
      </c>
      <c r="H408" s="29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IFERROR(IF(SUMIFS(tblDaily[Admissions],tblDaily[EntryDate],DATE(2026,11,13),tblDaily[WardCode],"MAE")=0,"",SUMIFS(tblDaily[Admissions],tblDaily[EntryDate],DATE(2026,11,13),tblDaily[WardCode],"MAE")),"")</f>
        <v/>
      </c>
      <c r="C409" s="29" t="str">
        <f>IFERROR(IF(SUMIFS(tblDaily[Discharges],tblDaily[EntryDate],DATE(2026,11,13),tblDaily[WardCode],"MAE")=0,"",SUMIFS(tblDaily[Discharges],tblDaily[EntryDate],DATE(2026,11,13),tblDaily[WardCode],"MAE")),"")</f>
        <v/>
      </c>
      <c r="D409" s="29" t="str">
        <f>IFERROR(IF(SUMIFS(tblDaily[Deaths],tblDaily[EntryDate],DATE(2026,11,13),tblDaily[WardCode],"MAE")=0,"",SUMIFS(tblDaily[Deaths],tblDaily[EntryDate],DATE(2026,11,13),tblDaily[WardCode],"MAE")),"")</f>
        <v/>
      </c>
      <c r="E409" s="2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29" t="str">
        <f>IFERROR(IF(SUMIFS(tblDaily[TransfersIn],tblDaily[EntryDate],DATE(2026,11,13),tblDaily[WardCode],"MAE")=0,"",SUMIFS(tblDaily[TransfersIn],tblDaily[EntryDate],DATE(2026,11,13),tblDaily[WardCode],"MAE")),"")</f>
        <v/>
      </c>
      <c r="G409" s="29" t="str">
        <f>IFERROR(IF(SUMIFS(tblDaily[TransfersOut],tblDaily[EntryDate],DATE(2026,11,13),tblDaily[WardCode],"MAE")=0,"",SUMIFS(tblDaily[TransfersOut],tblDaily[EntryDate],DATE(2026,11,13),tblDaily[WardCode],"MAE")),"")</f>
        <v/>
      </c>
      <c r="H409" s="29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IFERROR(IF(SUMIFS(tblDaily[Admissions],tblDaily[EntryDate],DATE(2026,11,14),tblDaily[WardCode],"MAE")=0,"",SUMIFS(tblDaily[Admissions],tblDaily[EntryDate],DATE(2026,11,14),tblDaily[WardCode],"MAE")),"")</f>
        <v/>
      </c>
      <c r="C410" s="29" t="str">
        <f>IFERROR(IF(SUMIFS(tblDaily[Discharges],tblDaily[EntryDate],DATE(2026,11,14),tblDaily[WardCode],"MAE")=0,"",SUMIFS(tblDaily[Discharges],tblDaily[EntryDate],DATE(2026,11,14),tblDaily[WardCode],"MAE")),"")</f>
        <v/>
      </c>
      <c r="D410" s="29" t="str">
        <f>IFERROR(IF(SUMIFS(tblDaily[Deaths],tblDaily[EntryDate],DATE(2026,11,14),tblDaily[WardCode],"MAE")=0,"",SUMIFS(tblDaily[Deaths],tblDaily[EntryDate],DATE(2026,11,14),tblDaily[WardCode],"MAE")),"")</f>
        <v/>
      </c>
      <c r="E410" s="2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29" t="str">
        <f>IFERROR(IF(SUMIFS(tblDaily[TransfersIn],tblDaily[EntryDate],DATE(2026,11,14),tblDaily[WardCode],"MAE")=0,"",SUMIFS(tblDaily[TransfersIn],tblDaily[EntryDate],DATE(2026,11,14),tblDaily[WardCode],"MAE")),"")</f>
        <v/>
      </c>
      <c r="G410" s="29" t="str">
        <f>IFERROR(IF(SUMIFS(tblDaily[TransfersOut],tblDaily[EntryDate],DATE(2026,11,14),tblDaily[WardCode],"MAE")=0,"",SUMIFS(tblDaily[TransfersOut],tblDaily[EntryDate],DATE(2026,11,14),tblDaily[WardCode],"MAE")),"")</f>
        <v/>
      </c>
      <c r="H410" s="29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IFERROR(IF(SUMIFS(tblDaily[Admissions],tblDaily[EntryDate],DATE(2026,11,15),tblDaily[WardCode],"MAE")=0,"",SUMIFS(tblDaily[Admissions],tblDaily[EntryDate],DATE(2026,11,15),tblDaily[WardCode],"MAE")),"")</f>
        <v/>
      </c>
      <c r="C411" s="29" t="str">
        <f>IFERROR(IF(SUMIFS(tblDaily[Discharges],tblDaily[EntryDate],DATE(2026,11,15),tblDaily[WardCode],"MAE")=0,"",SUMIFS(tblDaily[Discharges],tblDaily[EntryDate],DATE(2026,11,15),tblDaily[WardCode],"MAE")),"")</f>
        <v/>
      </c>
      <c r="D411" s="29" t="str">
        <f>IFERROR(IF(SUMIFS(tblDaily[Deaths],tblDaily[EntryDate],DATE(2026,11,15),tblDaily[WardCode],"MAE")=0,"",SUMIFS(tblDaily[Deaths],tblDaily[EntryDate],DATE(2026,11,15),tblDaily[WardCode],"MAE")),"")</f>
        <v/>
      </c>
      <c r="E411" s="2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29" t="str">
        <f>IFERROR(IF(SUMIFS(tblDaily[TransfersIn],tblDaily[EntryDate],DATE(2026,11,15),tblDaily[WardCode],"MAE")=0,"",SUMIFS(tblDaily[TransfersIn],tblDaily[EntryDate],DATE(2026,11,15),tblDaily[WardCode],"MAE")),"")</f>
        <v/>
      </c>
      <c r="G411" s="29" t="str">
        <f>IFERROR(IF(SUMIFS(tblDaily[TransfersOut],tblDaily[EntryDate],DATE(2026,11,15),tblDaily[WardCode],"MAE")=0,"",SUMIFS(tblDaily[TransfersOut],tblDaily[EntryDate],DATE(2026,11,15),tblDaily[WardCode],"MAE")),"")</f>
        <v/>
      </c>
      <c r="H411" s="29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IFERROR(IF(SUMIFS(tblDaily[Admissions],tblDaily[EntryDate],DATE(2026,11,16),tblDaily[WardCode],"MAE")=0,"",SUMIFS(tblDaily[Admissions],tblDaily[EntryDate],DATE(2026,11,16),tblDaily[WardCode],"MAE")),"")</f>
        <v/>
      </c>
      <c r="C412" s="29" t="str">
        <f>IFERROR(IF(SUMIFS(tblDaily[Discharges],tblDaily[EntryDate],DATE(2026,11,16),tblDaily[WardCode],"MAE")=0,"",SUMIFS(tblDaily[Discharges],tblDaily[EntryDate],DATE(2026,11,16),tblDaily[WardCode],"MAE")),"")</f>
        <v/>
      </c>
      <c r="D412" s="29" t="str">
        <f>IFERROR(IF(SUMIFS(tblDaily[Deaths],tblDaily[EntryDate],DATE(2026,11,16),tblDaily[WardCode],"MAE")=0,"",SUMIFS(tblDaily[Deaths],tblDaily[EntryDate],DATE(2026,11,16),tblDaily[WardCode],"MAE")),"")</f>
        <v/>
      </c>
      <c r="E412" s="2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29" t="str">
        <f>IFERROR(IF(SUMIFS(tblDaily[TransfersIn],tblDaily[EntryDate],DATE(2026,11,16),tblDaily[WardCode],"MAE")=0,"",SUMIFS(tblDaily[TransfersIn],tblDaily[EntryDate],DATE(2026,11,16),tblDaily[WardCode],"MAE")),"")</f>
        <v/>
      </c>
      <c r="G412" s="29" t="str">
        <f>IFERROR(IF(SUMIFS(tblDaily[TransfersOut],tblDaily[EntryDate],DATE(2026,11,16),tblDaily[WardCode],"MAE")=0,"",SUMIFS(tblDaily[TransfersOut],tblDaily[EntryDate],DATE(2026,11,16),tblDaily[WardCode],"MAE")),"")</f>
        <v/>
      </c>
      <c r="H412" s="29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IFERROR(IF(SUMIFS(tblDaily[Admissions],tblDaily[EntryDate],DATE(2026,11,17),tblDaily[WardCode],"MAE")=0,"",SUMIFS(tblDaily[Admissions],tblDaily[EntryDate],DATE(2026,11,17),tblDaily[WardCode],"MAE")),"")</f>
        <v/>
      </c>
      <c r="C413" s="29" t="str">
        <f>IFERROR(IF(SUMIFS(tblDaily[Discharges],tblDaily[EntryDate],DATE(2026,11,17),tblDaily[WardCode],"MAE")=0,"",SUMIFS(tblDaily[Discharges],tblDaily[EntryDate],DATE(2026,11,17),tblDaily[WardCode],"MAE")),"")</f>
        <v/>
      </c>
      <c r="D413" s="29" t="str">
        <f>IFERROR(IF(SUMIFS(tblDaily[Deaths],tblDaily[EntryDate],DATE(2026,11,17),tblDaily[WardCode],"MAE")=0,"",SUMIFS(tblDaily[Deaths],tblDaily[EntryDate],DATE(2026,11,17),tblDaily[WardCode],"MAE")),"")</f>
        <v/>
      </c>
      <c r="E413" s="2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29" t="str">
        <f>IFERROR(IF(SUMIFS(tblDaily[TransfersIn],tblDaily[EntryDate],DATE(2026,11,17),tblDaily[WardCode],"MAE")=0,"",SUMIFS(tblDaily[TransfersIn],tblDaily[EntryDate],DATE(2026,11,17),tblDaily[WardCode],"MAE")),"")</f>
        <v/>
      </c>
      <c r="G413" s="29" t="str">
        <f>IFERROR(IF(SUMIFS(tblDaily[TransfersOut],tblDaily[EntryDate],DATE(2026,11,17),tblDaily[WardCode],"MAE")=0,"",SUMIFS(tblDaily[TransfersOut],tblDaily[EntryDate],DATE(2026,11,17),tblDaily[WardCode],"MAE")),"")</f>
        <v/>
      </c>
      <c r="H413" s="29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IFERROR(IF(SUMIFS(tblDaily[Admissions],tblDaily[EntryDate],DATE(2026,11,18),tblDaily[WardCode],"MAE")=0,"",SUMIFS(tblDaily[Admissions],tblDaily[EntryDate],DATE(2026,11,18),tblDaily[WardCode],"MAE")),"")</f>
        <v/>
      </c>
      <c r="C414" s="29" t="str">
        <f>IFERROR(IF(SUMIFS(tblDaily[Discharges],tblDaily[EntryDate],DATE(2026,11,18),tblDaily[WardCode],"MAE")=0,"",SUMIFS(tblDaily[Discharges],tblDaily[EntryDate],DATE(2026,11,18),tblDaily[WardCode],"MAE")),"")</f>
        <v/>
      </c>
      <c r="D414" s="29" t="str">
        <f>IFERROR(IF(SUMIFS(tblDaily[Deaths],tblDaily[EntryDate],DATE(2026,11,18),tblDaily[WardCode],"MAE")=0,"",SUMIFS(tblDaily[Deaths],tblDaily[EntryDate],DATE(2026,11,18),tblDaily[WardCode],"MAE")),"")</f>
        <v/>
      </c>
      <c r="E414" s="2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29" t="str">
        <f>IFERROR(IF(SUMIFS(tblDaily[TransfersIn],tblDaily[EntryDate],DATE(2026,11,18),tblDaily[WardCode],"MAE")=0,"",SUMIFS(tblDaily[TransfersIn],tblDaily[EntryDate],DATE(2026,11,18),tblDaily[WardCode],"MAE")),"")</f>
        <v/>
      </c>
      <c r="G414" s="29" t="str">
        <f>IFERROR(IF(SUMIFS(tblDaily[TransfersOut],tblDaily[EntryDate],DATE(2026,11,18),tblDaily[WardCode],"MAE")=0,"",SUMIFS(tblDaily[TransfersOut],tblDaily[EntryDate],DATE(2026,11,18),tblDaily[WardCode],"MAE")),"")</f>
        <v/>
      </c>
      <c r="H414" s="29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IFERROR(IF(SUMIFS(tblDaily[Admissions],tblDaily[EntryDate],DATE(2026,11,19),tblDaily[WardCode],"MAE")=0,"",SUMIFS(tblDaily[Admissions],tblDaily[EntryDate],DATE(2026,11,19),tblDaily[WardCode],"MAE")),"")</f>
        <v/>
      </c>
      <c r="C415" s="29" t="str">
        <f>IFERROR(IF(SUMIFS(tblDaily[Discharges],tblDaily[EntryDate],DATE(2026,11,19),tblDaily[WardCode],"MAE")=0,"",SUMIFS(tblDaily[Discharges],tblDaily[EntryDate],DATE(2026,11,19),tblDaily[WardCode],"MAE")),"")</f>
        <v/>
      </c>
      <c r="D415" s="29" t="str">
        <f>IFERROR(IF(SUMIFS(tblDaily[Deaths],tblDaily[EntryDate],DATE(2026,11,19),tblDaily[WardCode],"MAE")=0,"",SUMIFS(tblDaily[Deaths],tblDaily[EntryDate],DATE(2026,11,19),tblDaily[WardCode],"MAE")),"")</f>
        <v/>
      </c>
      <c r="E415" s="2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29" t="str">
        <f>IFERROR(IF(SUMIFS(tblDaily[TransfersIn],tblDaily[EntryDate],DATE(2026,11,19),tblDaily[WardCode],"MAE")=0,"",SUMIFS(tblDaily[TransfersIn],tblDaily[EntryDate],DATE(2026,11,19),tblDaily[WardCode],"MAE")),"")</f>
        <v/>
      </c>
      <c r="G415" s="29" t="str">
        <f>IFERROR(IF(SUMIFS(tblDaily[TransfersOut],tblDaily[EntryDate],DATE(2026,11,19),tblDaily[WardCode],"MAE")=0,"",SUMIFS(tblDaily[TransfersOut],tblDaily[EntryDate],DATE(2026,11,19),tblDaily[WardCode],"MAE")),"")</f>
        <v/>
      </c>
      <c r="H415" s="29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IFERROR(IF(SUMIFS(tblDaily[Admissions],tblDaily[EntryDate],DATE(2026,11,20),tblDaily[WardCode],"MAE")=0,"",SUMIFS(tblDaily[Admissions],tblDaily[EntryDate],DATE(2026,11,20),tblDaily[WardCode],"MAE")),"")</f>
        <v/>
      </c>
      <c r="C416" s="29" t="str">
        <f>IFERROR(IF(SUMIFS(tblDaily[Discharges],tblDaily[EntryDate],DATE(2026,11,20),tblDaily[WardCode],"MAE")=0,"",SUMIFS(tblDaily[Discharges],tblDaily[EntryDate],DATE(2026,11,20),tblDaily[WardCode],"MAE")),"")</f>
        <v/>
      </c>
      <c r="D416" s="29" t="str">
        <f>IFERROR(IF(SUMIFS(tblDaily[Deaths],tblDaily[EntryDate],DATE(2026,11,20),tblDaily[WardCode],"MAE")=0,"",SUMIFS(tblDaily[Deaths],tblDaily[EntryDate],DATE(2026,11,20),tblDaily[WardCode],"MAE")),"")</f>
        <v/>
      </c>
      <c r="E416" s="2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29" t="str">
        <f>IFERROR(IF(SUMIFS(tblDaily[TransfersIn],tblDaily[EntryDate],DATE(2026,11,20),tblDaily[WardCode],"MAE")=0,"",SUMIFS(tblDaily[TransfersIn],tblDaily[EntryDate],DATE(2026,11,20),tblDaily[WardCode],"MAE")),"")</f>
        <v/>
      </c>
      <c r="G416" s="29" t="str">
        <f>IFERROR(IF(SUMIFS(tblDaily[TransfersOut],tblDaily[EntryDate],DATE(2026,11,20),tblDaily[WardCode],"MAE")=0,"",SUMIFS(tblDaily[TransfersOut],tblDaily[EntryDate],DATE(2026,11,20),tblDaily[WardCode],"MAE")),"")</f>
        <v/>
      </c>
      <c r="H416" s="29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IFERROR(IF(SUMIFS(tblDaily[Admissions],tblDaily[EntryDate],DATE(2026,11,21),tblDaily[WardCode],"MAE")=0,"",SUMIFS(tblDaily[Admissions],tblDaily[EntryDate],DATE(2026,11,21),tblDaily[WardCode],"MAE")),"")</f>
        <v/>
      </c>
      <c r="C417" s="29" t="str">
        <f>IFERROR(IF(SUMIFS(tblDaily[Discharges],tblDaily[EntryDate],DATE(2026,11,21),tblDaily[WardCode],"MAE")=0,"",SUMIFS(tblDaily[Discharges],tblDaily[EntryDate],DATE(2026,11,21),tblDaily[WardCode],"MAE")),"")</f>
        <v/>
      </c>
      <c r="D417" s="29" t="str">
        <f>IFERROR(IF(SUMIFS(tblDaily[Deaths],tblDaily[EntryDate],DATE(2026,11,21),tblDaily[WardCode],"MAE")=0,"",SUMIFS(tblDaily[Deaths],tblDaily[EntryDate],DATE(2026,11,21),tblDaily[WardCode],"MAE")),"")</f>
        <v/>
      </c>
      <c r="E417" s="2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29" t="str">
        <f>IFERROR(IF(SUMIFS(tblDaily[TransfersIn],tblDaily[EntryDate],DATE(2026,11,21),tblDaily[WardCode],"MAE")=0,"",SUMIFS(tblDaily[TransfersIn],tblDaily[EntryDate],DATE(2026,11,21),tblDaily[WardCode],"MAE")),"")</f>
        <v/>
      </c>
      <c r="G417" s="29" t="str">
        <f>IFERROR(IF(SUMIFS(tblDaily[TransfersOut],tblDaily[EntryDate],DATE(2026,11,21),tblDaily[WardCode],"MAE")=0,"",SUMIFS(tblDaily[TransfersOut],tblDaily[EntryDate],DATE(2026,11,21),tblDaily[WardCode],"MAE")),"")</f>
        <v/>
      </c>
      <c r="H417" s="29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IFERROR(IF(SUMIFS(tblDaily[Admissions],tblDaily[EntryDate],DATE(2026,11,22),tblDaily[WardCode],"MAE")=0,"",SUMIFS(tblDaily[Admissions],tblDaily[EntryDate],DATE(2026,11,22),tblDaily[WardCode],"MAE")),"")</f>
        <v/>
      </c>
      <c r="C418" s="29" t="str">
        <f>IFERROR(IF(SUMIFS(tblDaily[Discharges],tblDaily[EntryDate],DATE(2026,11,22),tblDaily[WardCode],"MAE")=0,"",SUMIFS(tblDaily[Discharges],tblDaily[EntryDate],DATE(2026,11,22),tblDaily[WardCode],"MAE")),"")</f>
        <v/>
      </c>
      <c r="D418" s="29" t="str">
        <f>IFERROR(IF(SUMIFS(tblDaily[Deaths],tblDaily[EntryDate],DATE(2026,11,22),tblDaily[WardCode],"MAE")=0,"",SUMIFS(tblDaily[Deaths],tblDaily[EntryDate],DATE(2026,11,22),tblDaily[WardCode],"MAE")),"")</f>
        <v/>
      </c>
      <c r="E418" s="2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29" t="str">
        <f>IFERROR(IF(SUMIFS(tblDaily[TransfersIn],tblDaily[EntryDate],DATE(2026,11,22),tblDaily[WardCode],"MAE")=0,"",SUMIFS(tblDaily[TransfersIn],tblDaily[EntryDate],DATE(2026,11,22),tblDaily[WardCode],"MAE")),"")</f>
        <v/>
      </c>
      <c r="G418" s="29" t="str">
        <f>IFERROR(IF(SUMIFS(tblDaily[TransfersOut],tblDaily[EntryDate],DATE(2026,11,22),tblDaily[WardCode],"MAE")=0,"",SUMIFS(tblDaily[TransfersOut],tblDaily[EntryDate],DATE(2026,11,22),tblDaily[WardCode],"MAE")),"")</f>
        <v/>
      </c>
      <c r="H418" s="29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IFERROR(IF(SUMIFS(tblDaily[Admissions],tblDaily[EntryDate],DATE(2026,11,23),tblDaily[WardCode],"MAE")=0,"",SUMIFS(tblDaily[Admissions],tblDaily[EntryDate],DATE(2026,11,23),tblDaily[WardCode],"MAE")),"")</f>
        <v/>
      </c>
      <c r="C419" s="29" t="str">
        <f>IFERROR(IF(SUMIFS(tblDaily[Discharges],tblDaily[EntryDate],DATE(2026,11,23),tblDaily[WardCode],"MAE")=0,"",SUMIFS(tblDaily[Discharges],tblDaily[EntryDate],DATE(2026,11,23),tblDaily[WardCode],"MAE")),"")</f>
        <v/>
      </c>
      <c r="D419" s="29" t="str">
        <f>IFERROR(IF(SUMIFS(tblDaily[Deaths],tblDaily[EntryDate],DATE(2026,11,23),tblDaily[WardCode],"MAE")=0,"",SUMIFS(tblDaily[Deaths],tblDaily[EntryDate],DATE(2026,11,23),tblDaily[WardCode],"MAE")),"")</f>
        <v/>
      </c>
      <c r="E419" s="2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29" t="str">
        <f>IFERROR(IF(SUMIFS(tblDaily[TransfersIn],tblDaily[EntryDate],DATE(2026,11,23),tblDaily[WardCode],"MAE")=0,"",SUMIFS(tblDaily[TransfersIn],tblDaily[EntryDate],DATE(2026,11,23),tblDaily[WardCode],"MAE")),"")</f>
        <v/>
      </c>
      <c r="G419" s="29" t="str">
        <f>IFERROR(IF(SUMIFS(tblDaily[TransfersOut],tblDaily[EntryDate],DATE(2026,11,23),tblDaily[WardCode],"MAE")=0,"",SUMIFS(tblDaily[TransfersOut],tblDaily[EntryDate],DATE(2026,11,23),tblDaily[WardCode],"MAE")),"")</f>
        <v/>
      </c>
      <c r="H419" s="29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IFERROR(IF(SUMIFS(tblDaily[Admissions],tblDaily[EntryDate],DATE(2026,11,24),tblDaily[WardCode],"MAE")=0,"",SUMIFS(tblDaily[Admissions],tblDaily[EntryDate],DATE(2026,11,24),tblDaily[WardCode],"MAE")),"")</f>
        <v/>
      </c>
      <c r="C420" s="29" t="str">
        <f>IFERROR(IF(SUMIFS(tblDaily[Discharges],tblDaily[EntryDate],DATE(2026,11,24),tblDaily[WardCode],"MAE")=0,"",SUMIFS(tblDaily[Discharges],tblDaily[EntryDate],DATE(2026,11,24),tblDaily[WardCode],"MAE")),"")</f>
        <v/>
      </c>
      <c r="D420" s="29" t="str">
        <f>IFERROR(IF(SUMIFS(tblDaily[Deaths],tblDaily[EntryDate],DATE(2026,11,24),tblDaily[WardCode],"MAE")=0,"",SUMIFS(tblDaily[Deaths],tblDaily[EntryDate],DATE(2026,11,24),tblDaily[WardCode],"MAE")),"")</f>
        <v/>
      </c>
      <c r="E420" s="2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29" t="str">
        <f>IFERROR(IF(SUMIFS(tblDaily[TransfersIn],tblDaily[EntryDate],DATE(2026,11,24),tblDaily[WardCode],"MAE")=0,"",SUMIFS(tblDaily[TransfersIn],tblDaily[EntryDate],DATE(2026,11,24),tblDaily[WardCode],"MAE")),"")</f>
        <v/>
      </c>
      <c r="G420" s="29" t="str">
        <f>IFERROR(IF(SUMIFS(tblDaily[TransfersOut],tblDaily[EntryDate],DATE(2026,11,24),tblDaily[WardCode],"MAE")=0,"",SUMIFS(tblDaily[TransfersOut],tblDaily[EntryDate],DATE(2026,11,24),tblDaily[WardCode],"MAE")),"")</f>
        <v/>
      </c>
      <c r="H420" s="29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IFERROR(IF(SUMIFS(tblDaily[Admissions],tblDaily[EntryDate],DATE(2026,11,25),tblDaily[WardCode],"MAE")=0,"",SUMIFS(tblDaily[Admissions],tblDaily[EntryDate],DATE(2026,11,25),tblDaily[WardCode],"MAE")),"")</f>
        <v/>
      </c>
      <c r="C421" s="29" t="str">
        <f>IFERROR(IF(SUMIFS(tblDaily[Discharges],tblDaily[EntryDate],DATE(2026,11,25),tblDaily[WardCode],"MAE")=0,"",SUMIFS(tblDaily[Discharges],tblDaily[EntryDate],DATE(2026,11,25),tblDaily[WardCode],"MAE")),"")</f>
        <v/>
      </c>
      <c r="D421" s="29" t="str">
        <f>IFERROR(IF(SUMIFS(tblDaily[Deaths],tblDaily[EntryDate],DATE(2026,11,25),tblDaily[WardCode],"MAE")=0,"",SUMIFS(tblDaily[Deaths],tblDaily[EntryDate],DATE(2026,11,25),tblDaily[WardCode],"MAE")),"")</f>
        <v/>
      </c>
      <c r="E421" s="2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29" t="str">
        <f>IFERROR(IF(SUMIFS(tblDaily[TransfersIn],tblDaily[EntryDate],DATE(2026,11,25),tblDaily[WardCode],"MAE")=0,"",SUMIFS(tblDaily[TransfersIn],tblDaily[EntryDate],DATE(2026,11,25),tblDaily[WardCode],"MAE")),"")</f>
        <v/>
      </c>
      <c r="G421" s="29" t="str">
        <f>IFERROR(IF(SUMIFS(tblDaily[TransfersOut],tblDaily[EntryDate],DATE(2026,11,25),tblDaily[WardCode],"MAE")=0,"",SUMIFS(tblDaily[TransfersOut],tblDaily[EntryDate],DATE(2026,11,25),tblDaily[WardCode],"MAE")),"")</f>
        <v/>
      </c>
      <c r="H421" s="29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IFERROR(IF(SUMIFS(tblDaily[Admissions],tblDaily[EntryDate],DATE(2026,11,26),tblDaily[WardCode],"MAE")=0,"",SUMIFS(tblDaily[Admissions],tblDaily[EntryDate],DATE(2026,11,26),tblDaily[WardCode],"MAE")),"")</f>
        <v/>
      </c>
      <c r="C422" s="29" t="str">
        <f>IFERROR(IF(SUMIFS(tblDaily[Discharges],tblDaily[EntryDate],DATE(2026,11,26),tblDaily[WardCode],"MAE")=0,"",SUMIFS(tblDaily[Discharges],tblDaily[EntryDate],DATE(2026,11,26),tblDaily[WardCode],"MAE")),"")</f>
        <v/>
      </c>
      <c r="D422" s="29" t="str">
        <f>IFERROR(IF(SUMIFS(tblDaily[Deaths],tblDaily[EntryDate],DATE(2026,11,26),tblDaily[WardCode],"MAE")=0,"",SUMIFS(tblDaily[Deaths],tblDaily[EntryDate],DATE(2026,11,26),tblDaily[WardCode],"MAE")),"")</f>
        <v/>
      </c>
      <c r="E422" s="2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29" t="str">
        <f>IFERROR(IF(SUMIFS(tblDaily[TransfersIn],tblDaily[EntryDate],DATE(2026,11,26),tblDaily[WardCode],"MAE")=0,"",SUMIFS(tblDaily[TransfersIn],tblDaily[EntryDate],DATE(2026,11,26),tblDaily[WardCode],"MAE")),"")</f>
        <v/>
      </c>
      <c r="G422" s="29" t="str">
        <f>IFERROR(IF(SUMIFS(tblDaily[TransfersOut],tblDaily[EntryDate],DATE(2026,11,26),tblDaily[WardCode],"MAE")=0,"",SUMIFS(tblDaily[TransfersOut],tblDaily[EntryDate],DATE(2026,11,26),tblDaily[WardCode],"MAE")),"")</f>
        <v/>
      </c>
      <c r="H422" s="29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IFERROR(IF(SUMIFS(tblDaily[Admissions],tblDaily[EntryDate],DATE(2026,11,27),tblDaily[WardCode],"MAE")=0,"",SUMIFS(tblDaily[Admissions],tblDaily[EntryDate],DATE(2026,11,27),tblDaily[WardCode],"MAE")),"")</f>
        <v/>
      </c>
      <c r="C423" s="29" t="str">
        <f>IFERROR(IF(SUMIFS(tblDaily[Discharges],tblDaily[EntryDate],DATE(2026,11,27),tblDaily[WardCode],"MAE")=0,"",SUMIFS(tblDaily[Discharges],tblDaily[EntryDate],DATE(2026,11,27),tblDaily[WardCode],"MAE")),"")</f>
        <v/>
      </c>
      <c r="D423" s="29" t="str">
        <f>IFERROR(IF(SUMIFS(tblDaily[Deaths],tblDaily[EntryDate],DATE(2026,11,27),tblDaily[WardCode],"MAE")=0,"",SUMIFS(tblDaily[Deaths],tblDaily[EntryDate],DATE(2026,11,27),tblDaily[WardCode],"MAE")),"")</f>
        <v/>
      </c>
      <c r="E423" s="2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29" t="str">
        <f>IFERROR(IF(SUMIFS(tblDaily[TransfersIn],tblDaily[EntryDate],DATE(2026,11,27),tblDaily[WardCode],"MAE")=0,"",SUMIFS(tblDaily[TransfersIn],tblDaily[EntryDate],DATE(2026,11,27),tblDaily[WardCode],"MAE")),"")</f>
        <v/>
      </c>
      <c r="G423" s="29" t="str">
        <f>IFERROR(IF(SUMIFS(tblDaily[TransfersOut],tblDaily[EntryDate],DATE(2026,11,27),tblDaily[WardCode],"MAE")=0,"",SUMIFS(tblDaily[TransfersOut],tblDaily[EntryDate],DATE(2026,11,27),tblDaily[WardCode],"MAE")),"")</f>
        <v/>
      </c>
      <c r="H423" s="29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IFERROR(IF(SUMIFS(tblDaily[Admissions],tblDaily[EntryDate],DATE(2026,11,28),tblDaily[WardCode],"MAE")=0,"",SUMIFS(tblDaily[Admissions],tblDaily[EntryDate],DATE(2026,11,28),tblDaily[WardCode],"MAE")),"")</f>
        <v/>
      </c>
      <c r="C424" s="29" t="str">
        <f>IFERROR(IF(SUMIFS(tblDaily[Discharges],tblDaily[EntryDate],DATE(2026,11,28),tblDaily[WardCode],"MAE")=0,"",SUMIFS(tblDaily[Discharges],tblDaily[EntryDate],DATE(2026,11,28),tblDaily[WardCode],"MAE")),"")</f>
        <v/>
      </c>
      <c r="D424" s="29" t="str">
        <f>IFERROR(IF(SUMIFS(tblDaily[Deaths],tblDaily[EntryDate],DATE(2026,11,28),tblDaily[WardCode],"MAE")=0,"",SUMIFS(tblDaily[Deaths],tblDaily[EntryDate],DATE(2026,11,28),tblDaily[WardCode],"MAE")),"")</f>
        <v/>
      </c>
      <c r="E424" s="2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29" t="str">
        <f>IFERROR(IF(SUMIFS(tblDaily[TransfersIn],tblDaily[EntryDate],DATE(2026,11,28),tblDaily[WardCode],"MAE")=0,"",SUMIFS(tblDaily[TransfersIn],tblDaily[EntryDate],DATE(2026,11,28),tblDaily[WardCode],"MAE")),"")</f>
        <v/>
      </c>
      <c r="G424" s="29" t="str">
        <f>IFERROR(IF(SUMIFS(tblDaily[TransfersOut],tblDaily[EntryDate],DATE(2026,11,28),tblDaily[WardCode],"MAE")=0,"",SUMIFS(tblDaily[TransfersOut],tblDaily[EntryDate],DATE(2026,11,28),tblDaily[WardCode],"MAE")),"")</f>
        <v/>
      </c>
      <c r="H424" s="29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IFERROR(IF(SUMIFS(tblDaily[Admissions],tblDaily[EntryDate],DATE(2026,11,29),tblDaily[WardCode],"MAE")=0,"",SUMIFS(tblDaily[Admissions],tblDaily[EntryDate],DATE(2026,11,29),tblDaily[WardCode],"MAE")),"")</f>
        <v/>
      </c>
      <c r="C425" s="29" t="str">
        <f>IFERROR(IF(SUMIFS(tblDaily[Discharges],tblDaily[EntryDate],DATE(2026,11,29),tblDaily[WardCode],"MAE")=0,"",SUMIFS(tblDaily[Discharges],tblDaily[EntryDate],DATE(2026,11,29),tblDaily[WardCode],"MAE")),"")</f>
        <v/>
      </c>
      <c r="D425" s="29" t="str">
        <f>IFERROR(IF(SUMIFS(tblDaily[Deaths],tblDaily[EntryDate],DATE(2026,11,29),tblDaily[WardCode],"MAE")=0,"",SUMIFS(tblDaily[Deaths],tblDaily[EntryDate],DATE(2026,11,29),tblDaily[WardCode],"MAE")),"")</f>
        <v/>
      </c>
      <c r="E425" s="2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29" t="str">
        <f>IFERROR(IF(SUMIFS(tblDaily[TransfersIn],tblDaily[EntryDate],DATE(2026,11,29),tblDaily[WardCode],"MAE")=0,"",SUMIFS(tblDaily[TransfersIn],tblDaily[EntryDate],DATE(2026,11,29),tblDaily[WardCode],"MAE")),"")</f>
        <v/>
      </c>
      <c r="G425" s="29" t="str">
        <f>IFERROR(IF(SUMIFS(tblDaily[TransfersOut],tblDaily[EntryDate],DATE(2026,11,29),tblDaily[WardCode],"MAE")=0,"",SUMIFS(tblDaily[TransfersOut],tblDaily[EntryDate],DATE(2026,11,29),tblDaily[WardCode],"MAE")),"")</f>
        <v/>
      </c>
      <c r="H425" s="29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IFERROR(IF(SUMIFS(tblDaily[Admissions],tblDaily[EntryDate],DATE(2026,11,30),tblDaily[WardCode],"MAE")=0,"",SUMIFS(tblDaily[Admissions],tblDaily[EntryDate],DATE(2026,11,30),tblDaily[WardCode],"MAE")),"")</f>
        <v/>
      </c>
      <c r="C426" s="29" t="str">
        <f>IFERROR(IF(SUMIFS(tblDaily[Discharges],tblDaily[EntryDate],DATE(2026,11,30),tblDaily[WardCode],"MAE")=0,"",SUMIFS(tblDaily[Discharges],tblDaily[EntryDate],DATE(2026,11,30),tblDaily[WardCode],"MAE")),"")</f>
        <v/>
      </c>
      <c r="D426" s="29" t="str">
        <f>IFERROR(IF(SUMIFS(tblDaily[Deaths],tblDaily[EntryDate],DATE(2026,11,30),tblDaily[WardCode],"MAE")=0,"",SUMIFS(tblDaily[Deaths],tblDaily[EntryDate],DATE(2026,11,30),tblDaily[WardCode],"MAE")),"")</f>
        <v/>
      </c>
      <c r="E426" s="2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29" t="str">
        <f>IFERROR(IF(SUMIFS(tblDaily[TransfersIn],tblDaily[EntryDate],DATE(2026,11,30),tblDaily[WardCode],"MAE")=0,"",SUMIFS(tblDaily[TransfersIn],tblDaily[EntryDate],DATE(2026,11,30),tblDaily[WardCode],"MAE")),"")</f>
        <v/>
      </c>
      <c r="G426" s="29" t="str">
        <f>IFERROR(IF(SUMIFS(tblDaily[TransfersOut],tblDaily[EntryDate],DATE(2026,11,30),tblDaily[WardCode],"MAE")=0,"",SUMIFS(tblDaily[TransfersOut],tblDaily[EntryDate],DATE(2026,11,30),tblDaily[WardCode],"MAE")),"")</f>
        <v/>
      </c>
      <c r="H426" s="29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SUMIFS(tblDaily[Admissions],tblDaily[Month],11,tblDaily[WardCode],"MAE") - SUMIFS(tblDaily[DeathsUnder24Hrs],tblDaily[Month],11,tblDaily[WardCode],"MAE")</f>
        <v>0</v>
      </c>
      <c r="C428" s="30">
        <f>SUMIFS(tblDaily[Discharges],tblDaily[Month],11,tblDaily[WardCode],"MAE")</f>
        <v>0</v>
      </c>
      <c r="D428" s="30">
        <f>SUMIFS(tblDaily[Deaths],tblDaily[Month],11,tblDaily[WardCode],"MAE")</f>
        <v>0</v>
      </c>
      <c r="E428" s="30">
        <f>SUMIFS(tblDaily[DeathsUnder24Hrs],tblDaily[Month],11,tblDaily[WardCode],"MAE")</f>
        <v>0</v>
      </c>
      <c r="F428" s="30">
        <f>SUMIFS(tblDaily[TransfersIn],tblDaily[Month],11,tblDaily[WardCode],"MAE")</f>
        <v>0</v>
      </c>
      <c r="G428" s="30">
        <f>SUMIFS(tblDaily[TransfersOut],tblDaily[Month],11,tblDaily[WardCode],"MAE")</f>
        <v>0</v>
      </c>
      <c r="H428" s="30">
        <f>SUMIFS(tblDaily[Remaining],tblDaily[Month],11,tblDaily[WardCode],"MAE")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122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IFERROR(SUMIFS(tblDaily[Remaining],tblDaily[EntryDate],DATE(2026,11,30),tblDaily[WardCode],"MAE"),0)</f>
        <v>0</v>
      </c>
    </row>
    <row r="434" spans="1:8" x14ac:dyDescent="0.25">
      <c r="A434" s="24" t="s">
        <v>109</v>
      </c>
      <c r="H434" s="27">
        <f>IFERROR(INDEX(tblWardConfig[BedComplement],MATCH("MAE",tblWardConfig[WardCode],0)),0)</f>
        <v>10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IFERROR(IF(SUMIFS(tblDaily[Admissions],tblDaily[EntryDate],DATE(2026,12,1),tblDaily[WardCode],"MAE")=0,"",SUMIFS(tblDaily[Admissions],tblDaily[EntryDate],DATE(2026,12,1),tblDaily[WardCode],"MAE")),"")</f>
        <v/>
      </c>
      <c r="C436" s="29" t="str">
        <f>IFERROR(IF(SUMIFS(tblDaily[Discharges],tblDaily[EntryDate],DATE(2026,12,1),tblDaily[WardCode],"MAE")=0,"",SUMIFS(tblDaily[Discharges],tblDaily[EntryDate],DATE(2026,12,1),tblDaily[WardCode],"MAE")),"")</f>
        <v/>
      </c>
      <c r="D436" s="29" t="str">
        <f>IFERROR(IF(SUMIFS(tblDaily[Deaths],tblDaily[EntryDate],DATE(2026,12,1),tblDaily[WardCode],"MAE")=0,"",SUMIFS(tblDaily[Deaths],tblDaily[EntryDate],DATE(2026,12,1),tblDaily[WardCode],"MAE")),"")</f>
        <v/>
      </c>
      <c r="E436" s="29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29" t="str">
        <f>IFERROR(IF(SUMIFS(tblDaily[TransfersIn],tblDaily[EntryDate],DATE(2026,12,1),tblDaily[WardCode],"MAE")=0,"",SUMIFS(tblDaily[TransfersIn],tblDaily[EntryDate],DATE(2026,12,1),tblDaily[WardCode],"MAE")),"")</f>
        <v/>
      </c>
      <c r="G436" s="29" t="str">
        <f>IFERROR(IF(SUMIFS(tblDaily[TransfersOut],tblDaily[EntryDate],DATE(2026,12,1),tblDaily[WardCode],"MAE")=0,"",SUMIFS(tblDaily[TransfersOut],tblDaily[EntryDate],DATE(2026,12,1),tblDaily[WardCode],"MAE")),"")</f>
        <v/>
      </c>
      <c r="H436" s="29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IFERROR(IF(SUMIFS(tblDaily[Admissions],tblDaily[EntryDate],DATE(2026,12,2),tblDaily[WardCode],"MAE")=0,"",SUMIFS(tblDaily[Admissions],tblDaily[EntryDate],DATE(2026,12,2),tblDaily[WardCode],"MAE")),"")</f>
        <v/>
      </c>
      <c r="C437" s="29" t="str">
        <f>IFERROR(IF(SUMIFS(tblDaily[Discharges],tblDaily[EntryDate],DATE(2026,12,2),tblDaily[WardCode],"MAE")=0,"",SUMIFS(tblDaily[Discharges],tblDaily[EntryDate],DATE(2026,12,2),tblDaily[WardCode],"MAE")),"")</f>
        <v/>
      </c>
      <c r="D437" s="29" t="str">
        <f>IFERROR(IF(SUMIFS(tblDaily[Deaths],tblDaily[EntryDate],DATE(2026,12,2),tblDaily[WardCode],"MAE")=0,"",SUMIFS(tblDaily[Deaths],tblDaily[EntryDate],DATE(2026,12,2),tblDaily[WardCode],"MAE")),"")</f>
        <v/>
      </c>
      <c r="E437" s="29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29" t="str">
        <f>IFERROR(IF(SUMIFS(tblDaily[TransfersIn],tblDaily[EntryDate],DATE(2026,12,2),tblDaily[WardCode],"MAE")=0,"",SUMIFS(tblDaily[TransfersIn],tblDaily[EntryDate],DATE(2026,12,2),tblDaily[WardCode],"MAE")),"")</f>
        <v/>
      </c>
      <c r="G437" s="29" t="str">
        <f>IFERROR(IF(SUMIFS(tblDaily[TransfersOut],tblDaily[EntryDate],DATE(2026,12,2),tblDaily[WardCode],"MAE")=0,"",SUMIFS(tblDaily[TransfersOut],tblDaily[EntryDate],DATE(2026,12,2),tblDaily[WardCode],"MAE")),"")</f>
        <v/>
      </c>
      <c r="H437" s="29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IFERROR(IF(SUMIFS(tblDaily[Admissions],tblDaily[EntryDate],DATE(2026,12,3),tblDaily[WardCode],"MAE")=0,"",SUMIFS(tblDaily[Admissions],tblDaily[EntryDate],DATE(2026,12,3),tblDaily[WardCode],"MAE")),"")</f>
        <v/>
      </c>
      <c r="C438" s="29" t="str">
        <f>IFERROR(IF(SUMIFS(tblDaily[Discharges],tblDaily[EntryDate],DATE(2026,12,3),tblDaily[WardCode],"MAE")=0,"",SUMIFS(tblDaily[Discharges],tblDaily[EntryDate],DATE(2026,12,3),tblDaily[WardCode],"MAE")),"")</f>
        <v/>
      </c>
      <c r="D438" s="29" t="str">
        <f>IFERROR(IF(SUMIFS(tblDaily[Deaths],tblDaily[EntryDate],DATE(2026,12,3),tblDaily[WardCode],"MAE")=0,"",SUMIFS(tblDaily[Deaths],tblDaily[EntryDate],DATE(2026,12,3),tblDaily[WardCode],"MAE")),"")</f>
        <v/>
      </c>
      <c r="E438" s="29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29" t="str">
        <f>IFERROR(IF(SUMIFS(tblDaily[TransfersIn],tblDaily[EntryDate],DATE(2026,12,3),tblDaily[WardCode],"MAE")=0,"",SUMIFS(tblDaily[TransfersIn],tblDaily[EntryDate],DATE(2026,12,3),tblDaily[WardCode],"MAE")),"")</f>
        <v/>
      </c>
      <c r="G438" s="29" t="str">
        <f>IFERROR(IF(SUMIFS(tblDaily[TransfersOut],tblDaily[EntryDate],DATE(2026,12,3),tblDaily[WardCode],"MAE")=0,"",SUMIFS(tblDaily[TransfersOut],tblDaily[EntryDate],DATE(2026,12,3),tblDaily[WardCode],"MAE")),"")</f>
        <v/>
      </c>
      <c r="H438" s="29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IFERROR(IF(SUMIFS(tblDaily[Admissions],tblDaily[EntryDate],DATE(2026,12,4),tblDaily[WardCode],"MAE")=0,"",SUMIFS(tblDaily[Admissions],tblDaily[EntryDate],DATE(2026,12,4),tblDaily[WardCode],"MAE")),"")</f>
        <v/>
      </c>
      <c r="C439" s="29" t="str">
        <f>IFERROR(IF(SUMIFS(tblDaily[Discharges],tblDaily[EntryDate],DATE(2026,12,4),tblDaily[WardCode],"MAE")=0,"",SUMIFS(tblDaily[Discharges],tblDaily[EntryDate],DATE(2026,12,4),tblDaily[WardCode],"MAE")),"")</f>
        <v/>
      </c>
      <c r="D439" s="29" t="str">
        <f>IFERROR(IF(SUMIFS(tblDaily[Deaths],tblDaily[EntryDate],DATE(2026,12,4),tblDaily[WardCode],"MAE")=0,"",SUMIFS(tblDaily[Deaths],tblDaily[EntryDate],DATE(2026,12,4),tblDaily[WardCode],"MAE")),"")</f>
        <v/>
      </c>
      <c r="E439" s="29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29" t="str">
        <f>IFERROR(IF(SUMIFS(tblDaily[TransfersIn],tblDaily[EntryDate],DATE(2026,12,4),tblDaily[WardCode],"MAE")=0,"",SUMIFS(tblDaily[TransfersIn],tblDaily[EntryDate],DATE(2026,12,4),tblDaily[WardCode],"MAE")),"")</f>
        <v/>
      </c>
      <c r="G439" s="29" t="str">
        <f>IFERROR(IF(SUMIFS(tblDaily[TransfersOut],tblDaily[EntryDate],DATE(2026,12,4),tblDaily[WardCode],"MAE")=0,"",SUMIFS(tblDaily[TransfersOut],tblDaily[EntryDate],DATE(2026,12,4),tblDaily[WardCode],"MAE")),"")</f>
        <v/>
      </c>
      <c r="H439" s="29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IFERROR(IF(SUMIFS(tblDaily[Admissions],tblDaily[EntryDate],DATE(2026,12,5),tblDaily[WardCode],"MAE")=0,"",SUMIFS(tblDaily[Admissions],tblDaily[EntryDate],DATE(2026,12,5),tblDaily[WardCode],"MAE")),"")</f>
        <v/>
      </c>
      <c r="C440" s="29" t="str">
        <f>IFERROR(IF(SUMIFS(tblDaily[Discharges],tblDaily[EntryDate],DATE(2026,12,5),tblDaily[WardCode],"MAE")=0,"",SUMIFS(tblDaily[Discharges],tblDaily[EntryDate],DATE(2026,12,5),tblDaily[WardCode],"MAE")),"")</f>
        <v/>
      </c>
      <c r="D440" s="29" t="str">
        <f>IFERROR(IF(SUMIFS(tblDaily[Deaths],tblDaily[EntryDate],DATE(2026,12,5),tblDaily[WardCode],"MAE")=0,"",SUMIFS(tblDaily[Deaths],tblDaily[EntryDate],DATE(2026,12,5),tblDaily[WardCode],"MAE")),"")</f>
        <v/>
      </c>
      <c r="E440" s="29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29" t="str">
        <f>IFERROR(IF(SUMIFS(tblDaily[TransfersIn],tblDaily[EntryDate],DATE(2026,12,5),tblDaily[WardCode],"MAE")=0,"",SUMIFS(tblDaily[TransfersIn],tblDaily[EntryDate],DATE(2026,12,5),tblDaily[WardCode],"MAE")),"")</f>
        <v/>
      </c>
      <c r="G440" s="29" t="str">
        <f>IFERROR(IF(SUMIFS(tblDaily[TransfersOut],tblDaily[EntryDate],DATE(2026,12,5),tblDaily[WardCode],"MAE")=0,"",SUMIFS(tblDaily[TransfersOut],tblDaily[EntryDate],DATE(2026,12,5),tblDaily[WardCode],"MAE")),"")</f>
        <v/>
      </c>
      <c r="H440" s="29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IFERROR(IF(SUMIFS(tblDaily[Admissions],tblDaily[EntryDate],DATE(2026,12,6),tblDaily[WardCode],"MAE")=0,"",SUMIFS(tblDaily[Admissions],tblDaily[EntryDate],DATE(2026,12,6),tblDaily[WardCode],"MAE")),"")</f>
        <v/>
      </c>
      <c r="C441" s="29" t="str">
        <f>IFERROR(IF(SUMIFS(tblDaily[Discharges],tblDaily[EntryDate],DATE(2026,12,6),tblDaily[WardCode],"MAE")=0,"",SUMIFS(tblDaily[Discharges],tblDaily[EntryDate],DATE(2026,12,6),tblDaily[WardCode],"MAE")),"")</f>
        <v/>
      </c>
      <c r="D441" s="29" t="str">
        <f>IFERROR(IF(SUMIFS(tblDaily[Deaths],tblDaily[EntryDate],DATE(2026,12,6),tblDaily[WardCode],"MAE")=0,"",SUMIFS(tblDaily[Deaths],tblDaily[EntryDate],DATE(2026,12,6),tblDaily[WardCode],"MAE")),"")</f>
        <v/>
      </c>
      <c r="E441" s="29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29" t="str">
        <f>IFERROR(IF(SUMIFS(tblDaily[TransfersIn],tblDaily[EntryDate],DATE(2026,12,6),tblDaily[WardCode],"MAE")=0,"",SUMIFS(tblDaily[TransfersIn],tblDaily[EntryDate],DATE(2026,12,6),tblDaily[WardCode],"MAE")),"")</f>
        <v/>
      </c>
      <c r="G441" s="29" t="str">
        <f>IFERROR(IF(SUMIFS(tblDaily[TransfersOut],tblDaily[EntryDate],DATE(2026,12,6),tblDaily[WardCode],"MAE")=0,"",SUMIFS(tblDaily[TransfersOut],tblDaily[EntryDate],DATE(2026,12,6),tblDaily[WardCode],"MAE")),"")</f>
        <v/>
      </c>
      <c r="H441" s="29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IFERROR(IF(SUMIFS(tblDaily[Admissions],tblDaily[EntryDate],DATE(2026,12,7),tblDaily[WardCode],"MAE")=0,"",SUMIFS(tblDaily[Admissions],tblDaily[EntryDate],DATE(2026,12,7),tblDaily[WardCode],"MAE")),"")</f>
        <v/>
      </c>
      <c r="C442" s="29" t="str">
        <f>IFERROR(IF(SUMIFS(tblDaily[Discharges],tblDaily[EntryDate],DATE(2026,12,7),tblDaily[WardCode],"MAE")=0,"",SUMIFS(tblDaily[Discharges],tblDaily[EntryDate],DATE(2026,12,7),tblDaily[WardCode],"MAE")),"")</f>
        <v/>
      </c>
      <c r="D442" s="29" t="str">
        <f>IFERROR(IF(SUMIFS(tblDaily[Deaths],tblDaily[EntryDate],DATE(2026,12,7),tblDaily[WardCode],"MAE")=0,"",SUMIFS(tblDaily[Deaths],tblDaily[EntryDate],DATE(2026,12,7),tblDaily[WardCode],"MAE")),"")</f>
        <v/>
      </c>
      <c r="E442" s="29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29" t="str">
        <f>IFERROR(IF(SUMIFS(tblDaily[TransfersIn],tblDaily[EntryDate],DATE(2026,12,7),tblDaily[WardCode],"MAE")=0,"",SUMIFS(tblDaily[TransfersIn],tblDaily[EntryDate],DATE(2026,12,7),tblDaily[WardCode],"MAE")),"")</f>
        <v/>
      </c>
      <c r="G442" s="29" t="str">
        <f>IFERROR(IF(SUMIFS(tblDaily[TransfersOut],tblDaily[EntryDate],DATE(2026,12,7),tblDaily[WardCode],"MAE")=0,"",SUMIFS(tblDaily[TransfersOut],tblDaily[EntryDate],DATE(2026,12,7),tblDaily[WardCode],"MAE")),"")</f>
        <v/>
      </c>
      <c r="H442" s="29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IFERROR(IF(SUMIFS(tblDaily[Admissions],tblDaily[EntryDate],DATE(2026,12,8),tblDaily[WardCode],"MAE")=0,"",SUMIFS(tblDaily[Admissions],tblDaily[EntryDate],DATE(2026,12,8),tblDaily[WardCode],"MAE")),"")</f>
        <v/>
      </c>
      <c r="C443" s="29" t="str">
        <f>IFERROR(IF(SUMIFS(tblDaily[Discharges],tblDaily[EntryDate],DATE(2026,12,8),tblDaily[WardCode],"MAE")=0,"",SUMIFS(tblDaily[Discharges],tblDaily[EntryDate],DATE(2026,12,8),tblDaily[WardCode],"MAE")),"")</f>
        <v/>
      </c>
      <c r="D443" s="29" t="str">
        <f>IFERROR(IF(SUMIFS(tblDaily[Deaths],tblDaily[EntryDate],DATE(2026,12,8),tblDaily[WardCode],"MAE")=0,"",SUMIFS(tblDaily[Deaths],tblDaily[EntryDate],DATE(2026,12,8),tblDaily[WardCode],"MAE")),"")</f>
        <v/>
      </c>
      <c r="E443" s="29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29" t="str">
        <f>IFERROR(IF(SUMIFS(tblDaily[TransfersIn],tblDaily[EntryDate],DATE(2026,12,8),tblDaily[WardCode],"MAE")=0,"",SUMIFS(tblDaily[TransfersIn],tblDaily[EntryDate],DATE(2026,12,8),tblDaily[WardCode],"MAE")),"")</f>
        <v/>
      </c>
      <c r="G443" s="29" t="str">
        <f>IFERROR(IF(SUMIFS(tblDaily[TransfersOut],tblDaily[EntryDate],DATE(2026,12,8),tblDaily[WardCode],"MAE")=0,"",SUMIFS(tblDaily[TransfersOut],tblDaily[EntryDate],DATE(2026,12,8),tblDaily[WardCode],"MAE")),"")</f>
        <v/>
      </c>
      <c r="H443" s="29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IFERROR(IF(SUMIFS(tblDaily[Admissions],tblDaily[EntryDate],DATE(2026,12,9),tblDaily[WardCode],"MAE")=0,"",SUMIFS(tblDaily[Admissions],tblDaily[EntryDate],DATE(2026,12,9),tblDaily[WardCode],"MAE")),"")</f>
        <v/>
      </c>
      <c r="C444" s="29" t="str">
        <f>IFERROR(IF(SUMIFS(tblDaily[Discharges],tblDaily[EntryDate],DATE(2026,12,9),tblDaily[WardCode],"MAE")=0,"",SUMIFS(tblDaily[Discharges],tblDaily[EntryDate],DATE(2026,12,9),tblDaily[WardCode],"MAE")),"")</f>
        <v/>
      </c>
      <c r="D444" s="29" t="str">
        <f>IFERROR(IF(SUMIFS(tblDaily[Deaths],tblDaily[EntryDate],DATE(2026,12,9),tblDaily[WardCode],"MAE")=0,"",SUMIFS(tblDaily[Deaths],tblDaily[EntryDate],DATE(2026,12,9),tblDaily[WardCode],"MAE")),"")</f>
        <v/>
      </c>
      <c r="E444" s="29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29" t="str">
        <f>IFERROR(IF(SUMIFS(tblDaily[TransfersIn],tblDaily[EntryDate],DATE(2026,12,9),tblDaily[WardCode],"MAE")=0,"",SUMIFS(tblDaily[TransfersIn],tblDaily[EntryDate],DATE(2026,12,9),tblDaily[WardCode],"MAE")),"")</f>
        <v/>
      </c>
      <c r="G444" s="29" t="str">
        <f>IFERROR(IF(SUMIFS(tblDaily[TransfersOut],tblDaily[EntryDate],DATE(2026,12,9),tblDaily[WardCode],"MAE")=0,"",SUMIFS(tblDaily[TransfersOut],tblDaily[EntryDate],DATE(2026,12,9),tblDaily[WardCode],"MAE")),"")</f>
        <v/>
      </c>
      <c r="H444" s="29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IFERROR(IF(SUMIFS(tblDaily[Admissions],tblDaily[EntryDate],DATE(2026,12,10),tblDaily[WardCode],"MAE")=0,"",SUMIFS(tblDaily[Admissions],tblDaily[EntryDate],DATE(2026,12,10),tblDaily[WardCode],"MAE")),"")</f>
        <v/>
      </c>
      <c r="C445" s="29" t="str">
        <f>IFERROR(IF(SUMIFS(tblDaily[Discharges],tblDaily[EntryDate],DATE(2026,12,10),tblDaily[WardCode],"MAE")=0,"",SUMIFS(tblDaily[Discharges],tblDaily[EntryDate],DATE(2026,12,10),tblDaily[WardCode],"MAE")),"")</f>
        <v/>
      </c>
      <c r="D445" s="29" t="str">
        <f>IFERROR(IF(SUMIFS(tblDaily[Deaths],tblDaily[EntryDate],DATE(2026,12,10),tblDaily[WardCode],"MAE")=0,"",SUMIFS(tblDaily[Deaths],tblDaily[EntryDate],DATE(2026,12,10),tblDaily[WardCode],"MAE")),"")</f>
        <v/>
      </c>
      <c r="E445" s="2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29" t="str">
        <f>IFERROR(IF(SUMIFS(tblDaily[TransfersIn],tblDaily[EntryDate],DATE(2026,12,10),tblDaily[WardCode],"MAE")=0,"",SUMIFS(tblDaily[TransfersIn],tblDaily[EntryDate],DATE(2026,12,10),tblDaily[WardCode],"MAE")),"")</f>
        <v/>
      </c>
      <c r="G445" s="29" t="str">
        <f>IFERROR(IF(SUMIFS(tblDaily[TransfersOut],tblDaily[EntryDate],DATE(2026,12,10),tblDaily[WardCode],"MAE")=0,"",SUMIFS(tblDaily[TransfersOut],tblDaily[EntryDate],DATE(2026,12,10),tblDaily[WardCode],"MAE")),"")</f>
        <v/>
      </c>
      <c r="H445" s="29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IFERROR(IF(SUMIFS(tblDaily[Admissions],tblDaily[EntryDate],DATE(2026,12,11),tblDaily[WardCode],"MAE")=0,"",SUMIFS(tblDaily[Admissions],tblDaily[EntryDate],DATE(2026,12,11),tblDaily[WardCode],"MAE")),"")</f>
        <v/>
      </c>
      <c r="C446" s="29" t="str">
        <f>IFERROR(IF(SUMIFS(tblDaily[Discharges],tblDaily[EntryDate],DATE(2026,12,11),tblDaily[WardCode],"MAE")=0,"",SUMIFS(tblDaily[Discharges],tblDaily[EntryDate],DATE(2026,12,11),tblDaily[WardCode],"MAE")),"")</f>
        <v/>
      </c>
      <c r="D446" s="29" t="str">
        <f>IFERROR(IF(SUMIFS(tblDaily[Deaths],tblDaily[EntryDate],DATE(2026,12,11),tblDaily[WardCode],"MAE")=0,"",SUMIFS(tblDaily[Deaths],tblDaily[EntryDate],DATE(2026,12,11),tblDaily[WardCode],"MAE")),"")</f>
        <v/>
      </c>
      <c r="E446" s="2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29" t="str">
        <f>IFERROR(IF(SUMIFS(tblDaily[TransfersIn],tblDaily[EntryDate],DATE(2026,12,11),tblDaily[WardCode],"MAE")=0,"",SUMIFS(tblDaily[TransfersIn],tblDaily[EntryDate],DATE(2026,12,11),tblDaily[WardCode],"MAE")),"")</f>
        <v/>
      </c>
      <c r="G446" s="29" t="str">
        <f>IFERROR(IF(SUMIFS(tblDaily[TransfersOut],tblDaily[EntryDate],DATE(2026,12,11),tblDaily[WardCode],"MAE")=0,"",SUMIFS(tblDaily[TransfersOut],tblDaily[EntryDate],DATE(2026,12,11),tblDaily[WardCode],"MAE")),"")</f>
        <v/>
      </c>
      <c r="H446" s="29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IFERROR(IF(SUMIFS(tblDaily[Admissions],tblDaily[EntryDate],DATE(2026,12,12),tblDaily[WardCode],"MAE")=0,"",SUMIFS(tblDaily[Admissions],tblDaily[EntryDate],DATE(2026,12,12),tblDaily[WardCode],"MAE")),"")</f>
        <v/>
      </c>
      <c r="C447" s="29" t="str">
        <f>IFERROR(IF(SUMIFS(tblDaily[Discharges],tblDaily[EntryDate],DATE(2026,12,12),tblDaily[WardCode],"MAE")=0,"",SUMIFS(tblDaily[Discharges],tblDaily[EntryDate],DATE(2026,12,12),tblDaily[WardCode],"MAE")),"")</f>
        <v/>
      </c>
      <c r="D447" s="29" t="str">
        <f>IFERROR(IF(SUMIFS(tblDaily[Deaths],tblDaily[EntryDate],DATE(2026,12,12),tblDaily[WardCode],"MAE")=0,"",SUMIFS(tblDaily[Deaths],tblDaily[EntryDate],DATE(2026,12,12),tblDaily[WardCode],"MAE")),"")</f>
        <v/>
      </c>
      <c r="E447" s="2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29" t="str">
        <f>IFERROR(IF(SUMIFS(tblDaily[TransfersIn],tblDaily[EntryDate],DATE(2026,12,12),tblDaily[WardCode],"MAE")=0,"",SUMIFS(tblDaily[TransfersIn],tblDaily[EntryDate],DATE(2026,12,12),tblDaily[WardCode],"MAE")),"")</f>
        <v/>
      </c>
      <c r="G447" s="29" t="str">
        <f>IFERROR(IF(SUMIFS(tblDaily[TransfersOut],tblDaily[EntryDate],DATE(2026,12,12),tblDaily[WardCode],"MAE")=0,"",SUMIFS(tblDaily[TransfersOut],tblDaily[EntryDate],DATE(2026,12,12),tblDaily[WardCode],"MAE")),"")</f>
        <v/>
      </c>
      <c r="H447" s="29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IFERROR(IF(SUMIFS(tblDaily[Admissions],tblDaily[EntryDate],DATE(2026,12,13),tblDaily[WardCode],"MAE")=0,"",SUMIFS(tblDaily[Admissions],tblDaily[EntryDate],DATE(2026,12,13),tblDaily[WardCode],"MAE")),"")</f>
        <v/>
      </c>
      <c r="C448" s="29" t="str">
        <f>IFERROR(IF(SUMIFS(tblDaily[Discharges],tblDaily[EntryDate],DATE(2026,12,13),tblDaily[WardCode],"MAE")=0,"",SUMIFS(tblDaily[Discharges],tblDaily[EntryDate],DATE(2026,12,13),tblDaily[WardCode],"MAE")),"")</f>
        <v/>
      </c>
      <c r="D448" s="29" t="str">
        <f>IFERROR(IF(SUMIFS(tblDaily[Deaths],tblDaily[EntryDate],DATE(2026,12,13),tblDaily[WardCode],"MAE")=0,"",SUMIFS(tblDaily[Deaths],tblDaily[EntryDate],DATE(2026,12,13),tblDaily[WardCode],"MAE")),"")</f>
        <v/>
      </c>
      <c r="E448" s="2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29" t="str">
        <f>IFERROR(IF(SUMIFS(tblDaily[TransfersIn],tblDaily[EntryDate],DATE(2026,12,13),tblDaily[WardCode],"MAE")=0,"",SUMIFS(tblDaily[TransfersIn],tblDaily[EntryDate],DATE(2026,12,13),tblDaily[WardCode],"MAE")),"")</f>
        <v/>
      </c>
      <c r="G448" s="29" t="str">
        <f>IFERROR(IF(SUMIFS(tblDaily[TransfersOut],tblDaily[EntryDate],DATE(2026,12,13),tblDaily[WardCode],"MAE")=0,"",SUMIFS(tblDaily[TransfersOut],tblDaily[EntryDate],DATE(2026,12,13),tblDaily[WardCode],"MAE")),"")</f>
        <v/>
      </c>
      <c r="H448" s="29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IFERROR(IF(SUMIFS(tblDaily[Admissions],tblDaily[EntryDate],DATE(2026,12,14),tblDaily[WardCode],"MAE")=0,"",SUMIFS(tblDaily[Admissions],tblDaily[EntryDate],DATE(2026,12,14),tblDaily[WardCode],"MAE")),"")</f>
        <v/>
      </c>
      <c r="C449" s="29" t="str">
        <f>IFERROR(IF(SUMIFS(tblDaily[Discharges],tblDaily[EntryDate],DATE(2026,12,14),tblDaily[WardCode],"MAE")=0,"",SUMIFS(tblDaily[Discharges],tblDaily[EntryDate],DATE(2026,12,14),tblDaily[WardCode],"MAE")),"")</f>
        <v/>
      </c>
      <c r="D449" s="29" t="str">
        <f>IFERROR(IF(SUMIFS(tblDaily[Deaths],tblDaily[EntryDate],DATE(2026,12,14),tblDaily[WardCode],"MAE")=0,"",SUMIFS(tblDaily[Deaths],tblDaily[EntryDate],DATE(2026,12,14),tblDaily[WardCode],"MAE")),"")</f>
        <v/>
      </c>
      <c r="E449" s="2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29" t="str">
        <f>IFERROR(IF(SUMIFS(tblDaily[TransfersIn],tblDaily[EntryDate],DATE(2026,12,14),tblDaily[WardCode],"MAE")=0,"",SUMIFS(tblDaily[TransfersIn],tblDaily[EntryDate],DATE(2026,12,14),tblDaily[WardCode],"MAE")),"")</f>
        <v/>
      </c>
      <c r="G449" s="29" t="str">
        <f>IFERROR(IF(SUMIFS(tblDaily[TransfersOut],tblDaily[EntryDate],DATE(2026,12,14),tblDaily[WardCode],"MAE")=0,"",SUMIFS(tblDaily[TransfersOut],tblDaily[EntryDate],DATE(2026,12,14),tblDaily[WardCode],"MAE")),"")</f>
        <v/>
      </c>
      <c r="H449" s="29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IFERROR(IF(SUMIFS(tblDaily[Admissions],tblDaily[EntryDate],DATE(2026,12,15),tblDaily[WardCode],"MAE")=0,"",SUMIFS(tblDaily[Admissions],tblDaily[EntryDate],DATE(2026,12,15),tblDaily[WardCode],"MAE")),"")</f>
        <v/>
      </c>
      <c r="C450" s="29" t="str">
        <f>IFERROR(IF(SUMIFS(tblDaily[Discharges],tblDaily[EntryDate],DATE(2026,12,15),tblDaily[WardCode],"MAE")=0,"",SUMIFS(tblDaily[Discharges],tblDaily[EntryDate],DATE(2026,12,15),tblDaily[WardCode],"MAE")),"")</f>
        <v/>
      </c>
      <c r="D450" s="29" t="str">
        <f>IFERROR(IF(SUMIFS(tblDaily[Deaths],tblDaily[EntryDate],DATE(2026,12,15),tblDaily[WardCode],"MAE")=0,"",SUMIFS(tblDaily[Deaths],tblDaily[EntryDate],DATE(2026,12,15),tblDaily[WardCode],"MAE")),"")</f>
        <v/>
      </c>
      <c r="E450" s="2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29" t="str">
        <f>IFERROR(IF(SUMIFS(tblDaily[TransfersIn],tblDaily[EntryDate],DATE(2026,12,15),tblDaily[WardCode],"MAE")=0,"",SUMIFS(tblDaily[TransfersIn],tblDaily[EntryDate],DATE(2026,12,15),tblDaily[WardCode],"MAE")),"")</f>
        <v/>
      </c>
      <c r="G450" s="29" t="str">
        <f>IFERROR(IF(SUMIFS(tblDaily[TransfersOut],tblDaily[EntryDate],DATE(2026,12,15),tblDaily[WardCode],"MAE")=0,"",SUMIFS(tblDaily[TransfersOut],tblDaily[EntryDate],DATE(2026,12,15),tblDaily[WardCode],"MAE")),"")</f>
        <v/>
      </c>
      <c r="H450" s="29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IFERROR(IF(SUMIFS(tblDaily[Admissions],tblDaily[EntryDate],DATE(2026,12,16),tblDaily[WardCode],"MAE")=0,"",SUMIFS(tblDaily[Admissions],tblDaily[EntryDate],DATE(2026,12,16),tblDaily[WardCode],"MAE")),"")</f>
        <v/>
      </c>
      <c r="C451" s="29" t="str">
        <f>IFERROR(IF(SUMIFS(tblDaily[Discharges],tblDaily[EntryDate],DATE(2026,12,16),tblDaily[WardCode],"MAE")=0,"",SUMIFS(tblDaily[Discharges],tblDaily[EntryDate],DATE(2026,12,16),tblDaily[WardCode],"MAE")),"")</f>
        <v/>
      </c>
      <c r="D451" s="29" t="str">
        <f>IFERROR(IF(SUMIFS(tblDaily[Deaths],tblDaily[EntryDate],DATE(2026,12,16),tblDaily[WardCode],"MAE")=0,"",SUMIFS(tblDaily[Deaths],tblDaily[EntryDate],DATE(2026,12,16),tblDaily[WardCode],"MAE")),"")</f>
        <v/>
      </c>
      <c r="E451" s="2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29" t="str">
        <f>IFERROR(IF(SUMIFS(tblDaily[TransfersIn],tblDaily[EntryDate],DATE(2026,12,16),tblDaily[WardCode],"MAE")=0,"",SUMIFS(tblDaily[TransfersIn],tblDaily[EntryDate],DATE(2026,12,16),tblDaily[WardCode],"MAE")),"")</f>
        <v/>
      </c>
      <c r="G451" s="29" t="str">
        <f>IFERROR(IF(SUMIFS(tblDaily[TransfersOut],tblDaily[EntryDate],DATE(2026,12,16),tblDaily[WardCode],"MAE")=0,"",SUMIFS(tblDaily[TransfersOut],tblDaily[EntryDate],DATE(2026,12,16),tblDaily[WardCode],"MAE")),"")</f>
        <v/>
      </c>
      <c r="H451" s="29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IFERROR(IF(SUMIFS(tblDaily[Admissions],tblDaily[EntryDate],DATE(2026,12,17),tblDaily[WardCode],"MAE")=0,"",SUMIFS(tblDaily[Admissions],tblDaily[EntryDate],DATE(2026,12,17),tblDaily[WardCode],"MAE")),"")</f>
        <v/>
      </c>
      <c r="C452" s="29" t="str">
        <f>IFERROR(IF(SUMIFS(tblDaily[Discharges],tblDaily[EntryDate],DATE(2026,12,17),tblDaily[WardCode],"MAE")=0,"",SUMIFS(tblDaily[Discharges],tblDaily[EntryDate],DATE(2026,12,17),tblDaily[WardCode],"MAE")),"")</f>
        <v/>
      </c>
      <c r="D452" s="29" t="str">
        <f>IFERROR(IF(SUMIFS(tblDaily[Deaths],tblDaily[EntryDate],DATE(2026,12,17),tblDaily[WardCode],"MAE")=0,"",SUMIFS(tblDaily[Deaths],tblDaily[EntryDate],DATE(2026,12,17),tblDaily[WardCode],"MAE")),"")</f>
        <v/>
      </c>
      <c r="E452" s="2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29" t="str">
        <f>IFERROR(IF(SUMIFS(tblDaily[TransfersIn],tblDaily[EntryDate],DATE(2026,12,17),tblDaily[WardCode],"MAE")=0,"",SUMIFS(tblDaily[TransfersIn],tblDaily[EntryDate],DATE(2026,12,17),tblDaily[WardCode],"MAE")),"")</f>
        <v/>
      </c>
      <c r="G452" s="29" t="str">
        <f>IFERROR(IF(SUMIFS(tblDaily[TransfersOut],tblDaily[EntryDate],DATE(2026,12,17),tblDaily[WardCode],"MAE")=0,"",SUMIFS(tblDaily[TransfersOut],tblDaily[EntryDate],DATE(2026,12,17),tblDaily[WardCode],"MAE")),"")</f>
        <v/>
      </c>
      <c r="H452" s="29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IFERROR(IF(SUMIFS(tblDaily[Admissions],tblDaily[EntryDate],DATE(2026,12,18),tblDaily[WardCode],"MAE")=0,"",SUMIFS(tblDaily[Admissions],tblDaily[EntryDate],DATE(2026,12,18),tblDaily[WardCode],"MAE")),"")</f>
        <v/>
      </c>
      <c r="C453" s="29" t="str">
        <f>IFERROR(IF(SUMIFS(tblDaily[Discharges],tblDaily[EntryDate],DATE(2026,12,18),tblDaily[WardCode],"MAE")=0,"",SUMIFS(tblDaily[Discharges],tblDaily[EntryDate],DATE(2026,12,18),tblDaily[WardCode],"MAE")),"")</f>
        <v/>
      </c>
      <c r="D453" s="29" t="str">
        <f>IFERROR(IF(SUMIFS(tblDaily[Deaths],tblDaily[EntryDate],DATE(2026,12,18),tblDaily[WardCode],"MAE")=0,"",SUMIFS(tblDaily[Deaths],tblDaily[EntryDate],DATE(2026,12,18),tblDaily[WardCode],"MAE")),"")</f>
        <v/>
      </c>
      <c r="E453" s="2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29" t="str">
        <f>IFERROR(IF(SUMIFS(tblDaily[TransfersIn],tblDaily[EntryDate],DATE(2026,12,18),tblDaily[WardCode],"MAE")=0,"",SUMIFS(tblDaily[TransfersIn],tblDaily[EntryDate],DATE(2026,12,18),tblDaily[WardCode],"MAE")),"")</f>
        <v/>
      </c>
      <c r="G453" s="29" t="str">
        <f>IFERROR(IF(SUMIFS(tblDaily[TransfersOut],tblDaily[EntryDate],DATE(2026,12,18),tblDaily[WardCode],"MAE")=0,"",SUMIFS(tblDaily[TransfersOut],tblDaily[EntryDate],DATE(2026,12,18),tblDaily[WardCode],"MAE")),"")</f>
        <v/>
      </c>
      <c r="H453" s="29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IFERROR(IF(SUMIFS(tblDaily[Admissions],tblDaily[EntryDate],DATE(2026,12,19),tblDaily[WardCode],"MAE")=0,"",SUMIFS(tblDaily[Admissions],tblDaily[EntryDate],DATE(2026,12,19),tblDaily[WardCode],"MAE")),"")</f>
        <v/>
      </c>
      <c r="C454" s="29" t="str">
        <f>IFERROR(IF(SUMIFS(tblDaily[Discharges],tblDaily[EntryDate],DATE(2026,12,19),tblDaily[WardCode],"MAE")=0,"",SUMIFS(tblDaily[Discharges],tblDaily[EntryDate],DATE(2026,12,19),tblDaily[WardCode],"MAE")),"")</f>
        <v/>
      </c>
      <c r="D454" s="29" t="str">
        <f>IFERROR(IF(SUMIFS(tblDaily[Deaths],tblDaily[EntryDate],DATE(2026,12,19),tblDaily[WardCode],"MAE")=0,"",SUMIFS(tblDaily[Deaths],tblDaily[EntryDate],DATE(2026,12,19),tblDaily[WardCode],"MAE")),"")</f>
        <v/>
      </c>
      <c r="E454" s="2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29" t="str">
        <f>IFERROR(IF(SUMIFS(tblDaily[TransfersIn],tblDaily[EntryDate],DATE(2026,12,19),tblDaily[WardCode],"MAE")=0,"",SUMIFS(tblDaily[TransfersIn],tblDaily[EntryDate],DATE(2026,12,19),tblDaily[WardCode],"MAE")),"")</f>
        <v/>
      </c>
      <c r="G454" s="29" t="str">
        <f>IFERROR(IF(SUMIFS(tblDaily[TransfersOut],tblDaily[EntryDate],DATE(2026,12,19),tblDaily[WardCode],"MAE")=0,"",SUMIFS(tblDaily[TransfersOut],tblDaily[EntryDate],DATE(2026,12,19),tblDaily[WardCode],"MAE")),"")</f>
        <v/>
      </c>
      <c r="H454" s="29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IFERROR(IF(SUMIFS(tblDaily[Admissions],tblDaily[EntryDate],DATE(2026,12,20),tblDaily[WardCode],"MAE")=0,"",SUMIFS(tblDaily[Admissions],tblDaily[EntryDate],DATE(2026,12,20),tblDaily[WardCode],"MAE")),"")</f>
        <v/>
      </c>
      <c r="C455" s="29" t="str">
        <f>IFERROR(IF(SUMIFS(tblDaily[Discharges],tblDaily[EntryDate],DATE(2026,12,20),tblDaily[WardCode],"MAE")=0,"",SUMIFS(tblDaily[Discharges],tblDaily[EntryDate],DATE(2026,12,20),tblDaily[WardCode],"MAE")),"")</f>
        <v/>
      </c>
      <c r="D455" s="29" t="str">
        <f>IFERROR(IF(SUMIFS(tblDaily[Deaths],tblDaily[EntryDate],DATE(2026,12,20),tblDaily[WardCode],"MAE")=0,"",SUMIFS(tblDaily[Deaths],tblDaily[EntryDate],DATE(2026,12,20),tblDaily[WardCode],"MAE")),"")</f>
        <v/>
      </c>
      <c r="E455" s="2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29" t="str">
        <f>IFERROR(IF(SUMIFS(tblDaily[TransfersIn],tblDaily[EntryDate],DATE(2026,12,20),tblDaily[WardCode],"MAE")=0,"",SUMIFS(tblDaily[TransfersIn],tblDaily[EntryDate],DATE(2026,12,20),tblDaily[WardCode],"MAE")),"")</f>
        <v/>
      </c>
      <c r="G455" s="29" t="str">
        <f>IFERROR(IF(SUMIFS(tblDaily[TransfersOut],tblDaily[EntryDate],DATE(2026,12,20),tblDaily[WardCode],"MAE")=0,"",SUMIFS(tblDaily[TransfersOut],tblDaily[EntryDate],DATE(2026,12,20),tblDaily[WardCode],"MAE")),"")</f>
        <v/>
      </c>
      <c r="H455" s="29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IFERROR(IF(SUMIFS(tblDaily[Admissions],tblDaily[EntryDate],DATE(2026,12,21),tblDaily[WardCode],"MAE")=0,"",SUMIFS(tblDaily[Admissions],tblDaily[EntryDate],DATE(2026,12,21),tblDaily[WardCode],"MAE")),"")</f>
        <v/>
      </c>
      <c r="C456" s="29" t="str">
        <f>IFERROR(IF(SUMIFS(tblDaily[Discharges],tblDaily[EntryDate],DATE(2026,12,21),tblDaily[WardCode],"MAE")=0,"",SUMIFS(tblDaily[Discharges],tblDaily[EntryDate],DATE(2026,12,21),tblDaily[WardCode],"MAE")),"")</f>
        <v/>
      </c>
      <c r="D456" s="29" t="str">
        <f>IFERROR(IF(SUMIFS(tblDaily[Deaths],tblDaily[EntryDate],DATE(2026,12,21),tblDaily[WardCode],"MAE")=0,"",SUMIFS(tblDaily[Deaths],tblDaily[EntryDate],DATE(2026,12,21),tblDaily[WardCode],"MAE")),"")</f>
        <v/>
      </c>
      <c r="E456" s="2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29" t="str">
        <f>IFERROR(IF(SUMIFS(tblDaily[TransfersIn],tblDaily[EntryDate],DATE(2026,12,21),tblDaily[WardCode],"MAE")=0,"",SUMIFS(tblDaily[TransfersIn],tblDaily[EntryDate],DATE(2026,12,21),tblDaily[WardCode],"MAE")),"")</f>
        <v/>
      </c>
      <c r="G456" s="29" t="str">
        <f>IFERROR(IF(SUMIFS(tblDaily[TransfersOut],tblDaily[EntryDate],DATE(2026,12,21),tblDaily[WardCode],"MAE")=0,"",SUMIFS(tblDaily[TransfersOut],tblDaily[EntryDate],DATE(2026,12,21),tblDaily[WardCode],"MAE")),"")</f>
        <v/>
      </c>
      <c r="H456" s="29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IFERROR(IF(SUMIFS(tblDaily[Admissions],tblDaily[EntryDate],DATE(2026,12,22),tblDaily[WardCode],"MAE")=0,"",SUMIFS(tblDaily[Admissions],tblDaily[EntryDate],DATE(2026,12,22),tblDaily[WardCode],"MAE")),"")</f>
        <v/>
      </c>
      <c r="C457" s="29" t="str">
        <f>IFERROR(IF(SUMIFS(tblDaily[Discharges],tblDaily[EntryDate],DATE(2026,12,22),tblDaily[WardCode],"MAE")=0,"",SUMIFS(tblDaily[Discharges],tblDaily[EntryDate],DATE(2026,12,22),tblDaily[WardCode],"MAE")),"")</f>
        <v/>
      </c>
      <c r="D457" s="29" t="str">
        <f>IFERROR(IF(SUMIFS(tblDaily[Deaths],tblDaily[EntryDate],DATE(2026,12,22),tblDaily[WardCode],"MAE")=0,"",SUMIFS(tblDaily[Deaths],tblDaily[EntryDate],DATE(2026,12,22),tblDaily[WardCode],"MAE")),"")</f>
        <v/>
      </c>
      <c r="E457" s="2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29" t="str">
        <f>IFERROR(IF(SUMIFS(tblDaily[TransfersIn],tblDaily[EntryDate],DATE(2026,12,22),tblDaily[WardCode],"MAE")=0,"",SUMIFS(tblDaily[TransfersIn],tblDaily[EntryDate],DATE(2026,12,22),tblDaily[WardCode],"MAE")),"")</f>
        <v/>
      </c>
      <c r="G457" s="29" t="str">
        <f>IFERROR(IF(SUMIFS(tblDaily[TransfersOut],tblDaily[EntryDate],DATE(2026,12,22),tblDaily[WardCode],"MAE")=0,"",SUMIFS(tblDaily[TransfersOut],tblDaily[EntryDate],DATE(2026,12,22),tblDaily[WardCode],"MAE")),"")</f>
        <v/>
      </c>
      <c r="H457" s="29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IFERROR(IF(SUMIFS(tblDaily[Admissions],tblDaily[EntryDate],DATE(2026,12,23),tblDaily[WardCode],"MAE")=0,"",SUMIFS(tblDaily[Admissions],tblDaily[EntryDate],DATE(2026,12,23),tblDaily[WardCode],"MAE")),"")</f>
        <v/>
      </c>
      <c r="C458" s="29" t="str">
        <f>IFERROR(IF(SUMIFS(tblDaily[Discharges],tblDaily[EntryDate],DATE(2026,12,23),tblDaily[WardCode],"MAE")=0,"",SUMIFS(tblDaily[Discharges],tblDaily[EntryDate],DATE(2026,12,23),tblDaily[WardCode],"MAE")),"")</f>
        <v/>
      </c>
      <c r="D458" s="29" t="str">
        <f>IFERROR(IF(SUMIFS(tblDaily[Deaths],tblDaily[EntryDate],DATE(2026,12,23),tblDaily[WardCode],"MAE")=0,"",SUMIFS(tblDaily[Deaths],tblDaily[EntryDate],DATE(2026,12,23),tblDaily[WardCode],"MAE")),"")</f>
        <v/>
      </c>
      <c r="E458" s="2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29" t="str">
        <f>IFERROR(IF(SUMIFS(tblDaily[TransfersIn],tblDaily[EntryDate],DATE(2026,12,23),tblDaily[WardCode],"MAE")=0,"",SUMIFS(tblDaily[TransfersIn],tblDaily[EntryDate],DATE(2026,12,23),tblDaily[WardCode],"MAE")),"")</f>
        <v/>
      </c>
      <c r="G458" s="29" t="str">
        <f>IFERROR(IF(SUMIFS(tblDaily[TransfersOut],tblDaily[EntryDate],DATE(2026,12,23),tblDaily[WardCode],"MAE")=0,"",SUMIFS(tblDaily[TransfersOut],tblDaily[EntryDate],DATE(2026,12,23),tblDaily[WardCode],"MAE")),"")</f>
        <v/>
      </c>
      <c r="H458" s="29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IFERROR(IF(SUMIFS(tblDaily[Admissions],tblDaily[EntryDate],DATE(2026,12,24),tblDaily[WardCode],"MAE")=0,"",SUMIFS(tblDaily[Admissions],tblDaily[EntryDate],DATE(2026,12,24),tblDaily[WardCode],"MAE")),"")</f>
        <v/>
      </c>
      <c r="C459" s="29" t="str">
        <f>IFERROR(IF(SUMIFS(tblDaily[Discharges],tblDaily[EntryDate],DATE(2026,12,24),tblDaily[WardCode],"MAE")=0,"",SUMIFS(tblDaily[Discharges],tblDaily[EntryDate],DATE(2026,12,24),tblDaily[WardCode],"MAE")),"")</f>
        <v/>
      </c>
      <c r="D459" s="29" t="str">
        <f>IFERROR(IF(SUMIFS(tblDaily[Deaths],tblDaily[EntryDate],DATE(2026,12,24),tblDaily[WardCode],"MAE")=0,"",SUMIFS(tblDaily[Deaths],tblDaily[EntryDate],DATE(2026,12,24),tblDaily[WardCode],"MAE")),"")</f>
        <v/>
      </c>
      <c r="E459" s="2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29" t="str">
        <f>IFERROR(IF(SUMIFS(tblDaily[TransfersIn],tblDaily[EntryDate],DATE(2026,12,24),tblDaily[WardCode],"MAE")=0,"",SUMIFS(tblDaily[TransfersIn],tblDaily[EntryDate],DATE(2026,12,24),tblDaily[WardCode],"MAE")),"")</f>
        <v/>
      </c>
      <c r="G459" s="29" t="str">
        <f>IFERROR(IF(SUMIFS(tblDaily[TransfersOut],tblDaily[EntryDate],DATE(2026,12,24),tblDaily[WardCode],"MAE")=0,"",SUMIFS(tblDaily[TransfersOut],tblDaily[EntryDate],DATE(2026,12,24),tblDaily[WardCode],"MAE")),"")</f>
        <v/>
      </c>
      <c r="H459" s="29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IFERROR(IF(SUMIFS(tblDaily[Admissions],tblDaily[EntryDate],DATE(2026,12,25),tblDaily[WardCode],"MAE")=0,"",SUMIFS(tblDaily[Admissions],tblDaily[EntryDate],DATE(2026,12,25),tblDaily[WardCode],"MAE")),"")</f>
        <v/>
      </c>
      <c r="C460" s="29" t="str">
        <f>IFERROR(IF(SUMIFS(tblDaily[Discharges],tblDaily[EntryDate],DATE(2026,12,25),tblDaily[WardCode],"MAE")=0,"",SUMIFS(tblDaily[Discharges],tblDaily[EntryDate],DATE(2026,12,25),tblDaily[WardCode],"MAE")),"")</f>
        <v/>
      </c>
      <c r="D460" s="29" t="str">
        <f>IFERROR(IF(SUMIFS(tblDaily[Deaths],tblDaily[EntryDate],DATE(2026,12,25),tblDaily[WardCode],"MAE")=0,"",SUMIFS(tblDaily[Deaths],tblDaily[EntryDate],DATE(2026,12,25),tblDaily[WardCode],"MAE")),"")</f>
        <v/>
      </c>
      <c r="E460" s="2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29" t="str">
        <f>IFERROR(IF(SUMIFS(tblDaily[TransfersIn],tblDaily[EntryDate],DATE(2026,12,25),tblDaily[WardCode],"MAE")=0,"",SUMIFS(tblDaily[TransfersIn],tblDaily[EntryDate],DATE(2026,12,25),tblDaily[WardCode],"MAE")),"")</f>
        <v/>
      </c>
      <c r="G460" s="29" t="str">
        <f>IFERROR(IF(SUMIFS(tblDaily[TransfersOut],tblDaily[EntryDate],DATE(2026,12,25),tblDaily[WardCode],"MAE")=0,"",SUMIFS(tblDaily[TransfersOut],tblDaily[EntryDate],DATE(2026,12,25),tblDaily[WardCode],"MAE")),"")</f>
        <v/>
      </c>
      <c r="H460" s="29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IFERROR(IF(SUMIFS(tblDaily[Admissions],tblDaily[EntryDate],DATE(2026,12,26),tblDaily[WardCode],"MAE")=0,"",SUMIFS(tblDaily[Admissions],tblDaily[EntryDate],DATE(2026,12,26),tblDaily[WardCode],"MAE")),"")</f>
        <v/>
      </c>
      <c r="C461" s="29" t="str">
        <f>IFERROR(IF(SUMIFS(tblDaily[Discharges],tblDaily[EntryDate],DATE(2026,12,26),tblDaily[WardCode],"MAE")=0,"",SUMIFS(tblDaily[Discharges],tblDaily[EntryDate],DATE(2026,12,26),tblDaily[WardCode],"MAE")),"")</f>
        <v/>
      </c>
      <c r="D461" s="29" t="str">
        <f>IFERROR(IF(SUMIFS(tblDaily[Deaths],tblDaily[EntryDate],DATE(2026,12,26),tblDaily[WardCode],"MAE")=0,"",SUMIFS(tblDaily[Deaths],tblDaily[EntryDate],DATE(2026,12,26),tblDaily[WardCode],"MAE")),"")</f>
        <v/>
      </c>
      <c r="E461" s="2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29" t="str">
        <f>IFERROR(IF(SUMIFS(tblDaily[TransfersIn],tblDaily[EntryDate],DATE(2026,12,26),tblDaily[WardCode],"MAE")=0,"",SUMIFS(tblDaily[TransfersIn],tblDaily[EntryDate],DATE(2026,12,26),tblDaily[WardCode],"MAE")),"")</f>
        <v/>
      </c>
      <c r="G461" s="29" t="str">
        <f>IFERROR(IF(SUMIFS(tblDaily[TransfersOut],tblDaily[EntryDate],DATE(2026,12,26),tblDaily[WardCode],"MAE")=0,"",SUMIFS(tblDaily[TransfersOut],tblDaily[EntryDate],DATE(2026,12,26),tblDaily[WardCode],"MAE")),"")</f>
        <v/>
      </c>
      <c r="H461" s="29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IFERROR(IF(SUMIFS(tblDaily[Admissions],tblDaily[EntryDate],DATE(2026,12,27),tblDaily[WardCode],"MAE")=0,"",SUMIFS(tblDaily[Admissions],tblDaily[EntryDate],DATE(2026,12,27),tblDaily[WardCode],"MAE")),"")</f>
        <v/>
      </c>
      <c r="C462" s="29" t="str">
        <f>IFERROR(IF(SUMIFS(tblDaily[Discharges],tblDaily[EntryDate],DATE(2026,12,27),tblDaily[WardCode],"MAE")=0,"",SUMIFS(tblDaily[Discharges],tblDaily[EntryDate],DATE(2026,12,27),tblDaily[WardCode],"MAE")),"")</f>
        <v/>
      </c>
      <c r="D462" s="29" t="str">
        <f>IFERROR(IF(SUMIFS(tblDaily[Deaths],tblDaily[EntryDate],DATE(2026,12,27),tblDaily[WardCode],"MAE")=0,"",SUMIFS(tblDaily[Deaths],tblDaily[EntryDate],DATE(2026,12,27),tblDaily[WardCode],"MAE")),"")</f>
        <v/>
      </c>
      <c r="E462" s="2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29" t="str">
        <f>IFERROR(IF(SUMIFS(tblDaily[TransfersIn],tblDaily[EntryDate],DATE(2026,12,27),tblDaily[WardCode],"MAE")=0,"",SUMIFS(tblDaily[TransfersIn],tblDaily[EntryDate],DATE(2026,12,27),tblDaily[WardCode],"MAE")),"")</f>
        <v/>
      </c>
      <c r="G462" s="29" t="str">
        <f>IFERROR(IF(SUMIFS(tblDaily[TransfersOut],tblDaily[EntryDate],DATE(2026,12,27),tblDaily[WardCode],"MAE")=0,"",SUMIFS(tblDaily[TransfersOut],tblDaily[EntryDate],DATE(2026,12,27),tblDaily[WardCode],"MAE")),"")</f>
        <v/>
      </c>
      <c r="H462" s="29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IFERROR(IF(SUMIFS(tblDaily[Admissions],tblDaily[EntryDate],DATE(2026,12,28),tblDaily[WardCode],"MAE")=0,"",SUMIFS(tblDaily[Admissions],tblDaily[EntryDate],DATE(2026,12,28),tblDaily[WardCode],"MAE")),"")</f>
        <v/>
      </c>
      <c r="C463" s="29" t="str">
        <f>IFERROR(IF(SUMIFS(tblDaily[Discharges],tblDaily[EntryDate],DATE(2026,12,28),tblDaily[WardCode],"MAE")=0,"",SUMIFS(tblDaily[Discharges],tblDaily[EntryDate],DATE(2026,12,28),tblDaily[WardCode],"MAE")),"")</f>
        <v/>
      </c>
      <c r="D463" s="29" t="str">
        <f>IFERROR(IF(SUMIFS(tblDaily[Deaths],tblDaily[EntryDate],DATE(2026,12,28),tblDaily[WardCode],"MAE")=0,"",SUMIFS(tblDaily[Deaths],tblDaily[EntryDate],DATE(2026,12,28),tblDaily[WardCode],"MAE")),"")</f>
        <v/>
      </c>
      <c r="E463" s="2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29" t="str">
        <f>IFERROR(IF(SUMIFS(tblDaily[TransfersIn],tblDaily[EntryDate],DATE(2026,12,28),tblDaily[WardCode],"MAE")=0,"",SUMIFS(tblDaily[TransfersIn],tblDaily[EntryDate],DATE(2026,12,28),tblDaily[WardCode],"MAE")),"")</f>
        <v/>
      </c>
      <c r="G463" s="29" t="str">
        <f>IFERROR(IF(SUMIFS(tblDaily[TransfersOut],tblDaily[EntryDate],DATE(2026,12,28),tblDaily[WardCode],"MAE")=0,"",SUMIFS(tblDaily[TransfersOut],tblDaily[EntryDate],DATE(2026,12,28),tblDaily[WardCode],"MAE")),"")</f>
        <v/>
      </c>
      <c r="H463" s="29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IFERROR(IF(SUMIFS(tblDaily[Admissions],tblDaily[EntryDate],DATE(2026,12,29),tblDaily[WardCode],"MAE")=0,"",SUMIFS(tblDaily[Admissions],tblDaily[EntryDate],DATE(2026,12,29),tblDaily[WardCode],"MAE")),"")</f>
        <v/>
      </c>
      <c r="C464" s="29" t="str">
        <f>IFERROR(IF(SUMIFS(tblDaily[Discharges],tblDaily[EntryDate],DATE(2026,12,29),tblDaily[WardCode],"MAE")=0,"",SUMIFS(tblDaily[Discharges],tblDaily[EntryDate],DATE(2026,12,29),tblDaily[WardCode],"MAE")),"")</f>
        <v/>
      </c>
      <c r="D464" s="29" t="str">
        <f>IFERROR(IF(SUMIFS(tblDaily[Deaths],tblDaily[EntryDate],DATE(2026,12,29),tblDaily[WardCode],"MAE")=0,"",SUMIFS(tblDaily[Deaths],tblDaily[EntryDate],DATE(2026,12,29),tblDaily[WardCode],"MAE")),"")</f>
        <v/>
      </c>
      <c r="E464" s="2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29" t="str">
        <f>IFERROR(IF(SUMIFS(tblDaily[TransfersIn],tblDaily[EntryDate],DATE(2026,12,29),tblDaily[WardCode],"MAE")=0,"",SUMIFS(tblDaily[TransfersIn],tblDaily[EntryDate],DATE(2026,12,29),tblDaily[WardCode],"MAE")),"")</f>
        <v/>
      </c>
      <c r="G464" s="29" t="str">
        <f>IFERROR(IF(SUMIFS(tblDaily[TransfersOut],tblDaily[EntryDate],DATE(2026,12,29),tblDaily[WardCode],"MAE")=0,"",SUMIFS(tblDaily[TransfersOut],tblDaily[EntryDate],DATE(2026,12,29),tblDaily[WardCode],"MAE")),"")</f>
        <v/>
      </c>
      <c r="H464" s="29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IFERROR(IF(SUMIFS(tblDaily[Admissions],tblDaily[EntryDate],DATE(2026,12,30),tblDaily[WardCode],"MAE")=0,"",SUMIFS(tblDaily[Admissions],tblDaily[EntryDate],DATE(2026,12,30),tblDaily[WardCode],"MAE")),"")</f>
        <v/>
      </c>
      <c r="C465" s="29" t="str">
        <f>IFERROR(IF(SUMIFS(tblDaily[Discharges],tblDaily[EntryDate],DATE(2026,12,30),tblDaily[WardCode],"MAE")=0,"",SUMIFS(tblDaily[Discharges],tblDaily[EntryDate],DATE(2026,12,30),tblDaily[WardCode],"MAE")),"")</f>
        <v/>
      </c>
      <c r="D465" s="29" t="str">
        <f>IFERROR(IF(SUMIFS(tblDaily[Deaths],tblDaily[EntryDate],DATE(2026,12,30),tblDaily[WardCode],"MAE")=0,"",SUMIFS(tblDaily[Deaths],tblDaily[EntryDate],DATE(2026,12,30),tblDaily[WardCode],"MAE")),"")</f>
        <v/>
      </c>
      <c r="E465" s="2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29" t="str">
        <f>IFERROR(IF(SUMIFS(tblDaily[TransfersIn],tblDaily[EntryDate],DATE(2026,12,30),tblDaily[WardCode],"MAE")=0,"",SUMIFS(tblDaily[TransfersIn],tblDaily[EntryDate],DATE(2026,12,30),tblDaily[WardCode],"MAE")),"")</f>
        <v/>
      </c>
      <c r="G465" s="29" t="str">
        <f>IFERROR(IF(SUMIFS(tblDaily[TransfersOut],tblDaily[EntryDate],DATE(2026,12,30),tblDaily[WardCode],"MAE")=0,"",SUMIFS(tblDaily[TransfersOut],tblDaily[EntryDate],DATE(2026,12,30),tblDaily[WardCode],"MAE")),"")</f>
        <v/>
      </c>
      <c r="H465" s="29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IFERROR(IF(SUMIFS(tblDaily[Admissions],tblDaily[EntryDate],DATE(2026,12,31),tblDaily[WardCode],"MAE")=0,"",SUMIFS(tblDaily[Admissions],tblDaily[EntryDate],DATE(2026,12,31),tblDaily[WardCode],"MAE")),"")</f>
        <v/>
      </c>
      <c r="C466" s="29" t="str">
        <f>IFERROR(IF(SUMIFS(tblDaily[Discharges],tblDaily[EntryDate],DATE(2026,12,31),tblDaily[WardCode],"MAE")=0,"",SUMIFS(tblDaily[Discharges],tblDaily[EntryDate],DATE(2026,12,31),tblDaily[WardCode],"MAE")),"")</f>
        <v/>
      </c>
      <c r="D466" s="29" t="str">
        <f>IFERROR(IF(SUMIFS(tblDaily[Deaths],tblDaily[EntryDate],DATE(2026,12,31),tblDaily[WardCode],"MAE")=0,"",SUMIFS(tblDaily[Deaths],tblDaily[EntryDate],DATE(2026,12,31),tblDaily[WardCode],"MAE")),"")</f>
        <v/>
      </c>
      <c r="E466" s="2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29" t="str">
        <f>IFERROR(IF(SUMIFS(tblDaily[TransfersIn],tblDaily[EntryDate],DATE(2026,12,31),tblDaily[WardCode],"MAE")=0,"",SUMIFS(tblDaily[TransfersIn],tblDaily[EntryDate],DATE(2026,12,31),tblDaily[WardCode],"MAE")),"")</f>
        <v/>
      </c>
      <c r="G466" s="29" t="str">
        <f>IFERROR(IF(SUMIFS(tblDaily[TransfersOut],tblDaily[EntryDate],DATE(2026,12,31),tblDaily[WardCode],"MAE")=0,"",SUMIFS(tblDaily[TransfersOut],tblDaily[EntryDate],DATE(2026,12,31),tblDaily[WardCode],"MAE")),"")</f>
        <v/>
      </c>
      <c r="H466" s="29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30" t="s">
        <v>115</v>
      </c>
      <c r="B467" s="30">
        <f>SUMIFS(tblDaily[Admissions],tblDaily[Month],12,tblDaily[WardCode],"MAE") - SUMIFS(tblDaily[DeathsUnder24Hrs],tblDaily[Month],12,tblDaily[WardCode],"MAE")</f>
        <v>0</v>
      </c>
      <c r="C467" s="30">
        <f>SUMIFS(tblDaily[Discharges],tblDaily[Month],12,tblDaily[WardCode],"MAE")</f>
        <v>0</v>
      </c>
      <c r="D467" s="30">
        <f>SUMIFS(tblDaily[Deaths],tblDaily[Month],12,tblDaily[WardCode],"MAE")</f>
        <v>0</v>
      </c>
      <c r="E467" s="30">
        <f>SUMIFS(tblDaily[DeathsUnder24Hrs],tblDaily[Month],12,tblDaily[WardCode],"MAE")</f>
        <v>0</v>
      </c>
      <c r="F467" s="30">
        <f>SUMIFS(tblDaily[TransfersIn],tblDaily[Month],12,tblDaily[WardCode],"MAE")</f>
        <v>0</v>
      </c>
      <c r="G467" s="30">
        <f>SUMIFS(tblDaily[TransfersOut],tblDaily[Month],12,tblDaily[WardCode],"MAE")</f>
        <v>0</v>
      </c>
      <c r="H467" s="30">
        <f>SUMIFS(tblDaily[Remaining],tblDaily[Month],12,tblDaily[WardCode],"MAE")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123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IFERROR(INDEX(tblWardConfig[PrevYearRemaining],MATCH("FAE",tblWardConfig[WardCode],0)),0)</f>
        <v>1</v>
      </c>
    </row>
    <row r="5" spans="1:8" x14ac:dyDescent="0.25">
      <c r="A5" s="24" t="s">
        <v>109</v>
      </c>
      <c r="H5" s="27">
        <f>IFERROR(INDEX(tblWardConfig[BedComplement],MATCH("FAE",tblWardConfig[WardCode],0)),0)</f>
        <v>10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IFERROR(IF(SUMIFS(tblDaily[Admissions],tblDaily[EntryDate],DATE(2026,1,1),tblDaily[WardCode],"FAE")=0,"",SUMIFS(tblDaily[Admissions],tblDaily[EntryDate],DATE(2026,1,1),tblDaily[WardCode],"FAE")),"")</f>
        <v/>
      </c>
      <c r="C7" s="29" t="str">
        <f>IFERROR(IF(SUMIFS(tblDaily[Discharges],tblDaily[EntryDate],DATE(2026,1,1),tblDaily[WardCode],"FAE")=0,"",SUMIFS(tblDaily[Discharges],tblDaily[EntryDate],DATE(2026,1,1),tblDaily[WardCode],"FAE")),"")</f>
        <v/>
      </c>
      <c r="D7" s="29" t="str">
        <f>IFERROR(IF(SUMIFS(tblDaily[Deaths],tblDaily[EntryDate],DATE(2026,1,1),tblDaily[WardCode],"FAE")=0,"",SUMIFS(tblDaily[Deaths],tblDaily[EntryDate],DATE(2026,1,1),tblDaily[WardCode],"FAE")),"")</f>
        <v/>
      </c>
      <c r="E7" s="29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29" t="str">
        <f>IFERROR(IF(SUMIFS(tblDaily[TransfersIn],tblDaily[EntryDate],DATE(2026,1,1),tblDaily[WardCode],"FAE")=0,"",SUMIFS(tblDaily[TransfersIn],tblDaily[EntryDate],DATE(2026,1,1),tblDaily[WardCode],"FAE")),"")</f>
        <v/>
      </c>
      <c r="G7" s="29">
        <f>IFERROR(IF(SUMIFS(tblDaily[TransfersOut],tblDaily[EntryDate],DATE(2026,1,1),tblDaily[WardCode],"FAE")=0,"",SUMIFS(tblDaily[TransfersOut],tblDaily[EntryDate],DATE(2026,1,1),tblDaily[WardCode],"FAE")),"")</f>
        <v>1</v>
      </c>
      <c r="H7" s="29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29">
        <v>2</v>
      </c>
      <c r="B8" s="29">
        <f>IFERROR(IF(SUMIFS(tblDaily[Admissions],tblDaily[EntryDate],DATE(2026,1,2),tblDaily[WardCode],"FAE")=0,"",SUMIFS(tblDaily[Admissions],tblDaily[EntryDate],DATE(2026,1,2),tblDaily[WardCode],"FAE")),"")</f>
        <v>1</v>
      </c>
      <c r="C8" s="29" t="str">
        <f>IFERROR(IF(SUMIFS(tblDaily[Discharges],tblDaily[EntryDate],DATE(2026,1,2),tblDaily[WardCode],"FAE")=0,"",SUMIFS(tblDaily[Discharges],tblDaily[EntryDate],DATE(2026,1,2),tblDaily[WardCode],"FAE")),"")</f>
        <v/>
      </c>
      <c r="D8" s="29" t="str">
        <f>IFERROR(IF(SUMIFS(tblDaily[Deaths],tblDaily[EntryDate],DATE(2026,1,2),tblDaily[WardCode],"FAE")=0,"",SUMIFS(tblDaily[Deaths],tblDaily[EntryDate],DATE(2026,1,2),tblDaily[WardCode],"FAE")),"")</f>
        <v/>
      </c>
      <c r="E8" s="29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29" t="str">
        <f>IFERROR(IF(SUMIFS(tblDaily[TransfersIn],tblDaily[EntryDate],DATE(2026,1,2),tblDaily[WardCode],"FAE")=0,"",SUMIFS(tblDaily[TransfersIn],tblDaily[EntryDate],DATE(2026,1,2),tblDaily[WardCode],"FAE")),"")</f>
        <v/>
      </c>
      <c r="G8" s="29" t="str">
        <f>IFERROR(IF(SUMIFS(tblDaily[TransfersOut],tblDaily[EntryDate],DATE(2026,1,2),tblDaily[WardCode],"FAE")=0,"",SUMIFS(tblDaily[TransfersOut],tblDaily[EntryDate],DATE(2026,1,2),tblDaily[WardCode],"FAE")),"")</f>
        <v/>
      </c>
      <c r="H8" s="29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29">
        <v>3</v>
      </c>
      <c r="B9" s="29" t="str">
        <f>IFERROR(IF(SUMIFS(tblDaily[Admissions],tblDaily[EntryDate],DATE(2026,1,3),tblDaily[WardCode],"FAE")=0,"",SUMIFS(tblDaily[Admissions],tblDaily[EntryDate],DATE(2026,1,3),tblDaily[WardCode],"FAE")),"")</f>
        <v/>
      </c>
      <c r="C9" s="29" t="str">
        <f>IFERROR(IF(SUMIFS(tblDaily[Discharges],tblDaily[EntryDate],DATE(2026,1,3),tblDaily[WardCode],"FAE")=0,"",SUMIFS(tblDaily[Discharges],tblDaily[EntryDate],DATE(2026,1,3),tblDaily[WardCode],"FAE")),"")</f>
        <v/>
      </c>
      <c r="D9" s="29" t="str">
        <f>IFERROR(IF(SUMIFS(tblDaily[Deaths],tblDaily[EntryDate],DATE(2026,1,3),tblDaily[WardCode],"FAE")=0,"",SUMIFS(tblDaily[Deaths],tblDaily[EntryDate],DATE(2026,1,3),tblDaily[WardCode],"FAE")),"")</f>
        <v/>
      </c>
      <c r="E9" s="29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29" t="str">
        <f>IFERROR(IF(SUMIFS(tblDaily[TransfersIn],tblDaily[EntryDate],DATE(2026,1,3),tblDaily[WardCode],"FAE")=0,"",SUMIFS(tblDaily[TransfersIn],tblDaily[EntryDate],DATE(2026,1,3),tblDaily[WardCode],"FAE")),"")</f>
        <v/>
      </c>
      <c r="G9" s="29">
        <f>IFERROR(IF(SUMIFS(tblDaily[TransfersOut],tblDaily[EntryDate],DATE(2026,1,3),tblDaily[WardCode],"FAE")=0,"",SUMIFS(tblDaily[TransfersOut],tblDaily[EntryDate],DATE(2026,1,3),tblDaily[WardCode],"FAE")),"")</f>
        <v>1</v>
      </c>
      <c r="H9" s="29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IFERROR(IF(SUMIFS(tblDaily[Admissions],tblDaily[EntryDate],DATE(2026,1,4),tblDaily[WardCode],"FAE")=0,"",SUMIFS(tblDaily[Admissions],tblDaily[EntryDate],DATE(2026,1,4),tblDaily[WardCode],"FAE")),"")</f>
        <v/>
      </c>
      <c r="C10" s="29" t="str">
        <f>IFERROR(IF(SUMIFS(tblDaily[Discharges],tblDaily[EntryDate],DATE(2026,1,4),tblDaily[WardCode],"FAE")=0,"",SUMIFS(tblDaily[Discharges],tblDaily[EntryDate],DATE(2026,1,4),tblDaily[WardCode],"FAE")),"")</f>
        <v/>
      </c>
      <c r="D10" s="29" t="str">
        <f>IFERROR(IF(SUMIFS(tblDaily[Deaths],tblDaily[EntryDate],DATE(2026,1,4),tblDaily[WardCode],"FAE")=0,"",SUMIFS(tblDaily[Deaths],tblDaily[EntryDate],DATE(2026,1,4),tblDaily[WardCode],"FAE")),"")</f>
        <v/>
      </c>
      <c r="E10" s="29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29" t="str">
        <f>IFERROR(IF(SUMIFS(tblDaily[TransfersIn],tblDaily[EntryDate],DATE(2026,1,4),tblDaily[WardCode],"FAE")=0,"",SUMIFS(tblDaily[TransfersIn],tblDaily[EntryDate],DATE(2026,1,4),tblDaily[WardCode],"FAE")),"")</f>
        <v/>
      </c>
      <c r="G10" s="29" t="str">
        <f>IFERROR(IF(SUMIFS(tblDaily[TransfersOut],tblDaily[EntryDate],DATE(2026,1,4),tblDaily[WardCode],"FAE")=0,"",SUMIFS(tblDaily[TransfersOut],tblDaily[EntryDate],DATE(2026,1,4),tblDaily[WardCode],"FAE")),"")</f>
        <v/>
      </c>
      <c r="H10" s="29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29">
        <v>5</v>
      </c>
      <c r="B11" s="29">
        <f>IFERROR(IF(SUMIFS(tblDaily[Admissions],tblDaily[EntryDate],DATE(2026,1,5),tblDaily[WardCode],"FAE")=0,"",SUMIFS(tblDaily[Admissions],tblDaily[EntryDate],DATE(2026,1,5),tblDaily[WardCode],"FAE")),"")</f>
        <v>4</v>
      </c>
      <c r="C11" s="29" t="str">
        <f>IFERROR(IF(SUMIFS(tblDaily[Discharges],tblDaily[EntryDate],DATE(2026,1,5),tblDaily[WardCode],"FAE")=0,"",SUMIFS(tblDaily[Discharges],tblDaily[EntryDate],DATE(2026,1,5),tblDaily[WardCode],"FAE")),"")</f>
        <v/>
      </c>
      <c r="D11" s="29" t="str">
        <f>IFERROR(IF(SUMIFS(tblDaily[Deaths],tblDaily[EntryDate],DATE(2026,1,5),tblDaily[WardCode],"FAE")=0,"",SUMIFS(tblDaily[Deaths],tblDaily[EntryDate],DATE(2026,1,5),tblDaily[WardCode],"FAE")),"")</f>
        <v/>
      </c>
      <c r="E11" s="29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29" t="str">
        <f>IFERROR(IF(SUMIFS(tblDaily[TransfersIn],tblDaily[EntryDate],DATE(2026,1,5),tblDaily[WardCode],"FAE")=0,"",SUMIFS(tblDaily[TransfersIn],tblDaily[EntryDate],DATE(2026,1,5),tblDaily[WardCode],"FAE")),"")</f>
        <v/>
      </c>
      <c r="G11" s="29">
        <f>IFERROR(IF(SUMIFS(tblDaily[TransfersOut],tblDaily[EntryDate],DATE(2026,1,5),tblDaily[WardCode],"FAE")=0,"",SUMIFS(tblDaily[TransfersOut],tblDaily[EntryDate],DATE(2026,1,5),tblDaily[WardCode],"FAE")),"")</f>
        <v>3</v>
      </c>
      <c r="H11" s="29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29">
        <v>6</v>
      </c>
      <c r="B12" s="29">
        <f>IFERROR(IF(SUMIFS(tblDaily[Admissions],tblDaily[EntryDate],DATE(2026,1,6),tblDaily[WardCode],"FAE")=0,"",SUMIFS(tblDaily[Admissions],tblDaily[EntryDate],DATE(2026,1,6),tblDaily[WardCode],"FAE")),"")</f>
        <v>1</v>
      </c>
      <c r="C12" s="29" t="str">
        <f>IFERROR(IF(SUMIFS(tblDaily[Discharges],tblDaily[EntryDate],DATE(2026,1,6),tblDaily[WardCode],"FAE")=0,"",SUMIFS(tblDaily[Discharges],tblDaily[EntryDate],DATE(2026,1,6),tblDaily[WardCode],"FAE")),"")</f>
        <v/>
      </c>
      <c r="D12" s="29" t="str">
        <f>IFERROR(IF(SUMIFS(tblDaily[Deaths],tblDaily[EntryDate],DATE(2026,1,6),tblDaily[WardCode],"FAE")=0,"",SUMIFS(tblDaily[Deaths],tblDaily[EntryDate],DATE(2026,1,6),tblDaily[WardCode],"FAE")),"")</f>
        <v/>
      </c>
      <c r="E12" s="29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29" t="str">
        <f>IFERROR(IF(SUMIFS(tblDaily[TransfersIn],tblDaily[EntryDate],DATE(2026,1,6),tblDaily[WardCode],"FAE")=0,"",SUMIFS(tblDaily[TransfersIn],tblDaily[EntryDate],DATE(2026,1,6),tblDaily[WardCode],"FAE")),"")</f>
        <v/>
      </c>
      <c r="G12" s="29" t="str">
        <f>IFERROR(IF(SUMIFS(tblDaily[TransfersOut],tblDaily[EntryDate],DATE(2026,1,6),tblDaily[WardCode],"FAE")=0,"",SUMIFS(tblDaily[TransfersOut],tblDaily[EntryDate],DATE(2026,1,6),tblDaily[WardCode],"FAE")),"")</f>
        <v/>
      </c>
      <c r="H12" s="29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29">
        <v>7</v>
      </c>
      <c r="B13" s="29" t="str">
        <f>IFERROR(IF(SUMIFS(tblDaily[Admissions],tblDaily[EntryDate],DATE(2026,1,7),tblDaily[WardCode],"FAE")=0,"",SUMIFS(tblDaily[Admissions],tblDaily[EntryDate],DATE(2026,1,7),tblDaily[WardCode],"FAE")),"")</f>
        <v/>
      </c>
      <c r="C13" s="29" t="str">
        <f>IFERROR(IF(SUMIFS(tblDaily[Discharges],tblDaily[EntryDate],DATE(2026,1,7),tblDaily[WardCode],"FAE")=0,"",SUMIFS(tblDaily[Discharges],tblDaily[EntryDate],DATE(2026,1,7),tblDaily[WardCode],"FAE")),"")</f>
        <v/>
      </c>
      <c r="D13" s="29" t="str">
        <f>IFERROR(IF(SUMIFS(tblDaily[Deaths],tblDaily[EntryDate],DATE(2026,1,7),tblDaily[WardCode],"FAE")=0,"",SUMIFS(tblDaily[Deaths],tblDaily[EntryDate],DATE(2026,1,7),tblDaily[WardCode],"FAE")),"")</f>
        <v/>
      </c>
      <c r="E13" s="29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29" t="str">
        <f>IFERROR(IF(SUMIFS(tblDaily[TransfersIn],tblDaily[EntryDate],DATE(2026,1,7),tblDaily[WardCode],"FAE")=0,"",SUMIFS(tblDaily[TransfersIn],tblDaily[EntryDate],DATE(2026,1,7),tblDaily[WardCode],"FAE")),"")</f>
        <v/>
      </c>
      <c r="G13" s="29" t="str">
        <f>IFERROR(IF(SUMIFS(tblDaily[TransfersOut],tblDaily[EntryDate],DATE(2026,1,7),tblDaily[WardCode],"FAE")=0,"",SUMIFS(tblDaily[TransfersOut],tblDaily[EntryDate],DATE(2026,1,7),tblDaily[WardCode],"FAE")),"")</f>
        <v/>
      </c>
      <c r="H13" s="29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29">
        <v>8</v>
      </c>
      <c r="B14" s="29" t="str">
        <f>IFERROR(IF(SUMIFS(tblDaily[Admissions],tblDaily[EntryDate],DATE(2026,1,8),tblDaily[WardCode],"FAE")=0,"",SUMIFS(tblDaily[Admissions],tblDaily[EntryDate],DATE(2026,1,8),tblDaily[WardCode],"FAE")),"")</f>
        <v/>
      </c>
      <c r="C14" s="29" t="str">
        <f>IFERROR(IF(SUMIFS(tblDaily[Discharges],tblDaily[EntryDate],DATE(2026,1,8),tblDaily[WardCode],"FAE")=0,"",SUMIFS(tblDaily[Discharges],tblDaily[EntryDate],DATE(2026,1,8),tblDaily[WardCode],"FAE")),"")</f>
        <v/>
      </c>
      <c r="D14" s="29" t="str">
        <f>IFERROR(IF(SUMIFS(tblDaily[Deaths],tblDaily[EntryDate],DATE(2026,1,8),tblDaily[WardCode],"FAE")=0,"",SUMIFS(tblDaily[Deaths],tblDaily[EntryDate],DATE(2026,1,8),tblDaily[WardCode],"FAE")),"")</f>
        <v/>
      </c>
      <c r="E14" s="29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29" t="str">
        <f>IFERROR(IF(SUMIFS(tblDaily[TransfersIn],tblDaily[EntryDate],DATE(2026,1,8),tblDaily[WardCode],"FAE")=0,"",SUMIFS(tblDaily[TransfersIn],tblDaily[EntryDate],DATE(2026,1,8),tblDaily[WardCode],"FAE")),"")</f>
        <v/>
      </c>
      <c r="G14" s="29">
        <f>IFERROR(IF(SUMIFS(tblDaily[TransfersOut],tblDaily[EntryDate],DATE(2026,1,8),tblDaily[WardCode],"FAE")=0,"",SUMIFS(tblDaily[TransfersOut],tblDaily[EntryDate],DATE(2026,1,8),tblDaily[WardCode],"FAE")),"")</f>
        <v>2</v>
      </c>
      <c r="H14" s="29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29">
        <v>9</v>
      </c>
      <c r="B15" s="29">
        <f>IFERROR(IF(SUMIFS(tblDaily[Admissions],tblDaily[EntryDate],DATE(2026,1,9),tblDaily[WardCode],"FAE")=0,"",SUMIFS(tblDaily[Admissions],tblDaily[EntryDate],DATE(2026,1,9),tblDaily[WardCode],"FAE")),"")</f>
        <v>1</v>
      </c>
      <c r="C15" s="29" t="str">
        <f>IFERROR(IF(SUMIFS(tblDaily[Discharges],tblDaily[EntryDate],DATE(2026,1,9),tblDaily[WardCode],"FAE")=0,"",SUMIFS(tblDaily[Discharges],tblDaily[EntryDate],DATE(2026,1,9),tblDaily[WardCode],"FAE")),"")</f>
        <v/>
      </c>
      <c r="D15" s="29" t="str">
        <f>IFERROR(IF(SUMIFS(tblDaily[Deaths],tblDaily[EntryDate],DATE(2026,1,9),tblDaily[WardCode],"FAE")=0,"",SUMIFS(tblDaily[Deaths],tblDaily[EntryDate],DATE(2026,1,9),tblDaily[WardCode],"FAE")),"")</f>
        <v/>
      </c>
      <c r="E15" s="29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29" t="str">
        <f>IFERROR(IF(SUMIFS(tblDaily[TransfersIn],tblDaily[EntryDate],DATE(2026,1,9),tblDaily[WardCode],"FAE")=0,"",SUMIFS(tblDaily[TransfersIn],tblDaily[EntryDate],DATE(2026,1,9),tblDaily[WardCode],"FAE")),"")</f>
        <v/>
      </c>
      <c r="G15" s="29" t="str">
        <f>IFERROR(IF(SUMIFS(tblDaily[TransfersOut],tblDaily[EntryDate],DATE(2026,1,9),tblDaily[WardCode],"FAE")=0,"",SUMIFS(tblDaily[TransfersOut],tblDaily[EntryDate],DATE(2026,1,9),tblDaily[WardCode],"FAE")),"")</f>
        <v/>
      </c>
      <c r="H15" s="29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29">
        <v>10</v>
      </c>
      <c r="B16" s="29">
        <f>IFERROR(IF(SUMIFS(tblDaily[Admissions],tblDaily[EntryDate],DATE(2026,1,10),tblDaily[WardCode],"FAE")=0,"",SUMIFS(tblDaily[Admissions],tblDaily[EntryDate],DATE(2026,1,10),tblDaily[WardCode],"FAE")),"")</f>
        <v>3</v>
      </c>
      <c r="C16" s="29" t="str">
        <f>IFERROR(IF(SUMIFS(tblDaily[Discharges],tblDaily[EntryDate],DATE(2026,1,10),tblDaily[WardCode],"FAE")=0,"",SUMIFS(tblDaily[Discharges],tblDaily[EntryDate],DATE(2026,1,10),tblDaily[WardCode],"FAE")),"")</f>
        <v/>
      </c>
      <c r="D16" s="29" t="str">
        <f>IFERROR(IF(SUMIFS(tblDaily[Deaths],tblDaily[EntryDate],DATE(2026,1,10),tblDaily[WardCode],"FAE")=0,"",SUMIFS(tblDaily[Deaths],tblDaily[EntryDate],DATE(2026,1,10),tblDaily[WardCode],"FAE")),"")</f>
        <v/>
      </c>
      <c r="E16" s="29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29" t="str">
        <f>IFERROR(IF(SUMIFS(tblDaily[TransfersIn],tblDaily[EntryDate],DATE(2026,1,10),tblDaily[WardCode],"FAE")=0,"",SUMIFS(tblDaily[TransfersIn],tblDaily[EntryDate],DATE(2026,1,10),tblDaily[WardCode],"FAE")),"")</f>
        <v/>
      </c>
      <c r="G16" s="29" t="str">
        <f>IFERROR(IF(SUMIFS(tblDaily[TransfersOut],tblDaily[EntryDate],DATE(2026,1,10),tblDaily[WardCode],"FAE")=0,"",SUMIFS(tblDaily[TransfersOut],tblDaily[EntryDate],DATE(2026,1,10),tblDaily[WardCode],"FAE")),"")</f>
        <v/>
      </c>
      <c r="H16" s="29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29">
        <v>11</v>
      </c>
      <c r="B17" s="29" t="str">
        <f>IFERROR(IF(SUMIFS(tblDaily[Admissions],tblDaily[EntryDate],DATE(2026,1,11),tblDaily[WardCode],"FAE")=0,"",SUMIFS(tblDaily[Admissions],tblDaily[EntryDate],DATE(2026,1,11),tblDaily[WardCode],"FAE")),"")</f>
        <v/>
      </c>
      <c r="C17" s="29">
        <f>IFERROR(IF(SUMIFS(tblDaily[Discharges],tblDaily[EntryDate],DATE(2026,1,11),tblDaily[WardCode],"FAE")=0,"",SUMIFS(tblDaily[Discharges],tblDaily[EntryDate],DATE(2026,1,11),tblDaily[WardCode],"FAE")),"")</f>
        <v>1</v>
      </c>
      <c r="D17" s="29" t="str">
        <f>IFERROR(IF(SUMIFS(tblDaily[Deaths],tblDaily[EntryDate],DATE(2026,1,11),tblDaily[WardCode],"FAE")=0,"",SUMIFS(tblDaily[Deaths],tblDaily[EntryDate],DATE(2026,1,11),tblDaily[WardCode],"FAE")),"")</f>
        <v/>
      </c>
      <c r="E17" s="29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29" t="str">
        <f>IFERROR(IF(SUMIFS(tblDaily[TransfersIn],tblDaily[EntryDate],DATE(2026,1,11),tblDaily[WardCode],"FAE")=0,"",SUMIFS(tblDaily[TransfersIn],tblDaily[EntryDate],DATE(2026,1,11),tblDaily[WardCode],"FAE")),"")</f>
        <v/>
      </c>
      <c r="G17" s="29">
        <f>IFERROR(IF(SUMIFS(tblDaily[TransfersOut],tblDaily[EntryDate],DATE(2026,1,11),tblDaily[WardCode],"FAE")=0,"",SUMIFS(tblDaily[TransfersOut],tblDaily[EntryDate],DATE(2026,1,11),tblDaily[WardCode],"FAE")),"")</f>
        <v>1</v>
      </c>
      <c r="H17" s="29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29">
        <v>12</v>
      </c>
      <c r="B18" s="29" t="str">
        <f>IFERROR(IF(SUMIFS(tblDaily[Admissions],tblDaily[EntryDate],DATE(2026,1,12),tblDaily[WardCode],"FAE")=0,"",SUMIFS(tblDaily[Admissions],tblDaily[EntryDate],DATE(2026,1,12),tblDaily[WardCode],"FAE")),"")</f>
        <v/>
      </c>
      <c r="C18" s="29">
        <f>IFERROR(IF(SUMIFS(tblDaily[Discharges],tblDaily[EntryDate],DATE(2026,1,12),tblDaily[WardCode],"FAE")=0,"",SUMIFS(tblDaily[Discharges],tblDaily[EntryDate],DATE(2026,1,12),tblDaily[WardCode],"FAE")),"")</f>
        <v>2</v>
      </c>
      <c r="D18" s="29" t="str">
        <f>IFERROR(IF(SUMIFS(tblDaily[Deaths],tblDaily[EntryDate],DATE(2026,1,12),tblDaily[WardCode],"FAE")=0,"",SUMIFS(tblDaily[Deaths],tblDaily[EntryDate],DATE(2026,1,12),tblDaily[WardCode],"FAE")),"")</f>
        <v/>
      </c>
      <c r="E18" s="29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29" t="str">
        <f>IFERROR(IF(SUMIFS(tblDaily[TransfersIn],tblDaily[EntryDate],DATE(2026,1,12),tblDaily[WardCode],"FAE")=0,"",SUMIFS(tblDaily[TransfersIn],tblDaily[EntryDate],DATE(2026,1,12),tblDaily[WardCode],"FAE")),"")</f>
        <v/>
      </c>
      <c r="G18" s="29" t="str">
        <f>IFERROR(IF(SUMIFS(tblDaily[TransfersOut],tblDaily[EntryDate],DATE(2026,1,12),tblDaily[WardCode],"FAE")=0,"",SUMIFS(tblDaily[TransfersOut],tblDaily[EntryDate],DATE(2026,1,12),tblDaily[WardCode],"FAE")),"")</f>
        <v/>
      </c>
      <c r="H18" s="29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29">
        <v>13</v>
      </c>
      <c r="B19" s="29">
        <f>IFERROR(IF(SUMIFS(tblDaily[Admissions],tblDaily[EntryDate],DATE(2026,1,13),tblDaily[WardCode],"FAE")=0,"",SUMIFS(tblDaily[Admissions],tblDaily[EntryDate],DATE(2026,1,13),tblDaily[WardCode],"FAE")),"")</f>
        <v>1</v>
      </c>
      <c r="C19" s="29" t="str">
        <f>IFERROR(IF(SUMIFS(tblDaily[Discharges],tblDaily[EntryDate],DATE(2026,1,13),tblDaily[WardCode],"FAE")=0,"",SUMIFS(tblDaily[Discharges],tblDaily[EntryDate],DATE(2026,1,13),tblDaily[WardCode],"FAE")),"")</f>
        <v/>
      </c>
      <c r="D19" s="29" t="str">
        <f>IFERROR(IF(SUMIFS(tblDaily[Deaths],tblDaily[EntryDate],DATE(2026,1,13),tblDaily[WardCode],"FAE")=0,"",SUMIFS(tblDaily[Deaths],tblDaily[EntryDate],DATE(2026,1,13),tblDaily[WardCode],"FAE")),"")</f>
        <v/>
      </c>
      <c r="E19" s="29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29" t="str">
        <f>IFERROR(IF(SUMIFS(tblDaily[TransfersIn],tblDaily[EntryDate],DATE(2026,1,13),tblDaily[WardCode],"FAE")=0,"",SUMIFS(tblDaily[TransfersIn],tblDaily[EntryDate],DATE(2026,1,13),tblDaily[WardCode],"FAE")),"")</f>
        <v/>
      </c>
      <c r="G19" s="29" t="str">
        <f>IFERROR(IF(SUMIFS(tblDaily[TransfersOut],tblDaily[EntryDate],DATE(2026,1,13),tblDaily[WardCode],"FAE")=0,"",SUMIFS(tblDaily[TransfersOut],tblDaily[EntryDate],DATE(2026,1,13),tblDaily[WardCode],"FAE")),"")</f>
        <v/>
      </c>
      <c r="H19" s="29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29">
        <v>14</v>
      </c>
      <c r="B20" s="29">
        <f>IFERROR(IF(SUMIFS(tblDaily[Admissions],tblDaily[EntryDate],DATE(2026,1,14),tblDaily[WardCode],"FAE")=0,"",SUMIFS(tblDaily[Admissions],tblDaily[EntryDate],DATE(2026,1,14),tblDaily[WardCode],"FAE")),"")</f>
        <v>4</v>
      </c>
      <c r="C20" s="29">
        <f>IFERROR(IF(SUMIFS(tblDaily[Discharges],tblDaily[EntryDate],DATE(2026,1,14),tblDaily[WardCode],"FAE")=0,"",SUMIFS(tblDaily[Discharges],tblDaily[EntryDate],DATE(2026,1,14),tblDaily[WardCode],"FAE")),"")</f>
        <v>2</v>
      </c>
      <c r="D20" s="29" t="str">
        <f>IFERROR(IF(SUMIFS(tblDaily[Deaths],tblDaily[EntryDate],DATE(2026,1,14),tblDaily[WardCode],"FAE")=0,"",SUMIFS(tblDaily[Deaths],tblDaily[EntryDate],DATE(2026,1,14),tblDaily[WardCode],"FAE")),"")</f>
        <v/>
      </c>
      <c r="E20" s="29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29" t="str">
        <f>IFERROR(IF(SUMIFS(tblDaily[TransfersIn],tblDaily[EntryDate],DATE(2026,1,14),tblDaily[WardCode],"FAE")=0,"",SUMIFS(tblDaily[TransfersIn],tblDaily[EntryDate],DATE(2026,1,14),tblDaily[WardCode],"FAE")),"")</f>
        <v/>
      </c>
      <c r="G20" s="29">
        <f>IFERROR(IF(SUMIFS(tblDaily[TransfersOut],tblDaily[EntryDate],DATE(2026,1,14),tblDaily[WardCode],"FAE")=0,"",SUMIFS(tblDaily[TransfersOut],tblDaily[EntryDate],DATE(2026,1,14),tblDaily[WardCode],"FAE")),"")</f>
        <v>1</v>
      </c>
      <c r="H20" s="29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29">
        <v>15</v>
      </c>
      <c r="B21" s="29">
        <f>IFERROR(IF(SUMIFS(tblDaily[Admissions],tblDaily[EntryDate],DATE(2026,1,15),tblDaily[WardCode],"FAE")=0,"",SUMIFS(tblDaily[Admissions],tblDaily[EntryDate],DATE(2026,1,15),tblDaily[WardCode],"FAE")),"")</f>
        <v>3</v>
      </c>
      <c r="C21" s="29">
        <f>IFERROR(IF(SUMIFS(tblDaily[Discharges],tblDaily[EntryDate],DATE(2026,1,15),tblDaily[WardCode],"FAE")=0,"",SUMIFS(tblDaily[Discharges],tblDaily[EntryDate],DATE(2026,1,15),tblDaily[WardCode],"FAE")),"")</f>
        <v>2</v>
      </c>
      <c r="D21" s="29" t="str">
        <f>IFERROR(IF(SUMIFS(tblDaily[Deaths],tblDaily[EntryDate],DATE(2026,1,15),tblDaily[WardCode],"FAE")=0,"",SUMIFS(tblDaily[Deaths],tblDaily[EntryDate],DATE(2026,1,15),tblDaily[WardCode],"FAE")),"")</f>
        <v/>
      </c>
      <c r="E21" s="29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29" t="str">
        <f>IFERROR(IF(SUMIFS(tblDaily[TransfersIn],tblDaily[EntryDate],DATE(2026,1,15),tblDaily[WardCode],"FAE")=0,"",SUMIFS(tblDaily[TransfersIn],tblDaily[EntryDate],DATE(2026,1,15),tblDaily[WardCode],"FAE")),"")</f>
        <v/>
      </c>
      <c r="G21" s="29">
        <f>IFERROR(IF(SUMIFS(tblDaily[TransfersOut],tblDaily[EntryDate],DATE(2026,1,15),tblDaily[WardCode],"FAE")=0,"",SUMIFS(tblDaily[TransfersOut],tblDaily[EntryDate],DATE(2026,1,15),tblDaily[WardCode],"FAE")),"")</f>
        <v>2</v>
      </c>
      <c r="H21" s="29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29">
        <v>16</v>
      </c>
      <c r="B22" s="29">
        <f>IFERROR(IF(SUMIFS(tblDaily[Admissions],tblDaily[EntryDate],DATE(2026,1,16),tblDaily[WardCode],"FAE")=0,"",SUMIFS(tblDaily[Admissions],tblDaily[EntryDate],DATE(2026,1,16),tblDaily[WardCode],"FAE")),"")</f>
        <v>1</v>
      </c>
      <c r="C22" s="29" t="str">
        <f>IFERROR(IF(SUMIFS(tblDaily[Discharges],tblDaily[EntryDate],DATE(2026,1,16),tblDaily[WardCode],"FAE")=0,"",SUMIFS(tblDaily[Discharges],tblDaily[EntryDate],DATE(2026,1,16),tblDaily[WardCode],"FAE")),"")</f>
        <v/>
      </c>
      <c r="D22" s="29" t="str">
        <f>IFERROR(IF(SUMIFS(tblDaily[Deaths],tblDaily[EntryDate],DATE(2026,1,16),tblDaily[WardCode],"FAE")=0,"",SUMIFS(tblDaily[Deaths],tblDaily[EntryDate],DATE(2026,1,16),tblDaily[WardCode],"FAE")),"")</f>
        <v/>
      </c>
      <c r="E22" s="29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29" t="str">
        <f>IFERROR(IF(SUMIFS(tblDaily[TransfersIn],tblDaily[EntryDate],DATE(2026,1,16),tblDaily[WardCode],"FAE")=0,"",SUMIFS(tblDaily[TransfersIn],tblDaily[EntryDate],DATE(2026,1,16),tblDaily[WardCode],"FAE")),"")</f>
        <v/>
      </c>
      <c r="G22" s="29">
        <f>IFERROR(IF(SUMIFS(tblDaily[TransfersOut],tblDaily[EntryDate],DATE(2026,1,16),tblDaily[WardCode],"FAE")=0,"",SUMIFS(tblDaily[TransfersOut],tblDaily[EntryDate],DATE(2026,1,16),tblDaily[WardCode],"FAE")),"")</f>
        <v>2</v>
      </c>
      <c r="H22" s="29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29">
        <v>17</v>
      </c>
      <c r="B23" s="29">
        <f>IFERROR(IF(SUMIFS(tblDaily[Admissions],tblDaily[EntryDate],DATE(2026,1,17),tblDaily[WardCode],"FAE")=0,"",SUMIFS(tblDaily[Admissions],tblDaily[EntryDate],DATE(2026,1,17),tblDaily[WardCode],"FAE")),"")</f>
        <v>3</v>
      </c>
      <c r="C23" s="29" t="str">
        <f>IFERROR(IF(SUMIFS(tblDaily[Discharges],tblDaily[EntryDate],DATE(2026,1,17),tblDaily[WardCode],"FAE")=0,"",SUMIFS(tblDaily[Discharges],tblDaily[EntryDate],DATE(2026,1,17),tblDaily[WardCode],"FAE")),"")</f>
        <v/>
      </c>
      <c r="D23" s="29" t="str">
        <f>IFERROR(IF(SUMIFS(tblDaily[Deaths],tblDaily[EntryDate],DATE(2026,1,17),tblDaily[WardCode],"FAE")=0,"",SUMIFS(tblDaily[Deaths],tblDaily[EntryDate],DATE(2026,1,17),tblDaily[WardCode],"FAE")),"")</f>
        <v/>
      </c>
      <c r="E23" s="29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29" t="str">
        <f>IFERROR(IF(SUMIFS(tblDaily[TransfersIn],tblDaily[EntryDate],DATE(2026,1,17),tblDaily[WardCode],"FAE")=0,"",SUMIFS(tblDaily[TransfersIn],tblDaily[EntryDate],DATE(2026,1,17),tblDaily[WardCode],"FAE")),"")</f>
        <v/>
      </c>
      <c r="G23" s="29">
        <f>IFERROR(IF(SUMIFS(tblDaily[TransfersOut],tblDaily[EntryDate],DATE(2026,1,17),tblDaily[WardCode],"FAE")=0,"",SUMIFS(tblDaily[TransfersOut],tblDaily[EntryDate],DATE(2026,1,17),tblDaily[WardCode],"FAE")),"")</f>
        <v>2</v>
      </c>
      <c r="H23" s="29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29">
        <v>18</v>
      </c>
      <c r="B24" s="29">
        <f>IFERROR(IF(SUMIFS(tblDaily[Admissions],tblDaily[EntryDate],DATE(2026,1,18),tblDaily[WardCode],"FAE")=0,"",SUMIFS(tblDaily[Admissions],tblDaily[EntryDate],DATE(2026,1,18),tblDaily[WardCode],"FAE")),"")</f>
        <v>4</v>
      </c>
      <c r="C24" s="29" t="str">
        <f>IFERROR(IF(SUMIFS(tblDaily[Discharges],tblDaily[EntryDate],DATE(2026,1,18),tblDaily[WardCode],"FAE")=0,"",SUMIFS(tblDaily[Discharges],tblDaily[EntryDate],DATE(2026,1,18),tblDaily[WardCode],"FAE")),"")</f>
        <v/>
      </c>
      <c r="D24" s="29" t="str">
        <f>IFERROR(IF(SUMIFS(tblDaily[Deaths],tblDaily[EntryDate],DATE(2026,1,18),tblDaily[WardCode],"FAE")=0,"",SUMIFS(tblDaily[Deaths],tblDaily[EntryDate],DATE(2026,1,18),tblDaily[WardCode],"FAE")),"")</f>
        <v/>
      </c>
      <c r="E24" s="29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29" t="str">
        <f>IFERROR(IF(SUMIFS(tblDaily[TransfersIn],tblDaily[EntryDate],DATE(2026,1,18),tblDaily[WardCode],"FAE")=0,"",SUMIFS(tblDaily[TransfersIn],tblDaily[EntryDate],DATE(2026,1,18),tblDaily[WardCode],"FAE")),"")</f>
        <v/>
      </c>
      <c r="G24" s="29">
        <f>IFERROR(IF(SUMIFS(tblDaily[TransfersOut],tblDaily[EntryDate],DATE(2026,1,18),tblDaily[WardCode],"FAE")=0,"",SUMIFS(tblDaily[TransfersOut],tblDaily[EntryDate],DATE(2026,1,18),tblDaily[WardCode],"FAE")),"")</f>
        <v>1</v>
      </c>
      <c r="H24" s="29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29">
        <v>19</v>
      </c>
      <c r="B25" s="29">
        <f>IFERROR(IF(SUMIFS(tblDaily[Admissions],tblDaily[EntryDate],DATE(2026,1,19),tblDaily[WardCode],"FAE")=0,"",SUMIFS(tblDaily[Admissions],tblDaily[EntryDate],DATE(2026,1,19),tblDaily[WardCode],"FAE")),"")</f>
        <v>1</v>
      </c>
      <c r="C25" s="29">
        <f>IFERROR(IF(SUMIFS(tblDaily[Discharges],tblDaily[EntryDate],DATE(2026,1,19),tblDaily[WardCode],"FAE")=0,"",SUMIFS(tblDaily[Discharges],tblDaily[EntryDate],DATE(2026,1,19),tblDaily[WardCode],"FAE")),"")</f>
        <v>1</v>
      </c>
      <c r="D25" s="29" t="str">
        <f>IFERROR(IF(SUMIFS(tblDaily[Deaths],tblDaily[EntryDate],DATE(2026,1,19),tblDaily[WardCode],"FAE")=0,"",SUMIFS(tblDaily[Deaths],tblDaily[EntryDate],DATE(2026,1,19),tblDaily[WardCode],"FAE")),"")</f>
        <v/>
      </c>
      <c r="E25" s="29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29" t="str">
        <f>IFERROR(IF(SUMIFS(tblDaily[TransfersIn],tblDaily[EntryDate],DATE(2026,1,19),tblDaily[WardCode],"FAE")=0,"",SUMIFS(tblDaily[TransfersIn],tblDaily[EntryDate],DATE(2026,1,19),tblDaily[WardCode],"FAE")),"")</f>
        <v/>
      </c>
      <c r="G25" s="29">
        <f>IFERROR(IF(SUMIFS(tblDaily[TransfersOut],tblDaily[EntryDate],DATE(2026,1,19),tblDaily[WardCode],"FAE")=0,"",SUMIFS(tblDaily[TransfersOut],tblDaily[EntryDate],DATE(2026,1,19),tblDaily[WardCode],"FAE")),"")</f>
        <v>1</v>
      </c>
      <c r="H25" s="29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29">
        <v>20</v>
      </c>
      <c r="B26" s="29">
        <f>IFERROR(IF(SUMIFS(tblDaily[Admissions],tblDaily[EntryDate],DATE(2026,1,20),tblDaily[WardCode],"FAE")=0,"",SUMIFS(tblDaily[Admissions],tblDaily[EntryDate],DATE(2026,1,20),tblDaily[WardCode],"FAE")),"")</f>
        <v>1</v>
      </c>
      <c r="C26" s="29" t="str">
        <f>IFERROR(IF(SUMIFS(tblDaily[Discharges],tblDaily[EntryDate],DATE(2026,1,20),tblDaily[WardCode],"FAE")=0,"",SUMIFS(tblDaily[Discharges],tblDaily[EntryDate],DATE(2026,1,20),tblDaily[WardCode],"FAE")),"")</f>
        <v/>
      </c>
      <c r="D26" s="29" t="str">
        <f>IFERROR(IF(SUMIFS(tblDaily[Deaths],tblDaily[EntryDate],DATE(2026,1,20),tblDaily[WardCode],"FAE")=0,"",SUMIFS(tblDaily[Deaths],tblDaily[EntryDate],DATE(2026,1,20),tblDaily[WardCode],"FAE")),"")</f>
        <v/>
      </c>
      <c r="E26" s="29">
        <f>IFERROR(IF(SUMIFS(tblDaily[DeathsUnder24Hrs],tblDaily[EntryDate],DATE(2026,1,20),tblDaily[WardCode],"FAE")=0,"",SUMIFS(tblDaily[DeathsUnder24Hrs],tblDaily[EntryDate],DATE(2026,1,20),tblDaily[WardCode],"FAE")),"")</f>
        <v>1</v>
      </c>
      <c r="F26" s="29" t="str">
        <f>IFERROR(IF(SUMIFS(tblDaily[TransfersIn],tblDaily[EntryDate],DATE(2026,1,20),tblDaily[WardCode],"FAE")=0,"",SUMIFS(tblDaily[TransfersIn],tblDaily[EntryDate],DATE(2026,1,20),tblDaily[WardCode],"FAE")),"")</f>
        <v/>
      </c>
      <c r="G26" s="29" t="str">
        <f>IFERROR(IF(SUMIFS(tblDaily[TransfersOut],tblDaily[EntryDate],DATE(2026,1,20),tblDaily[WardCode],"FAE")=0,"",SUMIFS(tblDaily[TransfersOut],tblDaily[EntryDate],DATE(2026,1,20),tblDaily[WardCode],"FAE")),"")</f>
        <v/>
      </c>
      <c r="H26" s="29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29">
        <v>21</v>
      </c>
      <c r="B27" s="29">
        <f>IFERROR(IF(SUMIFS(tblDaily[Admissions],tblDaily[EntryDate],DATE(2026,1,21),tblDaily[WardCode],"FAE")=0,"",SUMIFS(tblDaily[Admissions],tblDaily[EntryDate],DATE(2026,1,21),tblDaily[WardCode],"FAE")),"")</f>
        <v>1</v>
      </c>
      <c r="C27" s="29" t="str">
        <f>IFERROR(IF(SUMIFS(tblDaily[Discharges],tblDaily[EntryDate],DATE(2026,1,21),tblDaily[WardCode],"FAE")=0,"",SUMIFS(tblDaily[Discharges],tblDaily[EntryDate],DATE(2026,1,21),tblDaily[WardCode],"FAE")),"")</f>
        <v/>
      </c>
      <c r="D27" s="29" t="str">
        <f>IFERROR(IF(SUMIFS(tblDaily[Deaths],tblDaily[EntryDate],DATE(2026,1,21),tblDaily[WardCode],"FAE")=0,"",SUMIFS(tblDaily[Deaths],tblDaily[EntryDate],DATE(2026,1,21),tblDaily[WardCode],"FAE")),"")</f>
        <v/>
      </c>
      <c r="E27" s="29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29" t="str">
        <f>IFERROR(IF(SUMIFS(tblDaily[TransfersIn],tblDaily[EntryDate],DATE(2026,1,21),tblDaily[WardCode],"FAE")=0,"",SUMIFS(tblDaily[TransfersIn],tblDaily[EntryDate],DATE(2026,1,21),tblDaily[WardCode],"FAE")),"")</f>
        <v/>
      </c>
      <c r="G27" s="29">
        <f>IFERROR(IF(SUMIFS(tblDaily[TransfersOut],tblDaily[EntryDate],DATE(2026,1,21),tblDaily[WardCode],"FAE")=0,"",SUMIFS(tblDaily[TransfersOut],tblDaily[EntryDate],DATE(2026,1,21),tblDaily[WardCode],"FAE")),"")</f>
        <v>1</v>
      </c>
      <c r="H27" s="29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29">
        <v>22</v>
      </c>
      <c r="B28" s="29">
        <f>IFERROR(IF(SUMIFS(tblDaily[Admissions],tblDaily[EntryDate],DATE(2026,1,22),tblDaily[WardCode],"FAE")=0,"",SUMIFS(tblDaily[Admissions],tblDaily[EntryDate],DATE(2026,1,22),tblDaily[WardCode],"FAE")),"")</f>
        <v>2</v>
      </c>
      <c r="C28" s="29" t="str">
        <f>IFERROR(IF(SUMIFS(tblDaily[Discharges],tblDaily[EntryDate],DATE(2026,1,22),tblDaily[WardCode],"FAE")=0,"",SUMIFS(tblDaily[Discharges],tblDaily[EntryDate],DATE(2026,1,22),tblDaily[WardCode],"FAE")),"")</f>
        <v/>
      </c>
      <c r="D28" s="29" t="str">
        <f>IFERROR(IF(SUMIFS(tblDaily[Deaths],tblDaily[EntryDate],DATE(2026,1,22),tblDaily[WardCode],"FAE")=0,"",SUMIFS(tblDaily[Deaths],tblDaily[EntryDate],DATE(2026,1,22),tblDaily[WardCode],"FAE")),"")</f>
        <v/>
      </c>
      <c r="E28" s="29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29" t="str">
        <f>IFERROR(IF(SUMIFS(tblDaily[TransfersIn],tblDaily[EntryDate],DATE(2026,1,22),tblDaily[WardCode],"FAE")=0,"",SUMIFS(tblDaily[TransfersIn],tblDaily[EntryDate],DATE(2026,1,22),tblDaily[WardCode],"FAE")),"")</f>
        <v/>
      </c>
      <c r="G28" s="29">
        <f>IFERROR(IF(SUMIFS(tblDaily[TransfersOut],tblDaily[EntryDate],DATE(2026,1,22),tblDaily[WardCode],"FAE")=0,"",SUMIFS(tblDaily[TransfersOut],tblDaily[EntryDate],DATE(2026,1,22),tblDaily[WardCode],"FAE")),"")</f>
        <v>2</v>
      </c>
      <c r="H28" s="29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29">
        <v>23</v>
      </c>
      <c r="B29" s="29">
        <f>IFERROR(IF(SUMIFS(tblDaily[Admissions],tblDaily[EntryDate],DATE(2026,1,23),tblDaily[WardCode],"FAE")=0,"",SUMIFS(tblDaily[Admissions],tblDaily[EntryDate],DATE(2026,1,23),tblDaily[WardCode],"FAE")),"")</f>
        <v>1</v>
      </c>
      <c r="C29" s="29">
        <f>IFERROR(IF(SUMIFS(tblDaily[Discharges],tblDaily[EntryDate],DATE(2026,1,23),tblDaily[WardCode],"FAE")=0,"",SUMIFS(tblDaily[Discharges],tblDaily[EntryDate],DATE(2026,1,23),tblDaily[WardCode],"FAE")),"")</f>
        <v>2</v>
      </c>
      <c r="D29" s="29" t="str">
        <f>IFERROR(IF(SUMIFS(tblDaily[Deaths],tblDaily[EntryDate],DATE(2026,1,23),tblDaily[WardCode],"FAE")=0,"",SUMIFS(tblDaily[Deaths],tblDaily[EntryDate],DATE(2026,1,23),tblDaily[WardCode],"FAE")),"")</f>
        <v/>
      </c>
      <c r="E29" s="29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29" t="str">
        <f>IFERROR(IF(SUMIFS(tblDaily[TransfersIn],tblDaily[EntryDate],DATE(2026,1,23),tblDaily[WardCode],"FAE")=0,"",SUMIFS(tblDaily[TransfersIn],tblDaily[EntryDate],DATE(2026,1,23),tblDaily[WardCode],"FAE")),"")</f>
        <v/>
      </c>
      <c r="G29" s="29" t="str">
        <f>IFERROR(IF(SUMIFS(tblDaily[TransfersOut],tblDaily[EntryDate],DATE(2026,1,23),tblDaily[WardCode],"FAE")=0,"",SUMIFS(tblDaily[TransfersOut],tblDaily[EntryDate],DATE(2026,1,23),tblDaily[WardCode],"FAE")),"")</f>
        <v/>
      </c>
      <c r="H29" s="29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29">
        <v>24</v>
      </c>
      <c r="B30" s="29" t="str">
        <f>IFERROR(IF(SUMIFS(tblDaily[Admissions],tblDaily[EntryDate],DATE(2026,1,24),tblDaily[WardCode],"FAE")=0,"",SUMIFS(tblDaily[Admissions],tblDaily[EntryDate],DATE(2026,1,24),tblDaily[WardCode],"FAE")),"")</f>
        <v/>
      </c>
      <c r="C30" s="29">
        <f>IFERROR(IF(SUMIFS(tblDaily[Discharges],tblDaily[EntryDate],DATE(2026,1,24),tblDaily[WardCode],"FAE")=0,"",SUMIFS(tblDaily[Discharges],tblDaily[EntryDate],DATE(2026,1,24),tblDaily[WardCode],"FAE")),"")</f>
        <v>1</v>
      </c>
      <c r="D30" s="29" t="str">
        <f>IFERROR(IF(SUMIFS(tblDaily[Deaths],tblDaily[EntryDate],DATE(2026,1,24),tblDaily[WardCode],"FAE")=0,"",SUMIFS(tblDaily[Deaths],tblDaily[EntryDate],DATE(2026,1,24),tblDaily[WardCode],"FAE")),"")</f>
        <v/>
      </c>
      <c r="E30" s="29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29" t="str">
        <f>IFERROR(IF(SUMIFS(tblDaily[TransfersIn],tblDaily[EntryDate],DATE(2026,1,24),tblDaily[WardCode],"FAE")=0,"",SUMIFS(tblDaily[TransfersIn],tblDaily[EntryDate],DATE(2026,1,24),tblDaily[WardCode],"FAE")),"")</f>
        <v/>
      </c>
      <c r="G30" s="29">
        <f>IFERROR(IF(SUMIFS(tblDaily[TransfersOut],tblDaily[EntryDate],DATE(2026,1,24),tblDaily[WardCode],"FAE")=0,"",SUMIFS(tblDaily[TransfersOut],tblDaily[EntryDate],DATE(2026,1,24),tblDaily[WardCode],"FAE")),"")</f>
        <v>1</v>
      </c>
      <c r="H30" s="29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29">
        <v>25</v>
      </c>
      <c r="B31" s="29">
        <f>IFERROR(IF(SUMIFS(tblDaily[Admissions],tblDaily[EntryDate],DATE(2026,1,25),tblDaily[WardCode],"FAE")=0,"",SUMIFS(tblDaily[Admissions],tblDaily[EntryDate],DATE(2026,1,25),tblDaily[WardCode],"FAE")),"")</f>
        <v>2</v>
      </c>
      <c r="C31" s="29" t="str">
        <f>IFERROR(IF(SUMIFS(tblDaily[Discharges],tblDaily[EntryDate],DATE(2026,1,25),tblDaily[WardCode],"FAE")=0,"",SUMIFS(tblDaily[Discharges],tblDaily[EntryDate],DATE(2026,1,25),tblDaily[WardCode],"FAE")),"")</f>
        <v/>
      </c>
      <c r="D31" s="29" t="str">
        <f>IFERROR(IF(SUMIFS(tblDaily[Deaths],tblDaily[EntryDate],DATE(2026,1,25),tblDaily[WardCode],"FAE")=0,"",SUMIFS(tblDaily[Deaths],tblDaily[EntryDate],DATE(2026,1,25),tblDaily[WardCode],"FAE")),"")</f>
        <v/>
      </c>
      <c r="E31" s="29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29" t="str">
        <f>IFERROR(IF(SUMIFS(tblDaily[TransfersIn],tblDaily[EntryDate],DATE(2026,1,25),tblDaily[WardCode],"FAE")=0,"",SUMIFS(tblDaily[TransfersIn],tblDaily[EntryDate],DATE(2026,1,25),tblDaily[WardCode],"FAE")),"")</f>
        <v/>
      </c>
      <c r="G31" s="29" t="str">
        <f>IFERROR(IF(SUMIFS(tblDaily[TransfersOut],tblDaily[EntryDate],DATE(2026,1,25),tblDaily[WardCode],"FAE")=0,"",SUMIFS(tblDaily[TransfersOut],tblDaily[EntryDate],DATE(2026,1,25),tblDaily[WardCode],"FAE")),"")</f>
        <v/>
      </c>
      <c r="H31" s="29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29">
        <v>26</v>
      </c>
      <c r="B32" s="29" t="str">
        <f>IFERROR(IF(SUMIFS(tblDaily[Admissions],tblDaily[EntryDate],DATE(2026,1,26),tblDaily[WardCode],"FAE")=0,"",SUMIFS(tblDaily[Admissions],tblDaily[EntryDate],DATE(2026,1,26),tblDaily[WardCode],"FAE")),"")</f>
        <v/>
      </c>
      <c r="C32" s="29" t="str">
        <f>IFERROR(IF(SUMIFS(tblDaily[Discharges],tblDaily[EntryDate],DATE(2026,1,26),tblDaily[WardCode],"FAE")=0,"",SUMIFS(tblDaily[Discharges],tblDaily[EntryDate],DATE(2026,1,26),tblDaily[WardCode],"FAE")),"")</f>
        <v/>
      </c>
      <c r="D32" s="29" t="str">
        <f>IFERROR(IF(SUMIFS(tblDaily[Deaths],tblDaily[EntryDate],DATE(2026,1,26),tblDaily[WardCode],"FAE")=0,"",SUMIFS(tblDaily[Deaths],tblDaily[EntryDate],DATE(2026,1,26),tblDaily[WardCode],"FAE")),"")</f>
        <v/>
      </c>
      <c r="E32" s="29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29" t="str">
        <f>IFERROR(IF(SUMIFS(tblDaily[TransfersIn],tblDaily[EntryDate],DATE(2026,1,26),tblDaily[WardCode],"FAE")=0,"",SUMIFS(tblDaily[TransfersIn],tblDaily[EntryDate],DATE(2026,1,26),tblDaily[WardCode],"FAE")),"")</f>
        <v/>
      </c>
      <c r="G32" s="29">
        <f>IFERROR(IF(SUMIFS(tblDaily[TransfersOut],tblDaily[EntryDate],DATE(2026,1,26),tblDaily[WardCode],"FAE")=0,"",SUMIFS(tblDaily[TransfersOut],tblDaily[EntryDate],DATE(2026,1,26),tblDaily[WardCode],"FAE")),"")</f>
        <v>1</v>
      </c>
      <c r="H32" s="29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29">
        <v>27</v>
      </c>
      <c r="B33" s="29">
        <f>IFERROR(IF(SUMIFS(tblDaily[Admissions],tblDaily[EntryDate],DATE(2026,1,27),tblDaily[WardCode],"FAE")=0,"",SUMIFS(tblDaily[Admissions],tblDaily[EntryDate],DATE(2026,1,27),tblDaily[WardCode],"FAE")),"")</f>
        <v>1</v>
      </c>
      <c r="C33" s="29">
        <f>IFERROR(IF(SUMIFS(tblDaily[Discharges],tblDaily[EntryDate],DATE(2026,1,27),tblDaily[WardCode],"FAE")=0,"",SUMIFS(tblDaily[Discharges],tblDaily[EntryDate],DATE(2026,1,27),tblDaily[WardCode],"FAE")),"")</f>
        <v>1</v>
      </c>
      <c r="D33" s="29" t="str">
        <f>IFERROR(IF(SUMIFS(tblDaily[Deaths],tblDaily[EntryDate],DATE(2026,1,27),tblDaily[WardCode],"FAE")=0,"",SUMIFS(tblDaily[Deaths],tblDaily[EntryDate],DATE(2026,1,27),tblDaily[WardCode],"FAE")),"")</f>
        <v/>
      </c>
      <c r="E33" s="29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29" t="str">
        <f>IFERROR(IF(SUMIFS(tblDaily[TransfersIn],tblDaily[EntryDate],DATE(2026,1,27),tblDaily[WardCode],"FAE")=0,"",SUMIFS(tblDaily[TransfersIn],tblDaily[EntryDate],DATE(2026,1,27),tblDaily[WardCode],"FAE")),"")</f>
        <v/>
      </c>
      <c r="G33" s="29">
        <f>IFERROR(IF(SUMIFS(tblDaily[TransfersOut],tblDaily[EntryDate],DATE(2026,1,27),tblDaily[WardCode],"FAE")=0,"",SUMIFS(tblDaily[TransfersOut],tblDaily[EntryDate],DATE(2026,1,27),tblDaily[WardCode],"FAE")),"")</f>
        <v>1</v>
      </c>
      <c r="H33" s="29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29">
        <v>28</v>
      </c>
      <c r="B34" s="29">
        <f>IFERROR(IF(SUMIFS(tblDaily[Admissions],tblDaily[EntryDate],DATE(2026,1,28),tblDaily[WardCode],"FAE")=0,"",SUMIFS(tblDaily[Admissions],tblDaily[EntryDate],DATE(2026,1,28),tblDaily[WardCode],"FAE")),"")</f>
        <v>4</v>
      </c>
      <c r="C34" s="29" t="str">
        <f>IFERROR(IF(SUMIFS(tblDaily[Discharges],tblDaily[EntryDate],DATE(2026,1,28),tblDaily[WardCode],"FAE")=0,"",SUMIFS(tblDaily[Discharges],tblDaily[EntryDate],DATE(2026,1,28),tblDaily[WardCode],"FAE")),"")</f>
        <v/>
      </c>
      <c r="D34" s="29" t="str">
        <f>IFERROR(IF(SUMIFS(tblDaily[Deaths],tblDaily[EntryDate],DATE(2026,1,28),tblDaily[WardCode],"FAE")=0,"",SUMIFS(tblDaily[Deaths],tblDaily[EntryDate],DATE(2026,1,28),tblDaily[WardCode],"FAE")),"")</f>
        <v/>
      </c>
      <c r="E34" s="29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29" t="str">
        <f>IFERROR(IF(SUMIFS(tblDaily[TransfersIn],tblDaily[EntryDate],DATE(2026,1,28),tblDaily[WardCode],"FAE")=0,"",SUMIFS(tblDaily[TransfersIn],tblDaily[EntryDate],DATE(2026,1,28),tblDaily[WardCode],"FAE")),"")</f>
        <v/>
      </c>
      <c r="G34" s="29">
        <f>IFERROR(IF(SUMIFS(tblDaily[TransfersOut],tblDaily[EntryDate],DATE(2026,1,28),tblDaily[WardCode],"FAE")=0,"",SUMIFS(tblDaily[TransfersOut],tblDaily[EntryDate],DATE(2026,1,28),tblDaily[WardCode],"FAE")),"")</f>
        <v>1</v>
      </c>
      <c r="H34" s="29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29">
        <v>29</v>
      </c>
      <c r="B35" s="29">
        <f>IFERROR(IF(SUMIFS(tblDaily[Admissions],tblDaily[EntryDate],DATE(2026,1,29),tblDaily[WardCode],"FAE")=0,"",SUMIFS(tblDaily[Admissions],tblDaily[EntryDate],DATE(2026,1,29),tblDaily[WardCode],"FAE")),"")</f>
        <v>2</v>
      </c>
      <c r="C35" s="29" t="str">
        <f>IFERROR(IF(SUMIFS(tblDaily[Discharges],tblDaily[EntryDate],DATE(2026,1,29),tblDaily[WardCode],"FAE")=0,"",SUMIFS(tblDaily[Discharges],tblDaily[EntryDate],DATE(2026,1,29),tblDaily[WardCode],"FAE")),"")</f>
        <v/>
      </c>
      <c r="D35" s="29" t="str">
        <f>IFERROR(IF(SUMIFS(tblDaily[Deaths],tblDaily[EntryDate],DATE(2026,1,29),tblDaily[WardCode],"FAE")=0,"",SUMIFS(tblDaily[Deaths],tblDaily[EntryDate],DATE(2026,1,29),tblDaily[WardCode],"FAE")),"")</f>
        <v/>
      </c>
      <c r="E35" s="29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29" t="str">
        <f>IFERROR(IF(SUMIFS(tblDaily[TransfersIn],tblDaily[EntryDate],DATE(2026,1,29),tblDaily[WardCode],"FAE")=0,"",SUMIFS(tblDaily[TransfersIn],tblDaily[EntryDate],DATE(2026,1,29),tblDaily[WardCode],"FAE")),"")</f>
        <v/>
      </c>
      <c r="G35" s="29">
        <f>IFERROR(IF(SUMIFS(tblDaily[TransfersOut],tblDaily[EntryDate],DATE(2026,1,29),tblDaily[WardCode],"FAE")=0,"",SUMIFS(tblDaily[TransfersOut],tblDaily[EntryDate],DATE(2026,1,29),tblDaily[WardCode],"FAE")),"")</f>
        <v>2</v>
      </c>
      <c r="H35" s="29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29">
        <v>30</v>
      </c>
      <c r="B36" s="29">
        <f>IFERROR(IF(SUMIFS(tblDaily[Admissions],tblDaily[EntryDate],DATE(2026,1,30),tblDaily[WardCode],"FAE")=0,"",SUMIFS(tblDaily[Admissions],tblDaily[EntryDate],DATE(2026,1,30),tblDaily[WardCode],"FAE")),"")</f>
        <v>5</v>
      </c>
      <c r="C36" s="29" t="str">
        <f>IFERROR(IF(SUMIFS(tblDaily[Discharges],tblDaily[EntryDate],DATE(2026,1,30),tblDaily[WardCode],"FAE")=0,"",SUMIFS(tblDaily[Discharges],tblDaily[EntryDate],DATE(2026,1,30),tblDaily[WardCode],"FAE")),"")</f>
        <v/>
      </c>
      <c r="D36" s="29" t="str">
        <f>IFERROR(IF(SUMIFS(tblDaily[Deaths],tblDaily[EntryDate],DATE(2026,1,30),tblDaily[WardCode],"FAE")=0,"",SUMIFS(tblDaily[Deaths],tblDaily[EntryDate],DATE(2026,1,30),tblDaily[WardCode],"FAE")),"")</f>
        <v/>
      </c>
      <c r="E36" s="29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29" t="str">
        <f>IFERROR(IF(SUMIFS(tblDaily[TransfersIn],tblDaily[EntryDate],DATE(2026,1,30),tblDaily[WardCode],"FAE")=0,"",SUMIFS(tblDaily[TransfersIn],tblDaily[EntryDate],DATE(2026,1,30),tblDaily[WardCode],"FAE")),"")</f>
        <v/>
      </c>
      <c r="G36" s="29">
        <f>IFERROR(IF(SUMIFS(tblDaily[TransfersOut],tblDaily[EntryDate],DATE(2026,1,30),tblDaily[WardCode],"FAE")=0,"",SUMIFS(tblDaily[TransfersOut],tblDaily[EntryDate],DATE(2026,1,30),tblDaily[WardCode],"FAE")),"")</f>
        <v>2</v>
      </c>
      <c r="H36" s="29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29">
        <v>31</v>
      </c>
      <c r="B37" s="29">
        <f>IFERROR(IF(SUMIFS(tblDaily[Admissions],tblDaily[EntryDate],DATE(2026,1,31),tblDaily[WardCode],"FAE")=0,"",SUMIFS(tblDaily[Admissions],tblDaily[EntryDate],DATE(2026,1,31),tblDaily[WardCode],"FAE")),"")</f>
        <v>1</v>
      </c>
      <c r="C37" s="29">
        <f>IFERROR(IF(SUMIFS(tblDaily[Discharges],tblDaily[EntryDate],DATE(2026,1,31),tblDaily[WardCode],"FAE")=0,"",SUMIFS(tblDaily[Discharges],tblDaily[EntryDate],DATE(2026,1,31),tblDaily[WardCode],"FAE")),"")</f>
        <v>1</v>
      </c>
      <c r="D37" s="29" t="str">
        <f>IFERROR(IF(SUMIFS(tblDaily[Deaths],tblDaily[EntryDate],DATE(2026,1,31),tblDaily[WardCode],"FAE")=0,"",SUMIFS(tblDaily[Deaths],tblDaily[EntryDate],DATE(2026,1,31),tblDaily[WardCode],"FAE")),"")</f>
        <v/>
      </c>
      <c r="E37" s="29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29" t="str">
        <f>IFERROR(IF(SUMIFS(tblDaily[TransfersIn],tblDaily[EntryDate],DATE(2026,1,31),tblDaily[WardCode],"FAE")=0,"",SUMIFS(tblDaily[TransfersIn],tblDaily[EntryDate],DATE(2026,1,31),tblDaily[WardCode],"FAE")),"")</f>
        <v/>
      </c>
      <c r="G37" s="29">
        <f>IFERROR(IF(SUMIFS(tblDaily[TransfersOut],tblDaily[EntryDate],DATE(2026,1,31),tblDaily[WardCode],"FAE")=0,"",SUMIFS(tblDaily[TransfersOut],tblDaily[EntryDate],DATE(2026,1,31),tblDaily[WardCode],"FAE")),"")</f>
        <v>2</v>
      </c>
      <c r="H37" s="29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30" t="s">
        <v>115</v>
      </c>
      <c r="B38" s="30">
        <f>SUMIFS(tblDaily[Admissions],tblDaily[Month],1,tblDaily[WardCode],"FAE") - SUMIFS(tblDaily[DeathsUnder24Hrs],tblDaily[Month],1,tblDaily[WardCode],"FAE")</f>
        <v>46</v>
      </c>
      <c r="C38" s="30">
        <f>SUMIFS(tblDaily[Discharges],tblDaily[Month],1,tblDaily[WardCode],"FAE")</f>
        <v>13</v>
      </c>
      <c r="D38" s="30">
        <f>SUMIFS(tblDaily[Deaths],tblDaily[Month],1,tblDaily[WardCode],"FAE")</f>
        <v>0</v>
      </c>
      <c r="E38" s="30">
        <f>SUMIFS(tblDaily[DeathsUnder24Hrs],tblDaily[Month],1,tblDaily[WardCode],"FAE")</f>
        <v>1</v>
      </c>
      <c r="F38" s="30">
        <f>SUMIFS(tblDaily[TransfersIn],tblDaily[Month],1,tblDaily[WardCode],"FAE")</f>
        <v>0</v>
      </c>
      <c r="G38" s="30">
        <f>SUMIFS(tblDaily[TransfersOut],tblDaily[Month],1,tblDaily[WardCode],"FAE")</f>
        <v>30</v>
      </c>
      <c r="H38" s="30">
        <f>SUMIFS(tblDaily[Remaining],tblDaily[Month],1,tblDaily[WardCode],"FAE")</f>
        <v>55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123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IFERROR(SUMIFS(tblDaily[Remaining],tblDaily[EntryDate],DATE(2026,1,31),tblDaily[WardCode],"FAE"),0)</f>
        <v>4</v>
      </c>
    </row>
    <row r="44" spans="1:8" x14ac:dyDescent="0.25">
      <c r="A44" s="24" t="s">
        <v>109</v>
      </c>
      <c r="H44" s="27">
        <f>IFERROR(INDEX(tblWardConfig[BedComplement],MATCH("FAE",tblWardConfig[WardCode],0)),0)</f>
        <v>10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>
        <f>IFERROR(IF(SUMIFS(tblDaily[Admissions],tblDaily[EntryDate],DATE(2026,2,1),tblDaily[WardCode],"FAE")=0,"",SUMIFS(tblDaily[Admissions],tblDaily[EntryDate],DATE(2026,2,1),tblDaily[WardCode],"FAE")),"")</f>
        <v>2</v>
      </c>
      <c r="C46" s="29">
        <f>IFERROR(IF(SUMIFS(tblDaily[Discharges],tblDaily[EntryDate],DATE(2026,2,1),tblDaily[WardCode],"FAE")=0,"",SUMIFS(tblDaily[Discharges],tblDaily[EntryDate],DATE(2026,2,1),tblDaily[WardCode],"FAE")),"")</f>
        <v>2</v>
      </c>
      <c r="D46" s="29" t="str">
        <f>IFERROR(IF(SUMIFS(tblDaily[Deaths],tblDaily[EntryDate],DATE(2026,2,1),tblDaily[WardCode],"FAE")=0,"",SUMIFS(tblDaily[Deaths],tblDaily[EntryDate],DATE(2026,2,1),tblDaily[WardCode],"FAE")),"")</f>
        <v/>
      </c>
      <c r="E46" s="29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29" t="str">
        <f>IFERROR(IF(SUMIFS(tblDaily[TransfersIn],tblDaily[EntryDate],DATE(2026,2,1),tblDaily[WardCode],"FAE")=0,"",SUMIFS(tblDaily[TransfersIn],tblDaily[EntryDate],DATE(2026,2,1),tblDaily[WardCode],"FAE")),"")</f>
        <v/>
      </c>
      <c r="G46" s="29">
        <f>IFERROR(IF(SUMIFS(tblDaily[TransfersOut],tblDaily[EntryDate],DATE(2026,2,1),tblDaily[WardCode],"FAE")=0,"",SUMIFS(tblDaily[TransfersOut],tblDaily[EntryDate],DATE(2026,2,1),tblDaily[WardCode],"FAE")),"")</f>
        <v>1</v>
      </c>
      <c r="H46" s="29">
        <f>IFERROR(IF(SUMIFS(tblDaily[Remaining],tblDaily[EntryDate],DATE(2026,2,1),tblDaily[WardCode],"FAE")=0,"",SUMIFS(tblDaily[Remaining],tblDaily[EntryDate],DATE(2026,2,1),tblDaily[WardCode],"FAE")),"")</f>
        <v>3</v>
      </c>
    </row>
    <row r="47" spans="1:8" x14ac:dyDescent="0.25">
      <c r="A47" s="29">
        <v>2</v>
      </c>
      <c r="B47" s="29">
        <f>IFERROR(IF(SUMIFS(tblDaily[Admissions],tblDaily[EntryDate],DATE(2026,2,2),tblDaily[WardCode],"FAE")=0,"",SUMIFS(tblDaily[Admissions],tblDaily[EntryDate],DATE(2026,2,2),tblDaily[WardCode],"FAE")),"")</f>
        <v>2</v>
      </c>
      <c r="C47" s="29" t="str">
        <f>IFERROR(IF(SUMIFS(tblDaily[Discharges],tblDaily[EntryDate],DATE(2026,2,2),tblDaily[WardCode],"FAE")=0,"",SUMIFS(tblDaily[Discharges],tblDaily[EntryDate],DATE(2026,2,2),tblDaily[WardCode],"FAE")),"")</f>
        <v/>
      </c>
      <c r="D47" s="29" t="str">
        <f>IFERROR(IF(SUMIFS(tblDaily[Deaths],tblDaily[EntryDate],DATE(2026,2,2),tblDaily[WardCode],"FAE")=0,"",SUMIFS(tblDaily[Deaths],tblDaily[EntryDate],DATE(2026,2,2),tblDaily[WardCode],"FAE")),"")</f>
        <v/>
      </c>
      <c r="E47" s="29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29" t="str">
        <f>IFERROR(IF(SUMIFS(tblDaily[TransfersIn],tblDaily[EntryDate],DATE(2026,2,2),tblDaily[WardCode],"FAE")=0,"",SUMIFS(tblDaily[TransfersIn],tblDaily[EntryDate],DATE(2026,2,2),tblDaily[WardCode],"FAE")),"")</f>
        <v/>
      </c>
      <c r="G47" s="29">
        <f>IFERROR(IF(SUMIFS(tblDaily[TransfersOut],tblDaily[EntryDate],DATE(2026,2,2),tblDaily[WardCode],"FAE")=0,"",SUMIFS(tblDaily[TransfersOut],tblDaily[EntryDate],DATE(2026,2,2),tblDaily[WardCode],"FAE")),"")</f>
        <v>2</v>
      </c>
      <c r="H47" s="29">
        <f>IFERROR(IF(SUMIFS(tblDaily[Remaining],tblDaily[EntryDate],DATE(2026,2,2),tblDaily[WardCode],"FAE")=0,"",SUMIFS(tblDaily[Remaining],tblDaily[EntryDate],DATE(2026,2,2),tblDaily[WardCode],"FAE")),"")</f>
        <v>3</v>
      </c>
    </row>
    <row r="48" spans="1:8" x14ac:dyDescent="0.25">
      <c r="A48" s="29">
        <v>3</v>
      </c>
      <c r="B48" s="29">
        <f>IFERROR(IF(SUMIFS(tblDaily[Admissions],tblDaily[EntryDate],DATE(2026,2,3),tblDaily[WardCode],"FAE")=0,"",SUMIFS(tblDaily[Admissions],tblDaily[EntryDate],DATE(2026,2,3),tblDaily[WardCode],"FAE")),"")</f>
        <v>2</v>
      </c>
      <c r="C48" s="29">
        <f>IFERROR(IF(SUMIFS(tblDaily[Discharges],tblDaily[EntryDate],DATE(2026,2,3),tblDaily[WardCode],"FAE")=0,"",SUMIFS(tblDaily[Discharges],tblDaily[EntryDate],DATE(2026,2,3),tblDaily[WardCode],"FAE")),"")</f>
        <v>1</v>
      </c>
      <c r="D48" s="29" t="str">
        <f>IFERROR(IF(SUMIFS(tblDaily[Deaths],tblDaily[EntryDate],DATE(2026,2,3),tblDaily[WardCode],"FAE")=0,"",SUMIFS(tblDaily[Deaths],tblDaily[EntryDate],DATE(2026,2,3),tblDaily[WardCode],"FAE")),"")</f>
        <v/>
      </c>
      <c r="E48" s="29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29" t="str">
        <f>IFERROR(IF(SUMIFS(tblDaily[TransfersIn],tblDaily[EntryDate],DATE(2026,2,3),tblDaily[WardCode],"FAE")=0,"",SUMIFS(tblDaily[TransfersIn],tblDaily[EntryDate],DATE(2026,2,3),tblDaily[WardCode],"FAE")),"")</f>
        <v/>
      </c>
      <c r="G48" s="29">
        <f>IFERROR(IF(SUMIFS(tblDaily[TransfersOut],tblDaily[EntryDate],DATE(2026,2,3),tblDaily[WardCode],"FAE")=0,"",SUMIFS(tblDaily[TransfersOut],tblDaily[EntryDate],DATE(2026,2,3),tblDaily[WardCode],"FAE")),"")</f>
        <v>1</v>
      </c>
      <c r="H48" s="29">
        <f>IFERROR(IF(SUMIFS(tblDaily[Remaining],tblDaily[EntryDate],DATE(2026,2,3),tblDaily[WardCode],"FAE")=0,"",SUMIFS(tblDaily[Remaining],tblDaily[EntryDate],DATE(2026,2,3),tblDaily[WardCode],"FAE")),"")</f>
        <v>3</v>
      </c>
    </row>
    <row r="49" spans="1:8" x14ac:dyDescent="0.25">
      <c r="A49" s="29">
        <v>4</v>
      </c>
      <c r="B49" s="29">
        <f>IFERROR(IF(SUMIFS(tblDaily[Admissions],tblDaily[EntryDate],DATE(2026,2,4),tblDaily[WardCode],"FAE")=0,"",SUMIFS(tblDaily[Admissions],tblDaily[EntryDate],DATE(2026,2,4),tblDaily[WardCode],"FAE")),"")</f>
        <v>4</v>
      </c>
      <c r="C49" s="29">
        <f>IFERROR(IF(SUMIFS(tblDaily[Discharges],tblDaily[EntryDate],DATE(2026,2,4),tblDaily[WardCode],"FAE")=0,"",SUMIFS(tblDaily[Discharges],tblDaily[EntryDate],DATE(2026,2,4),tblDaily[WardCode],"FAE")),"")</f>
        <v>1</v>
      </c>
      <c r="D49" s="29" t="str">
        <f>IFERROR(IF(SUMIFS(tblDaily[Deaths],tblDaily[EntryDate],DATE(2026,2,4),tblDaily[WardCode],"FAE")=0,"",SUMIFS(tblDaily[Deaths],tblDaily[EntryDate],DATE(2026,2,4),tblDaily[WardCode],"FAE")),"")</f>
        <v/>
      </c>
      <c r="E49" s="29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29" t="str">
        <f>IFERROR(IF(SUMIFS(tblDaily[TransfersIn],tblDaily[EntryDate],DATE(2026,2,4),tblDaily[WardCode],"FAE")=0,"",SUMIFS(tblDaily[TransfersIn],tblDaily[EntryDate],DATE(2026,2,4),tblDaily[WardCode],"FAE")),"")</f>
        <v/>
      </c>
      <c r="G49" s="29">
        <f>IFERROR(IF(SUMIFS(tblDaily[TransfersOut],tblDaily[EntryDate],DATE(2026,2,4),tblDaily[WardCode],"FAE")=0,"",SUMIFS(tblDaily[TransfersOut],tblDaily[EntryDate],DATE(2026,2,4),tblDaily[WardCode],"FAE")),"")</f>
        <v>1</v>
      </c>
      <c r="H49" s="29">
        <f>IFERROR(IF(SUMIFS(tblDaily[Remaining],tblDaily[EntryDate],DATE(2026,2,4),tblDaily[WardCode],"FAE")=0,"",SUMIFS(tblDaily[Remaining],tblDaily[EntryDate],DATE(2026,2,4),tblDaily[WardCode],"FAE")),"")</f>
        <v>5</v>
      </c>
    </row>
    <row r="50" spans="1:8" x14ac:dyDescent="0.25">
      <c r="A50" s="29">
        <v>5</v>
      </c>
      <c r="B50" s="29">
        <f>IFERROR(IF(SUMIFS(tblDaily[Admissions],tblDaily[EntryDate],DATE(2026,2,5),tblDaily[WardCode],"FAE")=0,"",SUMIFS(tblDaily[Admissions],tblDaily[EntryDate],DATE(2026,2,5),tblDaily[WardCode],"FAE")),"")</f>
        <v>1</v>
      </c>
      <c r="C50" s="29" t="str">
        <f>IFERROR(IF(SUMIFS(tblDaily[Discharges],tblDaily[EntryDate],DATE(2026,2,5),tblDaily[WardCode],"FAE")=0,"",SUMIFS(tblDaily[Discharges],tblDaily[EntryDate],DATE(2026,2,5),tblDaily[WardCode],"FAE")),"")</f>
        <v/>
      </c>
      <c r="D50" s="29">
        <f>IFERROR(IF(SUMIFS(tblDaily[Deaths],tblDaily[EntryDate],DATE(2026,2,5),tblDaily[WardCode],"FAE")=0,"",SUMIFS(tblDaily[Deaths],tblDaily[EntryDate],DATE(2026,2,5),tblDaily[WardCode],"FAE")),"")</f>
        <v>1</v>
      </c>
      <c r="E50" s="29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29" t="str">
        <f>IFERROR(IF(SUMIFS(tblDaily[TransfersIn],tblDaily[EntryDate],DATE(2026,2,5),tblDaily[WardCode],"FAE")=0,"",SUMIFS(tblDaily[TransfersIn],tblDaily[EntryDate],DATE(2026,2,5),tblDaily[WardCode],"FAE")),"")</f>
        <v/>
      </c>
      <c r="G50" s="29">
        <f>IFERROR(IF(SUMIFS(tblDaily[TransfersOut],tblDaily[EntryDate],DATE(2026,2,5),tblDaily[WardCode],"FAE")=0,"",SUMIFS(tblDaily[TransfersOut],tblDaily[EntryDate],DATE(2026,2,5),tblDaily[WardCode],"FAE")),"")</f>
        <v>3</v>
      </c>
      <c r="H50" s="29">
        <f>IFERROR(IF(SUMIFS(tblDaily[Remaining],tblDaily[EntryDate],DATE(2026,2,5),tblDaily[WardCode],"FAE")=0,"",SUMIFS(tblDaily[Remaining],tblDaily[EntryDate],DATE(2026,2,5),tblDaily[WardCode],"FAE")),"")</f>
        <v>2</v>
      </c>
    </row>
    <row r="51" spans="1:8" x14ac:dyDescent="0.25">
      <c r="A51" s="29">
        <v>6</v>
      </c>
      <c r="B51" s="29">
        <f>IFERROR(IF(SUMIFS(tblDaily[Admissions],tblDaily[EntryDate],DATE(2026,2,6),tblDaily[WardCode],"FAE")=0,"",SUMIFS(tblDaily[Admissions],tblDaily[EntryDate],DATE(2026,2,6),tblDaily[WardCode],"FAE")),"")</f>
        <v>1</v>
      </c>
      <c r="C51" s="29">
        <f>IFERROR(IF(SUMIFS(tblDaily[Discharges],tblDaily[EntryDate],DATE(2026,2,6),tblDaily[WardCode],"FAE")=0,"",SUMIFS(tblDaily[Discharges],tblDaily[EntryDate],DATE(2026,2,6),tblDaily[WardCode],"FAE")),"")</f>
        <v>2</v>
      </c>
      <c r="D51" s="29" t="str">
        <f>IFERROR(IF(SUMIFS(tblDaily[Deaths],tblDaily[EntryDate],DATE(2026,2,6),tblDaily[WardCode],"FAE")=0,"",SUMIFS(tblDaily[Deaths],tblDaily[EntryDate],DATE(2026,2,6),tblDaily[WardCode],"FAE")),"")</f>
        <v/>
      </c>
      <c r="E51" s="29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29" t="str">
        <f>IFERROR(IF(SUMIFS(tblDaily[TransfersIn],tblDaily[EntryDate],DATE(2026,2,6),tblDaily[WardCode],"FAE")=0,"",SUMIFS(tblDaily[TransfersIn],tblDaily[EntryDate],DATE(2026,2,6),tblDaily[WardCode],"FAE")),"")</f>
        <v/>
      </c>
      <c r="G51" s="29" t="str">
        <f>IFERROR(IF(SUMIFS(tblDaily[TransfersOut],tblDaily[EntryDate],DATE(2026,2,6),tblDaily[WardCode],"FAE")=0,"",SUMIFS(tblDaily[TransfersOut],tblDaily[EntryDate],DATE(2026,2,6),tblDaily[WardCode],"FAE")),"")</f>
        <v/>
      </c>
      <c r="H51" s="29">
        <f>IFERROR(IF(SUMIFS(tblDaily[Remaining],tblDaily[EntryDate],DATE(2026,2,6),tblDaily[WardCode],"FAE")=0,"",SUMIFS(tblDaily[Remaining],tblDaily[EntryDate],DATE(2026,2,6),tblDaily[WardCode],"FAE")),"")</f>
        <v>1</v>
      </c>
    </row>
    <row r="52" spans="1:8" x14ac:dyDescent="0.25">
      <c r="A52" s="29">
        <v>7</v>
      </c>
      <c r="B52" s="29">
        <f>IFERROR(IF(SUMIFS(tblDaily[Admissions],tblDaily[EntryDate],DATE(2026,2,7),tblDaily[WardCode],"FAE")=0,"",SUMIFS(tblDaily[Admissions],tblDaily[EntryDate],DATE(2026,2,7),tblDaily[WardCode],"FAE")),"")</f>
        <v>1</v>
      </c>
      <c r="C52" s="29">
        <f>IFERROR(IF(SUMIFS(tblDaily[Discharges],tblDaily[EntryDate],DATE(2026,2,7),tblDaily[WardCode],"FAE")=0,"",SUMIFS(tblDaily[Discharges],tblDaily[EntryDate],DATE(2026,2,7),tblDaily[WardCode],"FAE")),"")</f>
        <v>1</v>
      </c>
      <c r="D52" s="29" t="str">
        <f>IFERROR(IF(SUMIFS(tblDaily[Deaths],tblDaily[EntryDate],DATE(2026,2,7),tblDaily[WardCode],"FAE")=0,"",SUMIFS(tblDaily[Deaths],tblDaily[EntryDate],DATE(2026,2,7),tblDaily[WardCode],"FAE")),"")</f>
        <v/>
      </c>
      <c r="E52" s="29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29" t="str">
        <f>IFERROR(IF(SUMIFS(tblDaily[TransfersIn],tblDaily[EntryDate],DATE(2026,2,7),tblDaily[WardCode],"FAE")=0,"",SUMIFS(tblDaily[TransfersIn],tblDaily[EntryDate],DATE(2026,2,7),tblDaily[WardCode],"FAE")),"")</f>
        <v/>
      </c>
      <c r="G52" s="29" t="str">
        <f>IFERROR(IF(SUMIFS(tblDaily[TransfersOut],tblDaily[EntryDate],DATE(2026,2,7),tblDaily[WardCode],"FAE")=0,"",SUMIFS(tblDaily[TransfersOut],tblDaily[EntryDate],DATE(2026,2,7),tblDaily[WardCode],"FAE")),"")</f>
        <v/>
      </c>
      <c r="H52" s="29">
        <f>IFERROR(IF(SUMIFS(tblDaily[Remaining],tblDaily[EntryDate],DATE(2026,2,7),tblDaily[WardCode],"FAE")=0,"",SUMIFS(tblDaily[Remaining],tblDaily[EntryDate],DATE(2026,2,7),tblDaily[WardCode],"FAE")),"")</f>
        <v>1</v>
      </c>
    </row>
    <row r="53" spans="1:8" x14ac:dyDescent="0.25">
      <c r="A53" s="29">
        <v>8</v>
      </c>
      <c r="B53" s="29">
        <f>IFERROR(IF(SUMIFS(tblDaily[Admissions],tblDaily[EntryDate],DATE(2026,2,8),tblDaily[WardCode],"FAE")=0,"",SUMIFS(tblDaily[Admissions],tblDaily[EntryDate],DATE(2026,2,8),tblDaily[WardCode],"FAE")),"")</f>
        <v>2</v>
      </c>
      <c r="C53" s="29" t="str">
        <f>IFERROR(IF(SUMIFS(tblDaily[Discharges],tblDaily[EntryDate],DATE(2026,2,8),tblDaily[WardCode],"FAE")=0,"",SUMIFS(tblDaily[Discharges],tblDaily[EntryDate],DATE(2026,2,8),tblDaily[WardCode],"FAE")),"")</f>
        <v/>
      </c>
      <c r="D53" s="29" t="str">
        <f>IFERROR(IF(SUMIFS(tblDaily[Deaths],tblDaily[EntryDate],DATE(2026,2,8),tblDaily[WardCode],"FAE")=0,"",SUMIFS(tblDaily[Deaths],tblDaily[EntryDate],DATE(2026,2,8),tblDaily[WardCode],"FAE")),"")</f>
        <v/>
      </c>
      <c r="E53" s="29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29" t="str">
        <f>IFERROR(IF(SUMIFS(tblDaily[TransfersIn],tblDaily[EntryDate],DATE(2026,2,8),tblDaily[WardCode],"FAE")=0,"",SUMIFS(tblDaily[TransfersIn],tblDaily[EntryDate],DATE(2026,2,8),tblDaily[WardCode],"FAE")),"")</f>
        <v/>
      </c>
      <c r="G53" s="29" t="str">
        <f>IFERROR(IF(SUMIFS(tblDaily[TransfersOut],tblDaily[EntryDate],DATE(2026,2,8),tblDaily[WardCode],"FAE")=0,"",SUMIFS(tblDaily[TransfersOut],tblDaily[EntryDate],DATE(2026,2,8),tblDaily[WardCode],"FAE")),"")</f>
        <v/>
      </c>
      <c r="H53" s="29">
        <f>IFERROR(IF(SUMIFS(tblDaily[Remaining],tblDaily[EntryDate],DATE(2026,2,8),tblDaily[WardCode],"FAE")=0,"",SUMIFS(tblDaily[Remaining],tblDaily[EntryDate],DATE(2026,2,8),tblDaily[WardCode],"FAE")),"")</f>
        <v>3</v>
      </c>
    </row>
    <row r="54" spans="1:8" x14ac:dyDescent="0.25">
      <c r="A54" s="29">
        <v>9</v>
      </c>
      <c r="B54" s="29">
        <f>IFERROR(IF(SUMIFS(tblDaily[Admissions],tblDaily[EntryDate],DATE(2026,2,9),tblDaily[WardCode],"FAE")=0,"",SUMIFS(tblDaily[Admissions],tblDaily[EntryDate],DATE(2026,2,9),tblDaily[WardCode],"FAE")),"")</f>
        <v>3</v>
      </c>
      <c r="C54" s="29" t="str">
        <f>IFERROR(IF(SUMIFS(tblDaily[Discharges],tblDaily[EntryDate],DATE(2026,2,9),tblDaily[WardCode],"FAE")=0,"",SUMIFS(tblDaily[Discharges],tblDaily[EntryDate],DATE(2026,2,9),tblDaily[WardCode],"FAE")),"")</f>
        <v/>
      </c>
      <c r="D54" s="29" t="str">
        <f>IFERROR(IF(SUMIFS(tblDaily[Deaths],tblDaily[EntryDate],DATE(2026,2,9),tblDaily[WardCode],"FAE")=0,"",SUMIFS(tblDaily[Deaths],tblDaily[EntryDate],DATE(2026,2,9),tblDaily[WardCode],"FAE")),"")</f>
        <v/>
      </c>
      <c r="E54" s="29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29" t="str">
        <f>IFERROR(IF(SUMIFS(tblDaily[TransfersIn],tblDaily[EntryDate],DATE(2026,2,9),tblDaily[WardCode],"FAE")=0,"",SUMIFS(tblDaily[TransfersIn],tblDaily[EntryDate],DATE(2026,2,9),tblDaily[WardCode],"FAE")),"")</f>
        <v/>
      </c>
      <c r="G54" s="29">
        <f>IFERROR(IF(SUMIFS(tblDaily[TransfersOut],tblDaily[EntryDate],DATE(2026,2,9),tblDaily[WardCode],"FAE")=0,"",SUMIFS(tblDaily[TransfersOut],tblDaily[EntryDate],DATE(2026,2,9),tblDaily[WardCode],"FAE")),"")</f>
        <v>1</v>
      </c>
      <c r="H54" s="29">
        <f>IFERROR(IF(SUMIFS(tblDaily[Remaining],tblDaily[EntryDate],DATE(2026,2,9),tblDaily[WardCode],"FAE")=0,"",SUMIFS(tblDaily[Remaining],tblDaily[EntryDate],DATE(2026,2,9),tblDaily[WardCode],"FAE")),"")</f>
        <v>5</v>
      </c>
    </row>
    <row r="55" spans="1:8" x14ac:dyDescent="0.25">
      <c r="A55" s="29">
        <v>10</v>
      </c>
      <c r="B55" s="29">
        <f>IFERROR(IF(SUMIFS(tblDaily[Admissions],tblDaily[EntryDate],DATE(2026,2,10),tblDaily[WardCode],"FAE")=0,"",SUMIFS(tblDaily[Admissions],tblDaily[EntryDate],DATE(2026,2,10),tblDaily[WardCode],"FAE")),"")</f>
        <v>4</v>
      </c>
      <c r="C55" s="29" t="str">
        <f>IFERROR(IF(SUMIFS(tblDaily[Discharges],tblDaily[EntryDate],DATE(2026,2,10),tblDaily[WardCode],"FAE")=0,"",SUMIFS(tblDaily[Discharges],tblDaily[EntryDate],DATE(2026,2,10),tblDaily[WardCode],"FAE")),"")</f>
        <v/>
      </c>
      <c r="D55" s="29" t="str">
        <f>IFERROR(IF(SUMIFS(tblDaily[Deaths],tblDaily[EntryDate],DATE(2026,2,10),tblDaily[WardCode],"FAE")=0,"",SUMIFS(tblDaily[Deaths],tblDaily[EntryDate],DATE(2026,2,10),tblDaily[WardCode],"FAE")),"")</f>
        <v/>
      </c>
      <c r="E55" s="29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29" t="str">
        <f>IFERROR(IF(SUMIFS(tblDaily[TransfersIn],tblDaily[EntryDate],DATE(2026,2,10),tblDaily[WardCode],"FAE")=0,"",SUMIFS(tblDaily[TransfersIn],tblDaily[EntryDate],DATE(2026,2,10),tblDaily[WardCode],"FAE")),"")</f>
        <v/>
      </c>
      <c r="G55" s="29">
        <f>IFERROR(IF(SUMIFS(tblDaily[TransfersOut],tblDaily[EntryDate],DATE(2026,2,10),tblDaily[WardCode],"FAE")=0,"",SUMIFS(tblDaily[TransfersOut],tblDaily[EntryDate],DATE(2026,2,10),tblDaily[WardCode],"FAE")),"")</f>
        <v>2</v>
      </c>
      <c r="H55" s="29">
        <f>IFERROR(IF(SUMIFS(tblDaily[Remaining],tblDaily[EntryDate],DATE(2026,2,10),tblDaily[WardCode],"FAE")=0,"",SUMIFS(tblDaily[Remaining],tblDaily[EntryDate],DATE(2026,2,10),tblDaily[WardCode],"FAE")),"")</f>
        <v>7</v>
      </c>
    </row>
    <row r="56" spans="1:8" x14ac:dyDescent="0.25">
      <c r="A56" s="29">
        <v>11</v>
      </c>
      <c r="B56" s="29">
        <f>IFERROR(IF(SUMIFS(tblDaily[Admissions],tblDaily[EntryDate],DATE(2026,2,11),tblDaily[WardCode],"FAE")=0,"",SUMIFS(tblDaily[Admissions],tblDaily[EntryDate],DATE(2026,2,11),tblDaily[WardCode],"FAE")),"")</f>
        <v>1</v>
      </c>
      <c r="C56" s="29">
        <f>IFERROR(IF(SUMIFS(tblDaily[Discharges],tblDaily[EntryDate],DATE(2026,2,11),tblDaily[WardCode],"FAE")=0,"",SUMIFS(tblDaily[Discharges],tblDaily[EntryDate],DATE(2026,2,11),tblDaily[WardCode],"FAE")),"")</f>
        <v>2</v>
      </c>
      <c r="D56" s="29" t="str">
        <f>IFERROR(IF(SUMIFS(tblDaily[Deaths],tblDaily[EntryDate],DATE(2026,2,11),tblDaily[WardCode],"FAE")=0,"",SUMIFS(tblDaily[Deaths],tblDaily[EntryDate],DATE(2026,2,11),tblDaily[WardCode],"FAE")),"")</f>
        <v/>
      </c>
      <c r="E56" s="29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29" t="str">
        <f>IFERROR(IF(SUMIFS(tblDaily[TransfersIn],tblDaily[EntryDate],DATE(2026,2,11),tblDaily[WardCode],"FAE")=0,"",SUMIFS(tblDaily[TransfersIn],tblDaily[EntryDate],DATE(2026,2,11),tblDaily[WardCode],"FAE")),"")</f>
        <v/>
      </c>
      <c r="G56" s="29">
        <f>IFERROR(IF(SUMIFS(tblDaily[TransfersOut],tblDaily[EntryDate],DATE(2026,2,11),tblDaily[WardCode],"FAE")=0,"",SUMIFS(tblDaily[TransfersOut],tblDaily[EntryDate],DATE(2026,2,11),tblDaily[WardCode],"FAE")),"")</f>
        <v>2</v>
      </c>
      <c r="H56" s="29">
        <f>IFERROR(IF(SUMIFS(tblDaily[Remaining],tblDaily[EntryDate],DATE(2026,2,11),tblDaily[WardCode],"FAE")=0,"",SUMIFS(tblDaily[Remaining],tblDaily[EntryDate],DATE(2026,2,11),tblDaily[WardCode],"FAE")),"")</f>
        <v>4</v>
      </c>
    </row>
    <row r="57" spans="1:8" x14ac:dyDescent="0.25">
      <c r="A57" s="29">
        <v>12</v>
      </c>
      <c r="B57" s="29">
        <f>IFERROR(IF(SUMIFS(tblDaily[Admissions],tblDaily[EntryDate],DATE(2026,2,12),tblDaily[WardCode],"FAE")=0,"",SUMIFS(tblDaily[Admissions],tblDaily[EntryDate],DATE(2026,2,12),tblDaily[WardCode],"FAE")),"")</f>
        <v>3</v>
      </c>
      <c r="C57" s="29">
        <f>IFERROR(IF(SUMIFS(tblDaily[Discharges],tblDaily[EntryDate],DATE(2026,2,12),tblDaily[WardCode],"FAE")=0,"",SUMIFS(tblDaily[Discharges],tblDaily[EntryDate],DATE(2026,2,12),tblDaily[WardCode],"FAE")),"")</f>
        <v>1</v>
      </c>
      <c r="D57" s="29" t="str">
        <f>IFERROR(IF(SUMIFS(tblDaily[Deaths],tblDaily[EntryDate],DATE(2026,2,12),tblDaily[WardCode],"FAE")=0,"",SUMIFS(tblDaily[Deaths],tblDaily[EntryDate],DATE(2026,2,12),tblDaily[WardCode],"FAE")),"")</f>
        <v/>
      </c>
      <c r="E57" s="29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29" t="str">
        <f>IFERROR(IF(SUMIFS(tblDaily[TransfersIn],tblDaily[EntryDate],DATE(2026,2,12),tblDaily[WardCode],"FAE")=0,"",SUMIFS(tblDaily[TransfersIn],tblDaily[EntryDate],DATE(2026,2,12),tblDaily[WardCode],"FAE")),"")</f>
        <v/>
      </c>
      <c r="G57" s="29">
        <f>IFERROR(IF(SUMIFS(tblDaily[TransfersOut],tblDaily[EntryDate],DATE(2026,2,12),tblDaily[WardCode],"FAE")=0,"",SUMIFS(tblDaily[TransfersOut],tblDaily[EntryDate],DATE(2026,2,12),tblDaily[WardCode],"FAE")),"")</f>
        <v>1</v>
      </c>
      <c r="H57" s="29">
        <f>IFERROR(IF(SUMIFS(tblDaily[Remaining],tblDaily[EntryDate],DATE(2026,2,12),tblDaily[WardCode],"FAE")=0,"",SUMIFS(tblDaily[Remaining],tblDaily[EntryDate],DATE(2026,2,12),tblDaily[WardCode],"FAE")),"")</f>
        <v>5</v>
      </c>
    </row>
    <row r="58" spans="1:8" x14ac:dyDescent="0.25">
      <c r="A58" s="29">
        <v>13</v>
      </c>
      <c r="B58" s="29">
        <f>IFERROR(IF(SUMIFS(tblDaily[Admissions],tblDaily[EntryDate],DATE(2026,2,13),tblDaily[WardCode],"FAE")=0,"",SUMIFS(tblDaily[Admissions],tblDaily[EntryDate],DATE(2026,2,13),tblDaily[WardCode],"FAE")),"")</f>
        <v>3</v>
      </c>
      <c r="C58" s="29">
        <f>IFERROR(IF(SUMIFS(tblDaily[Discharges],tblDaily[EntryDate],DATE(2026,2,13),tblDaily[WardCode],"FAE")=0,"",SUMIFS(tblDaily[Discharges],tblDaily[EntryDate],DATE(2026,2,13),tblDaily[WardCode],"FAE")),"")</f>
        <v>3</v>
      </c>
      <c r="D58" s="29">
        <f>IFERROR(IF(SUMIFS(tblDaily[Deaths],tblDaily[EntryDate],DATE(2026,2,13),tblDaily[WardCode],"FAE")=0,"",SUMIFS(tblDaily[Deaths],tblDaily[EntryDate],DATE(2026,2,13),tblDaily[WardCode],"FAE")),"")</f>
        <v>1</v>
      </c>
      <c r="E58" s="29">
        <f>IFERROR(IF(SUMIFS(tblDaily[DeathsUnder24Hrs],tblDaily[EntryDate],DATE(2026,2,13),tblDaily[WardCode],"FAE")=0,"",SUMIFS(tblDaily[DeathsUnder24Hrs],tblDaily[EntryDate],DATE(2026,2,13),tblDaily[WardCode],"FAE")),"")</f>
        <v>1</v>
      </c>
      <c r="F58" s="29" t="str">
        <f>IFERROR(IF(SUMIFS(tblDaily[TransfersIn],tblDaily[EntryDate],DATE(2026,2,13),tblDaily[WardCode],"FAE")=0,"",SUMIFS(tblDaily[TransfersIn],tblDaily[EntryDate],DATE(2026,2,13),tblDaily[WardCode],"FAE")),"")</f>
        <v/>
      </c>
      <c r="G58" s="29">
        <f>IFERROR(IF(SUMIFS(tblDaily[TransfersOut],tblDaily[EntryDate],DATE(2026,2,13),tblDaily[WardCode],"FAE")=0,"",SUMIFS(tblDaily[TransfersOut],tblDaily[EntryDate],DATE(2026,2,13),tblDaily[WardCode],"FAE")),"")</f>
        <v>1</v>
      </c>
      <c r="H58" s="29">
        <f>IFERROR(IF(SUMIFS(tblDaily[Remaining],tblDaily[EntryDate],DATE(2026,2,13),tblDaily[WardCode],"FAE")=0,"",SUMIFS(tblDaily[Remaining],tblDaily[EntryDate],DATE(2026,2,13),tblDaily[WardCode],"FAE")),"")</f>
        <v>2</v>
      </c>
    </row>
    <row r="59" spans="1:8" x14ac:dyDescent="0.25">
      <c r="A59" s="29">
        <v>14</v>
      </c>
      <c r="B59" s="29">
        <f>IFERROR(IF(SUMIFS(tblDaily[Admissions],tblDaily[EntryDate],DATE(2026,2,14),tblDaily[WardCode],"FAE")=0,"",SUMIFS(tblDaily[Admissions],tblDaily[EntryDate],DATE(2026,2,14),tblDaily[WardCode],"FAE")),"")</f>
        <v>4</v>
      </c>
      <c r="C59" s="29" t="str">
        <f>IFERROR(IF(SUMIFS(tblDaily[Discharges],tblDaily[EntryDate],DATE(2026,2,14),tblDaily[WardCode],"FAE")=0,"",SUMIFS(tblDaily[Discharges],tblDaily[EntryDate],DATE(2026,2,14),tblDaily[WardCode],"FAE")),"")</f>
        <v/>
      </c>
      <c r="D59" s="29" t="str">
        <f>IFERROR(IF(SUMIFS(tblDaily[Deaths],tblDaily[EntryDate],DATE(2026,2,14),tblDaily[WardCode],"FAE")=0,"",SUMIFS(tblDaily[Deaths],tblDaily[EntryDate],DATE(2026,2,14),tblDaily[WardCode],"FAE")),"")</f>
        <v/>
      </c>
      <c r="E59" s="29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29" t="str">
        <f>IFERROR(IF(SUMIFS(tblDaily[TransfersIn],tblDaily[EntryDate],DATE(2026,2,14),tblDaily[WardCode],"FAE")=0,"",SUMIFS(tblDaily[TransfersIn],tblDaily[EntryDate],DATE(2026,2,14),tblDaily[WardCode],"FAE")),"")</f>
        <v/>
      </c>
      <c r="G59" s="29">
        <f>IFERROR(IF(SUMIFS(tblDaily[TransfersOut],tblDaily[EntryDate],DATE(2026,2,14),tblDaily[WardCode],"FAE")=0,"",SUMIFS(tblDaily[TransfersOut],tblDaily[EntryDate],DATE(2026,2,14),tblDaily[WardCode],"FAE")),"")</f>
        <v>1</v>
      </c>
      <c r="H59" s="29">
        <f>IFERROR(IF(SUMIFS(tblDaily[Remaining],tblDaily[EntryDate],DATE(2026,2,14),tblDaily[WardCode],"FAE")=0,"",SUMIFS(tblDaily[Remaining],tblDaily[EntryDate],DATE(2026,2,14),tblDaily[WardCode],"FAE")),"")</f>
        <v>5</v>
      </c>
    </row>
    <row r="60" spans="1:8" x14ac:dyDescent="0.25">
      <c r="A60" s="29">
        <v>15</v>
      </c>
      <c r="B60" s="29">
        <f>IFERROR(IF(SUMIFS(tblDaily[Admissions],tblDaily[EntryDate],DATE(2026,2,15),tblDaily[WardCode],"FAE")=0,"",SUMIFS(tblDaily[Admissions],tblDaily[EntryDate],DATE(2026,2,15),tblDaily[WardCode],"FAE")),"")</f>
        <v>5</v>
      </c>
      <c r="C60" s="29">
        <f>IFERROR(IF(SUMIFS(tblDaily[Discharges],tblDaily[EntryDate],DATE(2026,2,15),tblDaily[WardCode],"FAE")=0,"",SUMIFS(tblDaily[Discharges],tblDaily[EntryDate],DATE(2026,2,15),tblDaily[WardCode],"FAE")),"")</f>
        <v>2</v>
      </c>
      <c r="D60" s="29" t="str">
        <f>IFERROR(IF(SUMIFS(tblDaily[Deaths],tblDaily[EntryDate],DATE(2026,2,15),tblDaily[WardCode],"FAE")=0,"",SUMIFS(tblDaily[Deaths],tblDaily[EntryDate],DATE(2026,2,15),tblDaily[WardCode],"FAE")),"")</f>
        <v/>
      </c>
      <c r="E60" s="29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29" t="str">
        <f>IFERROR(IF(SUMIFS(tblDaily[TransfersIn],tblDaily[EntryDate],DATE(2026,2,15),tblDaily[WardCode],"FAE")=0,"",SUMIFS(tblDaily[TransfersIn],tblDaily[EntryDate],DATE(2026,2,15),tblDaily[WardCode],"FAE")),"")</f>
        <v/>
      </c>
      <c r="G60" s="29">
        <f>IFERROR(IF(SUMIFS(tblDaily[TransfersOut],tblDaily[EntryDate],DATE(2026,2,15),tblDaily[WardCode],"FAE")=0,"",SUMIFS(tblDaily[TransfersOut],tblDaily[EntryDate],DATE(2026,2,15),tblDaily[WardCode],"FAE")),"")</f>
        <v>2</v>
      </c>
      <c r="H60" s="29">
        <f>IFERROR(IF(SUMIFS(tblDaily[Remaining],tblDaily[EntryDate],DATE(2026,2,15),tblDaily[WardCode],"FAE")=0,"",SUMIFS(tblDaily[Remaining],tblDaily[EntryDate],DATE(2026,2,15),tblDaily[WardCode],"FAE")),"")</f>
        <v>6</v>
      </c>
    </row>
    <row r="61" spans="1:8" x14ac:dyDescent="0.25">
      <c r="A61" s="29">
        <v>16</v>
      </c>
      <c r="B61" s="29">
        <f>IFERROR(IF(SUMIFS(tblDaily[Admissions],tblDaily[EntryDate],DATE(2026,2,16),tblDaily[WardCode],"FAE")=0,"",SUMIFS(tblDaily[Admissions],tblDaily[EntryDate],DATE(2026,2,16),tblDaily[WardCode],"FAE")),"")</f>
        <v>1</v>
      </c>
      <c r="C61" s="29">
        <f>IFERROR(IF(SUMIFS(tblDaily[Discharges],tblDaily[EntryDate],DATE(2026,2,16),tblDaily[WardCode],"FAE")=0,"",SUMIFS(tblDaily[Discharges],tblDaily[EntryDate],DATE(2026,2,16),tblDaily[WardCode],"FAE")),"")</f>
        <v>2</v>
      </c>
      <c r="D61" s="29" t="str">
        <f>IFERROR(IF(SUMIFS(tblDaily[Deaths],tblDaily[EntryDate],DATE(2026,2,16),tblDaily[WardCode],"FAE")=0,"",SUMIFS(tblDaily[Deaths],tblDaily[EntryDate],DATE(2026,2,16),tblDaily[WardCode],"FAE")),"")</f>
        <v/>
      </c>
      <c r="E61" s="29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29" t="str">
        <f>IFERROR(IF(SUMIFS(tblDaily[TransfersIn],tblDaily[EntryDate],DATE(2026,2,16),tblDaily[WardCode],"FAE")=0,"",SUMIFS(tblDaily[TransfersIn],tblDaily[EntryDate],DATE(2026,2,16),tblDaily[WardCode],"FAE")),"")</f>
        <v/>
      </c>
      <c r="G61" s="29">
        <f>IFERROR(IF(SUMIFS(tblDaily[TransfersOut],tblDaily[EntryDate],DATE(2026,2,16),tblDaily[WardCode],"FAE")=0,"",SUMIFS(tblDaily[TransfersOut],tblDaily[EntryDate],DATE(2026,2,16),tblDaily[WardCode],"FAE")),"")</f>
        <v>2</v>
      </c>
      <c r="H61" s="29">
        <f>IFERROR(IF(SUMIFS(tblDaily[Remaining],tblDaily[EntryDate],DATE(2026,2,16),tblDaily[WardCode],"FAE")=0,"",SUMIFS(tblDaily[Remaining],tblDaily[EntryDate],DATE(2026,2,16),tblDaily[WardCode],"FAE")),"")</f>
        <v>3</v>
      </c>
    </row>
    <row r="62" spans="1:8" x14ac:dyDescent="0.25">
      <c r="A62" s="29">
        <v>17</v>
      </c>
      <c r="B62" s="29">
        <f>IFERROR(IF(SUMIFS(tblDaily[Admissions],tblDaily[EntryDate],DATE(2026,2,17),tblDaily[WardCode],"FAE")=0,"",SUMIFS(tblDaily[Admissions],tblDaily[EntryDate],DATE(2026,2,17),tblDaily[WardCode],"FAE")),"")</f>
        <v>3</v>
      </c>
      <c r="C62" s="29" t="str">
        <f>IFERROR(IF(SUMIFS(tblDaily[Discharges],tblDaily[EntryDate],DATE(2026,2,17),tblDaily[WardCode],"FAE")=0,"",SUMIFS(tblDaily[Discharges],tblDaily[EntryDate],DATE(2026,2,17),tblDaily[WardCode],"FAE")),"")</f>
        <v/>
      </c>
      <c r="D62" s="29" t="str">
        <f>IFERROR(IF(SUMIFS(tblDaily[Deaths],tblDaily[EntryDate],DATE(2026,2,17),tblDaily[WardCode],"FAE")=0,"",SUMIFS(tblDaily[Deaths],tblDaily[EntryDate],DATE(2026,2,17),tblDaily[WardCode],"FAE")),"")</f>
        <v/>
      </c>
      <c r="E62" s="29">
        <f>IFERROR(IF(SUMIFS(tblDaily[DeathsUnder24Hrs],tblDaily[EntryDate],DATE(2026,2,17),tblDaily[WardCode],"FAE")=0,"",SUMIFS(tblDaily[DeathsUnder24Hrs],tblDaily[EntryDate],DATE(2026,2,17),tblDaily[WardCode],"FAE")),"")</f>
        <v>1</v>
      </c>
      <c r="F62" s="29" t="str">
        <f>IFERROR(IF(SUMIFS(tblDaily[TransfersIn],tblDaily[EntryDate],DATE(2026,2,17),tblDaily[WardCode],"FAE")=0,"",SUMIFS(tblDaily[TransfersIn],tblDaily[EntryDate],DATE(2026,2,17),tblDaily[WardCode],"FAE")),"")</f>
        <v/>
      </c>
      <c r="G62" s="29">
        <f>IFERROR(IF(SUMIFS(tblDaily[TransfersOut],tblDaily[EntryDate],DATE(2026,2,17),tblDaily[WardCode],"FAE")=0,"",SUMIFS(tblDaily[TransfersOut],tblDaily[EntryDate],DATE(2026,2,17),tblDaily[WardCode],"FAE")),"")</f>
        <v>1</v>
      </c>
      <c r="H62" s="29">
        <f>IFERROR(IF(SUMIFS(tblDaily[Remaining],tblDaily[EntryDate],DATE(2026,2,17),tblDaily[WardCode],"FAE")=0,"",SUMIFS(tblDaily[Remaining],tblDaily[EntryDate],DATE(2026,2,17),tblDaily[WardCode],"FAE")),"")</f>
        <v>4</v>
      </c>
    </row>
    <row r="63" spans="1:8" x14ac:dyDescent="0.25">
      <c r="A63" s="29">
        <v>18</v>
      </c>
      <c r="B63" s="29" t="str">
        <f>IFERROR(IF(SUMIFS(tblDaily[Admissions],tblDaily[EntryDate],DATE(2026,2,18),tblDaily[WardCode],"FAE")=0,"",SUMIFS(tblDaily[Admissions],tblDaily[EntryDate],DATE(2026,2,18),tblDaily[WardCode],"FAE")),"")</f>
        <v/>
      </c>
      <c r="C63" s="29">
        <f>IFERROR(IF(SUMIFS(tblDaily[Discharges],tblDaily[EntryDate],DATE(2026,2,18),tblDaily[WardCode],"FAE")=0,"",SUMIFS(tblDaily[Discharges],tblDaily[EntryDate],DATE(2026,2,18),tblDaily[WardCode],"FAE")),"")</f>
        <v>1</v>
      </c>
      <c r="D63" s="29" t="str">
        <f>IFERROR(IF(SUMIFS(tblDaily[Deaths],tblDaily[EntryDate],DATE(2026,2,18),tblDaily[WardCode],"FAE")=0,"",SUMIFS(tblDaily[Deaths],tblDaily[EntryDate],DATE(2026,2,18),tblDaily[WardCode],"FAE")),"")</f>
        <v/>
      </c>
      <c r="E63" s="29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29" t="str">
        <f>IFERROR(IF(SUMIFS(tblDaily[TransfersIn],tblDaily[EntryDate],DATE(2026,2,18),tblDaily[WardCode],"FAE")=0,"",SUMIFS(tblDaily[TransfersIn],tblDaily[EntryDate],DATE(2026,2,18),tblDaily[WardCode],"FAE")),"")</f>
        <v/>
      </c>
      <c r="G63" s="29">
        <f>IFERROR(IF(SUMIFS(tblDaily[TransfersOut],tblDaily[EntryDate],DATE(2026,2,18),tblDaily[WardCode],"FAE")=0,"",SUMIFS(tblDaily[TransfersOut],tblDaily[EntryDate],DATE(2026,2,18),tblDaily[WardCode],"FAE")),"")</f>
        <v>1</v>
      </c>
      <c r="H63" s="29">
        <f>IFERROR(IF(SUMIFS(tblDaily[Remaining],tblDaily[EntryDate],DATE(2026,2,18),tblDaily[WardCode],"FAE")=0,"",SUMIFS(tblDaily[Remaining],tblDaily[EntryDate],DATE(2026,2,18),tblDaily[WardCode],"FAE")),"")</f>
        <v>2</v>
      </c>
    </row>
    <row r="64" spans="1:8" x14ac:dyDescent="0.25">
      <c r="A64" s="29">
        <v>19</v>
      </c>
      <c r="B64" s="29">
        <f>IFERROR(IF(SUMIFS(tblDaily[Admissions],tblDaily[EntryDate],DATE(2026,2,19),tblDaily[WardCode],"FAE")=0,"",SUMIFS(tblDaily[Admissions],tblDaily[EntryDate],DATE(2026,2,19),tblDaily[WardCode],"FAE")),"")</f>
        <v>3</v>
      </c>
      <c r="C64" s="29">
        <f>IFERROR(IF(SUMIFS(tblDaily[Discharges],tblDaily[EntryDate],DATE(2026,2,19),tblDaily[WardCode],"FAE")=0,"",SUMIFS(tblDaily[Discharges],tblDaily[EntryDate],DATE(2026,2,19),tblDaily[WardCode],"FAE")),"")</f>
        <v>1</v>
      </c>
      <c r="D64" s="29" t="str">
        <f>IFERROR(IF(SUMIFS(tblDaily[Deaths],tblDaily[EntryDate],DATE(2026,2,19),tblDaily[WardCode],"FAE")=0,"",SUMIFS(tblDaily[Deaths],tblDaily[EntryDate],DATE(2026,2,19),tblDaily[WardCode],"FAE")),"")</f>
        <v/>
      </c>
      <c r="E64" s="29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29" t="str">
        <f>IFERROR(IF(SUMIFS(tblDaily[TransfersIn],tblDaily[EntryDate],DATE(2026,2,19),tblDaily[WardCode],"FAE")=0,"",SUMIFS(tblDaily[TransfersIn],tblDaily[EntryDate],DATE(2026,2,19),tblDaily[WardCode],"FAE")),"")</f>
        <v/>
      </c>
      <c r="G64" s="29" t="str">
        <f>IFERROR(IF(SUMIFS(tblDaily[TransfersOut],tblDaily[EntryDate],DATE(2026,2,19),tblDaily[WardCode],"FAE")=0,"",SUMIFS(tblDaily[TransfersOut],tblDaily[EntryDate],DATE(2026,2,19),tblDaily[WardCode],"FAE")),"")</f>
        <v/>
      </c>
      <c r="H64" s="29">
        <f>IFERROR(IF(SUMIFS(tblDaily[Remaining],tblDaily[EntryDate],DATE(2026,2,19),tblDaily[WardCode],"FAE")=0,"",SUMIFS(tblDaily[Remaining],tblDaily[EntryDate],DATE(2026,2,19),tblDaily[WardCode],"FAE")),"")</f>
        <v>4</v>
      </c>
    </row>
    <row r="65" spans="1:8" x14ac:dyDescent="0.25">
      <c r="A65" s="29">
        <v>20</v>
      </c>
      <c r="B65" s="29">
        <f>IFERROR(IF(SUMIFS(tblDaily[Admissions],tblDaily[EntryDate],DATE(2026,2,20),tblDaily[WardCode],"FAE")=0,"",SUMIFS(tblDaily[Admissions],tblDaily[EntryDate],DATE(2026,2,20),tblDaily[WardCode],"FAE")),"")</f>
        <v>1</v>
      </c>
      <c r="C65" s="29">
        <f>IFERROR(IF(SUMIFS(tblDaily[Discharges],tblDaily[EntryDate],DATE(2026,2,20),tblDaily[WardCode],"FAE")=0,"",SUMIFS(tblDaily[Discharges],tblDaily[EntryDate],DATE(2026,2,20),tblDaily[WardCode],"FAE")),"")</f>
        <v>2</v>
      </c>
      <c r="D65" s="29" t="str">
        <f>IFERROR(IF(SUMIFS(tblDaily[Deaths],tblDaily[EntryDate],DATE(2026,2,20),tblDaily[WardCode],"FAE")=0,"",SUMIFS(tblDaily[Deaths],tblDaily[EntryDate],DATE(2026,2,20),tblDaily[WardCode],"FAE")),"")</f>
        <v/>
      </c>
      <c r="E65" s="29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29" t="str">
        <f>IFERROR(IF(SUMIFS(tblDaily[TransfersIn],tblDaily[EntryDate],DATE(2026,2,20),tblDaily[WardCode],"FAE")=0,"",SUMIFS(tblDaily[TransfersIn],tblDaily[EntryDate],DATE(2026,2,20),tblDaily[WardCode],"FAE")),"")</f>
        <v/>
      </c>
      <c r="G65" s="29">
        <f>IFERROR(IF(SUMIFS(tblDaily[TransfersOut],tblDaily[EntryDate],DATE(2026,2,20),tblDaily[WardCode],"FAE")=0,"",SUMIFS(tblDaily[TransfersOut],tblDaily[EntryDate],DATE(2026,2,20),tblDaily[WardCode],"FAE")),"")</f>
        <v>1</v>
      </c>
      <c r="H65" s="29">
        <f>IFERROR(IF(SUMIFS(tblDaily[Remaining],tblDaily[EntryDate],DATE(2026,2,20),tblDaily[WardCode],"FAE")=0,"",SUMIFS(tblDaily[Remaining],tblDaily[EntryDate],DATE(2026,2,20),tblDaily[WardCode],"FAE")),"")</f>
        <v>2</v>
      </c>
    </row>
    <row r="66" spans="1:8" x14ac:dyDescent="0.25">
      <c r="A66" s="29">
        <v>21</v>
      </c>
      <c r="B66" s="29">
        <f>IFERROR(IF(SUMIFS(tblDaily[Admissions],tblDaily[EntryDate],DATE(2026,2,21),tblDaily[WardCode],"FAE")=0,"",SUMIFS(tblDaily[Admissions],tblDaily[EntryDate],DATE(2026,2,21),tblDaily[WardCode],"FAE")),"")</f>
        <v>3</v>
      </c>
      <c r="C66" s="29">
        <f>IFERROR(IF(SUMIFS(tblDaily[Discharges],tblDaily[EntryDate],DATE(2026,2,21),tblDaily[WardCode],"FAE")=0,"",SUMIFS(tblDaily[Discharges],tblDaily[EntryDate],DATE(2026,2,21),tblDaily[WardCode],"FAE")),"")</f>
        <v>2</v>
      </c>
      <c r="D66" s="29" t="str">
        <f>IFERROR(IF(SUMIFS(tblDaily[Deaths],tblDaily[EntryDate],DATE(2026,2,21),tblDaily[WardCode],"FAE")=0,"",SUMIFS(tblDaily[Deaths],tblDaily[EntryDate],DATE(2026,2,21),tblDaily[WardCode],"FAE")),"")</f>
        <v/>
      </c>
      <c r="E66" s="29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29" t="str">
        <f>IFERROR(IF(SUMIFS(tblDaily[TransfersIn],tblDaily[EntryDate],DATE(2026,2,21),tblDaily[WardCode],"FAE")=0,"",SUMIFS(tblDaily[TransfersIn],tblDaily[EntryDate],DATE(2026,2,21),tblDaily[WardCode],"FAE")),"")</f>
        <v/>
      </c>
      <c r="G66" s="29">
        <f>IFERROR(IF(SUMIFS(tblDaily[TransfersOut],tblDaily[EntryDate],DATE(2026,2,21),tblDaily[WardCode],"FAE")=0,"",SUMIFS(tblDaily[TransfersOut],tblDaily[EntryDate],DATE(2026,2,21),tblDaily[WardCode],"FAE")),"")</f>
        <v>1</v>
      </c>
      <c r="H66" s="29">
        <f>IFERROR(IF(SUMIFS(tblDaily[Remaining],tblDaily[EntryDate],DATE(2026,2,21),tblDaily[WardCode],"FAE")=0,"",SUMIFS(tblDaily[Remaining],tblDaily[EntryDate],DATE(2026,2,21),tblDaily[WardCode],"FAE")),"")</f>
        <v>2</v>
      </c>
    </row>
    <row r="67" spans="1:8" x14ac:dyDescent="0.25">
      <c r="A67" s="29">
        <v>22</v>
      </c>
      <c r="B67" s="29">
        <f>IFERROR(IF(SUMIFS(tblDaily[Admissions],tblDaily[EntryDate],DATE(2026,2,22),tblDaily[WardCode],"FAE")=0,"",SUMIFS(tblDaily[Admissions],tblDaily[EntryDate],DATE(2026,2,22),tblDaily[WardCode],"FAE")),"")</f>
        <v>4</v>
      </c>
      <c r="C67" s="29">
        <f>IFERROR(IF(SUMIFS(tblDaily[Discharges],tblDaily[EntryDate],DATE(2026,2,22),tblDaily[WardCode],"FAE")=0,"",SUMIFS(tblDaily[Discharges],tblDaily[EntryDate],DATE(2026,2,22),tblDaily[WardCode],"FAE")),"")</f>
        <v>1</v>
      </c>
      <c r="D67" s="29" t="str">
        <f>IFERROR(IF(SUMIFS(tblDaily[Deaths],tblDaily[EntryDate],DATE(2026,2,22),tblDaily[WardCode],"FAE")=0,"",SUMIFS(tblDaily[Deaths],tblDaily[EntryDate],DATE(2026,2,22),tblDaily[WardCode],"FAE")),"")</f>
        <v/>
      </c>
      <c r="E67" s="29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29" t="str">
        <f>IFERROR(IF(SUMIFS(tblDaily[TransfersIn],tblDaily[EntryDate],DATE(2026,2,22),tblDaily[WardCode],"FAE")=0,"",SUMIFS(tblDaily[TransfersIn],tblDaily[EntryDate],DATE(2026,2,22),tblDaily[WardCode],"FAE")),"")</f>
        <v/>
      </c>
      <c r="G67" s="29" t="str">
        <f>IFERROR(IF(SUMIFS(tblDaily[TransfersOut],tblDaily[EntryDate],DATE(2026,2,22),tblDaily[WardCode],"FAE")=0,"",SUMIFS(tblDaily[TransfersOut],tblDaily[EntryDate],DATE(2026,2,22),tblDaily[WardCode],"FAE")),"")</f>
        <v/>
      </c>
      <c r="H67" s="29">
        <f>IFERROR(IF(SUMIFS(tblDaily[Remaining],tblDaily[EntryDate],DATE(2026,2,22),tblDaily[WardCode],"FAE")=0,"",SUMIFS(tblDaily[Remaining],tblDaily[EntryDate],DATE(2026,2,22),tblDaily[WardCode],"FAE")),"")</f>
        <v>5</v>
      </c>
    </row>
    <row r="68" spans="1:8" x14ac:dyDescent="0.25">
      <c r="A68" s="29">
        <v>23</v>
      </c>
      <c r="B68" s="29">
        <f>IFERROR(IF(SUMIFS(tblDaily[Admissions],tblDaily[EntryDate],DATE(2026,2,23),tblDaily[WardCode],"FAE")=0,"",SUMIFS(tblDaily[Admissions],tblDaily[EntryDate],DATE(2026,2,23),tblDaily[WardCode],"FAE")),"")</f>
        <v>3</v>
      </c>
      <c r="C68" s="29">
        <f>IFERROR(IF(SUMIFS(tblDaily[Discharges],tblDaily[EntryDate],DATE(2026,2,23),tblDaily[WardCode],"FAE")=0,"",SUMIFS(tblDaily[Discharges],tblDaily[EntryDate],DATE(2026,2,23),tblDaily[WardCode],"FAE")),"")</f>
        <v>1</v>
      </c>
      <c r="D68" s="29" t="str">
        <f>IFERROR(IF(SUMIFS(tblDaily[Deaths],tblDaily[EntryDate],DATE(2026,2,23),tblDaily[WardCode],"FAE")=0,"",SUMIFS(tblDaily[Deaths],tblDaily[EntryDate],DATE(2026,2,23),tblDaily[WardCode],"FAE")),"")</f>
        <v/>
      </c>
      <c r="E68" s="29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29" t="str">
        <f>IFERROR(IF(SUMIFS(tblDaily[TransfersIn],tblDaily[EntryDate],DATE(2026,2,23),tblDaily[WardCode],"FAE")=0,"",SUMIFS(tblDaily[TransfersIn],tblDaily[EntryDate],DATE(2026,2,23),tblDaily[WardCode],"FAE")),"")</f>
        <v/>
      </c>
      <c r="G68" s="29">
        <f>IFERROR(IF(SUMIFS(tblDaily[TransfersOut],tblDaily[EntryDate],DATE(2026,2,23),tblDaily[WardCode],"FAE")=0,"",SUMIFS(tblDaily[TransfersOut],tblDaily[EntryDate],DATE(2026,2,23),tblDaily[WardCode],"FAE")),"")</f>
        <v>3</v>
      </c>
      <c r="H68" s="29">
        <f>IFERROR(IF(SUMIFS(tblDaily[Remaining],tblDaily[EntryDate],DATE(2026,2,23),tblDaily[WardCode],"FAE")=0,"",SUMIFS(tblDaily[Remaining],tblDaily[EntryDate],DATE(2026,2,23),tblDaily[WardCode],"FAE")),"")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IFERROR(IF(SUMIFS(tblDaily[Admissions],tblDaily[EntryDate],DATE(2026,2,24),tblDaily[WardCode],"FAE")=0,"",SUMIFS(tblDaily[Admissions],tblDaily[EntryDate],DATE(2026,2,24),tblDaily[WardCode],"FAE")),"")</f>
        <v>4</v>
      </c>
      <c r="C69" s="29" t="str">
        <f>IFERROR(IF(SUMIFS(tblDaily[Discharges],tblDaily[EntryDate],DATE(2026,2,24),tblDaily[WardCode],"FAE")=0,"",SUMIFS(tblDaily[Discharges],tblDaily[EntryDate],DATE(2026,2,24),tblDaily[WardCode],"FAE")),"")</f>
        <v/>
      </c>
      <c r="D69" s="29" t="str">
        <f>IFERROR(IF(SUMIFS(tblDaily[Deaths],tblDaily[EntryDate],DATE(2026,2,24),tblDaily[WardCode],"FAE")=0,"",SUMIFS(tblDaily[Deaths],tblDaily[EntryDate],DATE(2026,2,24),tblDaily[WardCode],"FAE")),"")</f>
        <v/>
      </c>
      <c r="E69" s="29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29" t="str">
        <f>IFERROR(IF(SUMIFS(tblDaily[TransfersIn],tblDaily[EntryDate],DATE(2026,2,24),tblDaily[WardCode],"FAE")=0,"",SUMIFS(tblDaily[TransfersIn],tblDaily[EntryDate],DATE(2026,2,24),tblDaily[WardCode],"FAE")),"")</f>
        <v/>
      </c>
      <c r="G69" s="29">
        <f>IFERROR(IF(SUMIFS(tblDaily[TransfersOut],tblDaily[EntryDate],DATE(2026,2,24),tblDaily[WardCode],"FAE")=0,"",SUMIFS(tblDaily[TransfersOut],tblDaily[EntryDate],DATE(2026,2,24),tblDaily[WardCode],"FAE")),"")</f>
        <v>3</v>
      </c>
      <c r="H69" s="29">
        <f>IFERROR(IF(SUMIFS(tblDaily[Remaining],tblDaily[EntryDate],DATE(2026,2,24),tblDaily[WardCode],"FAE")=0,"",SUMIFS(tblDaily[Remaining],tblDaily[EntryDate],DATE(2026,2,24),tblDaily[WardCode],"FAE")),"")</f>
        <v>5</v>
      </c>
    </row>
    <row r="70" spans="1:8" x14ac:dyDescent="0.25">
      <c r="A70" s="29">
        <v>25</v>
      </c>
      <c r="B70" s="29">
        <f>IFERROR(IF(SUMIFS(tblDaily[Admissions],tblDaily[EntryDate],DATE(2026,2,25),tblDaily[WardCode],"FAE")=0,"",SUMIFS(tblDaily[Admissions],tblDaily[EntryDate],DATE(2026,2,25),tblDaily[WardCode],"FAE")),"")</f>
        <v>2</v>
      </c>
      <c r="C70" s="29">
        <f>IFERROR(IF(SUMIFS(tblDaily[Discharges],tblDaily[EntryDate],DATE(2026,2,25),tblDaily[WardCode],"FAE")=0,"",SUMIFS(tblDaily[Discharges],tblDaily[EntryDate],DATE(2026,2,25),tblDaily[WardCode],"FAE")),"")</f>
        <v>1</v>
      </c>
      <c r="D70" s="29" t="str">
        <f>IFERROR(IF(SUMIFS(tblDaily[Deaths],tblDaily[EntryDate],DATE(2026,2,25),tblDaily[WardCode],"FAE")=0,"",SUMIFS(tblDaily[Deaths],tblDaily[EntryDate],DATE(2026,2,25),tblDaily[WardCode],"FAE")),"")</f>
        <v/>
      </c>
      <c r="E70" s="29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29" t="str">
        <f>IFERROR(IF(SUMIFS(tblDaily[TransfersIn],tblDaily[EntryDate],DATE(2026,2,25),tblDaily[WardCode],"FAE")=0,"",SUMIFS(tblDaily[TransfersIn],tblDaily[EntryDate],DATE(2026,2,25),tblDaily[WardCode],"FAE")),"")</f>
        <v/>
      </c>
      <c r="G70" s="29">
        <f>IFERROR(IF(SUMIFS(tblDaily[TransfersOut],tblDaily[EntryDate],DATE(2026,2,25),tblDaily[WardCode],"FAE")=0,"",SUMIFS(tblDaily[TransfersOut],tblDaily[EntryDate],DATE(2026,2,25),tblDaily[WardCode],"FAE")),"")</f>
        <v>1</v>
      </c>
      <c r="H70" s="29">
        <f>IFERROR(IF(SUMIFS(tblDaily[Remaining],tblDaily[EntryDate],DATE(2026,2,25),tblDaily[WardCode],"FAE")=0,"",SUMIFS(tblDaily[Remaining],tblDaily[EntryDate],DATE(2026,2,25),tblDaily[WardCode],"FAE")),"")</f>
        <v>5</v>
      </c>
    </row>
    <row r="71" spans="1:8" x14ac:dyDescent="0.25">
      <c r="A71" s="29">
        <v>26</v>
      </c>
      <c r="B71" s="29">
        <f>IFERROR(IF(SUMIFS(tblDaily[Admissions],tblDaily[EntryDate],DATE(2026,2,26),tblDaily[WardCode],"FAE")=0,"",SUMIFS(tblDaily[Admissions],tblDaily[EntryDate],DATE(2026,2,26),tblDaily[WardCode],"FAE")),"")</f>
        <v>3</v>
      </c>
      <c r="C71" s="29">
        <f>IFERROR(IF(SUMIFS(tblDaily[Discharges],tblDaily[EntryDate],DATE(2026,2,26),tblDaily[WardCode],"FAE")=0,"",SUMIFS(tblDaily[Discharges],tblDaily[EntryDate],DATE(2026,2,26),tblDaily[WardCode],"FAE")),"")</f>
        <v>2</v>
      </c>
      <c r="D71" s="29" t="str">
        <f>IFERROR(IF(SUMIFS(tblDaily[Deaths],tblDaily[EntryDate],DATE(2026,2,26),tblDaily[WardCode],"FAE")=0,"",SUMIFS(tblDaily[Deaths],tblDaily[EntryDate],DATE(2026,2,26),tblDaily[WardCode],"FAE")),"")</f>
        <v/>
      </c>
      <c r="E71" s="29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29" t="str">
        <f>IFERROR(IF(SUMIFS(tblDaily[TransfersIn],tblDaily[EntryDate],DATE(2026,2,26),tblDaily[WardCode],"FAE")=0,"",SUMIFS(tblDaily[TransfersIn],tblDaily[EntryDate],DATE(2026,2,26),tblDaily[WardCode],"FAE")),"")</f>
        <v/>
      </c>
      <c r="G71" s="29">
        <f>IFERROR(IF(SUMIFS(tblDaily[TransfersOut],tblDaily[EntryDate],DATE(2026,2,26),tblDaily[WardCode],"FAE")=0,"",SUMIFS(tblDaily[TransfersOut],tblDaily[EntryDate],DATE(2026,2,26),tblDaily[WardCode],"FAE")),"")</f>
        <v>2</v>
      </c>
      <c r="H71" s="29">
        <f>IFERROR(IF(SUMIFS(tblDaily[Remaining],tblDaily[EntryDate],DATE(2026,2,26),tblDaily[WardCode],"FAE")=0,"",SUMIFS(tblDaily[Remaining],tblDaily[EntryDate],DATE(2026,2,26),tblDaily[WardCode],"FAE")),"")</f>
        <v>4</v>
      </c>
    </row>
    <row r="72" spans="1:8" x14ac:dyDescent="0.25">
      <c r="A72" s="29">
        <v>27</v>
      </c>
      <c r="B72" s="29">
        <f>IFERROR(IF(SUMIFS(tblDaily[Admissions],tblDaily[EntryDate],DATE(2026,2,27),tblDaily[WardCode],"FAE")=0,"",SUMIFS(tblDaily[Admissions],tblDaily[EntryDate],DATE(2026,2,27),tblDaily[WardCode],"FAE")),"")</f>
        <v>1</v>
      </c>
      <c r="C72" s="29">
        <f>IFERROR(IF(SUMIFS(tblDaily[Discharges],tblDaily[EntryDate],DATE(2026,2,27),tblDaily[WardCode],"FAE")=0,"",SUMIFS(tblDaily[Discharges],tblDaily[EntryDate],DATE(2026,2,27),tblDaily[WardCode],"FAE")),"")</f>
        <v>1</v>
      </c>
      <c r="D72" s="29">
        <f>IFERROR(IF(SUMIFS(tblDaily[Deaths],tblDaily[EntryDate],DATE(2026,2,27),tblDaily[WardCode],"FAE")=0,"",SUMIFS(tblDaily[Deaths],tblDaily[EntryDate],DATE(2026,2,27),tblDaily[WardCode],"FAE")),"")</f>
        <v>2</v>
      </c>
      <c r="E72" s="29">
        <f>IFERROR(IF(SUMIFS(tblDaily[DeathsUnder24Hrs],tblDaily[EntryDate],DATE(2026,2,27),tblDaily[WardCode],"FAE")=0,"",SUMIFS(tblDaily[DeathsUnder24Hrs],tblDaily[EntryDate],DATE(2026,2,27),tblDaily[WardCode],"FAE")),"")</f>
        <v>1</v>
      </c>
      <c r="F72" s="29" t="str">
        <f>IFERROR(IF(SUMIFS(tblDaily[TransfersIn],tblDaily[EntryDate],DATE(2026,2,27),tblDaily[WardCode],"FAE")=0,"",SUMIFS(tblDaily[TransfersIn],tblDaily[EntryDate],DATE(2026,2,27),tblDaily[WardCode],"FAE")),"")</f>
        <v/>
      </c>
      <c r="G72" s="29" t="str">
        <f>IFERROR(IF(SUMIFS(tblDaily[TransfersOut],tblDaily[EntryDate],DATE(2026,2,27),tblDaily[WardCode],"FAE")=0,"",SUMIFS(tblDaily[TransfersOut],tblDaily[EntryDate],DATE(2026,2,27),tblDaily[WardCode],"FAE")),"")</f>
        <v/>
      </c>
      <c r="H72" s="29">
        <f>IFERROR(IF(SUMIFS(tblDaily[Remaining],tblDaily[EntryDate],DATE(2026,2,27),tblDaily[WardCode],"FAE")=0,"",SUMIFS(tblDaily[Remaining],tblDaily[EntryDate],DATE(2026,2,27),tblDaily[WardCode],"FAE")),"")</f>
        <v>1</v>
      </c>
    </row>
    <row r="73" spans="1:8" x14ac:dyDescent="0.25">
      <c r="A73" s="29">
        <v>28</v>
      </c>
      <c r="B73" s="29">
        <f>IFERROR(IF(SUMIFS(tblDaily[Admissions],tblDaily[EntryDate],DATE(2026,2,28),tblDaily[WardCode],"FAE")=0,"",SUMIFS(tblDaily[Admissions],tblDaily[EntryDate],DATE(2026,2,28),tblDaily[WardCode],"FAE")),"")</f>
        <v>1</v>
      </c>
      <c r="C73" s="29" t="str">
        <f>IFERROR(IF(SUMIFS(tblDaily[Discharges],tblDaily[EntryDate],DATE(2026,2,28),tblDaily[WardCode],"FAE")=0,"",SUMIFS(tblDaily[Discharges],tblDaily[EntryDate],DATE(2026,2,28),tblDaily[WardCode],"FAE")),"")</f>
        <v/>
      </c>
      <c r="D73" s="29" t="str">
        <f>IFERROR(IF(SUMIFS(tblDaily[Deaths],tblDaily[EntryDate],DATE(2026,2,28),tblDaily[WardCode],"FAE")=0,"",SUMIFS(tblDaily[Deaths],tblDaily[EntryDate],DATE(2026,2,28),tblDaily[WardCode],"FAE")),"")</f>
        <v/>
      </c>
      <c r="E73" s="29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29" t="str">
        <f>IFERROR(IF(SUMIFS(tblDaily[TransfersIn],tblDaily[EntryDate],DATE(2026,2,28),tblDaily[WardCode],"FAE")=0,"",SUMIFS(tblDaily[TransfersIn],tblDaily[EntryDate],DATE(2026,2,28),tblDaily[WardCode],"FAE")),"")</f>
        <v/>
      </c>
      <c r="G73" s="29">
        <f>IFERROR(IF(SUMIFS(tblDaily[TransfersOut],tblDaily[EntryDate],DATE(2026,2,28),tblDaily[WardCode],"FAE")=0,"",SUMIFS(tblDaily[TransfersOut],tblDaily[EntryDate],DATE(2026,2,28),tblDaily[WardCode],"FAE")),"")</f>
        <v>1</v>
      </c>
      <c r="H73" s="29">
        <f>IFERROR(IF(SUMIFS(tblDaily[Remaining],tblDaily[EntryDate],DATE(2026,2,28),tblDaily[WardCode],"FAE")=0,"",SUMIFS(tblDaily[Remaining],tblDaily[EntryDate],DATE(2026,2,28),tblDaily[WardCode],"FAE")),"")</f>
        <v>1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SUMIFS(tblDaily[Admissions],tblDaily[Month],2,tblDaily[WardCode],"FAE") - SUMIFS(tblDaily[DeathsUnder24Hrs],tblDaily[Month],2,tblDaily[WardCode],"FAE")</f>
        <v>64</v>
      </c>
      <c r="C77" s="30">
        <f>SUMIFS(tblDaily[Discharges],tblDaily[Month],2,tblDaily[WardCode],"FAE")</f>
        <v>29</v>
      </c>
      <c r="D77" s="30">
        <f>SUMIFS(tblDaily[Deaths],tblDaily[Month],2,tblDaily[WardCode],"FAE")</f>
        <v>4</v>
      </c>
      <c r="E77" s="30">
        <f>SUMIFS(tblDaily[DeathsUnder24Hrs],tblDaily[Month],2,tblDaily[WardCode],"FAE")</f>
        <v>3</v>
      </c>
      <c r="F77" s="30">
        <f>SUMIFS(tblDaily[TransfersIn],tblDaily[Month],2,tblDaily[WardCode],"FAE")</f>
        <v>0</v>
      </c>
      <c r="G77" s="30">
        <f>SUMIFS(tblDaily[TransfersOut],tblDaily[Month],2,tblDaily[WardCode],"FAE")</f>
        <v>34</v>
      </c>
      <c r="H77" s="30">
        <f>SUMIFS(tblDaily[Remaining],tblDaily[Month],2,tblDaily[WardCode],"FAE")</f>
        <v>97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123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IFERROR(SUMIFS(tblDaily[Remaining],tblDaily[EntryDate],DATE(2026,2,28),tblDaily[WardCode],"FAE"),0)</f>
        <v>1</v>
      </c>
    </row>
    <row r="83" spans="1:8" x14ac:dyDescent="0.25">
      <c r="A83" s="24" t="s">
        <v>109</v>
      </c>
      <c r="H83" s="27">
        <f>IFERROR(INDEX(tblWardConfig[BedComplement],MATCH("FAE",tblWardConfig[WardCode],0)),0)</f>
        <v>10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>
        <f>IFERROR(IF(SUMIFS(tblDaily[Admissions],tblDaily[EntryDate],DATE(2026,3,1),tblDaily[WardCode],"FAE")=0,"",SUMIFS(tblDaily[Admissions],tblDaily[EntryDate],DATE(2026,3,1),tblDaily[WardCode],"FAE")),"")</f>
        <v>2</v>
      </c>
      <c r="C85" s="29" t="str">
        <f>IFERROR(IF(SUMIFS(tblDaily[Discharges],tblDaily[EntryDate],DATE(2026,3,1),tblDaily[WardCode],"FAE")=0,"",SUMIFS(tblDaily[Discharges],tblDaily[EntryDate],DATE(2026,3,1),tblDaily[WardCode],"FAE")),"")</f>
        <v/>
      </c>
      <c r="D85" s="29" t="str">
        <f>IFERROR(IF(SUMIFS(tblDaily[Deaths],tblDaily[EntryDate],DATE(2026,3,1),tblDaily[WardCode],"FAE")=0,"",SUMIFS(tblDaily[Deaths],tblDaily[EntryDate],DATE(2026,3,1),tblDaily[WardCode],"FAE")),"")</f>
        <v/>
      </c>
      <c r="E85" s="29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29" t="str">
        <f>IFERROR(IF(SUMIFS(tblDaily[TransfersIn],tblDaily[EntryDate],DATE(2026,3,1),tblDaily[WardCode],"FAE")=0,"",SUMIFS(tblDaily[TransfersIn],tblDaily[EntryDate],DATE(2026,3,1),tblDaily[WardCode],"FAE")),"")</f>
        <v/>
      </c>
      <c r="G85" s="29">
        <f>IFERROR(IF(SUMIFS(tblDaily[TransfersOut],tblDaily[EntryDate],DATE(2026,3,1),tblDaily[WardCode],"FAE")=0,"",SUMIFS(tblDaily[TransfersOut],tblDaily[EntryDate],DATE(2026,3,1),tblDaily[WardCode],"FAE")),"")</f>
        <v>1</v>
      </c>
      <c r="H85" s="29">
        <f>IFERROR(IF(SUMIFS(tblDaily[Remaining],tblDaily[EntryDate],DATE(2026,3,1),tblDaily[WardCode],"FAE")=0,"",SUMIFS(tblDaily[Remaining],tblDaily[EntryDate],DATE(2026,3,1),tblDaily[WardCode],"FAE")),"")</f>
        <v>2</v>
      </c>
    </row>
    <row r="86" spans="1:8" x14ac:dyDescent="0.25">
      <c r="A86" s="29">
        <v>2</v>
      </c>
      <c r="B86" s="29">
        <f>IFERROR(IF(SUMIFS(tblDaily[Admissions],tblDaily[EntryDate],DATE(2026,3,2),tblDaily[WardCode],"FAE")=0,"",SUMIFS(tblDaily[Admissions],tblDaily[EntryDate],DATE(2026,3,2),tblDaily[WardCode],"FAE")),"")</f>
        <v>1</v>
      </c>
      <c r="C86" s="29" t="str">
        <f>IFERROR(IF(SUMIFS(tblDaily[Discharges],tblDaily[EntryDate],DATE(2026,3,2),tblDaily[WardCode],"FAE")=0,"",SUMIFS(tblDaily[Discharges],tblDaily[EntryDate],DATE(2026,3,2),tblDaily[WardCode],"FAE")),"")</f>
        <v/>
      </c>
      <c r="D86" s="29" t="str">
        <f>IFERROR(IF(SUMIFS(tblDaily[Deaths],tblDaily[EntryDate],DATE(2026,3,2),tblDaily[WardCode],"FAE")=0,"",SUMIFS(tblDaily[Deaths],tblDaily[EntryDate],DATE(2026,3,2),tblDaily[WardCode],"FAE")),"")</f>
        <v/>
      </c>
      <c r="E86" s="29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29" t="str">
        <f>IFERROR(IF(SUMIFS(tblDaily[TransfersIn],tblDaily[EntryDate],DATE(2026,3,2),tblDaily[WardCode],"FAE")=0,"",SUMIFS(tblDaily[TransfersIn],tblDaily[EntryDate],DATE(2026,3,2),tblDaily[WardCode],"FAE")),"")</f>
        <v/>
      </c>
      <c r="G86" s="29" t="str">
        <f>IFERROR(IF(SUMIFS(tblDaily[TransfersOut],tblDaily[EntryDate],DATE(2026,3,2),tblDaily[WardCode],"FAE")=0,"",SUMIFS(tblDaily[TransfersOut],tblDaily[EntryDate],DATE(2026,3,2),tblDaily[WardCode],"FAE")),"")</f>
        <v/>
      </c>
      <c r="H86" s="29">
        <f>IFERROR(IF(SUMIFS(tblDaily[Remaining],tblDaily[EntryDate],DATE(2026,3,2),tblDaily[WardCode],"FAE")=0,"",SUMIFS(tblDaily[Remaining],tblDaily[EntryDate],DATE(2026,3,2),tblDaily[WardCode],"FAE")),"")</f>
        <v>3</v>
      </c>
    </row>
    <row r="87" spans="1:8" x14ac:dyDescent="0.25">
      <c r="A87" s="29">
        <v>3</v>
      </c>
      <c r="B87" s="29" t="str">
        <f>IFERROR(IF(SUMIFS(tblDaily[Admissions],tblDaily[EntryDate],DATE(2026,3,3),tblDaily[WardCode],"FAE")=0,"",SUMIFS(tblDaily[Admissions],tblDaily[EntryDate],DATE(2026,3,3),tblDaily[WardCode],"FAE")),"")</f>
        <v/>
      </c>
      <c r="C87" s="29" t="str">
        <f>IFERROR(IF(SUMIFS(tblDaily[Discharges],tblDaily[EntryDate],DATE(2026,3,3),tblDaily[WardCode],"FAE")=0,"",SUMIFS(tblDaily[Discharges],tblDaily[EntryDate],DATE(2026,3,3),tblDaily[WardCode],"FAE")),"")</f>
        <v/>
      </c>
      <c r="D87" s="29" t="str">
        <f>IFERROR(IF(SUMIFS(tblDaily[Deaths],tblDaily[EntryDate],DATE(2026,3,3),tblDaily[WardCode],"FAE")=0,"",SUMIFS(tblDaily[Deaths],tblDaily[EntryDate],DATE(2026,3,3),tblDaily[WardCode],"FAE")),"")</f>
        <v/>
      </c>
      <c r="E87" s="29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29" t="str">
        <f>IFERROR(IF(SUMIFS(tblDaily[TransfersIn],tblDaily[EntryDate],DATE(2026,3,3),tblDaily[WardCode],"FAE")=0,"",SUMIFS(tblDaily[TransfersIn],tblDaily[EntryDate],DATE(2026,3,3),tblDaily[WardCode],"FAE")),"")</f>
        <v/>
      </c>
      <c r="G87" s="29">
        <f>IFERROR(IF(SUMIFS(tblDaily[TransfersOut],tblDaily[EntryDate],DATE(2026,3,3),tblDaily[WardCode],"FAE")=0,"",SUMIFS(tblDaily[TransfersOut],tblDaily[EntryDate],DATE(2026,3,3),tblDaily[WardCode],"FAE")),"")</f>
        <v>2</v>
      </c>
      <c r="H87" s="29">
        <f>IFERROR(IF(SUMIFS(tblDaily[Remaining],tblDaily[EntryDate],DATE(2026,3,3),tblDaily[WardCode],"FAE")=0,"",SUMIFS(tblDaily[Remaining],tblDaily[EntryDate],DATE(2026,3,3),tblDaily[WardCode],"FAE")),"")</f>
        <v>1</v>
      </c>
    </row>
    <row r="88" spans="1:8" x14ac:dyDescent="0.25">
      <c r="A88" s="29">
        <v>4</v>
      </c>
      <c r="B88" s="29">
        <f>IFERROR(IF(SUMIFS(tblDaily[Admissions],tblDaily[EntryDate],DATE(2026,3,4),tblDaily[WardCode],"FAE")=0,"",SUMIFS(tblDaily[Admissions],tblDaily[EntryDate],DATE(2026,3,4),tblDaily[WardCode],"FAE")),"")</f>
        <v>1</v>
      </c>
      <c r="C88" s="29" t="str">
        <f>IFERROR(IF(SUMIFS(tblDaily[Discharges],tblDaily[EntryDate],DATE(2026,3,4),tblDaily[WardCode],"FAE")=0,"",SUMIFS(tblDaily[Discharges],tblDaily[EntryDate],DATE(2026,3,4),tblDaily[WardCode],"FAE")),"")</f>
        <v/>
      </c>
      <c r="D88" s="29" t="str">
        <f>IFERROR(IF(SUMIFS(tblDaily[Deaths],tblDaily[EntryDate],DATE(2026,3,4),tblDaily[WardCode],"FAE")=0,"",SUMIFS(tblDaily[Deaths],tblDaily[EntryDate],DATE(2026,3,4),tblDaily[WardCode],"FAE")),"")</f>
        <v/>
      </c>
      <c r="E88" s="29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29" t="str">
        <f>IFERROR(IF(SUMIFS(tblDaily[TransfersIn],tblDaily[EntryDate],DATE(2026,3,4),tblDaily[WardCode],"FAE")=0,"",SUMIFS(tblDaily[TransfersIn],tblDaily[EntryDate],DATE(2026,3,4),tblDaily[WardCode],"FAE")),"")</f>
        <v/>
      </c>
      <c r="G88" s="29">
        <f>IFERROR(IF(SUMIFS(tblDaily[TransfersOut],tblDaily[EntryDate],DATE(2026,3,4),tblDaily[WardCode],"FAE")=0,"",SUMIFS(tblDaily[TransfersOut],tblDaily[EntryDate],DATE(2026,3,4),tblDaily[WardCode],"FAE")),"")</f>
        <v>1</v>
      </c>
      <c r="H88" s="29">
        <f>IFERROR(IF(SUMIFS(tblDaily[Remaining],tblDaily[EntryDate],DATE(2026,3,4),tblDaily[WardCode],"FAE")=0,"",SUMIFS(tblDaily[Remaining],tblDaily[EntryDate],DATE(2026,3,4),tblDaily[WardCode],"FAE")),"")</f>
        <v>1</v>
      </c>
    </row>
    <row r="89" spans="1:8" x14ac:dyDescent="0.25">
      <c r="A89" s="29">
        <v>5</v>
      </c>
      <c r="B89" s="29" t="str">
        <f>IFERROR(IF(SUMIFS(tblDaily[Admissions],tblDaily[EntryDate],DATE(2026,3,5),tblDaily[WardCode],"FAE")=0,"",SUMIFS(tblDaily[Admissions],tblDaily[EntryDate],DATE(2026,3,5),tblDaily[WardCode],"FAE")),"")</f>
        <v/>
      </c>
      <c r="C89" s="29" t="str">
        <f>IFERROR(IF(SUMIFS(tblDaily[Discharges],tblDaily[EntryDate],DATE(2026,3,5),tblDaily[WardCode],"FAE")=0,"",SUMIFS(tblDaily[Discharges],tblDaily[EntryDate],DATE(2026,3,5),tblDaily[WardCode],"FAE")),"")</f>
        <v/>
      </c>
      <c r="D89" s="29" t="str">
        <f>IFERROR(IF(SUMIFS(tblDaily[Deaths],tblDaily[EntryDate],DATE(2026,3,5),tblDaily[WardCode],"FAE")=0,"",SUMIFS(tblDaily[Deaths],tblDaily[EntryDate],DATE(2026,3,5),tblDaily[WardCode],"FAE")),"")</f>
        <v/>
      </c>
      <c r="E89" s="29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29" t="str">
        <f>IFERROR(IF(SUMIFS(tblDaily[TransfersIn],tblDaily[EntryDate],DATE(2026,3,5),tblDaily[WardCode],"FAE")=0,"",SUMIFS(tblDaily[TransfersIn],tblDaily[EntryDate],DATE(2026,3,5),tblDaily[WardCode],"FAE")),"")</f>
        <v/>
      </c>
      <c r="G89" s="29" t="str">
        <f>IFERROR(IF(SUMIFS(tblDaily[TransfersOut],tblDaily[EntryDate],DATE(2026,3,5),tblDaily[WardCode],"FAE")=0,"",SUMIFS(tblDaily[TransfersOut],tblDaily[EntryDate],DATE(2026,3,5),tblDaily[WardCode],"FAE")),"")</f>
        <v/>
      </c>
      <c r="H89" s="29">
        <f>IFERROR(IF(SUMIFS(tblDaily[Remaining],tblDaily[EntryDate],DATE(2026,3,5),tblDaily[WardCode],"FAE")=0,"",SUMIFS(tblDaily[Remaining],tblDaily[EntryDate],DATE(2026,3,5),tblDaily[WardCode],"FAE")),"")</f>
        <v>1</v>
      </c>
    </row>
    <row r="90" spans="1:8" x14ac:dyDescent="0.25">
      <c r="A90" s="29">
        <v>6</v>
      </c>
      <c r="B90" s="29">
        <f>IFERROR(IF(SUMIFS(tblDaily[Admissions],tblDaily[EntryDate],DATE(2026,3,6),tblDaily[WardCode],"FAE")=0,"",SUMIFS(tblDaily[Admissions],tblDaily[EntryDate],DATE(2026,3,6),tblDaily[WardCode],"FAE")),"")</f>
        <v>1</v>
      </c>
      <c r="C90" s="29" t="str">
        <f>IFERROR(IF(SUMIFS(tblDaily[Discharges],tblDaily[EntryDate],DATE(2026,3,6),tblDaily[WardCode],"FAE")=0,"",SUMIFS(tblDaily[Discharges],tblDaily[EntryDate],DATE(2026,3,6),tblDaily[WardCode],"FAE")),"")</f>
        <v/>
      </c>
      <c r="D90" s="29" t="str">
        <f>IFERROR(IF(SUMIFS(tblDaily[Deaths],tblDaily[EntryDate],DATE(2026,3,6),tblDaily[WardCode],"FAE")=0,"",SUMIFS(tblDaily[Deaths],tblDaily[EntryDate],DATE(2026,3,6),tblDaily[WardCode],"FAE")),"")</f>
        <v/>
      </c>
      <c r="E90" s="29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29" t="str">
        <f>IFERROR(IF(SUMIFS(tblDaily[TransfersIn],tblDaily[EntryDate],DATE(2026,3,6),tblDaily[WardCode],"FAE")=0,"",SUMIFS(tblDaily[TransfersIn],tblDaily[EntryDate],DATE(2026,3,6),tblDaily[WardCode],"FAE")),"")</f>
        <v/>
      </c>
      <c r="G90" s="29">
        <f>IFERROR(IF(SUMIFS(tblDaily[TransfersOut],tblDaily[EntryDate],DATE(2026,3,6),tblDaily[WardCode],"FAE")=0,"",SUMIFS(tblDaily[TransfersOut],tblDaily[EntryDate],DATE(2026,3,6),tblDaily[WardCode],"FAE")),"")</f>
        <v>1</v>
      </c>
      <c r="H90" s="29">
        <f>IFERROR(IF(SUMIFS(tblDaily[Remaining],tblDaily[EntryDate],DATE(2026,3,6),tblDaily[WardCode],"FAE")=0,"",SUMIFS(tblDaily[Remaining],tblDaily[EntryDate],DATE(2026,3,6),tblDaily[WardCode],"FAE")),"")</f>
        <v>1</v>
      </c>
    </row>
    <row r="91" spans="1:8" x14ac:dyDescent="0.25">
      <c r="A91" s="29">
        <v>7</v>
      </c>
      <c r="B91" s="29">
        <f>IFERROR(IF(SUMIFS(tblDaily[Admissions],tblDaily[EntryDate],DATE(2026,3,7),tblDaily[WardCode],"FAE")=0,"",SUMIFS(tblDaily[Admissions],tblDaily[EntryDate],DATE(2026,3,7),tblDaily[WardCode],"FAE")),"")</f>
        <v>1</v>
      </c>
      <c r="C91" s="29" t="str">
        <f>IFERROR(IF(SUMIFS(tblDaily[Discharges],tblDaily[EntryDate],DATE(2026,3,7),tblDaily[WardCode],"FAE")=0,"",SUMIFS(tblDaily[Discharges],tblDaily[EntryDate],DATE(2026,3,7),tblDaily[WardCode],"FAE")),"")</f>
        <v/>
      </c>
      <c r="D91" s="29" t="str">
        <f>IFERROR(IF(SUMIFS(tblDaily[Deaths],tblDaily[EntryDate],DATE(2026,3,7),tblDaily[WardCode],"FAE")=0,"",SUMIFS(tblDaily[Deaths],tblDaily[EntryDate],DATE(2026,3,7),tblDaily[WardCode],"FAE")),"")</f>
        <v/>
      </c>
      <c r="E91" s="29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29" t="str">
        <f>IFERROR(IF(SUMIFS(tblDaily[TransfersIn],tblDaily[EntryDate],DATE(2026,3,7),tblDaily[WardCode],"FAE")=0,"",SUMIFS(tblDaily[TransfersIn],tblDaily[EntryDate],DATE(2026,3,7),tblDaily[WardCode],"FAE")),"")</f>
        <v/>
      </c>
      <c r="G91" s="29" t="str">
        <f>IFERROR(IF(SUMIFS(tblDaily[TransfersOut],tblDaily[EntryDate],DATE(2026,3,7),tblDaily[WardCode],"FAE")=0,"",SUMIFS(tblDaily[TransfersOut],tblDaily[EntryDate],DATE(2026,3,7),tblDaily[WardCode],"FAE")),"")</f>
        <v/>
      </c>
      <c r="H91" s="29">
        <f>IFERROR(IF(SUMIFS(tblDaily[Remaining],tblDaily[EntryDate],DATE(2026,3,7),tblDaily[WardCode],"FAE")=0,"",SUMIFS(tblDaily[Remaining],tblDaily[EntryDate],DATE(2026,3,7),tblDaily[WardCode],"FAE")),"")</f>
        <v>2</v>
      </c>
    </row>
    <row r="92" spans="1:8" x14ac:dyDescent="0.25">
      <c r="A92" s="29">
        <v>8</v>
      </c>
      <c r="B92" s="29">
        <f>IFERROR(IF(SUMIFS(tblDaily[Admissions],tblDaily[EntryDate],DATE(2026,3,8),tblDaily[WardCode],"FAE")=0,"",SUMIFS(tblDaily[Admissions],tblDaily[EntryDate],DATE(2026,3,8),tblDaily[WardCode],"FAE")),"")</f>
        <v>1</v>
      </c>
      <c r="C92" s="29" t="str">
        <f>IFERROR(IF(SUMIFS(tblDaily[Discharges],tblDaily[EntryDate],DATE(2026,3,8),tblDaily[WardCode],"FAE")=0,"",SUMIFS(tblDaily[Discharges],tblDaily[EntryDate],DATE(2026,3,8),tblDaily[WardCode],"FAE")),"")</f>
        <v/>
      </c>
      <c r="D92" s="29" t="str">
        <f>IFERROR(IF(SUMIFS(tblDaily[Deaths],tblDaily[EntryDate],DATE(2026,3,8),tblDaily[WardCode],"FAE")=0,"",SUMIFS(tblDaily[Deaths],tblDaily[EntryDate],DATE(2026,3,8),tblDaily[WardCode],"FAE")),"")</f>
        <v/>
      </c>
      <c r="E92" s="29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29" t="str">
        <f>IFERROR(IF(SUMIFS(tblDaily[TransfersIn],tblDaily[EntryDate],DATE(2026,3,8),tblDaily[WardCode],"FAE")=0,"",SUMIFS(tblDaily[TransfersIn],tblDaily[EntryDate],DATE(2026,3,8),tblDaily[WardCode],"FAE")),"")</f>
        <v/>
      </c>
      <c r="G92" s="29" t="str">
        <f>IFERROR(IF(SUMIFS(tblDaily[TransfersOut],tblDaily[EntryDate],DATE(2026,3,8),tblDaily[WardCode],"FAE")=0,"",SUMIFS(tblDaily[TransfersOut],tblDaily[EntryDate],DATE(2026,3,8),tblDaily[WardCode],"FAE")),"")</f>
        <v/>
      </c>
      <c r="H92" s="29">
        <f>IFERROR(IF(SUMIFS(tblDaily[Remaining],tblDaily[EntryDate],DATE(2026,3,8),tblDaily[WardCode],"FAE")=0,"",SUMIFS(tblDaily[Remaining],tblDaily[EntryDate],DATE(2026,3,8),tblDaily[WardCode],"FAE")),"")</f>
        <v>3</v>
      </c>
    </row>
    <row r="93" spans="1:8" x14ac:dyDescent="0.25">
      <c r="A93" s="29">
        <v>9</v>
      </c>
      <c r="B93" s="29" t="str">
        <f>IFERROR(IF(SUMIFS(tblDaily[Admissions],tblDaily[EntryDate],DATE(2026,3,9),tblDaily[WardCode],"FAE")=0,"",SUMIFS(tblDaily[Admissions],tblDaily[EntryDate],DATE(2026,3,9),tblDaily[WardCode],"FAE")),"")</f>
        <v/>
      </c>
      <c r="C93" s="29" t="str">
        <f>IFERROR(IF(SUMIFS(tblDaily[Discharges],tblDaily[EntryDate],DATE(2026,3,9),tblDaily[WardCode],"FAE")=0,"",SUMIFS(tblDaily[Discharges],tblDaily[EntryDate],DATE(2026,3,9),tblDaily[WardCode],"FAE")),"")</f>
        <v/>
      </c>
      <c r="D93" s="29" t="str">
        <f>IFERROR(IF(SUMIFS(tblDaily[Deaths],tblDaily[EntryDate],DATE(2026,3,9),tblDaily[WardCode],"FAE")=0,"",SUMIFS(tblDaily[Deaths],tblDaily[EntryDate],DATE(2026,3,9),tblDaily[WardCode],"FAE")),"")</f>
        <v/>
      </c>
      <c r="E93" s="29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29" t="str">
        <f>IFERROR(IF(SUMIFS(tblDaily[TransfersIn],tblDaily[EntryDate],DATE(2026,3,9),tblDaily[WardCode],"FAE")=0,"",SUMIFS(tblDaily[TransfersIn],tblDaily[EntryDate],DATE(2026,3,9),tblDaily[WardCode],"FAE")),"")</f>
        <v/>
      </c>
      <c r="G93" s="29">
        <f>IFERROR(IF(SUMIFS(tblDaily[TransfersOut],tblDaily[EntryDate],DATE(2026,3,9),tblDaily[WardCode],"FAE")=0,"",SUMIFS(tblDaily[TransfersOut],tblDaily[EntryDate],DATE(2026,3,9),tblDaily[WardCode],"FAE")),"")</f>
        <v>1</v>
      </c>
      <c r="H93" s="29">
        <f>IFERROR(IF(SUMIFS(tblDaily[Remaining],tblDaily[EntryDate],DATE(2026,3,9),tblDaily[WardCode],"FAE")=0,"",SUMIFS(tblDaily[Remaining],tblDaily[EntryDate],DATE(2026,3,9),tblDaily[WardCode],"FAE")),"")</f>
        <v>2</v>
      </c>
    </row>
    <row r="94" spans="1:8" x14ac:dyDescent="0.25">
      <c r="A94" s="29">
        <v>10</v>
      </c>
      <c r="B94" s="29">
        <f>IFERROR(IF(SUMIFS(tblDaily[Admissions],tblDaily[EntryDate],DATE(2026,3,10),tblDaily[WardCode],"FAE")=0,"",SUMIFS(tblDaily[Admissions],tblDaily[EntryDate],DATE(2026,3,10),tblDaily[WardCode],"FAE")),"")</f>
        <v>2</v>
      </c>
      <c r="C94" s="29" t="str">
        <f>IFERROR(IF(SUMIFS(tblDaily[Discharges],tblDaily[EntryDate],DATE(2026,3,10),tblDaily[WardCode],"FAE")=0,"",SUMIFS(tblDaily[Discharges],tblDaily[EntryDate],DATE(2026,3,10),tblDaily[WardCode],"FAE")),"")</f>
        <v/>
      </c>
      <c r="D94" s="29" t="str">
        <f>IFERROR(IF(SUMIFS(tblDaily[Deaths],tblDaily[EntryDate],DATE(2026,3,10),tblDaily[WardCode],"FAE")=0,"",SUMIFS(tblDaily[Deaths],tblDaily[EntryDate],DATE(2026,3,10),tblDaily[WardCode],"FAE")),"")</f>
        <v/>
      </c>
      <c r="E94" s="29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29" t="str">
        <f>IFERROR(IF(SUMIFS(tblDaily[TransfersIn],tblDaily[EntryDate],DATE(2026,3,10),tblDaily[WardCode],"FAE")=0,"",SUMIFS(tblDaily[TransfersIn],tblDaily[EntryDate],DATE(2026,3,10),tblDaily[WardCode],"FAE")),"")</f>
        <v/>
      </c>
      <c r="G94" s="29">
        <f>IFERROR(IF(SUMIFS(tblDaily[TransfersOut],tblDaily[EntryDate],DATE(2026,3,10),tblDaily[WardCode],"FAE")=0,"",SUMIFS(tblDaily[TransfersOut],tblDaily[EntryDate],DATE(2026,3,10),tblDaily[WardCode],"FAE")),"")</f>
        <v>1</v>
      </c>
      <c r="H94" s="29">
        <f>IFERROR(IF(SUMIFS(tblDaily[Remaining],tblDaily[EntryDate],DATE(2026,3,10),tblDaily[WardCode],"FAE")=0,"",SUMIFS(tblDaily[Remaining],tblDaily[EntryDate],DATE(2026,3,10),tblDaily[WardCode],"FAE")),"")</f>
        <v>3</v>
      </c>
    </row>
    <row r="95" spans="1:8" x14ac:dyDescent="0.25">
      <c r="A95" s="29">
        <v>11</v>
      </c>
      <c r="B95" s="29">
        <f>IFERROR(IF(SUMIFS(tblDaily[Admissions],tblDaily[EntryDate],DATE(2026,3,11),tblDaily[WardCode],"FAE")=0,"",SUMIFS(tblDaily[Admissions],tblDaily[EntryDate],DATE(2026,3,11),tblDaily[WardCode],"FAE")),"")</f>
        <v>1</v>
      </c>
      <c r="C95" s="29">
        <f>IFERROR(IF(SUMIFS(tblDaily[Discharges],tblDaily[EntryDate],DATE(2026,3,11),tblDaily[WardCode],"FAE")=0,"",SUMIFS(tblDaily[Discharges],tblDaily[EntryDate],DATE(2026,3,11),tblDaily[WardCode],"FAE")),"")</f>
        <v>2</v>
      </c>
      <c r="D95" s="29" t="str">
        <f>IFERROR(IF(SUMIFS(tblDaily[Deaths],tblDaily[EntryDate],DATE(2026,3,11),tblDaily[WardCode],"FAE")=0,"",SUMIFS(tblDaily[Deaths],tblDaily[EntryDate],DATE(2026,3,11),tblDaily[WardCode],"FAE")),"")</f>
        <v/>
      </c>
      <c r="E95" s="29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29" t="str">
        <f>IFERROR(IF(SUMIFS(tblDaily[TransfersIn],tblDaily[EntryDate],DATE(2026,3,11),tblDaily[WardCode],"FAE")=0,"",SUMIFS(tblDaily[TransfersIn],tblDaily[EntryDate],DATE(2026,3,11),tblDaily[WardCode],"FAE")),"")</f>
        <v/>
      </c>
      <c r="G95" s="29">
        <f>IFERROR(IF(SUMIFS(tblDaily[TransfersOut],tblDaily[EntryDate],DATE(2026,3,11),tblDaily[WardCode],"FAE")=0,"",SUMIFS(tblDaily[TransfersOut],tblDaily[EntryDate],DATE(2026,3,11),tblDaily[WardCode],"FAE")),"")</f>
        <v>1</v>
      </c>
      <c r="H95" s="29">
        <f>IFERROR(IF(SUMIFS(tblDaily[Remaining],tblDaily[EntryDate],DATE(2026,3,11),tblDaily[WardCode],"FAE")=0,"",SUMIFS(tblDaily[Remaining],tblDaily[EntryDate],DATE(2026,3,11),tblDaily[WardCode],"FAE")),"")</f>
        <v>1</v>
      </c>
    </row>
    <row r="96" spans="1:8" x14ac:dyDescent="0.25">
      <c r="A96" s="29">
        <v>12</v>
      </c>
      <c r="B96" s="29">
        <f>IFERROR(IF(SUMIFS(tblDaily[Admissions],tblDaily[EntryDate],DATE(2026,3,12),tblDaily[WardCode],"FAE")=0,"",SUMIFS(tblDaily[Admissions],tblDaily[EntryDate],DATE(2026,3,12),tblDaily[WardCode],"FAE")),"")</f>
        <v>1</v>
      </c>
      <c r="C96" s="29" t="str">
        <f>IFERROR(IF(SUMIFS(tblDaily[Discharges],tblDaily[EntryDate],DATE(2026,3,12),tblDaily[WardCode],"FAE")=0,"",SUMIFS(tblDaily[Discharges],tblDaily[EntryDate],DATE(2026,3,12),tblDaily[WardCode],"FAE")),"")</f>
        <v/>
      </c>
      <c r="D96" s="29" t="str">
        <f>IFERROR(IF(SUMIFS(tblDaily[Deaths],tblDaily[EntryDate],DATE(2026,3,12),tblDaily[WardCode],"FAE")=0,"",SUMIFS(tblDaily[Deaths],tblDaily[EntryDate],DATE(2026,3,12),tblDaily[WardCode],"FAE")),"")</f>
        <v/>
      </c>
      <c r="E96" s="29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29" t="str">
        <f>IFERROR(IF(SUMIFS(tblDaily[TransfersIn],tblDaily[EntryDate],DATE(2026,3,12),tblDaily[WardCode],"FAE")=0,"",SUMIFS(tblDaily[TransfersIn],tblDaily[EntryDate],DATE(2026,3,12),tblDaily[WardCode],"FAE")),"")</f>
        <v/>
      </c>
      <c r="G96" s="29" t="str">
        <f>IFERROR(IF(SUMIFS(tblDaily[TransfersOut],tblDaily[EntryDate],DATE(2026,3,12),tblDaily[WardCode],"FAE")=0,"",SUMIFS(tblDaily[TransfersOut],tblDaily[EntryDate],DATE(2026,3,12),tblDaily[WardCode],"FAE")),"")</f>
        <v/>
      </c>
      <c r="H96" s="29">
        <f>IFERROR(IF(SUMIFS(tblDaily[Remaining],tblDaily[EntryDate],DATE(2026,3,12),tblDaily[WardCode],"FAE")=0,"",SUMIFS(tblDaily[Remaining],tblDaily[EntryDate],DATE(2026,3,12),tblDaily[WardCode],"FAE")),"")</f>
        <v>2</v>
      </c>
    </row>
    <row r="97" spans="1:8" x14ac:dyDescent="0.25">
      <c r="A97" s="29">
        <v>13</v>
      </c>
      <c r="B97" s="29">
        <f>IFERROR(IF(SUMIFS(tblDaily[Admissions],tblDaily[EntryDate],DATE(2026,3,13),tblDaily[WardCode],"FAE")=0,"",SUMIFS(tblDaily[Admissions],tblDaily[EntryDate],DATE(2026,3,13),tblDaily[WardCode],"FAE")),"")</f>
        <v>2</v>
      </c>
      <c r="C97" s="29" t="str">
        <f>IFERROR(IF(SUMIFS(tblDaily[Discharges],tblDaily[EntryDate],DATE(2026,3,13),tblDaily[WardCode],"FAE")=0,"",SUMIFS(tblDaily[Discharges],tblDaily[EntryDate],DATE(2026,3,13),tblDaily[WardCode],"FAE")),"")</f>
        <v/>
      </c>
      <c r="D97" s="29" t="str">
        <f>IFERROR(IF(SUMIFS(tblDaily[Deaths],tblDaily[EntryDate],DATE(2026,3,13),tblDaily[WardCode],"FAE")=0,"",SUMIFS(tblDaily[Deaths],tblDaily[EntryDate],DATE(2026,3,13),tblDaily[WardCode],"FAE")),"")</f>
        <v/>
      </c>
      <c r="E97" s="29">
        <f>IFERROR(IF(SUMIFS(tblDaily[DeathsUnder24Hrs],tblDaily[EntryDate],DATE(2026,3,13),tblDaily[WardCode],"FAE")=0,"",SUMIFS(tblDaily[DeathsUnder24Hrs],tblDaily[EntryDate],DATE(2026,3,13),tblDaily[WardCode],"FAE")),"")</f>
        <v>1</v>
      </c>
      <c r="F97" s="29" t="str">
        <f>IFERROR(IF(SUMIFS(tblDaily[TransfersIn],tblDaily[EntryDate],DATE(2026,3,13),tblDaily[WardCode],"FAE")=0,"",SUMIFS(tblDaily[TransfersIn],tblDaily[EntryDate],DATE(2026,3,13),tblDaily[WardCode],"FAE")),"")</f>
        <v/>
      </c>
      <c r="G97" s="29" t="str">
        <f>IFERROR(IF(SUMIFS(tblDaily[TransfersOut],tblDaily[EntryDate],DATE(2026,3,13),tblDaily[WardCode],"FAE")=0,"",SUMIFS(tblDaily[TransfersOut],tblDaily[EntryDate],DATE(2026,3,13),tblDaily[WardCode],"FAE")),"")</f>
        <v/>
      </c>
      <c r="H97" s="29">
        <f>IFERROR(IF(SUMIFS(tblDaily[Remaining],tblDaily[EntryDate],DATE(2026,3,13),tblDaily[WardCode],"FAE")=0,"",SUMIFS(tblDaily[Remaining],tblDaily[EntryDate],DATE(2026,3,13),tblDaily[WardCode],"FAE")),"")</f>
        <v>3</v>
      </c>
    </row>
    <row r="98" spans="1:8" x14ac:dyDescent="0.25">
      <c r="A98" s="29">
        <v>14</v>
      </c>
      <c r="B98" s="29">
        <f>IFERROR(IF(SUMIFS(tblDaily[Admissions],tblDaily[EntryDate],DATE(2026,3,14),tblDaily[WardCode],"FAE")=0,"",SUMIFS(tblDaily[Admissions],tblDaily[EntryDate],DATE(2026,3,14),tblDaily[WardCode],"FAE")),"")</f>
        <v>2</v>
      </c>
      <c r="C98" s="29" t="str">
        <f>IFERROR(IF(SUMIFS(tblDaily[Discharges],tblDaily[EntryDate],DATE(2026,3,14),tblDaily[WardCode],"FAE")=0,"",SUMIFS(tblDaily[Discharges],tblDaily[EntryDate],DATE(2026,3,14),tblDaily[WardCode],"FAE")),"")</f>
        <v/>
      </c>
      <c r="D98" s="29" t="str">
        <f>IFERROR(IF(SUMIFS(tblDaily[Deaths],tblDaily[EntryDate],DATE(2026,3,14),tblDaily[WardCode],"FAE")=0,"",SUMIFS(tblDaily[Deaths],tblDaily[EntryDate],DATE(2026,3,14),tblDaily[WardCode],"FAE")),"")</f>
        <v/>
      </c>
      <c r="E98" s="29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29" t="str">
        <f>IFERROR(IF(SUMIFS(tblDaily[TransfersIn],tblDaily[EntryDate],DATE(2026,3,14),tblDaily[WardCode],"FAE")=0,"",SUMIFS(tblDaily[TransfersIn],tblDaily[EntryDate],DATE(2026,3,14),tblDaily[WardCode],"FAE")),"")</f>
        <v/>
      </c>
      <c r="G98" s="29" t="str">
        <f>IFERROR(IF(SUMIFS(tblDaily[TransfersOut],tblDaily[EntryDate],DATE(2026,3,14),tblDaily[WardCode],"FAE")=0,"",SUMIFS(tblDaily[TransfersOut],tblDaily[EntryDate],DATE(2026,3,14),tblDaily[WardCode],"FAE")),"")</f>
        <v/>
      </c>
      <c r="H98" s="29">
        <f>IFERROR(IF(SUMIFS(tblDaily[Remaining],tblDaily[EntryDate],DATE(2026,3,14),tblDaily[WardCode],"FAE")=0,"",SUMIFS(tblDaily[Remaining],tblDaily[EntryDate],DATE(2026,3,14),tblDaily[WardCode],"FAE")),"")</f>
        <v>5</v>
      </c>
    </row>
    <row r="99" spans="1:8" x14ac:dyDescent="0.25">
      <c r="A99" s="29">
        <v>15</v>
      </c>
      <c r="B99" s="29">
        <f>IFERROR(IF(SUMIFS(tblDaily[Admissions],tblDaily[EntryDate],DATE(2026,3,15),tblDaily[WardCode],"FAE")=0,"",SUMIFS(tblDaily[Admissions],tblDaily[EntryDate],DATE(2026,3,15),tblDaily[WardCode],"FAE")),"")</f>
        <v>2</v>
      </c>
      <c r="C99" s="29">
        <f>IFERROR(IF(SUMIFS(tblDaily[Discharges],tblDaily[EntryDate],DATE(2026,3,15),tblDaily[WardCode],"FAE")=0,"",SUMIFS(tblDaily[Discharges],tblDaily[EntryDate],DATE(2026,3,15),tblDaily[WardCode],"FAE")),"")</f>
        <v>3</v>
      </c>
      <c r="D99" s="29" t="str">
        <f>IFERROR(IF(SUMIFS(tblDaily[Deaths],tblDaily[EntryDate],DATE(2026,3,15),tblDaily[WardCode],"FAE")=0,"",SUMIFS(tblDaily[Deaths],tblDaily[EntryDate],DATE(2026,3,15),tblDaily[WardCode],"FAE")),"")</f>
        <v/>
      </c>
      <c r="E99" s="29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29" t="str">
        <f>IFERROR(IF(SUMIFS(tblDaily[TransfersIn],tblDaily[EntryDate],DATE(2026,3,15),tblDaily[WardCode],"FAE")=0,"",SUMIFS(tblDaily[TransfersIn],tblDaily[EntryDate],DATE(2026,3,15),tblDaily[WardCode],"FAE")),"")</f>
        <v/>
      </c>
      <c r="G99" s="29">
        <f>IFERROR(IF(SUMIFS(tblDaily[TransfersOut],tblDaily[EntryDate],DATE(2026,3,15),tblDaily[WardCode],"FAE")=0,"",SUMIFS(tblDaily[TransfersOut],tblDaily[EntryDate],DATE(2026,3,15),tblDaily[WardCode],"FAE")),"")</f>
        <v>2</v>
      </c>
      <c r="H99" s="29">
        <f>IFERROR(IF(SUMIFS(tblDaily[Remaining],tblDaily[EntryDate],DATE(2026,3,15),tblDaily[WardCode],"FAE")=0,"",SUMIFS(tblDaily[Remaining],tblDaily[EntryDate],DATE(2026,3,15),tblDaily[WardCode],"FAE")),"")</f>
        <v>2</v>
      </c>
    </row>
    <row r="100" spans="1:8" x14ac:dyDescent="0.25">
      <c r="A100" s="29">
        <v>16</v>
      </c>
      <c r="B100" s="29">
        <f>IFERROR(IF(SUMIFS(tblDaily[Admissions],tblDaily[EntryDate],DATE(2026,3,16),tblDaily[WardCode],"FAE")=0,"",SUMIFS(tblDaily[Admissions],tblDaily[EntryDate],DATE(2026,3,16),tblDaily[WardCode],"FAE")),"")</f>
        <v>2</v>
      </c>
      <c r="C100" s="29" t="str">
        <f>IFERROR(IF(SUMIFS(tblDaily[Discharges],tblDaily[EntryDate],DATE(2026,3,16),tblDaily[WardCode],"FAE")=0,"",SUMIFS(tblDaily[Discharges],tblDaily[EntryDate],DATE(2026,3,16),tblDaily[WardCode],"FAE")),"")</f>
        <v/>
      </c>
      <c r="D100" s="29" t="str">
        <f>IFERROR(IF(SUMIFS(tblDaily[Deaths],tblDaily[EntryDate],DATE(2026,3,16),tblDaily[WardCode],"FAE")=0,"",SUMIFS(tblDaily[Deaths],tblDaily[EntryDate],DATE(2026,3,16),tblDaily[WardCode],"FAE")),"")</f>
        <v/>
      </c>
      <c r="E100" s="29">
        <f>IFERROR(IF(SUMIFS(tblDaily[DeathsUnder24Hrs],tblDaily[EntryDate],DATE(2026,3,16),tblDaily[WardCode],"FAE")=0,"",SUMIFS(tblDaily[DeathsUnder24Hrs],tblDaily[EntryDate],DATE(2026,3,16),tblDaily[WardCode],"FAE")),"")</f>
        <v>1</v>
      </c>
      <c r="F100" s="29" t="str">
        <f>IFERROR(IF(SUMIFS(tblDaily[TransfersIn],tblDaily[EntryDate],DATE(2026,3,16),tblDaily[WardCode],"FAE")=0,"",SUMIFS(tblDaily[TransfersIn],tblDaily[EntryDate],DATE(2026,3,16),tblDaily[WardCode],"FAE")),"")</f>
        <v/>
      </c>
      <c r="G100" s="29" t="str">
        <f>IFERROR(IF(SUMIFS(tblDaily[TransfersOut],tblDaily[EntryDate],DATE(2026,3,16),tblDaily[WardCode],"FAE")=0,"",SUMIFS(tblDaily[TransfersOut],tblDaily[EntryDate],DATE(2026,3,16),tblDaily[WardCode],"FAE")),"")</f>
        <v/>
      </c>
      <c r="H100" s="29">
        <f>IFERROR(IF(SUMIFS(tblDaily[Remaining],tblDaily[EntryDate],DATE(2026,3,16),tblDaily[WardCode],"FAE")=0,"",SUMIFS(tblDaily[Remaining],tblDaily[EntryDate],DATE(2026,3,16),tblDaily[WardCode],"FAE")),"")</f>
        <v>3</v>
      </c>
    </row>
    <row r="101" spans="1:8" x14ac:dyDescent="0.25">
      <c r="A101" s="29">
        <v>17</v>
      </c>
      <c r="B101" s="29">
        <f>IFERROR(IF(SUMIFS(tblDaily[Admissions],tblDaily[EntryDate],DATE(2026,3,17),tblDaily[WardCode],"FAE")=0,"",SUMIFS(tblDaily[Admissions],tblDaily[EntryDate],DATE(2026,3,17),tblDaily[WardCode],"FAE")),"")</f>
        <v>4</v>
      </c>
      <c r="C101" s="29" t="str">
        <f>IFERROR(IF(SUMIFS(tblDaily[Discharges],tblDaily[EntryDate],DATE(2026,3,17),tblDaily[WardCode],"FAE")=0,"",SUMIFS(tblDaily[Discharges],tblDaily[EntryDate],DATE(2026,3,17),tblDaily[WardCode],"FAE")),"")</f>
        <v/>
      </c>
      <c r="D101" s="29" t="str">
        <f>IFERROR(IF(SUMIFS(tblDaily[Deaths],tblDaily[EntryDate],DATE(2026,3,17),tblDaily[WardCode],"FAE")=0,"",SUMIFS(tblDaily[Deaths],tblDaily[EntryDate],DATE(2026,3,17),tblDaily[WardCode],"FAE")),"")</f>
        <v/>
      </c>
      <c r="E101" s="29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29" t="str">
        <f>IFERROR(IF(SUMIFS(tblDaily[TransfersIn],tblDaily[EntryDate],DATE(2026,3,17),tblDaily[WardCode],"FAE")=0,"",SUMIFS(tblDaily[TransfersIn],tblDaily[EntryDate],DATE(2026,3,17),tblDaily[WardCode],"FAE")),"")</f>
        <v/>
      </c>
      <c r="G101" s="29" t="str">
        <f>IFERROR(IF(SUMIFS(tblDaily[TransfersOut],tblDaily[EntryDate],DATE(2026,3,17),tblDaily[WardCode],"FAE")=0,"",SUMIFS(tblDaily[TransfersOut],tblDaily[EntryDate],DATE(2026,3,17),tblDaily[WardCode],"FAE")),"")</f>
        <v/>
      </c>
      <c r="H101" s="29">
        <f>IFERROR(IF(SUMIFS(tblDaily[Remaining],tblDaily[EntryDate],DATE(2026,3,17),tblDaily[WardCode],"FAE")=0,"",SUMIFS(tblDaily[Remaining],tblDaily[EntryDate],DATE(2026,3,17),tblDaily[WardCode],"FAE")),"")</f>
        <v>7</v>
      </c>
    </row>
    <row r="102" spans="1:8" x14ac:dyDescent="0.25">
      <c r="A102" s="29">
        <v>18</v>
      </c>
      <c r="B102" s="29">
        <f>IFERROR(IF(SUMIFS(tblDaily[Admissions],tblDaily[EntryDate],DATE(2026,3,18),tblDaily[WardCode],"FAE")=0,"",SUMIFS(tblDaily[Admissions],tblDaily[EntryDate],DATE(2026,3,18),tblDaily[WardCode],"FAE")),"")</f>
        <v>1</v>
      </c>
      <c r="C102" s="29">
        <f>IFERROR(IF(SUMIFS(tblDaily[Discharges],tblDaily[EntryDate],DATE(2026,3,18),tblDaily[WardCode],"FAE")=0,"",SUMIFS(tblDaily[Discharges],tblDaily[EntryDate],DATE(2026,3,18),tblDaily[WardCode],"FAE")),"")</f>
        <v>2</v>
      </c>
      <c r="D102" s="29" t="str">
        <f>IFERROR(IF(SUMIFS(tblDaily[Deaths],tblDaily[EntryDate],DATE(2026,3,18),tblDaily[WardCode],"FAE")=0,"",SUMIFS(tblDaily[Deaths],tblDaily[EntryDate],DATE(2026,3,18),tblDaily[WardCode],"FAE")),"")</f>
        <v/>
      </c>
      <c r="E102" s="29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29" t="str">
        <f>IFERROR(IF(SUMIFS(tblDaily[TransfersIn],tblDaily[EntryDate],DATE(2026,3,18),tblDaily[WardCode],"FAE")=0,"",SUMIFS(tblDaily[TransfersIn],tblDaily[EntryDate],DATE(2026,3,18),tblDaily[WardCode],"FAE")),"")</f>
        <v/>
      </c>
      <c r="G102" s="29">
        <f>IFERROR(IF(SUMIFS(tblDaily[TransfersOut],tblDaily[EntryDate],DATE(2026,3,18),tblDaily[WardCode],"FAE")=0,"",SUMIFS(tblDaily[TransfersOut],tblDaily[EntryDate],DATE(2026,3,18),tblDaily[WardCode],"FAE")),"")</f>
        <v>4</v>
      </c>
      <c r="H102" s="29">
        <f>IFERROR(IF(SUMIFS(tblDaily[Remaining],tblDaily[EntryDate],DATE(2026,3,18),tblDaily[WardCode],"FAE")=0,"",SUMIFS(tblDaily[Remaining],tblDaily[EntryDate],DATE(2026,3,18),tblDaily[WardCode],"FAE")),"")</f>
        <v>2</v>
      </c>
    </row>
    <row r="103" spans="1:8" x14ac:dyDescent="0.25">
      <c r="A103" s="29">
        <v>19</v>
      </c>
      <c r="B103" s="29" t="str">
        <f>IFERROR(IF(SUMIFS(tblDaily[Admissions],tblDaily[EntryDate],DATE(2026,3,19),tblDaily[WardCode],"FAE")=0,"",SUMIFS(tblDaily[Admissions],tblDaily[EntryDate],DATE(2026,3,19),tblDaily[WardCode],"FAE")),"")</f>
        <v/>
      </c>
      <c r="C103" s="29" t="str">
        <f>IFERROR(IF(SUMIFS(tblDaily[Discharges],tblDaily[EntryDate],DATE(2026,3,19),tblDaily[WardCode],"FAE")=0,"",SUMIFS(tblDaily[Discharges],tblDaily[EntryDate],DATE(2026,3,19),tblDaily[WardCode],"FAE")),"")</f>
        <v/>
      </c>
      <c r="D103" s="29" t="str">
        <f>IFERROR(IF(SUMIFS(tblDaily[Deaths],tblDaily[EntryDate],DATE(2026,3,19),tblDaily[WardCode],"FAE")=0,"",SUMIFS(tblDaily[Deaths],tblDaily[EntryDate],DATE(2026,3,19),tblDaily[WardCode],"FAE")),"")</f>
        <v/>
      </c>
      <c r="E103" s="29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29" t="str">
        <f>IFERROR(IF(SUMIFS(tblDaily[TransfersIn],tblDaily[EntryDate],DATE(2026,3,19),tblDaily[WardCode],"FAE")=0,"",SUMIFS(tblDaily[TransfersIn],tblDaily[EntryDate],DATE(2026,3,19),tblDaily[WardCode],"FAE")),"")</f>
        <v/>
      </c>
      <c r="G103" s="29" t="str">
        <f>IFERROR(IF(SUMIFS(tblDaily[TransfersOut],tblDaily[EntryDate],DATE(2026,3,19),tblDaily[WardCode],"FAE")=0,"",SUMIFS(tblDaily[TransfersOut],tblDaily[EntryDate],DATE(2026,3,19),tblDaily[WardCode],"FAE")),"")</f>
        <v/>
      </c>
      <c r="H103" s="29">
        <f>IFERROR(IF(SUMIFS(tblDaily[Remaining],tblDaily[EntryDate],DATE(2026,3,19),tblDaily[WardCode],"FAE")=0,"",SUMIFS(tblDaily[Remaining],tblDaily[EntryDate],DATE(2026,3,19),tblDaily[WardCode],"FAE")),"")</f>
        <v>2</v>
      </c>
    </row>
    <row r="104" spans="1:8" x14ac:dyDescent="0.25">
      <c r="A104" s="29">
        <v>20</v>
      </c>
      <c r="B104" s="29">
        <f>IFERROR(IF(SUMIFS(tblDaily[Admissions],tblDaily[EntryDate],DATE(2026,3,20),tblDaily[WardCode],"FAE")=0,"",SUMIFS(tblDaily[Admissions],tblDaily[EntryDate],DATE(2026,3,20),tblDaily[WardCode],"FAE")),"")</f>
        <v>1</v>
      </c>
      <c r="C104" s="29">
        <f>IFERROR(IF(SUMIFS(tblDaily[Discharges],tblDaily[EntryDate],DATE(2026,3,20),tblDaily[WardCode],"FAE")=0,"",SUMIFS(tblDaily[Discharges],tblDaily[EntryDate],DATE(2026,3,20),tblDaily[WardCode],"FAE")),"")</f>
        <v>1</v>
      </c>
      <c r="D104" s="29" t="str">
        <f>IFERROR(IF(SUMIFS(tblDaily[Deaths],tblDaily[EntryDate],DATE(2026,3,20),tblDaily[WardCode],"FAE")=0,"",SUMIFS(tblDaily[Deaths],tblDaily[EntryDate],DATE(2026,3,20),tblDaily[WardCode],"FAE")),"")</f>
        <v/>
      </c>
      <c r="E104" s="29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29" t="str">
        <f>IFERROR(IF(SUMIFS(tblDaily[TransfersIn],tblDaily[EntryDate],DATE(2026,3,20),tblDaily[WardCode],"FAE")=0,"",SUMIFS(tblDaily[TransfersIn],tblDaily[EntryDate],DATE(2026,3,20),tblDaily[WardCode],"FAE")),"")</f>
        <v/>
      </c>
      <c r="G104" s="29">
        <f>IFERROR(IF(SUMIFS(tblDaily[TransfersOut],tblDaily[EntryDate],DATE(2026,3,20),tblDaily[WardCode],"FAE")=0,"",SUMIFS(tblDaily[TransfersOut],tblDaily[EntryDate],DATE(2026,3,20),tblDaily[WardCode],"FAE")),"")</f>
        <v>1</v>
      </c>
      <c r="H104" s="29">
        <f>IFERROR(IF(SUMIFS(tblDaily[Remaining],tblDaily[EntryDate],DATE(2026,3,20),tblDaily[WardCode],"FAE")=0,"",SUMIFS(tblDaily[Remaining],tblDaily[EntryDate],DATE(2026,3,20),tblDaily[WardCode],"FAE")),"")</f>
        <v>1</v>
      </c>
    </row>
    <row r="105" spans="1:8" x14ac:dyDescent="0.25">
      <c r="A105" s="29">
        <v>21</v>
      </c>
      <c r="B105" s="29">
        <f>IFERROR(IF(SUMIFS(tblDaily[Admissions],tblDaily[EntryDate],DATE(2026,3,21),tblDaily[WardCode],"FAE")=0,"",SUMIFS(tblDaily[Admissions],tblDaily[EntryDate],DATE(2026,3,21),tblDaily[WardCode],"FAE")),"")</f>
        <v>2</v>
      </c>
      <c r="C105" s="29" t="str">
        <f>IFERROR(IF(SUMIFS(tblDaily[Discharges],tblDaily[EntryDate],DATE(2026,3,21),tblDaily[WardCode],"FAE")=0,"",SUMIFS(tblDaily[Discharges],tblDaily[EntryDate],DATE(2026,3,21),tblDaily[WardCode],"FAE")),"")</f>
        <v/>
      </c>
      <c r="D105" s="29" t="str">
        <f>IFERROR(IF(SUMIFS(tblDaily[Deaths],tblDaily[EntryDate],DATE(2026,3,21),tblDaily[WardCode],"FAE")=0,"",SUMIFS(tblDaily[Deaths],tblDaily[EntryDate],DATE(2026,3,21),tblDaily[WardCode],"FAE")),"")</f>
        <v/>
      </c>
      <c r="E105" s="29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29" t="str">
        <f>IFERROR(IF(SUMIFS(tblDaily[TransfersIn],tblDaily[EntryDate],DATE(2026,3,21),tblDaily[WardCode],"FAE")=0,"",SUMIFS(tblDaily[TransfersIn],tblDaily[EntryDate],DATE(2026,3,21),tblDaily[WardCode],"FAE")),"")</f>
        <v/>
      </c>
      <c r="G105" s="29">
        <f>IFERROR(IF(SUMIFS(tblDaily[TransfersOut],tblDaily[EntryDate],DATE(2026,3,21),tblDaily[WardCode],"FAE")=0,"",SUMIFS(tblDaily[TransfersOut],tblDaily[EntryDate],DATE(2026,3,21),tblDaily[WardCode],"FAE")),"")</f>
        <v>1</v>
      </c>
      <c r="H105" s="29">
        <f>IFERROR(IF(SUMIFS(tblDaily[Remaining],tblDaily[EntryDate],DATE(2026,3,21),tblDaily[WardCode],"FAE")=0,"",SUMIFS(tblDaily[Remaining],tblDaily[EntryDate],DATE(2026,3,21),tblDaily[WardCode],"FAE")),"")</f>
        <v>2</v>
      </c>
    </row>
    <row r="106" spans="1:8" x14ac:dyDescent="0.25">
      <c r="A106" s="29">
        <v>22</v>
      </c>
      <c r="B106" s="29" t="str">
        <f>IFERROR(IF(SUMIFS(tblDaily[Admissions],tblDaily[EntryDate],DATE(2026,3,22),tblDaily[WardCode],"FAE")=0,"",SUMIFS(tblDaily[Admissions],tblDaily[EntryDate],DATE(2026,3,22),tblDaily[WardCode],"FAE")),"")</f>
        <v/>
      </c>
      <c r="C106" s="29" t="str">
        <f>IFERROR(IF(SUMIFS(tblDaily[Discharges],tblDaily[EntryDate],DATE(2026,3,22),tblDaily[WardCode],"FAE")=0,"",SUMIFS(tblDaily[Discharges],tblDaily[EntryDate],DATE(2026,3,22),tblDaily[WardCode],"FAE")),"")</f>
        <v/>
      </c>
      <c r="D106" s="29" t="str">
        <f>IFERROR(IF(SUMIFS(tblDaily[Deaths],tblDaily[EntryDate],DATE(2026,3,22),tblDaily[WardCode],"FAE")=0,"",SUMIFS(tblDaily[Deaths],tblDaily[EntryDate],DATE(2026,3,22),tblDaily[WardCode],"FAE")),"")</f>
        <v/>
      </c>
      <c r="E106" s="29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29" t="str">
        <f>IFERROR(IF(SUMIFS(tblDaily[TransfersIn],tblDaily[EntryDate],DATE(2026,3,22),tblDaily[WardCode],"FAE")=0,"",SUMIFS(tblDaily[TransfersIn],tblDaily[EntryDate],DATE(2026,3,22),tblDaily[WardCode],"FAE")),"")</f>
        <v/>
      </c>
      <c r="G106" s="29" t="str">
        <f>IFERROR(IF(SUMIFS(tblDaily[TransfersOut],tblDaily[EntryDate],DATE(2026,3,22),tblDaily[WardCode],"FAE")=0,"",SUMIFS(tblDaily[TransfersOut],tblDaily[EntryDate],DATE(2026,3,22),tblDaily[WardCode],"FAE")),"")</f>
        <v/>
      </c>
      <c r="H106" s="29">
        <f>IFERROR(IF(SUMIFS(tblDaily[Remaining],tblDaily[EntryDate],DATE(2026,3,22),tblDaily[WardCode],"FAE")=0,"",SUMIFS(tblDaily[Remaining],tblDaily[EntryDate],DATE(2026,3,22),tblDaily[WardCode],"FAE")),"")</f>
        <v>2</v>
      </c>
    </row>
    <row r="107" spans="1:8" x14ac:dyDescent="0.25">
      <c r="A107" s="29">
        <v>23</v>
      </c>
      <c r="B107" s="29">
        <f>IFERROR(IF(SUMIFS(tblDaily[Admissions],tblDaily[EntryDate],DATE(2026,3,23),tblDaily[WardCode],"FAE")=0,"",SUMIFS(tblDaily[Admissions],tblDaily[EntryDate],DATE(2026,3,23),tblDaily[WardCode],"FAE")),"")</f>
        <v>4</v>
      </c>
      <c r="C107" s="29" t="str">
        <f>IFERROR(IF(SUMIFS(tblDaily[Discharges],tblDaily[EntryDate],DATE(2026,3,23),tblDaily[WardCode],"FAE")=0,"",SUMIFS(tblDaily[Discharges],tblDaily[EntryDate],DATE(2026,3,23),tblDaily[WardCode],"FAE")),"")</f>
        <v/>
      </c>
      <c r="D107" s="29" t="str">
        <f>IFERROR(IF(SUMIFS(tblDaily[Deaths],tblDaily[EntryDate],DATE(2026,3,23),tblDaily[WardCode],"FAE")=0,"",SUMIFS(tblDaily[Deaths],tblDaily[EntryDate],DATE(2026,3,23),tblDaily[WardCode],"FAE")),"")</f>
        <v/>
      </c>
      <c r="E107" s="29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29" t="str">
        <f>IFERROR(IF(SUMIFS(tblDaily[TransfersIn],tblDaily[EntryDate],DATE(2026,3,23),tblDaily[WardCode],"FAE")=0,"",SUMIFS(tblDaily[TransfersIn],tblDaily[EntryDate],DATE(2026,3,23),tblDaily[WardCode],"FAE")),"")</f>
        <v/>
      </c>
      <c r="G107" s="29">
        <f>IFERROR(IF(SUMIFS(tblDaily[TransfersOut],tblDaily[EntryDate],DATE(2026,3,23),tblDaily[WardCode],"FAE")=0,"",SUMIFS(tblDaily[TransfersOut],tblDaily[EntryDate],DATE(2026,3,23),tblDaily[WardCode],"FAE")),"")</f>
        <v>1</v>
      </c>
      <c r="H107" s="29">
        <f>IFERROR(IF(SUMIFS(tblDaily[Remaining],tblDaily[EntryDate],DATE(2026,3,23),tblDaily[WardCode],"FAE")=0,"",SUMIFS(tblDaily[Remaining],tblDaily[EntryDate],DATE(2026,3,23),tblDaily[WardCode],"FAE")),"")</f>
        <v>5</v>
      </c>
    </row>
    <row r="108" spans="1:8" x14ac:dyDescent="0.25">
      <c r="A108" s="29">
        <v>24</v>
      </c>
      <c r="B108" s="29">
        <f>IFERROR(IF(SUMIFS(tblDaily[Admissions],tblDaily[EntryDate],DATE(2026,3,24),tblDaily[WardCode],"FAE")=0,"",SUMIFS(tblDaily[Admissions],tblDaily[EntryDate],DATE(2026,3,24),tblDaily[WardCode],"FAE")),"")</f>
        <v>3</v>
      </c>
      <c r="C108" s="29" t="str">
        <f>IFERROR(IF(SUMIFS(tblDaily[Discharges],tblDaily[EntryDate],DATE(2026,3,24),tblDaily[WardCode],"FAE")=0,"",SUMIFS(tblDaily[Discharges],tblDaily[EntryDate],DATE(2026,3,24),tblDaily[WardCode],"FAE")),"")</f>
        <v/>
      </c>
      <c r="D108" s="29" t="str">
        <f>IFERROR(IF(SUMIFS(tblDaily[Deaths],tblDaily[EntryDate],DATE(2026,3,24),tblDaily[WardCode],"FAE")=0,"",SUMIFS(tblDaily[Deaths],tblDaily[EntryDate],DATE(2026,3,24),tblDaily[WardCode],"FAE")),"")</f>
        <v/>
      </c>
      <c r="E108" s="29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29" t="str">
        <f>IFERROR(IF(SUMIFS(tblDaily[TransfersIn],tblDaily[EntryDate],DATE(2026,3,24),tblDaily[WardCode],"FAE")=0,"",SUMIFS(tblDaily[TransfersIn],tblDaily[EntryDate],DATE(2026,3,24),tblDaily[WardCode],"FAE")),"")</f>
        <v/>
      </c>
      <c r="G108" s="29">
        <f>IFERROR(IF(SUMIFS(tblDaily[TransfersOut],tblDaily[EntryDate],DATE(2026,3,24),tblDaily[WardCode],"FAE")=0,"",SUMIFS(tblDaily[TransfersOut],tblDaily[EntryDate],DATE(2026,3,24),tblDaily[WardCode],"FAE")),"")</f>
        <v>3</v>
      </c>
      <c r="H108" s="29">
        <f>IFERROR(IF(SUMIFS(tblDaily[Remaining],tblDaily[EntryDate],DATE(2026,3,24),tblDaily[WardCode],"FAE")=0,"",SUMIFS(tblDaily[Remaining],tblDaily[EntryDate],DATE(2026,3,24),tblDaily[WardCode],"FAE")),"")</f>
        <v>5</v>
      </c>
    </row>
    <row r="109" spans="1:8" x14ac:dyDescent="0.25">
      <c r="A109" s="29">
        <v>25</v>
      </c>
      <c r="B109" s="29">
        <f>IFERROR(IF(SUMIFS(tblDaily[Admissions],tblDaily[EntryDate],DATE(2026,3,25),tblDaily[WardCode],"FAE")=0,"",SUMIFS(tblDaily[Admissions],tblDaily[EntryDate],DATE(2026,3,25),tblDaily[WardCode],"FAE")),"")</f>
        <v>2</v>
      </c>
      <c r="C109" s="29" t="str">
        <f>IFERROR(IF(SUMIFS(tblDaily[Discharges],tblDaily[EntryDate],DATE(2026,3,25),tblDaily[WardCode],"FAE")=0,"",SUMIFS(tblDaily[Discharges],tblDaily[EntryDate],DATE(2026,3,25),tblDaily[WardCode],"FAE")),"")</f>
        <v/>
      </c>
      <c r="D109" s="29" t="str">
        <f>IFERROR(IF(SUMIFS(tblDaily[Deaths],tblDaily[EntryDate],DATE(2026,3,25),tblDaily[WardCode],"FAE")=0,"",SUMIFS(tblDaily[Deaths],tblDaily[EntryDate],DATE(2026,3,25),tblDaily[WardCode],"FAE")),"")</f>
        <v/>
      </c>
      <c r="E109" s="29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29" t="str">
        <f>IFERROR(IF(SUMIFS(tblDaily[TransfersIn],tblDaily[EntryDate],DATE(2026,3,25),tblDaily[WardCode],"FAE")=0,"",SUMIFS(tblDaily[TransfersIn],tblDaily[EntryDate],DATE(2026,3,25),tblDaily[WardCode],"FAE")),"")</f>
        <v/>
      </c>
      <c r="G109" s="29" t="str">
        <f>IFERROR(IF(SUMIFS(tblDaily[TransfersOut],tblDaily[EntryDate],DATE(2026,3,25),tblDaily[WardCode],"FAE")=0,"",SUMIFS(tblDaily[TransfersOut],tblDaily[EntryDate],DATE(2026,3,25),tblDaily[WardCode],"FAE")),"")</f>
        <v/>
      </c>
      <c r="H109" s="29">
        <f>IFERROR(IF(SUMIFS(tblDaily[Remaining],tblDaily[EntryDate],DATE(2026,3,25),tblDaily[WardCode],"FAE")=0,"",SUMIFS(tblDaily[Remaining],tblDaily[EntryDate],DATE(2026,3,25),tblDaily[WardCode],"FAE")),"")</f>
        <v>7</v>
      </c>
    </row>
    <row r="110" spans="1:8" x14ac:dyDescent="0.25">
      <c r="A110" s="29">
        <v>26</v>
      </c>
      <c r="B110" s="29">
        <f>IFERROR(IF(SUMIFS(tblDaily[Admissions],tblDaily[EntryDate],DATE(2026,3,26),tblDaily[WardCode],"FAE")=0,"",SUMIFS(tblDaily[Admissions],tblDaily[EntryDate],DATE(2026,3,26),tblDaily[WardCode],"FAE")),"")</f>
        <v>2</v>
      </c>
      <c r="C110" s="29">
        <f>IFERROR(IF(SUMIFS(tblDaily[Discharges],tblDaily[EntryDate],DATE(2026,3,26),tblDaily[WardCode],"FAE")=0,"",SUMIFS(tblDaily[Discharges],tblDaily[EntryDate],DATE(2026,3,26),tblDaily[WardCode],"FAE")),"")</f>
        <v>2</v>
      </c>
      <c r="D110" s="29" t="str">
        <f>IFERROR(IF(SUMIFS(tblDaily[Deaths],tblDaily[EntryDate],DATE(2026,3,26),tblDaily[WardCode],"FAE")=0,"",SUMIFS(tblDaily[Deaths],tblDaily[EntryDate],DATE(2026,3,26),tblDaily[WardCode],"FAE")),"")</f>
        <v/>
      </c>
      <c r="E110" s="29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29" t="str">
        <f>IFERROR(IF(SUMIFS(tblDaily[TransfersIn],tblDaily[EntryDate],DATE(2026,3,26),tblDaily[WardCode],"FAE")=0,"",SUMIFS(tblDaily[TransfersIn],tblDaily[EntryDate],DATE(2026,3,26),tblDaily[WardCode],"FAE")),"")</f>
        <v/>
      </c>
      <c r="G110" s="29">
        <f>IFERROR(IF(SUMIFS(tblDaily[TransfersOut],tblDaily[EntryDate],DATE(2026,3,26),tblDaily[WardCode],"FAE")=0,"",SUMIFS(tblDaily[TransfersOut],tblDaily[EntryDate],DATE(2026,3,26),tblDaily[WardCode],"FAE")),"")</f>
        <v>1</v>
      </c>
      <c r="H110" s="29">
        <f>IFERROR(IF(SUMIFS(tblDaily[Remaining],tblDaily[EntryDate],DATE(2026,3,26),tblDaily[WardCode],"FAE")=0,"",SUMIFS(tblDaily[Remaining],tblDaily[EntryDate],DATE(2026,3,26),tblDaily[WardCode],"FAE")),"")</f>
        <v>6</v>
      </c>
    </row>
    <row r="111" spans="1:8" x14ac:dyDescent="0.25">
      <c r="A111" s="29">
        <v>27</v>
      </c>
      <c r="B111" s="29" t="str">
        <f>IFERROR(IF(SUMIFS(tblDaily[Admissions],tblDaily[EntryDate],DATE(2026,3,27),tblDaily[WardCode],"FAE")=0,"",SUMIFS(tblDaily[Admissions],tblDaily[EntryDate],DATE(2026,3,27),tblDaily[WardCode],"FAE")),"")</f>
        <v/>
      </c>
      <c r="C111" s="29" t="str">
        <f>IFERROR(IF(SUMIFS(tblDaily[Discharges],tblDaily[EntryDate],DATE(2026,3,27),tblDaily[WardCode],"FAE")=0,"",SUMIFS(tblDaily[Discharges],tblDaily[EntryDate],DATE(2026,3,27),tblDaily[WardCode],"FAE")),"")</f>
        <v/>
      </c>
      <c r="D111" s="29">
        <f>IFERROR(IF(SUMIFS(tblDaily[Deaths],tblDaily[EntryDate],DATE(2026,3,27),tblDaily[WardCode],"FAE")=0,"",SUMIFS(tblDaily[Deaths],tblDaily[EntryDate],DATE(2026,3,27),tblDaily[WardCode],"FAE")),"")</f>
        <v>3</v>
      </c>
      <c r="E111" s="29">
        <f>IFERROR(IF(SUMIFS(tblDaily[DeathsUnder24Hrs],tblDaily[EntryDate],DATE(2026,3,27),tblDaily[WardCode],"FAE")=0,"",SUMIFS(tblDaily[DeathsUnder24Hrs],tblDaily[EntryDate],DATE(2026,3,27),tblDaily[WardCode],"FAE")),"")</f>
        <v>1</v>
      </c>
      <c r="F111" s="29" t="str">
        <f>IFERROR(IF(SUMIFS(tblDaily[TransfersIn],tblDaily[EntryDate],DATE(2026,3,27),tblDaily[WardCode],"FAE")=0,"",SUMIFS(tblDaily[TransfersIn],tblDaily[EntryDate],DATE(2026,3,27),tblDaily[WardCode],"FAE")),"")</f>
        <v/>
      </c>
      <c r="G111" s="29">
        <f>IFERROR(IF(SUMIFS(tblDaily[TransfersOut],tblDaily[EntryDate],DATE(2026,3,27),tblDaily[WardCode],"FAE")=0,"",SUMIFS(tblDaily[TransfersOut],tblDaily[EntryDate],DATE(2026,3,27),tblDaily[WardCode],"FAE")),"")</f>
        <v>2</v>
      </c>
      <c r="H111" s="29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29">
        <v>28</v>
      </c>
      <c r="B112" s="29">
        <f>IFERROR(IF(SUMIFS(tblDaily[Admissions],tblDaily[EntryDate],DATE(2026,3,28),tblDaily[WardCode],"FAE")=0,"",SUMIFS(tblDaily[Admissions],tblDaily[EntryDate],DATE(2026,3,28),tblDaily[WardCode],"FAE")),"")</f>
        <v>1</v>
      </c>
      <c r="C112" s="29" t="str">
        <f>IFERROR(IF(SUMIFS(tblDaily[Discharges],tblDaily[EntryDate],DATE(2026,3,28),tblDaily[WardCode],"FAE")=0,"",SUMIFS(tblDaily[Discharges],tblDaily[EntryDate],DATE(2026,3,28),tblDaily[WardCode],"FAE")),"")</f>
        <v/>
      </c>
      <c r="D112" s="29" t="str">
        <f>IFERROR(IF(SUMIFS(tblDaily[Deaths],tblDaily[EntryDate],DATE(2026,3,28),tblDaily[WardCode],"FAE")=0,"",SUMIFS(tblDaily[Deaths],tblDaily[EntryDate],DATE(2026,3,28),tblDaily[WardCode],"FAE")),"")</f>
        <v/>
      </c>
      <c r="E112" s="29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29" t="str">
        <f>IFERROR(IF(SUMIFS(tblDaily[TransfersIn],tblDaily[EntryDate],DATE(2026,3,28),tblDaily[WardCode],"FAE")=0,"",SUMIFS(tblDaily[TransfersIn],tblDaily[EntryDate],DATE(2026,3,28),tblDaily[WardCode],"FAE")),"")</f>
        <v/>
      </c>
      <c r="G112" s="29" t="str">
        <f>IFERROR(IF(SUMIFS(tblDaily[TransfersOut],tblDaily[EntryDate],DATE(2026,3,28),tblDaily[WardCode],"FAE")=0,"",SUMIFS(tblDaily[TransfersOut],tblDaily[EntryDate],DATE(2026,3,28),tblDaily[WardCode],"FAE")),"")</f>
        <v/>
      </c>
      <c r="H112" s="29">
        <f>IFERROR(IF(SUMIFS(tblDaily[Remaining],tblDaily[EntryDate],DATE(2026,3,28),tblDaily[WardCode],"FAE")=0,"",SUMIFS(tblDaily[Remaining],tblDaily[EntryDate],DATE(2026,3,28),tblDaily[WardCode],"FAE")),"")</f>
        <v>1</v>
      </c>
    </row>
    <row r="113" spans="1:8" x14ac:dyDescent="0.25">
      <c r="A113" s="29">
        <v>29</v>
      </c>
      <c r="B113" s="29">
        <f>IFERROR(IF(SUMIFS(tblDaily[Admissions],tblDaily[EntryDate],DATE(2026,3,29),tblDaily[WardCode],"FAE")=0,"",SUMIFS(tblDaily[Admissions],tblDaily[EntryDate],DATE(2026,3,29),tblDaily[WardCode],"FAE")),"")</f>
        <v>4</v>
      </c>
      <c r="C113" s="29" t="str">
        <f>IFERROR(IF(SUMIFS(tblDaily[Discharges],tblDaily[EntryDate],DATE(2026,3,29),tblDaily[WardCode],"FAE")=0,"",SUMIFS(tblDaily[Discharges],tblDaily[EntryDate],DATE(2026,3,29),tblDaily[WardCode],"FAE")),"")</f>
        <v/>
      </c>
      <c r="D113" s="29" t="str">
        <f>IFERROR(IF(SUMIFS(tblDaily[Deaths],tblDaily[EntryDate],DATE(2026,3,29),tblDaily[WardCode],"FAE")=0,"",SUMIFS(tblDaily[Deaths],tblDaily[EntryDate],DATE(2026,3,29),tblDaily[WardCode],"FAE")),"")</f>
        <v/>
      </c>
      <c r="E113" s="29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29" t="str">
        <f>IFERROR(IF(SUMIFS(tblDaily[TransfersIn],tblDaily[EntryDate],DATE(2026,3,29),tblDaily[WardCode],"FAE")=0,"",SUMIFS(tblDaily[TransfersIn],tblDaily[EntryDate],DATE(2026,3,29),tblDaily[WardCode],"FAE")),"")</f>
        <v/>
      </c>
      <c r="G113" s="29">
        <f>IFERROR(IF(SUMIFS(tblDaily[TransfersOut],tblDaily[EntryDate],DATE(2026,3,29),tblDaily[WardCode],"FAE")=0,"",SUMIFS(tblDaily[TransfersOut],tblDaily[EntryDate],DATE(2026,3,29),tblDaily[WardCode],"FAE")),"")</f>
        <v>1</v>
      </c>
      <c r="H113" s="29">
        <f>IFERROR(IF(SUMIFS(tblDaily[Remaining],tblDaily[EntryDate],DATE(2026,3,29),tblDaily[WardCode],"FAE")=0,"",SUMIFS(tblDaily[Remaining],tblDaily[EntryDate],DATE(2026,3,29),tblDaily[WardCode],"FAE")),"")</f>
        <v>4</v>
      </c>
    </row>
    <row r="114" spans="1:8" x14ac:dyDescent="0.25">
      <c r="A114" s="29">
        <v>30</v>
      </c>
      <c r="B114" s="29">
        <f>IFERROR(IF(SUMIFS(tblDaily[Admissions],tblDaily[EntryDate],DATE(2026,3,30),tblDaily[WardCode],"FAE")=0,"",SUMIFS(tblDaily[Admissions],tblDaily[EntryDate],DATE(2026,3,30),tblDaily[WardCode],"FAE")),"")</f>
        <v>3</v>
      </c>
      <c r="C114" s="29" t="str">
        <f>IFERROR(IF(SUMIFS(tblDaily[Discharges],tblDaily[EntryDate],DATE(2026,3,30),tblDaily[WardCode],"FAE")=0,"",SUMIFS(tblDaily[Discharges],tblDaily[EntryDate],DATE(2026,3,30),tblDaily[WardCode],"FAE")),"")</f>
        <v/>
      </c>
      <c r="D114" s="29">
        <f>IFERROR(IF(SUMIFS(tblDaily[Deaths],tblDaily[EntryDate],DATE(2026,3,30),tblDaily[WardCode],"FAE")=0,"",SUMIFS(tblDaily[Deaths],tblDaily[EntryDate],DATE(2026,3,30),tblDaily[WardCode],"FAE")),"")</f>
        <v>1</v>
      </c>
      <c r="E114" s="29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29" t="str">
        <f>IFERROR(IF(SUMIFS(tblDaily[TransfersIn],tblDaily[EntryDate],DATE(2026,3,30),tblDaily[WardCode],"FAE")=0,"",SUMIFS(tblDaily[TransfersIn],tblDaily[EntryDate],DATE(2026,3,30),tblDaily[WardCode],"FAE")),"")</f>
        <v/>
      </c>
      <c r="G114" s="29" t="str">
        <f>IFERROR(IF(SUMIFS(tblDaily[TransfersOut],tblDaily[EntryDate],DATE(2026,3,30),tblDaily[WardCode],"FAE")=0,"",SUMIFS(tblDaily[TransfersOut],tblDaily[EntryDate],DATE(2026,3,30),tblDaily[WardCode],"FAE")),"")</f>
        <v/>
      </c>
      <c r="H114" s="29">
        <f>IFERROR(IF(SUMIFS(tblDaily[Remaining],tblDaily[EntryDate],DATE(2026,3,30),tblDaily[WardCode],"FAE")=0,"",SUMIFS(tblDaily[Remaining],tblDaily[EntryDate],DATE(2026,3,30),tblDaily[WardCode],"FAE")),"")</f>
        <v>6</v>
      </c>
    </row>
    <row r="115" spans="1:8" x14ac:dyDescent="0.25">
      <c r="A115" s="29">
        <v>31</v>
      </c>
      <c r="B115" s="29">
        <f>IFERROR(IF(SUMIFS(tblDaily[Admissions],tblDaily[EntryDate],DATE(2026,3,31),tblDaily[WardCode],"FAE")=0,"",SUMIFS(tblDaily[Admissions],tblDaily[EntryDate],DATE(2026,3,31),tblDaily[WardCode],"FAE")),"")</f>
        <v>3</v>
      </c>
      <c r="C115" s="29">
        <f>IFERROR(IF(SUMIFS(tblDaily[Discharges],tblDaily[EntryDate],DATE(2026,3,31),tblDaily[WardCode],"FAE")=0,"",SUMIFS(tblDaily[Discharges],tblDaily[EntryDate],DATE(2026,3,31),tblDaily[WardCode],"FAE")),"")</f>
        <v>2</v>
      </c>
      <c r="D115" s="29">
        <f>IFERROR(IF(SUMIFS(tblDaily[Deaths],tblDaily[EntryDate],DATE(2026,3,31),tblDaily[WardCode],"FAE")=0,"",SUMIFS(tblDaily[Deaths],tblDaily[EntryDate],DATE(2026,3,31),tblDaily[WardCode],"FAE")),"")</f>
        <v>1</v>
      </c>
      <c r="E115" s="29">
        <f>IFERROR(IF(SUMIFS(tblDaily[DeathsUnder24Hrs],tblDaily[EntryDate],DATE(2026,3,31),tblDaily[WardCode],"FAE")=0,"",SUMIFS(tblDaily[DeathsUnder24Hrs],tblDaily[EntryDate],DATE(2026,3,31),tblDaily[WardCode],"FAE")),"")</f>
        <v>2</v>
      </c>
      <c r="F115" s="29" t="str">
        <f>IFERROR(IF(SUMIFS(tblDaily[TransfersIn],tblDaily[EntryDate],DATE(2026,3,31),tblDaily[WardCode],"FAE")=0,"",SUMIFS(tblDaily[TransfersIn],tblDaily[EntryDate],DATE(2026,3,31),tblDaily[WardCode],"FAE")),"")</f>
        <v/>
      </c>
      <c r="G115" s="29">
        <f>IFERROR(IF(SUMIFS(tblDaily[TransfersOut],tblDaily[EntryDate],DATE(2026,3,31),tblDaily[WardCode],"FAE")=0,"",SUMIFS(tblDaily[TransfersOut],tblDaily[EntryDate],DATE(2026,3,31),tblDaily[WardCode],"FAE")),"")</f>
        <v>1</v>
      </c>
      <c r="H115" s="29">
        <f>IFERROR(IF(SUMIFS(tblDaily[Remaining],tblDaily[EntryDate],DATE(2026,3,31),tblDaily[WardCode],"FAE")=0,"",SUMIFS(tblDaily[Remaining],tblDaily[EntryDate],DATE(2026,3,31),tblDaily[WardCode],"FAE")),"")</f>
        <v>3</v>
      </c>
    </row>
    <row r="116" spans="1:8" x14ac:dyDescent="0.25">
      <c r="A116" s="30" t="s">
        <v>115</v>
      </c>
      <c r="B116" s="30">
        <f>SUMIFS(tblDaily[Admissions],tblDaily[Month],3,tblDaily[WardCode],"FAE") - SUMIFS(tblDaily[DeathsUnder24Hrs],tblDaily[Month],3,tblDaily[WardCode],"FAE")</f>
        <v>44</v>
      </c>
      <c r="C116" s="30">
        <f>SUMIFS(tblDaily[Discharges],tblDaily[Month],3,tblDaily[WardCode],"FAE")</f>
        <v>12</v>
      </c>
      <c r="D116" s="30">
        <f>SUMIFS(tblDaily[Deaths],tblDaily[Month],3,tblDaily[WardCode],"FAE")</f>
        <v>5</v>
      </c>
      <c r="E116" s="30">
        <f>SUMIFS(tblDaily[DeathsUnder24Hrs],tblDaily[Month],3,tblDaily[WardCode],"FAE")</f>
        <v>5</v>
      </c>
      <c r="F116" s="30">
        <f>SUMIFS(tblDaily[TransfersIn],tblDaily[Month],3,tblDaily[WardCode],"FAE")</f>
        <v>0</v>
      </c>
      <c r="G116" s="30">
        <f>SUMIFS(tblDaily[TransfersOut],tblDaily[Month],3,tblDaily[WardCode],"FAE")</f>
        <v>25</v>
      </c>
      <c r="H116" s="30">
        <f>SUMIFS(tblDaily[Remaining],tblDaily[Month],3,tblDaily[WardCode],"FAE")</f>
        <v>88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123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IFERROR(SUMIFS(tblDaily[Remaining],tblDaily[EntryDate],DATE(2026,3,31),tblDaily[WardCode],"FAE"),0)</f>
        <v>3</v>
      </c>
    </row>
    <row r="122" spans="1:8" x14ac:dyDescent="0.25">
      <c r="A122" s="24" t="s">
        <v>109</v>
      </c>
      <c r="H122" s="27">
        <f>IFERROR(INDEX(tblWardConfig[BedComplement],MATCH("FAE",tblWardConfig[WardCode],0)),0)</f>
        <v>10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>
        <f>IFERROR(IF(SUMIFS(tblDaily[Admissions],tblDaily[EntryDate],DATE(2026,4,1),tblDaily[WardCode],"FAE")=0,"",SUMIFS(tblDaily[Admissions],tblDaily[EntryDate],DATE(2026,4,1),tblDaily[WardCode],"FAE")),"")</f>
        <v>3</v>
      </c>
      <c r="C124" s="29">
        <f>IFERROR(IF(SUMIFS(tblDaily[Discharges],tblDaily[EntryDate],DATE(2026,4,1),tblDaily[WardCode],"FAE")=0,"",SUMIFS(tblDaily[Discharges],tblDaily[EntryDate],DATE(2026,4,1),tblDaily[WardCode],"FAE")),"")</f>
        <v>2</v>
      </c>
      <c r="D124" s="29" t="str">
        <f>IFERROR(IF(SUMIFS(tblDaily[Deaths],tblDaily[EntryDate],DATE(2026,4,1),tblDaily[WardCode],"FAE")=0,"",SUMIFS(tblDaily[Deaths],tblDaily[EntryDate],DATE(2026,4,1),tblDaily[WardCode],"FAE")),"")</f>
        <v/>
      </c>
      <c r="E124" s="29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29" t="str">
        <f>IFERROR(IF(SUMIFS(tblDaily[TransfersIn],tblDaily[EntryDate],DATE(2026,4,1),tblDaily[WardCode],"FAE")=0,"",SUMIFS(tblDaily[TransfersIn],tblDaily[EntryDate],DATE(2026,4,1),tblDaily[WardCode],"FAE")),"")</f>
        <v/>
      </c>
      <c r="G124" s="29" t="str">
        <f>IFERROR(IF(SUMIFS(tblDaily[TransfersOut],tblDaily[EntryDate],DATE(2026,4,1),tblDaily[WardCode],"FAE")=0,"",SUMIFS(tblDaily[TransfersOut],tblDaily[EntryDate],DATE(2026,4,1),tblDaily[WardCode],"FAE")),"")</f>
        <v/>
      </c>
      <c r="H124" s="29">
        <f>IFERROR(IF(SUMIFS(tblDaily[Remaining],tblDaily[EntryDate],DATE(2026,4,1),tblDaily[WardCode],"FAE")=0,"",SUMIFS(tblDaily[Remaining],tblDaily[EntryDate],DATE(2026,4,1),tblDaily[WardCode],"FAE")),"")</f>
        <v>4</v>
      </c>
    </row>
    <row r="125" spans="1:8" x14ac:dyDescent="0.25">
      <c r="A125" s="29">
        <v>2</v>
      </c>
      <c r="B125" s="29">
        <f>IFERROR(IF(SUMIFS(tblDaily[Admissions],tblDaily[EntryDate],DATE(2026,4,2),tblDaily[WardCode],"FAE")=0,"",SUMIFS(tblDaily[Admissions],tblDaily[EntryDate],DATE(2026,4,2),tblDaily[WardCode],"FAE")),"")</f>
        <v>1</v>
      </c>
      <c r="C125" s="29" t="str">
        <f>IFERROR(IF(SUMIFS(tblDaily[Discharges],tblDaily[EntryDate],DATE(2026,4,2),tblDaily[WardCode],"FAE")=0,"",SUMIFS(tblDaily[Discharges],tblDaily[EntryDate],DATE(2026,4,2),tblDaily[WardCode],"FAE")),"")</f>
        <v/>
      </c>
      <c r="D125" s="29" t="str">
        <f>IFERROR(IF(SUMIFS(tblDaily[Deaths],tblDaily[EntryDate],DATE(2026,4,2),tblDaily[WardCode],"FAE")=0,"",SUMIFS(tblDaily[Deaths],tblDaily[EntryDate],DATE(2026,4,2),tblDaily[WardCode],"FAE")),"")</f>
        <v/>
      </c>
      <c r="E125" s="29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29" t="str">
        <f>IFERROR(IF(SUMIFS(tblDaily[TransfersIn],tblDaily[EntryDate],DATE(2026,4,2),tblDaily[WardCode],"FAE")=0,"",SUMIFS(tblDaily[TransfersIn],tblDaily[EntryDate],DATE(2026,4,2),tblDaily[WardCode],"FAE")),"")</f>
        <v/>
      </c>
      <c r="G125" s="29">
        <f>IFERROR(IF(SUMIFS(tblDaily[TransfersOut],tblDaily[EntryDate],DATE(2026,4,2),tblDaily[WardCode],"FAE")=0,"",SUMIFS(tblDaily[TransfersOut],tblDaily[EntryDate],DATE(2026,4,2),tblDaily[WardCode],"FAE")),"")</f>
        <v>2</v>
      </c>
      <c r="H125" s="29">
        <f>IFERROR(IF(SUMIFS(tblDaily[Remaining],tblDaily[EntryDate],DATE(2026,4,2),tblDaily[WardCode],"FAE")=0,"",SUMIFS(tblDaily[Remaining],tblDaily[EntryDate],DATE(2026,4,2),tblDaily[WardCode],"FAE")),"")</f>
        <v>3</v>
      </c>
    </row>
    <row r="126" spans="1:8" x14ac:dyDescent="0.25">
      <c r="A126" s="29">
        <v>3</v>
      </c>
      <c r="B126" s="29" t="str">
        <f>IFERROR(IF(SUMIFS(tblDaily[Admissions],tblDaily[EntryDate],DATE(2026,4,3),tblDaily[WardCode],"FAE")=0,"",SUMIFS(tblDaily[Admissions],tblDaily[EntryDate],DATE(2026,4,3),tblDaily[WardCode],"FAE")),"")</f>
        <v/>
      </c>
      <c r="C126" s="29">
        <f>IFERROR(IF(SUMIFS(tblDaily[Discharges],tblDaily[EntryDate],DATE(2026,4,3),tblDaily[WardCode],"FAE")=0,"",SUMIFS(tblDaily[Discharges],tblDaily[EntryDate],DATE(2026,4,3),tblDaily[WardCode],"FAE")),"")</f>
        <v>1</v>
      </c>
      <c r="D126" s="29" t="str">
        <f>IFERROR(IF(SUMIFS(tblDaily[Deaths],tblDaily[EntryDate],DATE(2026,4,3),tblDaily[WardCode],"FAE")=0,"",SUMIFS(tblDaily[Deaths],tblDaily[EntryDate],DATE(2026,4,3),tblDaily[WardCode],"FAE")),"")</f>
        <v/>
      </c>
      <c r="E126" s="29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29" t="str">
        <f>IFERROR(IF(SUMIFS(tblDaily[TransfersIn],tblDaily[EntryDate],DATE(2026,4,3),tblDaily[WardCode],"FAE")=0,"",SUMIFS(tblDaily[TransfersIn],tblDaily[EntryDate],DATE(2026,4,3),tblDaily[WardCode],"FAE")),"")</f>
        <v/>
      </c>
      <c r="G126" s="29">
        <f>IFERROR(IF(SUMIFS(tblDaily[TransfersOut],tblDaily[EntryDate],DATE(2026,4,3),tblDaily[WardCode],"FAE")=0,"",SUMIFS(tblDaily[TransfersOut],tblDaily[EntryDate],DATE(2026,4,3),tblDaily[WardCode],"FAE")),"")</f>
        <v>2</v>
      </c>
      <c r="H126" s="29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29">
        <v>4</v>
      </c>
      <c r="B127" s="29">
        <f>IFERROR(IF(SUMIFS(tblDaily[Admissions],tblDaily[EntryDate],DATE(2026,4,4),tblDaily[WardCode],"FAE")=0,"",SUMIFS(tblDaily[Admissions],tblDaily[EntryDate],DATE(2026,4,4),tblDaily[WardCode],"FAE")),"")</f>
        <v>1</v>
      </c>
      <c r="C127" s="29" t="str">
        <f>IFERROR(IF(SUMIFS(tblDaily[Discharges],tblDaily[EntryDate],DATE(2026,4,4),tblDaily[WardCode],"FAE")=0,"",SUMIFS(tblDaily[Discharges],tblDaily[EntryDate],DATE(2026,4,4),tblDaily[WardCode],"FAE")),"")</f>
        <v/>
      </c>
      <c r="D127" s="29" t="str">
        <f>IFERROR(IF(SUMIFS(tblDaily[Deaths],tblDaily[EntryDate],DATE(2026,4,4),tblDaily[WardCode],"FAE")=0,"",SUMIFS(tblDaily[Deaths],tblDaily[EntryDate],DATE(2026,4,4),tblDaily[WardCode],"FAE")),"")</f>
        <v/>
      </c>
      <c r="E127" s="29">
        <f>IFERROR(IF(SUMIFS(tblDaily[DeathsUnder24Hrs],tblDaily[EntryDate],DATE(2026,4,4),tblDaily[WardCode],"FAE")=0,"",SUMIFS(tblDaily[DeathsUnder24Hrs],tblDaily[EntryDate],DATE(2026,4,4),tblDaily[WardCode],"FAE")),"")</f>
        <v>1</v>
      </c>
      <c r="F127" s="29" t="str">
        <f>IFERROR(IF(SUMIFS(tblDaily[TransfersIn],tblDaily[EntryDate],DATE(2026,4,4),tblDaily[WardCode],"FAE")=0,"",SUMIFS(tblDaily[TransfersIn],tblDaily[EntryDate],DATE(2026,4,4),tblDaily[WardCode],"FAE")),"")</f>
        <v/>
      </c>
      <c r="G127" s="29" t="str">
        <f>IFERROR(IF(SUMIFS(tblDaily[TransfersOut],tblDaily[EntryDate],DATE(2026,4,4),tblDaily[WardCode],"FAE")=0,"",SUMIFS(tblDaily[TransfersOut],tblDaily[EntryDate],DATE(2026,4,4),tblDaily[WardCode],"FAE")),"")</f>
        <v/>
      </c>
      <c r="H127" s="29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IFERROR(IF(SUMIFS(tblDaily[Admissions],tblDaily[EntryDate],DATE(2026,4,5),tblDaily[WardCode],"FAE")=0,"",SUMIFS(tblDaily[Admissions],tblDaily[EntryDate],DATE(2026,4,5),tblDaily[WardCode],"FAE")),"")</f>
        <v/>
      </c>
      <c r="C128" s="29" t="str">
        <f>IFERROR(IF(SUMIFS(tblDaily[Discharges],tblDaily[EntryDate],DATE(2026,4,5),tblDaily[WardCode],"FAE")=0,"",SUMIFS(tblDaily[Discharges],tblDaily[EntryDate],DATE(2026,4,5),tblDaily[WardCode],"FAE")),"")</f>
        <v/>
      </c>
      <c r="D128" s="29" t="str">
        <f>IFERROR(IF(SUMIFS(tblDaily[Deaths],tblDaily[EntryDate],DATE(2026,4,5),tblDaily[WardCode],"FAE")=0,"",SUMIFS(tblDaily[Deaths],tblDaily[EntryDate],DATE(2026,4,5),tblDaily[WardCode],"FAE")),"")</f>
        <v/>
      </c>
      <c r="E128" s="29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29" t="str">
        <f>IFERROR(IF(SUMIFS(tblDaily[TransfersIn],tblDaily[EntryDate],DATE(2026,4,5),tblDaily[WardCode],"FAE")=0,"",SUMIFS(tblDaily[TransfersIn],tblDaily[EntryDate],DATE(2026,4,5),tblDaily[WardCode],"FAE")),"")</f>
        <v/>
      </c>
      <c r="G128" s="29" t="str">
        <f>IFERROR(IF(SUMIFS(tblDaily[TransfersOut],tblDaily[EntryDate],DATE(2026,4,5),tblDaily[WardCode],"FAE")=0,"",SUMIFS(tblDaily[TransfersOut],tblDaily[EntryDate],DATE(2026,4,5),tblDaily[WardCode],"FAE")),"")</f>
        <v/>
      </c>
      <c r="H128" s="29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IFERROR(IF(SUMIFS(tblDaily[Admissions],tblDaily[EntryDate],DATE(2026,4,6),tblDaily[WardCode],"FAE")=0,"",SUMIFS(tblDaily[Admissions],tblDaily[EntryDate],DATE(2026,4,6),tblDaily[WardCode],"FAE")),"")</f>
        <v/>
      </c>
      <c r="C129" s="29" t="str">
        <f>IFERROR(IF(SUMIFS(tblDaily[Discharges],tblDaily[EntryDate],DATE(2026,4,6),tblDaily[WardCode],"FAE")=0,"",SUMIFS(tblDaily[Discharges],tblDaily[EntryDate],DATE(2026,4,6),tblDaily[WardCode],"FAE")),"")</f>
        <v/>
      </c>
      <c r="D129" s="29" t="str">
        <f>IFERROR(IF(SUMIFS(tblDaily[Deaths],tblDaily[EntryDate],DATE(2026,4,6),tblDaily[WardCode],"FAE")=0,"",SUMIFS(tblDaily[Deaths],tblDaily[EntryDate],DATE(2026,4,6),tblDaily[WardCode],"FAE")),"")</f>
        <v/>
      </c>
      <c r="E129" s="29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29" t="str">
        <f>IFERROR(IF(SUMIFS(tblDaily[TransfersIn],tblDaily[EntryDate],DATE(2026,4,6),tblDaily[WardCode],"FAE")=0,"",SUMIFS(tblDaily[TransfersIn],tblDaily[EntryDate],DATE(2026,4,6),tblDaily[WardCode],"FAE")),"")</f>
        <v/>
      </c>
      <c r="G129" s="29" t="str">
        <f>IFERROR(IF(SUMIFS(tblDaily[TransfersOut],tblDaily[EntryDate],DATE(2026,4,6),tblDaily[WardCode],"FAE")=0,"",SUMIFS(tblDaily[TransfersOut],tblDaily[EntryDate],DATE(2026,4,6),tblDaily[WardCode],"FAE")),"")</f>
        <v/>
      </c>
      <c r="H129" s="29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IFERROR(IF(SUMIFS(tblDaily[Admissions],tblDaily[EntryDate],DATE(2026,4,7),tblDaily[WardCode],"FAE")=0,"",SUMIFS(tblDaily[Admissions],tblDaily[EntryDate],DATE(2026,4,7),tblDaily[WardCode],"FAE")),"")</f>
        <v/>
      </c>
      <c r="C130" s="29" t="str">
        <f>IFERROR(IF(SUMIFS(tblDaily[Discharges],tblDaily[EntryDate],DATE(2026,4,7),tblDaily[WardCode],"FAE")=0,"",SUMIFS(tblDaily[Discharges],tblDaily[EntryDate],DATE(2026,4,7),tblDaily[WardCode],"FAE")),"")</f>
        <v/>
      </c>
      <c r="D130" s="29" t="str">
        <f>IFERROR(IF(SUMIFS(tblDaily[Deaths],tblDaily[EntryDate],DATE(2026,4,7),tblDaily[WardCode],"FAE")=0,"",SUMIFS(tblDaily[Deaths],tblDaily[EntryDate],DATE(2026,4,7),tblDaily[WardCode],"FAE")),"")</f>
        <v/>
      </c>
      <c r="E130" s="29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29" t="str">
        <f>IFERROR(IF(SUMIFS(tblDaily[TransfersIn],tblDaily[EntryDate],DATE(2026,4,7),tblDaily[WardCode],"FAE")=0,"",SUMIFS(tblDaily[TransfersIn],tblDaily[EntryDate],DATE(2026,4,7),tblDaily[WardCode],"FAE")),"")</f>
        <v/>
      </c>
      <c r="G130" s="29" t="str">
        <f>IFERROR(IF(SUMIFS(tblDaily[TransfersOut],tblDaily[EntryDate],DATE(2026,4,7),tblDaily[WardCode],"FAE")=0,"",SUMIFS(tblDaily[TransfersOut],tblDaily[EntryDate],DATE(2026,4,7),tblDaily[WardCode],"FAE")),"")</f>
        <v/>
      </c>
      <c r="H130" s="29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IFERROR(IF(SUMIFS(tblDaily[Admissions],tblDaily[EntryDate],DATE(2026,4,8),tblDaily[WardCode],"FAE")=0,"",SUMIFS(tblDaily[Admissions],tblDaily[EntryDate],DATE(2026,4,8),tblDaily[WardCode],"FAE")),"")</f>
        <v/>
      </c>
      <c r="C131" s="29" t="str">
        <f>IFERROR(IF(SUMIFS(tblDaily[Discharges],tblDaily[EntryDate],DATE(2026,4,8),tblDaily[WardCode],"FAE")=0,"",SUMIFS(tblDaily[Discharges],tblDaily[EntryDate],DATE(2026,4,8),tblDaily[WardCode],"FAE")),"")</f>
        <v/>
      </c>
      <c r="D131" s="29" t="str">
        <f>IFERROR(IF(SUMIFS(tblDaily[Deaths],tblDaily[EntryDate],DATE(2026,4,8),tblDaily[WardCode],"FAE")=0,"",SUMIFS(tblDaily[Deaths],tblDaily[EntryDate],DATE(2026,4,8),tblDaily[WardCode],"FAE")),"")</f>
        <v/>
      </c>
      <c r="E131" s="29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29" t="str">
        <f>IFERROR(IF(SUMIFS(tblDaily[TransfersIn],tblDaily[EntryDate],DATE(2026,4,8),tblDaily[WardCode],"FAE")=0,"",SUMIFS(tblDaily[TransfersIn],tblDaily[EntryDate],DATE(2026,4,8),tblDaily[WardCode],"FAE")),"")</f>
        <v/>
      </c>
      <c r="G131" s="29" t="str">
        <f>IFERROR(IF(SUMIFS(tblDaily[TransfersOut],tblDaily[EntryDate],DATE(2026,4,8),tblDaily[WardCode],"FAE")=0,"",SUMIFS(tblDaily[TransfersOut],tblDaily[EntryDate],DATE(2026,4,8),tblDaily[WardCode],"FAE")),"")</f>
        <v/>
      </c>
      <c r="H131" s="29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IFERROR(IF(SUMIFS(tblDaily[Admissions],tblDaily[EntryDate],DATE(2026,4,9),tblDaily[WardCode],"FAE")=0,"",SUMIFS(tblDaily[Admissions],tblDaily[EntryDate],DATE(2026,4,9),tblDaily[WardCode],"FAE")),"")</f>
        <v/>
      </c>
      <c r="C132" s="29" t="str">
        <f>IFERROR(IF(SUMIFS(tblDaily[Discharges],tblDaily[EntryDate],DATE(2026,4,9),tblDaily[WardCode],"FAE")=0,"",SUMIFS(tblDaily[Discharges],tblDaily[EntryDate],DATE(2026,4,9),tblDaily[WardCode],"FAE")),"")</f>
        <v/>
      </c>
      <c r="D132" s="29" t="str">
        <f>IFERROR(IF(SUMIFS(tblDaily[Deaths],tblDaily[EntryDate],DATE(2026,4,9),tblDaily[WardCode],"FAE")=0,"",SUMIFS(tblDaily[Deaths],tblDaily[EntryDate],DATE(2026,4,9),tblDaily[WardCode],"FAE")),"")</f>
        <v/>
      </c>
      <c r="E132" s="29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29" t="str">
        <f>IFERROR(IF(SUMIFS(tblDaily[TransfersIn],tblDaily[EntryDate],DATE(2026,4,9),tblDaily[WardCode],"FAE")=0,"",SUMIFS(tblDaily[TransfersIn],tblDaily[EntryDate],DATE(2026,4,9),tblDaily[WardCode],"FAE")),"")</f>
        <v/>
      </c>
      <c r="G132" s="29" t="str">
        <f>IFERROR(IF(SUMIFS(tblDaily[TransfersOut],tblDaily[EntryDate],DATE(2026,4,9),tblDaily[WardCode],"FAE")=0,"",SUMIFS(tblDaily[TransfersOut],tblDaily[EntryDate],DATE(2026,4,9),tblDaily[WardCode],"FAE")),"")</f>
        <v/>
      </c>
      <c r="H132" s="29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IFERROR(IF(SUMIFS(tblDaily[Admissions],tblDaily[EntryDate],DATE(2026,4,10),tblDaily[WardCode],"FAE")=0,"",SUMIFS(tblDaily[Admissions],tblDaily[EntryDate],DATE(2026,4,10),tblDaily[WardCode],"FAE")),"")</f>
        <v/>
      </c>
      <c r="C133" s="29" t="str">
        <f>IFERROR(IF(SUMIFS(tblDaily[Discharges],tblDaily[EntryDate],DATE(2026,4,10),tblDaily[WardCode],"FAE")=0,"",SUMIFS(tblDaily[Discharges],tblDaily[EntryDate],DATE(2026,4,10),tblDaily[WardCode],"FAE")),"")</f>
        <v/>
      </c>
      <c r="D133" s="29" t="str">
        <f>IFERROR(IF(SUMIFS(tblDaily[Deaths],tblDaily[EntryDate],DATE(2026,4,10),tblDaily[WardCode],"FAE")=0,"",SUMIFS(tblDaily[Deaths],tblDaily[EntryDate],DATE(2026,4,10),tblDaily[WardCode],"FAE")),"")</f>
        <v/>
      </c>
      <c r="E133" s="29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29" t="str">
        <f>IFERROR(IF(SUMIFS(tblDaily[TransfersIn],tblDaily[EntryDate],DATE(2026,4,10),tblDaily[WardCode],"FAE")=0,"",SUMIFS(tblDaily[TransfersIn],tblDaily[EntryDate],DATE(2026,4,10),tblDaily[WardCode],"FAE")),"")</f>
        <v/>
      </c>
      <c r="G133" s="29" t="str">
        <f>IFERROR(IF(SUMIFS(tblDaily[TransfersOut],tblDaily[EntryDate],DATE(2026,4,10),tblDaily[WardCode],"FAE")=0,"",SUMIFS(tblDaily[TransfersOut],tblDaily[EntryDate],DATE(2026,4,10),tblDaily[WardCode],"FAE")),"")</f>
        <v/>
      </c>
      <c r="H133" s="29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IFERROR(IF(SUMIFS(tblDaily[Admissions],tblDaily[EntryDate],DATE(2026,4,11),tblDaily[WardCode],"FAE")=0,"",SUMIFS(tblDaily[Admissions],tblDaily[EntryDate],DATE(2026,4,11),tblDaily[WardCode],"FAE")),"")</f>
        <v/>
      </c>
      <c r="C134" s="29" t="str">
        <f>IFERROR(IF(SUMIFS(tblDaily[Discharges],tblDaily[EntryDate],DATE(2026,4,11),tblDaily[WardCode],"FAE")=0,"",SUMIFS(tblDaily[Discharges],tblDaily[EntryDate],DATE(2026,4,11),tblDaily[WardCode],"FAE")),"")</f>
        <v/>
      </c>
      <c r="D134" s="29" t="str">
        <f>IFERROR(IF(SUMIFS(tblDaily[Deaths],tblDaily[EntryDate],DATE(2026,4,11),tblDaily[WardCode],"FAE")=0,"",SUMIFS(tblDaily[Deaths],tblDaily[EntryDate],DATE(2026,4,11),tblDaily[WardCode],"FAE")),"")</f>
        <v/>
      </c>
      <c r="E134" s="29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29" t="str">
        <f>IFERROR(IF(SUMIFS(tblDaily[TransfersIn],tblDaily[EntryDate],DATE(2026,4,11),tblDaily[WardCode],"FAE")=0,"",SUMIFS(tblDaily[TransfersIn],tblDaily[EntryDate],DATE(2026,4,11),tblDaily[WardCode],"FAE")),"")</f>
        <v/>
      </c>
      <c r="G134" s="29" t="str">
        <f>IFERROR(IF(SUMIFS(tblDaily[TransfersOut],tblDaily[EntryDate],DATE(2026,4,11),tblDaily[WardCode],"FAE")=0,"",SUMIFS(tblDaily[TransfersOut],tblDaily[EntryDate],DATE(2026,4,11),tblDaily[WardCode],"FAE")),"")</f>
        <v/>
      </c>
      <c r="H134" s="29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IFERROR(IF(SUMIFS(tblDaily[Admissions],tblDaily[EntryDate],DATE(2026,4,12),tblDaily[WardCode],"FAE")=0,"",SUMIFS(tblDaily[Admissions],tblDaily[EntryDate],DATE(2026,4,12),tblDaily[WardCode],"FAE")),"")</f>
        <v/>
      </c>
      <c r="C135" s="29" t="str">
        <f>IFERROR(IF(SUMIFS(tblDaily[Discharges],tblDaily[EntryDate],DATE(2026,4,12),tblDaily[WardCode],"FAE")=0,"",SUMIFS(tblDaily[Discharges],tblDaily[EntryDate],DATE(2026,4,12),tblDaily[WardCode],"FAE")),"")</f>
        <v/>
      </c>
      <c r="D135" s="29" t="str">
        <f>IFERROR(IF(SUMIFS(tblDaily[Deaths],tblDaily[EntryDate],DATE(2026,4,12),tblDaily[WardCode],"FAE")=0,"",SUMIFS(tblDaily[Deaths],tblDaily[EntryDate],DATE(2026,4,12),tblDaily[WardCode],"FAE")),"")</f>
        <v/>
      </c>
      <c r="E135" s="29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29" t="str">
        <f>IFERROR(IF(SUMIFS(tblDaily[TransfersIn],tblDaily[EntryDate],DATE(2026,4,12),tblDaily[WardCode],"FAE")=0,"",SUMIFS(tblDaily[TransfersIn],tblDaily[EntryDate],DATE(2026,4,12),tblDaily[WardCode],"FAE")),"")</f>
        <v/>
      </c>
      <c r="G135" s="29" t="str">
        <f>IFERROR(IF(SUMIFS(tblDaily[TransfersOut],tblDaily[EntryDate],DATE(2026,4,12),tblDaily[WardCode],"FAE")=0,"",SUMIFS(tblDaily[TransfersOut],tblDaily[EntryDate],DATE(2026,4,12),tblDaily[WardCode],"FAE")),"")</f>
        <v/>
      </c>
      <c r="H135" s="29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IFERROR(IF(SUMIFS(tblDaily[Admissions],tblDaily[EntryDate],DATE(2026,4,13),tblDaily[WardCode],"FAE")=0,"",SUMIFS(tblDaily[Admissions],tblDaily[EntryDate],DATE(2026,4,13),tblDaily[WardCode],"FAE")),"")</f>
        <v/>
      </c>
      <c r="C136" s="29" t="str">
        <f>IFERROR(IF(SUMIFS(tblDaily[Discharges],tblDaily[EntryDate],DATE(2026,4,13),tblDaily[WardCode],"FAE")=0,"",SUMIFS(tblDaily[Discharges],tblDaily[EntryDate],DATE(2026,4,13),tblDaily[WardCode],"FAE")),"")</f>
        <v/>
      </c>
      <c r="D136" s="29" t="str">
        <f>IFERROR(IF(SUMIFS(tblDaily[Deaths],tblDaily[EntryDate],DATE(2026,4,13),tblDaily[WardCode],"FAE")=0,"",SUMIFS(tblDaily[Deaths],tblDaily[EntryDate],DATE(2026,4,13),tblDaily[WardCode],"FAE")),"")</f>
        <v/>
      </c>
      <c r="E136" s="29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29" t="str">
        <f>IFERROR(IF(SUMIFS(tblDaily[TransfersIn],tblDaily[EntryDate],DATE(2026,4,13),tblDaily[WardCode],"FAE")=0,"",SUMIFS(tblDaily[TransfersIn],tblDaily[EntryDate],DATE(2026,4,13),tblDaily[WardCode],"FAE")),"")</f>
        <v/>
      </c>
      <c r="G136" s="29" t="str">
        <f>IFERROR(IF(SUMIFS(tblDaily[TransfersOut],tblDaily[EntryDate],DATE(2026,4,13),tblDaily[WardCode],"FAE")=0,"",SUMIFS(tblDaily[TransfersOut],tblDaily[EntryDate],DATE(2026,4,13),tblDaily[WardCode],"FAE")),"")</f>
        <v/>
      </c>
      <c r="H136" s="29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IFERROR(IF(SUMIFS(tblDaily[Admissions],tblDaily[EntryDate],DATE(2026,4,14),tblDaily[WardCode],"FAE")=0,"",SUMIFS(tblDaily[Admissions],tblDaily[EntryDate],DATE(2026,4,14),tblDaily[WardCode],"FAE")),"")</f>
        <v/>
      </c>
      <c r="C137" s="29" t="str">
        <f>IFERROR(IF(SUMIFS(tblDaily[Discharges],tblDaily[EntryDate],DATE(2026,4,14),tblDaily[WardCode],"FAE")=0,"",SUMIFS(tblDaily[Discharges],tblDaily[EntryDate],DATE(2026,4,14),tblDaily[WardCode],"FAE")),"")</f>
        <v/>
      </c>
      <c r="D137" s="29" t="str">
        <f>IFERROR(IF(SUMIFS(tblDaily[Deaths],tblDaily[EntryDate],DATE(2026,4,14),tblDaily[WardCode],"FAE")=0,"",SUMIFS(tblDaily[Deaths],tblDaily[EntryDate],DATE(2026,4,14),tblDaily[WardCode],"FAE")),"")</f>
        <v/>
      </c>
      <c r="E137" s="29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29" t="str">
        <f>IFERROR(IF(SUMIFS(tblDaily[TransfersIn],tblDaily[EntryDate],DATE(2026,4,14),tblDaily[WardCode],"FAE")=0,"",SUMIFS(tblDaily[TransfersIn],tblDaily[EntryDate],DATE(2026,4,14),tblDaily[WardCode],"FAE")),"")</f>
        <v/>
      </c>
      <c r="G137" s="29" t="str">
        <f>IFERROR(IF(SUMIFS(tblDaily[TransfersOut],tblDaily[EntryDate],DATE(2026,4,14),tblDaily[WardCode],"FAE")=0,"",SUMIFS(tblDaily[TransfersOut],tblDaily[EntryDate],DATE(2026,4,14),tblDaily[WardCode],"FAE")),"")</f>
        <v/>
      </c>
      <c r="H137" s="29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IFERROR(IF(SUMIFS(tblDaily[Admissions],tblDaily[EntryDate],DATE(2026,4,15),tblDaily[WardCode],"FAE")=0,"",SUMIFS(tblDaily[Admissions],tblDaily[EntryDate],DATE(2026,4,15),tblDaily[WardCode],"FAE")),"")</f>
        <v/>
      </c>
      <c r="C138" s="29" t="str">
        <f>IFERROR(IF(SUMIFS(tblDaily[Discharges],tblDaily[EntryDate],DATE(2026,4,15),tblDaily[WardCode],"FAE")=0,"",SUMIFS(tblDaily[Discharges],tblDaily[EntryDate],DATE(2026,4,15),tblDaily[WardCode],"FAE")),"")</f>
        <v/>
      </c>
      <c r="D138" s="29" t="str">
        <f>IFERROR(IF(SUMIFS(tblDaily[Deaths],tblDaily[EntryDate],DATE(2026,4,15),tblDaily[WardCode],"FAE")=0,"",SUMIFS(tblDaily[Deaths],tblDaily[EntryDate],DATE(2026,4,15),tblDaily[WardCode],"FAE")),"")</f>
        <v/>
      </c>
      <c r="E138" s="29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29" t="str">
        <f>IFERROR(IF(SUMIFS(tblDaily[TransfersIn],tblDaily[EntryDate],DATE(2026,4,15),tblDaily[WardCode],"FAE")=0,"",SUMIFS(tblDaily[TransfersIn],tblDaily[EntryDate],DATE(2026,4,15),tblDaily[WardCode],"FAE")),"")</f>
        <v/>
      </c>
      <c r="G138" s="29" t="str">
        <f>IFERROR(IF(SUMIFS(tblDaily[TransfersOut],tblDaily[EntryDate],DATE(2026,4,15),tblDaily[WardCode],"FAE")=0,"",SUMIFS(tblDaily[TransfersOut],tblDaily[EntryDate],DATE(2026,4,15),tblDaily[WardCode],"FAE")),"")</f>
        <v/>
      </c>
      <c r="H138" s="29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IFERROR(IF(SUMIFS(tblDaily[Admissions],tblDaily[EntryDate],DATE(2026,4,16),tblDaily[WardCode],"FAE")=0,"",SUMIFS(tblDaily[Admissions],tblDaily[EntryDate],DATE(2026,4,16),tblDaily[WardCode],"FAE")),"")</f>
        <v/>
      </c>
      <c r="C139" s="29" t="str">
        <f>IFERROR(IF(SUMIFS(tblDaily[Discharges],tblDaily[EntryDate],DATE(2026,4,16),tblDaily[WardCode],"FAE")=0,"",SUMIFS(tblDaily[Discharges],tblDaily[EntryDate],DATE(2026,4,16),tblDaily[WardCode],"FAE")),"")</f>
        <v/>
      </c>
      <c r="D139" s="29" t="str">
        <f>IFERROR(IF(SUMIFS(tblDaily[Deaths],tblDaily[EntryDate],DATE(2026,4,16),tblDaily[WardCode],"FAE")=0,"",SUMIFS(tblDaily[Deaths],tblDaily[EntryDate],DATE(2026,4,16),tblDaily[WardCode],"FAE")),"")</f>
        <v/>
      </c>
      <c r="E139" s="29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29" t="str">
        <f>IFERROR(IF(SUMIFS(tblDaily[TransfersIn],tblDaily[EntryDate],DATE(2026,4,16),tblDaily[WardCode],"FAE")=0,"",SUMIFS(tblDaily[TransfersIn],tblDaily[EntryDate],DATE(2026,4,16),tblDaily[WardCode],"FAE")),"")</f>
        <v/>
      </c>
      <c r="G139" s="29" t="str">
        <f>IFERROR(IF(SUMIFS(tblDaily[TransfersOut],tblDaily[EntryDate],DATE(2026,4,16),tblDaily[WardCode],"FAE")=0,"",SUMIFS(tblDaily[TransfersOut],tblDaily[EntryDate],DATE(2026,4,16),tblDaily[WardCode],"FAE")),"")</f>
        <v/>
      </c>
      <c r="H139" s="29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IFERROR(IF(SUMIFS(tblDaily[Admissions],tblDaily[EntryDate],DATE(2026,4,17),tblDaily[WardCode],"FAE")=0,"",SUMIFS(tblDaily[Admissions],tblDaily[EntryDate],DATE(2026,4,17),tblDaily[WardCode],"FAE")),"")</f>
        <v/>
      </c>
      <c r="C140" s="29" t="str">
        <f>IFERROR(IF(SUMIFS(tblDaily[Discharges],tblDaily[EntryDate],DATE(2026,4,17),tblDaily[WardCode],"FAE")=0,"",SUMIFS(tblDaily[Discharges],tblDaily[EntryDate],DATE(2026,4,17),tblDaily[WardCode],"FAE")),"")</f>
        <v/>
      </c>
      <c r="D140" s="29" t="str">
        <f>IFERROR(IF(SUMIFS(tblDaily[Deaths],tblDaily[EntryDate],DATE(2026,4,17),tblDaily[WardCode],"FAE")=0,"",SUMIFS(tblDaily[Deaths],tblDaily[EntryDate],DATE(2026,4,17),tblDaily[WardCode],"FAE")),"")</f>
        <v/>
      </c>
      <c r="E140" s="29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29" t="str">
        <f>IFERROR(IF(SUMIFS(tblDaily[TransfersIn],tblDaily[EntryDate],DATE(2026,4,17),tblDaily[WardCode],"FAE")=0,"",SUMIFS(tblDaily[TransfersIn],tblDaily[EntryDate],DATE(2026,4,17),tblDaily[WardCode],"FAE")),"")</f>
        <v/>
      </c>
      <c r="G140" s="29" t="str">
        <f>IFERROR(IF(SUMIFS(tblDaily[TransfersOut],tblDaily[EntryDate],DATE(2026,4,17),tblDaily[WardCode],"FAE")=0,"",SUMIFS(tblDaily[TransfersOut],tblDaily[EntryDate],DATE(2026,4,17),tblDaily[WardCode],"FAE")),"")</f>
        <v/>
      </c>
      <c r="H140" s="29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IFERROR(IF(SUMIFS(tblDaily[Admissions],tblDaily[EntryDate],DATE(2026,4,18),tblDaily[WardCode],"FAE")=0,"",SUMIFS(tblDaily[Admissions],tblDaily[EntryDate],DATE(2026,4,18),tblDaily[WardCode],"FAE")),"")</f>
        <v/>
      </c>
      <c r="C141" s="29" t="str">
        <f>IFERROR(IF(SUMIFS(tblDaily[Discharges],tblDaily[EntryDate],DATE(2026,4,18),tblDaily[WardCode],"FAE")=0,"",SUMIFS(tblDaily[Discharges],tblDaily[EntryDate],DATE(2026,4,18),tblDaily[WardCode],"FAE")),"")</f>
        <v/>
      </c>
      <c r="D141" s="29" t="str">
        <f>IFERROR(IF(SUMIFS(tblDaily[Deaths],tblDaily[EntryDate],DATE(2026,4,18),tblDaily[WardCode],"FAE")=0,"",SUMIFS(tblDaily[Deaths],tblDaily[EntryDate],DATE(2026,4,18),tblDaily[WardCode],"FAE")),"")</f>
        <v/>
      </c>
      <c r="E141" s="29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29" t="str">
        <f>IFERROR(IF(SUMIFS(tblDaily[TransfersIn],tblDaily[EntryDate],DATE(2026,4,18),tblDaily[WardCode],"FAE")=0,"",SUMIFS(tblDaily[TransfersIn],tblDaily[EntryDate],DATE(2026,4,18),tblDaily[WardCode],"FAE")),"")</f>
        <v/>
      </c>
      <c r="G141" s="29" t="str">
        <f>IFERROR(IF(SUMIFS(tblDaily[TransfersOut],tblDaily[EntryDate],DATE(2026,4,18),tblDaily[WardCode],"FAE")=0,"",SUMIFS(tblDaily[TransfersOut],tblDaily[EntryDate],DATE(2026,4,18),tblDaily[WardCode],"FAE")),"")</f>
        <v/>
      </c>
      <c r="H141" s="29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IFERROR(IF(SUMIFS(tblDaily[Admissions],tblDaily[EntryDate],DATE(2026,4,19),tblDaily[WardCode],"FAE")=0,"",SUMIFS(tblDaily[Admissions],tblDaily[EntryDate],DATE(2026,4,19),tblDaily[WardCode],"FAE")),"")</f>
        <v/>
      </c>
      <c r="C142" s="29" t="str">
        <f>IFERROR(IF(SUMIFS(tblDaily[Discharges],tblDaily[EntryDate],DATE(2026,4,19),tblDaily[WardCode],"FAE")=0,"",SUMIFS(tblDaily[Discharges],tblDaily[EntryDate],DATE(2026,4,19),tblDaily[WardCode],"FAE")),"")</f>
        <v/>
      </c>
      <c r="D142" s="29" t="str">
        <f>IFERROR(IF(SUMIFS(tblDaily[Deaths],tblDaily[EntryDate],DATE(2026,4,19),tblDaily[WardCode],"FAE")=0,"",SUMIFS(tblDaily[Deaths],tblDaily[EntryDate],DATE(2026,4,19),tblDaily[WardCode],"FAE")),"")</f>
        <v/>
      </c>
      <c r="E142" s="29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29" t="str">
        <f>IFERROR(IF(SUMIFS(tblDaily[TransfersIn],tblDaily[EntryDate],DATE(2026,4,19),tblDaily[WardCode],"FAE")=0,"",SUMIFS(tblDaily[TransfersIn],tblDaily[EntryDate],DATE(2026,4,19),tblDaily[WardCode],"FAE")),"")</f>
        <v/>
      </c>
      <c r="G142" s="29" t="str">
        <f>IFERROR(IF(SUMIFS(tblDaily[TransfersOut],tblDaily[EntryDate],DATE(2026,4,19),tblDaily[WardCode],"FAE")=0,"",SUMIFS(tblDaily[TransfersOut],tblDaily[EntryDate],DATE(2026,4,19),tblDaily[WardCode],"FAE")),"")</f>
        <v/>
      </c>
      <c r="H142" s="29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IFERROR(IF(SUMIFS(tblDaily[Admissions],tblDaily[EntryDate],DATE(2026,4,20),tblDaily[WardCode],"FAE")=0,"",SUMIFS(tblDaily[Admissions],tblDaily[EntryDate],DATE(2026,4,20),tblDaily[WardCode],"FAE")),"")</f>
        <v/>
      </c>
      <c r="C143" s="29" t="str">
        <f>IFERROR(IF(SUMIFS(tblDaily[Discharges],tblDaily[EntryDate],DATE(2026,4,20),tblDaily[WardCode],"FAE")=0,"",SUMIFS(tblDaily[Discharges],tblDaily[EntryDate],DATE(2026,4,20),tblDaily[WardCode],"FAE")),"")</f>
        <v/>
      </c>
      <c r="D143" s="29" t="str">
        <f>IFERROR(IF(SUMIFS(tblDaily[Deaths],tblDaily[EntryDate],DATE(2026,4,20),tblDaily[WardCode],"FAE")=0,"",SUMIFS(tblDaily[Deaths],tblDaily[EntryDate],DATE(2026,4,20),tblDaily[WardCode],"FAE")),"")</f>
        <v/>
      </c>
      <c r="E143" s="29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29" t="str">
        <f>IFERROR(IF(SUMIFS(tblDaily[TransfersIn],tblDaily[EntryDate],DATE(2026,4,20),tblDaily[WardCode],"FAE")=0,"",SUMIFS(tblDaily[TransfersIn],tblDaily[EntryDate],DATE(2026,4,20),tblDaily[WardCode],"FAE")),"")</f>
        <v/>
      </c>
      <c r="G143" s="29" t="str">
        <f>IFERROR(IF(SUMIFS(tblDaily[TransfersOut],tblDaily[EntryDate],DATE(2026,4,20),tblDaily[WardCode],"FAE")=0,"",SUMIFS(tblDaily[TransfersOut],tblDaily[EntryDate],DATE(2026,4,20),tblDaily[WardCode],"FAE")),"")</f>
        <v/>
      </c>
      <c r="H143" s="29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IFERROR(IF(SUMIFS(tblDaily[Admissions],tblDaily[EntryDate],DATE(2026,4,21),tblDaily[WardCode],"FAE")=0,"",SUMIFS(tblDaily[Admissions],tblDaily[EntryDate],DATE(2026,4,21),tblDaily[WardCode],"FAE")),"")</f>
        <v/>
      </c>
      <c r="C144" s="29" t="str">
        <f>IFERROR(IF(SUMIFS(tblDaily[Discharges],tblDaily[EntryDate],DATE(2026,4,21),tblDaily[WardCode],"FAE")=0,"",SUMIFS(tblDaily[Discharges],tblDaily[EntryDate],DATE(2026,4,21),tblDaily[WardCode],"FAE")),"")</f>
        <v/>
      </c>
      <c r="D144" s="29" t="str">
        <f>IFERROR(IF(SUMIFS(tblDaily[Deaths],tblDaily[EntryDate],DATE(2026,4,21),tblDaily[WardCode],"FAE")=0,"",SUMIFS(tblDaily[Deaths],tblDaily[EntryDate],DATE(2026,4,21),tblDaily[WardCode],"FAE")),"")</f>
        <v/>
      </c>
      <c r="E144" s="29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29" t="str">
        <f>IFERROR(IF(SUMIFS(tblDaily[TransfersIn],tblDaily[EntryDate],DATE(2026,4,21),tblDaily[WardCode],"FAE")=0,"",SUMIFS(tblDaily[TransfersIn],tblDaily[EntryDate],DATE(2026,4,21),tblDaily[WardCode],"FAE")),"")</f>
        <v/>
      </c>
      <c r="G144" s="29" t="str">
        <f>IFERROR(IF(SUMIFS(tblDaily[TransfersOut],tblDaily[EntryDate],DATE(2026,4,21),tblDaily[WardCode],"FAE")=0,"",SUMIFS(tblDaily[TransfersOut],tblDaily[EntryDate],DATE(2026,4,21),tblDaily[WardCode],"FAE")),"")</f>
        <v/>
      </c>
      <c r="H144" s="29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IFERROR(IF(SUMIFS(tblDaily[Admissions],tblDaily[EntryDate],DATE(2026,4,22),tblDaily[WardCode],"FAE")=0,"",SUMIFS(tblDaily[Admissions],tblDaily[EntryDate],DATE(2026,4,22),tblDaily[WardCode],"FAE")),"")</f>
        <v/>
      </c>
      <c r="C145" s="29" t="str">
        <f>IFERROR(IF(SUMIFS(tblDaily[Discharges],tblDaily[EntryDate],DATE(2026,4,22),tblDaily[WardCode],"FAE")=0,"",SUMIFS(tblDaily[Discharges],tblDaily[EntryDate],DATE(2026,4,22),tblDaily[WardCode],"FAE")),"")</f>
        <v/>
      </c>
      <c r="D145" s="29" t="str">
        <f>IFERROR(IF(SUMIFS(tblDaily[Deaths],tblDaily[EntryDate],DATE(2026,4,22),tblDaily[WardCode],"FAE")=0,"",SUMIFS(tblDaily[Deaths],tblDaily[EntryDate],DATE(2026,4,22),tblDaily[WardCode],"FAE")),"")</f>
        <v/>
      </c>
      <c r="E145" s="29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29" t="str">
        <f>IFERROR(IF(SUMIFS(tblDaily[TransfersIn],tblDaily[EntryDate],DATE(2026,4,22),tblDaily[WardCode],"FAE")=0,"",SUMIFS(tblDaily[TransfersIn],tblDaily[EntryDate],DATE(2026,4,22),tblDaily[WardCode],"FAE")),"")</f>
        <v/>
      </c>
      <c r="G145" s="29" t="str">
        <f>IFERROR(IF(SUMIFS(tblDaily[TransfersOut],tblDaily[EntryDate],DATE(2026,4,22),tblDaily[WardCode],"FAE")=0,"",SUMIFS(tblDaily[TransfersOut],tblDaily[EntryDate],DATE(2026,4,22),tblDaily[WardCode],"FAE")),"")</f>
        <v/>
      </c>
      <c r="H145" s="29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IFERROR(IF(SUMIFS(tblDaily[Admissions],tblDaily[EntryDate],DATE(2026,4,23),tblDaily[WardCode],"FAE")=0,"",SUMIFS(tblDaily[Admissions],tblDaily[EntryDate],DATE(2026,4,23),tblDaily[WardCode],"FAE")),"")</f>
        <v/>
      </c>
      <c r="C146" s="29" t="str">
        <f>IFERROR(IF(SUMIFS(tblDaily[Discharges],tblDaily[EntryDate],DATE(2026,4,23),tblDaily[WardCode],"FAE")=0,"",SUMIFS(tblDaily[Discharges],tblDaily[EntryDate],DATE(2026,4,23),tblDaily[WardCode],"FAE")),"")</f>
        <v/>
      </c>
      <c r="D146" s="29" t="str">
        <f>IFERROR(IF(SUMIFS(tblDaily[Deaths],tblDaily[EntryDate],DATE(2026,4,23),tblDaily[WardCode],"FAE")=0,"",SUMIFS(tblDaily[Deaths],tblDaily[EntryDate],DATE(2026,4,23),tblDaily[WardCode],"FAE")),"")</f>
        <v/>
      </c>
      <c r="E146" s="29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29" t="str">
        <f>IFERROR(IF(SUMIFS(tblDaily[TransfersIn],tblDaily[EntryDate],DATE(2026,4,23),tblDaily[WardCode],"FAE")=0,"",SUMIFS(tblDaily[TransfersIn],tblDaily[EntryDate],DATE(2026,4,23),tblDaily[WardCode],"FAE")),"")</f>
        <v/>
      </c>
      <c r="G146" s="29" t="str">
        <f>IFERROR(IF(SUMIFS(tblDaily[TransfersOut],tblDaily[EntryDate],DATE(2026,4,23),tblDaily[WardCode],"FAE")=0,"",SUMIFS(tblDaily[TransfersOut],tblDaily[EntryDate],DATE(2026,4,23),tblDaily[WardCode],"FAE")),"")</f>
        <v/>
      </c>
      <c r="H146" s="29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IFERROR(IF(SUMIFS(tblDaily[Admissions],tblDaily[EntryDate],DATE(2026,4,24),tblDaily[WardCode],"FAE")=0,"",SUMIFS(tblDaily[Admissions],tblDaily[EntryDate],DATE(2026,4,24),tblDaily[WardCode],"FAE")),"")</f>
        <v/>
      </c>
      <c r="C147" s="29" t="str">
        <f>IFERROR(IF(SUMIFS(tblDaily[Discharges],tblDaily[EntryDate],DATE(2026,4,24),tblDaily[WardCode],"FAE")=0,"",SUMIFS(tblDaily[Discharges],tblDaily[EntryDate],DATE(2026,4,24),tblDaily[WardCode],"FAE")),"")</f>
        <v/>
      </c>
      <c r="D147" s="29" t="str">
        <f>IFERROR(IF(SUMIFS(tblDaily[Deaths],tblDaily[EntryDate],DATE(2026,4,24),tblDaily[WardCode],"FAE")=0,"",SUMIFS(tblDaily[Deaths],tblDaily[EntryDate],DATE(2026,4,24),tblDaily[WardCode],"FAE")),"")</f>
        <v/>
      </c>
      <c r="E147" s="29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29" t="str">
        <f>IFERROR(IF(SUMIFS(tblDaily[TransfersIn],tblDaily[EntryDate],DATE(2026,4,24),tblDaily[WardCode],"FAE")=0,"",SUMIFS(tblDaily[TransfersIn],tblDaily[EntryDate],DATE(2026,4,24),tblDaily[WardCode],"FAE")),"")</f>
        <v/>
      </c>
      <c r="G147" s="29" t="str">
        <f>IFERROR(IF(SUMIFS(tblDaily[TransfersOut],tblDaily[EntryDate],DATE(2026,4,24),tblDaily[WardCode],"FAE")=0,"",SUMIFS(tblDaily[TransfersOut],tblDaily[EntryDate],DATE(2026,4,24),tblDaily[WardCode],"FAE")),"")</f>
        <v/>
      </c>
      <c r="H147" s="29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IFERROR(IF(SUMIFS(tblDaily[Admissions],tblDaily[EntryDate],DATE(2026,4,25),tblDaily[WardCode],"FAE")=0,"",SUMIFS(tblDaily[Admissions],tblDaily[EntryDate],DATE(2026,4,25),tblDaily[WardCode],"FAE")),"")</f>
        <v/>
      </c>
      <c r="C148" s="29" t="str">
        <f>IFERROR(IF(SUMIFS(tblDaily[Discharges],tblDaily[EntryDate],DATE(2026,4,25),tblDaily[WardCode],"FAE")=0,"",SUMIFS(tblDaily[Discharges],tblDaily[EntryDate],DATE(2026,4,25),tblDaily[WardCode],"FAE")),"")</f>
        <v/>
      </c>
      <c r="D148" s="29" t="str">
        <f>IFERROR(IF(SUMIFS(tblDaily[Deaths],tblDaily[EntryDate],DATE(2026,4,25),tblDaily[WardCode],"FAE")=0,"",SUMIFS(tblDaily[Deaths],tblDaily[EntryDate],DATE(2026,4,25),tblDaily[WardCode],"FAE")),"")</f>
        <v/>
      </c>
      <c r="E148" s="29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29" t="str">
        <f>IFERROR(IF(SUMIFS(tblDaily[TransfersIn],tblDaily[EntryDate],DATE(2026,4,25),tblDaily[WardCode],"FAE")=0,"",SUMIFS(tblDaily[TransfersIn],tblDaily[EntryDate],DATE(2026,4,25),tblDaily[WardCode],"FAE")),"")</f>
        <v/>
      </c>
      <c r="G148" s="29" t="str">
        <f>IFERROR(IF(SUMIFS(tblDaily[TransfersOut],tblDaily[EntryDate],DATE(2026,4,25),tblDaily[WardCode],"FAE")=0,"",SUMIFS(tblDaily[TransfersOut],tblDaily[EntryDate],DATE(2026,4,25),tblDaily[WardCode],"FAE")),"")</f>
        <v/>
      </c>
      <c r="H148" s="29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IFERROR(IF(SUMIFS(tblDaily[Admissions],tblDaily[EntryDate],DATE(2026,4,26),tblDaily[WardCode],"FAE")=0,"",SUMIFS(tblDaily[Admissions],tblDaily[EntryDate],DATE(2026,4,26),tblDaily[WardCode],"FAE")),"")</f>
        <v/>
      </c>
      <c r="C149" s="29" t="str">
        <f>IFERROR(IF(SUMIFS(tblDaily[Discharges],tblDaily[EntryDate],DATE(2026,4,26),tblDaily[WardCode],"FAE")=0,"",SUMIFS(tblDaily[Discharges],tblDaily[EntryDate],DATE(2026,4,26),tblDaily[WardCode],"FAE")),"")</f>
        <v/>
      </c>
      <c r="D149" s="29" t="str">
        <f>IFERROR(IF(SUMIFS(tblDaily[Deaths],tblDaily[EntryDate],DATE(2026,4,26),tblDaily[WardCode],"FAE")=0,"",SUMIFS(tblDaily[Deaths],tblDaily[EntryDate],DATE(2026,4,26),tblDaily[WardCode],"FAE")),"")</f>
        <v/>
      </c>
      <c r="E149" s="29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29" t="str">
        <f>IFERROR(IF(SUMIFS(tblDaily[TransfersIn],tblDaily[EntryDate],DATE(2026,4,26),tblDaily[WardCode],"FAE")=0,"",SUMIFS(tblDaily[TransfersIn],tblDaily[EntryDate],DATE(2026,4,26),tblDaily[WardCode],"FAE")),"")</f>
        <v/>
      </c>
      <c r="G149" s="29" t="str">
        <f>IFERROR(IF(SUMIFS(tblDaily[TransfersOut],tblDaily[EntryDate],DATE(2026,4,26),tblDaily[WardCode],"FAE")=0,"",SUMIFS(tblDaily[TransfersOut],tblDaily[EntryDate],DATE(2026,4,26),tblDaily[WardCode],"FAE")),"")</f>
        <v/>
      </c>
      <c r="H149" s="29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IFERROR(IF(SUMIFS(tblDaily[Admissions],tblDaily[EntryDate],DATE(2026,4,27),tblDaily[WardCode],"FAE")=0,"",SUMIFS(tblDaily[Admissions],tblDaily[EntryDate],DATE(2026,4,27),tblDaily[WardCode],"FAE")),"")</f>
        <v/>
      </c>
      <c r="C150" s="29" t="str">
        <f>IFERROR(IF(SUMIFS(tblDaily[Discharges],tblDaily[EntryDate],DATE(2026,4,27),tblDaily[WardCode],"FAE")=0,"",SUMIFS(tblDaily[Discharges],tblDaily[EntryDate],DATE(2026,4,27),tblDaily[WardCode],"FAE")),"")</f>
        <v/>
      </c>
      <c r="D150" s="29" t="str">
        <f>IFERROR(IF(SUMIFS(tblDaily[Deaths],tblDaily[EntryDate],DATE(2026,4,27),tblDaily[WardCode],"FAE")=0,"",SUMIFS(tblDaily[Deaths],tblDaily[EntryDate],DATE(2026,4,27),tblDaily[WardCode],"FAE")),"")</f>
        <v/>
      </c>
      <c r="E150" s="29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29" t="str">
        <f>IFERROR(IF(SUMIFS(tblDaily[TransfersIn],tblDaily[EntryDate],DATE(2026,4,27),tblDaily[WardCode],"FAE")=0,"",SUMIFS(tblDaily[TransfersIn],tblDaily[EntryDate],DATE(2026,4,27),tblDaily[WardCode],"FAE")),"")</f>
        <v/>
      </c>
      <c r="G150" s="29" t="str">
        <f>IFERROR(IF(SUMIFS(tblDaily[TransfersOut],tblDaily[EntryDate],DATE(2026,4,27),tblDaily[WardCode],"FAE")=0,"",SUMIFS(tblDaily[TransfersOut],tblDaily[EntryDate],DATE(2026,4,27),tblDaily[WardCode],"FAE")),"")</f>
        <v/>
      </c>
      <c r="H150" s="29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IFERROR(IF(SUMIFS(tblDaily[Admissions],tblDaily[EntryDate],DATE(2026,4,28),tblDaily[WardCode],"FAE")=0,"",SUMIFS(tblDaily[Admissions],tblDaily[EntryDate],DATE(2026,4,28),tblDaily[WardCode],"FAE")),"")</f>
        <v/>
      </c>
      <c r="C151" s="29" t="str">
        <f>IFERROR(IF(SUMIFS(tblDaily[Discharges],tblDaily[EntryDate],DATE(2026,4,28),tblDaily[WardCode],"FAE")=0,"",SUMIFS(tblDaily[Discharges],tblDaily[EntryDate],DATE(2026,4,28),tblDaily[WardCode],"FAE")),"")</f>
        <v/>
      </c>
      <c r="D151" s="29" t="str">
        <f>IFERROR(IF(SUMIFS(tblDaily[Deaths],tblDaily[EntryDate],DATE(2026,4,28),tblDaily[WardCode],"FAE")=0,"",SUMIFS(tblDaily[Deaths],tblDaily[EntryDate],DATE(2026,4,28),tblDaily[WardCode],"FAE")),"")</f>
        <v/>
      </c>
      <c r="E151" s="29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29" t="str">
        <f>IFERROR(IF(SUMIFS(tblDaily[TransfersIn],tblDaily[EntryDate],DATE(2026,4,28),tblDaily[WardCode],"FAE")=0,"",SUMIFS(tblDaily[TransfersIn],tblDaily[EntryDate],DATE(2026,4,28),tblDaily[WardCode],"FAE")),"")</f>
        <v/>
      </c>
      <c r="G151" s="29" t="str">
        <f>IFERROR(IF(SUMIFS(tblDaily[TransfersOut],tblDaily[EntryDate],DATE(2026,4,28),tblDaily[WardCode],"FAE")=0,"",SUMIFS(tblDaily[TransfersOut],tblDaily[EntryDate],DATE(2026,4,28),tblDaily[WardCode],"FAE")),"")</f>
        <v/>
      </c>
      <c r="H151" s="29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IFERROR(IF(SUMIFS(tblDaily[Admissions],tblDaily[EntryDate],DATE(2026,4,29),tblDaily[WardCode],"FAE")=0,"",SUMIFS(tblDaily[Admissions],tblDaily[EntryDate],DATE(2026,4,29),tblDaily[WardCode],"FAE")),"")</f>
        <v/>
      </c>
      <c r="C152" s="29" t="str">
        <f>IFERROR(IF(SUMIFS(tblDaily[Discharges],tblDaily[EntryDate],DATE(2026,4,29),tblDaily[WardCode],"FAE")=0,"",SUMIFS(tblDaily[Discharges],tblDaily[EntryDate],DATE(2026,4,29),tblDaily[WardCode],"FAE")),"")</f>
        <v/>
      </c>
      <c r="D152" s="29" t="str">
        <f>IFERROR(IF(SUMIFS(tblDaily[Deaths],tblDaily[EntryDate],DATE(2026,4,29),tblDaily[WardCode],"FAE")=0,"",SUMIFS(tblDaily[Deaths],tblDaily[EntryDate],DATE(2026,4,29),tblDaily[WardCode],"FAE")),"")</f>
        <v/>
      </c>
      <c r="E152" s="29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29" t="str">
        <f>IFERROR(IF(SUMIFS(tblDaily[TransfersIn],tblDaily[EntryDate],DATE(2026,4,29),tblDaily[WardCode],"FAE")=0,"",SUMIFS(tblDaily[TransfersIn],tblDaily[EntryDate],DATE(2026,4,29),tblDaily[WardCode],"FAE")),"")</f>
        <v/>
      </c>
      <c r="G152" s="29" t="str">
        <f>IFERROR(IF(SUMIFS(tblDaily[TransfersOut],tblDaily[EntryDate],DATE(2026,4,29),tblDaily[WardCode],"FAE")=0,"",SUMIFS(tblDaily[TransfersOut],tblDaily[EntryDate],DATE(2026,4,29),tblDaily[WardCode],"FAE")),"")</f>
        <v/>
      </c>
      <c r="H152" s="29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IFERROR(IF(SUMIFS(tblDaily[Admissions],tblDaily[EntryDate],DATE(2026,4,30),tblDaily[WardCode],"FAE")=0,"",SUMIFS(tblDaily[Admissions],tblDaily[EntryDate],DATE(2026,4,30),tblDaily[WardCode],"FAE")),"")</f>
        <v/>
      </c>
      <c r="C153" s="29" t="str">
        <f>IFERROR(IF(SUMIFS(tblDaily[Discharges],tblDaily[EntryDate],DATE(2026,4,30),tblDaily[WardCode],"FAE")=0,"",SUMIFS(tblDaily[Discharges],tblDaily[EntryDate],DATE(2026,4,30),tblDaily[WardCode],"FAE")),"")</f>
        <v/>
      </c>
      <c r="D153" s="29" t="str">
        <f>IFERROR(IF(SUMIFS(tblDaily[Deaths],tblDaily[EntryDate],DATE(2026,4,30),tblDaily[WardCode],"FAE")=0,"",SUMIFS(tblDaily[Deaths],tblDaily[EntryDate],DATE(2026,4,30),tblDaily[WardCode],"FAE")),"")</f>
        <v/>
      </c>
      <c r="E153" s="29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29" t="str">
        <f>IFERROR(IF(SUMIFS(tblDaily[TransfersIn],tblDaily[EntryDate],DATE(2026,4,30),tblDaily[WardCode],"FAE")=0,"",SUMIFS(tblDaily[TransfersIn],tblDaily[EntryDate],DATE(2026,4,30),tblDaily[WardCode],"FAE")),"")</f>
        <v/>
      </c>
      <c r="G153" s="29" t="str">
        <f>IFERROR(IF(SUMIFS(tblDaily[TransfersOut],tblDaily[EntryDate],DATE(2026,4,30),tblDaily[WardCode],"FAE")=0,"",SUMIFS(tblDaily[TransfersOut],tblDaily[EntryDate],DATE(2026,4,30),tblDaily[WardCode],"FAE")),"")</f>
        <v/>
      </c>
      <c r="H153" s="29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SUMIFS(tblDaily[Admissions],tblDaily[Month],4,tblDaily[WardCode],"FAE") - SUMIFS(tblDaily[DeathsUnder24Hrs],tblDaily[Month],4,tblDaily[WardCode],"FAE")</f>
        <v>4</v>
      </c>
      <c r="C155" s="30">
        <f>SUMIFS(tblDaily[Discharges],tblDaily[Month],4,tblDaily[WardCode],"FAE")</f>
        <v>3</v>
      </c>
      <c r="D155" s="30">
        <f>SUMIFS(tblDaily[Deaths],tblDaily[Month],4,tblDaily[WardCode],"FAE")</f>
        <v>0</v>
      </c>
      <c r="E155" s="30">
        <f>SUMIFS(tblDaily[DeathsUnder24Hrs],tblDaily[Month],4,tblDaily[WardCode],"FAE")</f>
        <v>1</v>
      </c>
      <c r="F155" s="30">
        <f>SUMIFS(tblDaily[TransfersIn],tblDaily[Month],4,tblDaily[WardCode],"FAE")</f>
        <v>0</v>
      </c>
      <c r="G155" s="30">
        <f>SUMIFS(tblDaily[TransfersOut],tblDaily[Month],4,tblDaily[WardCode],"FAE")</f>
        <v>4</v>
      </c>
      <c r="H155" s="30">
        <f>SUMIFS(tblDaily[Remaining],tblDaily[Month],4,tblDaily[WardCode],"FAE")</f>
        <v>7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123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IFERROR(SUMIFS(tblDaily[Remaining],tblDaily[EntryDate],DATE(2026,4,30),tblDaily[WardCode],"FAE"),0)</f>
        <v>0</v>
      </c>
    </row>
    <row r="161" spans="1:8" x14ac:dyDescent="0.25">
      <c r="A161" s="24" t="s">
        <v>109</v>
      </c>
      <c r="H161" s="27">
        <f>IFERROR(INDEX(tblWardConfig[BedComplement],MATCH("FAE",tblWardConfig[WardCode],0)),0)</f>
        <v>10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IFERROR(IF(SUMIFS(tblDaily[Admissions],tblDaily[EntryDate],DATE(2026,5,1),tblDaily[WardCode],"FAE")=0,"",SUMIFS(tblDaily[Admissions],tblDaily[EntryDate],DATE(2026,5,1),tblDaily[WardCode],"FAE")),"")</f>
        <v/>
      </c>
      <c r="C163" s="29" t="str">
        <f>IFERROR(IF(SUMIFS(tblDaily[Discharges],tblDaily[EntryDate],DATE(2026,5,1),tblDaily[WardCode],"FAE")=0,"",SUMIFS(tblDaily[Discharges],tblDaily[EntryDate],DATE(2026,5,1),tblDaily[WardCode],"FAE")),"")</f>
        <v/>
      </c>
      <c r="D163" s="29" t="str">
        <f>IFERROR(IF(SUMIFS(tblDaily[Deaths],tblDaily[EntryDate],DATE(2026,5,1),tblDaily[WardCode],"FAE")=0,"",SUMIFS(tblDaily[Deaths],tblDaily[EntryDate],DATE(2026,5,1),tblDaily[WardCode],"FAE")),"")</f>
        <v/>
      </c>
      <c r="E163" s="29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29" t="str">
        <f>IFERROR(IF(SUMIFS(tblDaily[TransfersIn],tblDaily[EntryDate],DATE(2026,5,1),tblDaily[WardCode],"FAE")=0,"",SUMIFS(tblDaily[TransfersIn],tblDaily[EntryDate],DATE(2026,5,1),tblDaily[WardCode],"FAE")),"")</f>
        <v/>
      </c>
      <c r="G163" s="29" t="str">
        <f>IFERROR(IF(SUMIFS(tblDaily[TransfersOut],tblDaily[EntryDate],DATE(2026,5,1),tblDaily[WardCode],"FAE")=0,"",SUMIFS(tblDaily[TransfersOut],tblDaily[EntryDate],DATE(2026,5,1),tblDaily[WardCode],"FAE")),"")</f>
        <v/>
      </c>
      <c r="H163" s="29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IFERROR(IF(SUMIFS(tblDaily[Admissions],tblDaily[EntryDate],DATE(2026,5,2),tblDaily[WardCode],"FAE")=0,"",SUMIFS(tblDaily[Admissions],tblDaily[EntryDate],DATE(2026,5,2),tblDaily[WardCode],"FAE")),"")</f>
        <v/>
      </c>
      <c r="C164" s="29" t="str">
        <f>IFERROR(IF(SUMIFS(tblDaily[Discharges],tblDaily[EntryDate],DATE(2026,5,2),tblDaily[WardCode],"FAE")=0,"",SUMIFS(tblDaily[Discharges],tblDaily[EntryDate],DATE(2026,5,2),tblDaily[WardCode],"FAE")),"")</f>
        <v/>
      </c>
      <c r="D164" s="29" t="str">
        <f>IFERROR(IF(SUMIFS(tblDaily[Deaths],tblDaily[EntryDate],DATE(2026,5,2),tblDaily[WardCode],"FAE")=0,"",SUMIFS(tblDaily[Deaths],tblDaily[EntryDate],DATE(2026,5,2),tblDaily[WardCode],"FAE")),"")</f>
        <v/>
      </c>
      <c r="E164" s="29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29" t="str">
        <f>IFERROR(IF(SUMIFS(tblDaily[TransfersIn],tblDaily[EntryDate],DATE(2026,5,2),tblDaily[WardCode],"FAE")=0,"",SUMIFS(tblDaily[TransfersIn],tblDaily[EntryDate],DATE(2026,5,2),tblDaily[WardCode],"FAE")),"")</f>
        <v/>
      </c>
      <c r="G164" s="29" t="str">
        <f>IFERROR(IF(SUMIFS(tblDaily[TransfersOut],tblDaily[EntryDate],DATE(2026,5,2),tblDaily[WardCode],"FAE")=0,"",SUMIFS(tblDaily[TransfersOut],tblDaily[EntryDate],DATE(2026,5,2),tblDaily[WardCode],"FAE")),"")</f>
        <v/>
      </c>
      <c r="H164" s="29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IFERROR(IF(SUMIFS(tblDaily[Admissions],tblDaily[EntryDate],DATE(2026,5,3),tblDaily[WardCode],"FAE")=0,"",SUMIFS(tblDaily[Admissions],tblDaily[EntryDate],DATE(2026,5,3),tblDaily[WardCode],"FAE")),"")</f>
        <v/>
      </c>
      <c r="C165" s="29" t="str">
        <f>IFERROR(IF(SUMIFS(tblDaily[Discharges],tblDaily[EntryDate],DATE(2026,5,3),tblDaily[WardCode],"FAE")=0,"",SUMIFS(tblDaily[Discharges],tblDaily[EntryDate],DATE(2026,5,3),tblDaily[WardCode],"FAE")),"")</f>
        <v/>
      </c>
      <c r="D165" s="29" t="str">
        <f>IFERROR(IF(SUMIFS(tblDaily[Deaths],tblDaily[EntryDate],DATE(2026,5,3),tblDaily[WardCode],"FAE")=0,"",SUMIFS(tblDaily[Deaths],tblDaily[EntryDate],DATE(2026,5,3),tblDaily[WardCode],"FAE")),"")</f>
        <v/>
      </c>
      <c r="E165" s="29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29" t="str">
        <f>IFERROR(IF(SUMIFS(tblDaily[TransfersIn],tblDaily[EntryDate],DATE(2026,5,3),tblDaily[WardCode],"FAE")=0,"",SUMIFS(tblDaily[TransfersIn],tblDaily[EntryDate],DATE(2026,5,3),tblDaily[WardCode],"FAE")),"")</f>
        <v/>
      </c>
      <c r="G165" s="29" t="str">
        <f>IFERROR(IF(SUMIFS(tblDaily[TransfersOut],tblDaily[EntryDate],DATE(2026,5,3),tblDaily[WardCode],"FAE")=0,"",SUMIFS(tblDaily[TransfersOut],tblDaily[EntryDate],DATE(2026,5,3),tblDaily[WardCode],"FAE")),"")</f>
        <v/>
      </c>
      <c r="H165" s="29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IFERROR(IF(SUMIFS(tblDaily[Admissions],tblDaily[EntryDate],DATE(2026,5,4),tblDaily[WardCode],"FAE")=0,"",SUMIFS(tblDaily[Admissions],tblDaily[EntryDate],DATE(2026,5,4),tblDaily[WardCode],"FAE")),"")</f>
        <v/>
      </c>
      <c r="C166" s="29" t="str">
        <f>IFERROR(IF(SUMIFS(tblDaily[Discharges],tblDaily[EntryDate],DATE(2026,5,4),tblDaily[WardCode],"FAE")=0,"",SUMIFS(tblDaily[Discharges],tblDaily[EntryDate],DATE(2026,5,4),tblDaily[WardCode],"FAE")),"")</f>
        <v/>
      </c>
      <c r="D166" s="29" t="str">
        <f>IFERROR(IF(SUMIFS(tblDaily[Deaths],tblDaily[EntryDate],DATE(2026,5,4),tblDaily[WardCode],"FAE")=0,"",SUMIFS(tblDaily[Deaths],tblDaily[EntryDate],DATE(2026,5,4),tblDaily[WardCode],"FAE")),"")</f>
        <v/>
      </c>
      <c r="E166" s="29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29" t="str">
        <f>IFERROR(IF(SUMIFS(tblDaily[TransfersIn],tblDaily[EntryDate],DATE(2026,5,4),tblDaily[WardCode],"FAE")=0,"",SUMIFS(tblDaily[TransfersIn],tblDaily[EntryDate],DATE(2026,5,4),tblDaily[WardCode],"FAE")),"")</f>
        <v/>
      </c>
      <c r="G166" s="29" t="str">
        <f>IFERROR(IF(SUMIFS(tblDaily[TransfersOut],tblDaily[EntryDate],DATE(2026,5,4),tblDaily[WardCode],"FAE")=0,"",SUMIFS(tblDaily[TransfersOut],tblDaily[EntryDate],DATE(2026,5,4),tblDaily[WardCode],"FAE")),"")</f>
        <v/>
      </c>
      <c r="H166" s="29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IFERROR(IF(SUMIFS(tblDaily[Admissions],tblDaily[EntryDate],DATE(2026,5,5),tblDaily[WardCode],"FAE")=0,"",SUMIFS(tblDaily[Admissions],tblDaily[EntryDate],DATE(2026,5,5),tblDaily[WardCode],"FAE")),"")</f>
        <v/>
      </c>
      <c r="C167" s="29" t="str">
        <f>IFERROR(IF(SUMIFS(tblDaily[Discharges],tblDaily[EntryDate],DATE(2026,5,5),tblDaily[WardCode],"FAE")=0,"",SUMIFS(tblDaily[Discharges],tblDaily[EntryDate],DATE(2026,5,5),tblDaily[WardCode],"FAE")),"")</f>
        <v/>
      </c>
      <c r="D167" s="29" t="str">
        <f>IFERROR(IF(SUMIFS(tblDaily[Deaths],tblDaily[EntryDate],DATE(2026,5,5),tblDaily[WardCode],"FAE")=0,"",SUMIFS(tblDaily[Deaths],tblDaily[EntryDate],DATE(2026,5,5),tblDaily[WardCode],"FAE")),"")</f>
        <v/>
      </c>
      <c r="E167" s="29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29" t="str">
        <f>IFERROR(IF(SUMIFS(tblDaily[TransfersIn],tblDaily[EntryDate],DATE(2026,5,5),tblDaily[WardCode],"FAE")=0,"",SUMIFS(tblDaily[TransfersIn],tblDaily[EntryDate],DATE(2026,5,5),tblDaily[WardCode],"FAE")),"")</f>
        <v/>
      </c>
      <c r="G167" s="29" t="str">
        <f>IFERROR(IF(SUMIFS(tblDaily[TransfersOut],tblDaily[EntryDate],DATE(2026,5,5),tblDaily[WardCode],"FAE")=0,"",SUMIFS(tblDaily[TransfersOut],tblDaily[EntryDate],DATE(2026,5,5),tblDaily[WardCode],"FAE")),"")</f>
        <v/>
      </c>
      <c r="H167" s="29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IFERROR(IF(SUMIFS(tblDaily[Admissions],tblDaily[EntryDate],DATE(2026,5,6),tblDaily[WardCode],"FAE")=0,"",SUMIFS(tblDaily[Admissions],tblDaily[EntryDate],DATE(2026,5,6),tblDaily[WardCode],"FAE")),"")</f>
        <v/>
      </c>
      <c r="C168" s="29" t="str">
        <f>IFERROR(IF(SUMIFS(tblDaily[Discharges],tblDaily[EntryDate],DATE(2026,5,6),tblDaily[WardCode],"FAE")=0,"",SUMIFS(tblDaily[Discharges],tblDaily[EntryDate],DATE(2026,5,6),tblDaily[WardCode],"FAE")),"")</f>
        <v/>
      </c>
      <c r="D168" s="29" t="str">
        <f>IFERROR(IF(SUMIFS(tblDaily[Deaths],tblDaily[EntryDate],DATE(2026,5,6),tblDaily[WardCode],"FAE")=0,"",SUMIFS(tblDaily[Deaths],tblDaily[EntryDate],DATE(2026,5,6),tblDaily[WardCode],"FAE")),"")</f>
        <v/>
      </c>
      <c r="E168" s="29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29" t="str">
        <f>IFERROR(IF(SUMIFS(tblDaily[TransfersIn],tblDaily[EntryDate],DATE(2026,5,6),tblDaily[WardCode],"FAE")=0,"",SUMIFS(tblDaily[TransfersIn],tblDaily[EntryDate],DATE(2026,5,6),tblDaily[WardCode],"FAE")),"")</f>
        <v/>
      </c>
      <c r="G168" s="29" t="str">
        <f>IFERROR(IF(SUMIFS(tblDaily[TransfersOut],tblDaily[EntryDate],DATE(2026,5,6),tblDaily[WardCode],"FAE")=0,"",SUMIFS(tblDaily[TransfersOut],tblDaily[EntryDate],DATE(2026,5,6),tblDaily[WardCode],"FAE")),"")</f>
        <v/>
      </c>
      <c r="H168" s="29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IFERROR(IF(SUMIFS(tblDaily[Admissions],tblDaily[EntryDate],DATE(2026,5,7),tblDaily[WardCode],"FAE")=0,"",SUMIFS(tblDaily[Admissions],tblDaily[EntryDate],DATE(2026,5,7),tblDaily[WardCode],"FAE")),"")</f>
        <v/>
      </c>
      <c r="C169" s="29" t="str">
        <f>IFERROR(IF(SUMIFS(tblDaily[Discharges],tblDaily[EntryDate],DATE(2026,5,7),tblDaily[WardCode],"FAE")=0,"",SUMIFS(tblDaily[Discharges],tblDaily[EntryDate],DATE(2026,5,7),tblDaily[WardCode],"FAE")),"")</f>
        <v/>
      </c>
      <c r="D169" s="29" t="str">
        <f>IFERROR(IF(SUMIFS(tblDaily[Deaths],tblDaily[EntryDate],DATE(2026,5,7),tblDaily[WardCode],"FAE")=0,"",SUMIFS(tblDaily[Deaths],tblDaily[EntryDate],DATE(2026,5,7),tblDaily[WardCode],"FAE")),"")</f>
        <v/>
      </c>
      <c r="E169" s="29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29" t="str">
        <f>IFERROR(IF(SUMIFS(tblDaily[TransfersIn],tblDaily[EntryDate],DATE(2026,5,7),tblDaily[WardCode],"FAE")=0,"",SUMIFS(tblDaily[TransfersIn],tblDaily[EntryDate],DATE(2026,5,7),tblDaily[WardCode],"FAE")),"")</f>
        <v/>
      </c>
      <c r="G169" s="29" t="str">
        <f>IFERROR(IF(SUMIFS(tblDaily[TransfersOut],tblDaily[EntryDate],DATE(2026,5,7),tblDaily[WardCode],"FAE")=0,"",SUMIFS(tblDaily[TransfersOut],tblDaily[EntryDate],DATE(2026,5,7),tblDaily[WardCode],"FAE")),"")</f>
        <v/>
      </c>
      <c r="H169" s="29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IFERROR(IF(SUMIFS(tblDaily[Admissions],tblDaily[EntryDate],DATE(2026,5,8),tblDaily[WardCode],"FAE")=0,"",SUMIFS(tblDaily[Admissions],tblDaily[EntryDate],DATE(2026,5,8),tblDaily[WardCode],"FAE")),"")</f>
        <v/>
      </c>
      <c r="C170" s="29" t="str">
        <f>IFERROR(IF(SUMIFS(tblDaily[Discharges],tblDaily[EntryDate],DATE(2026,5,8),tblDaily[WardCode],"FAE")=0,"",SUMIFS(tblDaily[Discharges],tblDaily[EntryDate],DATE(2026,5,8),tblDaily[WardCode],"FAE")),"")</f>
        <v/>
      </c>
      <c r="D170" s="29" t="str">
        <f>IFERROR(IF(SUMIFS(tblDaily[Deaths],tblDaily[EntryDate],DATE(2026,5,8),tblDaily[WardCode],"FAE")=0,"",SUMIFS(tblDaily[Deaths],tblDaily[EntryDate],DATE(2026,5,8),tblDaily[WardCode],"FAE")),"")</f>
        <v/>
      </c>
      <c r="E170" s="29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29" t="str">
        <f>IFERROR(IF(SUMIFS(tblDaily[TransfersIn],tblDaily[EntryDate],DATE(2026,5,8),tblDaily[WardCode],"FAE")=0,"",SUMIFS(tblDaily[TransfersIn],tblDaily[EntryDate],DATE(2026,5,8),tblDaily[WardCode],"FAE")),"")</f>
        <v/>
      </c>
      <c r="G170" s="29" t="str">
        <f>IFERROR(IF(SUMIFS(tblDaily[TransfersOut],tblDaily[EntryDate],DATE(2026,5,8),tblDaily[WardCode],"FAE")=0,"",SUMIFS(tblDaily[TransfersOut],tblDaily[EntryDate],DATE(2026,5,8),tblDaily[WardCode],"FAE")),"")</f>
        <v/>
      </c>
      <c r="H170" s="29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IFERROR(IF(SUMIFS(tblDaily[Admissions],tblDaily[EntryDate],DATE(2026,5,9),tblDaily[WardCode],"FAE")=0,"",SUMIFS(tblDaily[Admissions],tblDaily[EntryDate],DATE(2026,5,9),tblDaily[WardCode],"FAE")),"")</f>
        <v/>
      </c>
      <c r="C171" s="29" t="str">
        <f>IFERROR(IF(SUMIFS(tblDaily[Discharges],tblDaily[EntryDate],DATE(2026,5,9),tblDaily[WardCode],"FAE")=0,"",SUMIFS(tblDaily[Discharges],tblDaily[EntryDate],DATE(2026,5,9),tblDaily[WardCode],"FAE")),"")</f>
        <v/>
      </c>
      <c r="D171" s="29" t="str">
        <f>IFERROR(IF(SUMIFS(tblDaily[Deaths],tblDaily[EntryDate],DATE(2026,5,9),tblDaily[WardCode],"FAE")=0,"",SUMIFS(tblDaily[Deaths],tblDaily[EntryDate],DATE(2026,5,9),tblDaily[WardCode],"FAE")),"")</f>
        <v/>
      </c>
      <c r="E171" s="29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29" t="str">
        <f>IFERROR(IF(SUMIFS(tblDaily[TransfersIn],tblDaily[EntryDate],DATE(2026,5,9),tblDaily[WardCode],"FAE")=0,"",SUMIFS(tblDaily[TransfersIn],tblDaily[EntryDate],DATE(2026,5,9),tblDaily[WardCode],"FAE")),"")</f>
        <v/>
      </c>
      <c r="G171" s="29" t="str">
        <f>IFERROR(IF(SUMIFS(tblDaily[TransfersOut],tblDaily[EntryDate],DATE(2026,5,9),tblDaily[WardCode],"FAE")=0,"",SUMIFS(tblDaily[TransfersOut],tblDaily[EntryDate],DATE(2026,5,9),tblDaily[WardCode],"FAE")),"")</f>
        <v/>
      </c>
      <c r="H171" s="29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IFERROR(IF(SUMIFS(tblDaily[Admissions],tblDaily[EntryDate],DATE(2026,5,10),tblDaily[WardCode],"FAE")=0,"",SUMIFS(tblDaily[Admissions],tblDaily[EntryDate],DATE(2026,5,10),tblDaily[WardCode],"FAE")),"")</f>
        <v/>
      </c>
      <c r="C172" s="29" t="str">
        <f>IFERROR(IF(SUMIFS(tblDaily[Discharges],tblDaily[EntryDate],DATE(2026,5,10),tblDaily[WardCode],"FAE")=0,"",SUMIFS(tblDaily[Discharges],tblDaily[EntryDate],DATE(2026,5,10),tblDaily[WardCode],"FAE")),"")</f>
        <v/>
      </c>
      <c r="D172" s="29" t="str">
        <f>IFERROR(IF(SUMIFS(tblDaily[Deaths],tblDaily[EntryDate],DATE(2026,5,10),tblDaily[WardCode],"FAE")=0,"",SUMIFS(tblDaily[Deaths],tblDaily[EntryDate],DATE(2026,5,10),tblDaily[WardCode],"FAE")),"")</f>
        <v/>
      </c>
      <c r="E172" s="29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29" t="str">
        <f>IFERROR(IF(SUMIFS(tblDaily[TransfersIn],tblDaily[EntryDate],DATE(2026,5,10),tblDaily[WardCode],"FAE")=0,"",SUMIFS(tblDaily[TransfersIn],tblDaily[EntryDate],DATE(2026,5,10),tblDaily[WardCode],"FAE")),"")</f>
        <v/>
      </c>
      <c r="G172" s="29" t="str">
        <f>IFERROR(IF(SUMIFS(tblDaily[TransfersOut],tblDaily[EntryDate],DATE(2026,5,10),tblDaily[WardCode],"FAE")=0,"",SUMIFS(tblDaily[TransfersOut],tblDaily[EntryDate],DATE(2026,5,10),tblDaily[WardCode],"FAE")),"")</f>
        <v/>
      </c>
      <c r="H172" s="29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IFERROR(IF(SUMIFS(tblDaily[Admissions],tblDaily[EntryDate],DATE(2026,5,11),tblDaily[WardCode],"FAE")=0,"",SUMIFS(tblDaily[Admissions],tblDaily[EntryDate],DATE(2026,5,11),tblDaily[WardCode],"FAE")),"")</f>
        <v/>
      </c>
      <c r="C173" s="29" t="str">
        <f>IFERROR(IF(SUMIFS(tblDaily[Discharges],tblDaily[EntryDate],DATE(2026,5,11),tblDaily[WardCode],"FAE")=0,"",SUMIFS(tblDaily[Discharges],tblDaily[EntryDate],DATE(2026,5,11),tblDaily[WardCode],"FAE")),"")</f>
        <v/>
      </c>
      <c r="D173" s="29" t="str">
        <f>IFERROR(IF(SUMIFS(tblDaily[Deaths],tblDaily[EntryDate],DATE(2026,5,11),tblDaily[WardCode],"FAE")=0,"",SUMIFS(tblDaily[Deaths],tblDaily[EntryDate],DATE(2026,5,11),tblDaily[WardCode],"FAE")),"")</f>
        <v/>
      </c>
      <c r="E173" s="29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29" t="str">
        <f>IFERROR(IF(SUMIFS(tblDaily[TransfersIn],tblDaily[EntryDate],DATE(2026,5,11),tblDaily[WardCode],"FAE")=0,"",SUMIFS(tblDaily[TransfersIn],tblDaily[EntryDate],DATE(2026,5,11),tblDaily[WardCode],"FAE")),"")</f>
        <v/>
      </c>
      <c r="G173" s="29" t="str">
        <f>IFERROR(IF(SUMIFS(tblDaily[TransfersOut],tblDaily[EntryDate],DATE(2026,5,11),tblDaily[WardCode],"FAE")=0,"",SUMIFS(tblDaily[TransfersOut],tblDaily[EntryDate],DATE(2026,5,11),tblDaily[WardCode],"FAE")),"")</f>
        <v/>
      </c>
      <c r="H173" s="29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IFERROR(IF(SUMIFS(tblDaily[Admissions],tblDaily[EntryDate],DATE(2026,5,12),tblDaily[WardCode],"FAE")=0,"",SUMIFS(tblDaily[Admissions],tblDaily[EntryDate],DATE(2026,5,12),tblDaily[WardCode],"FAE")),"")</f>
        <v/>
      </c>
      <c r="C174" s="29" t="str">
        <f>IFERROR(IF(SUMIFS(tblDaily[Discharges],tblDaily[EntryDate],DATE(2026,5,12),tblDaily[WardCode],"FAE")=0,"",SUMIFS(tblDaily[Discharges],tblDaily[EntryDate],DATE(2026,5,12),tblDaily[WardCode],"FAE")),"")</f>
        <v/>
      </c>
      <c r="D174" s="29" t="str">
        <f>IFERROR(IF(SUMIFS(tblDaily[Deaths],tblDaily[EntryDate],DATE(2026,5,12),tblDaily[WardCode],"FAE")=0,"",SUMIFS(tblDaily[Deaths],tblDaily[EntryDate],DATE(2026,5,12),tblDaily[WardCode],"FAE")),"")</f>
        <v/>
      </c>
      <c r="E174" s="29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29" t="str">
        <f>IFERROR(IF(SUMIFS(tblDaily[TransfersIn],tblDaily[EntryDate],DATE(2026,5,12),tblDaily[WardCode],"FAE")=0,"",SUMIFS(tblDaily[TransfersIn],tblDaily[EntryDate],DATE(2026,5,12),tblDaily[WardCode],"FAE")),"")</f>
        <v/>
      </c>
      <c r="G174" s="29" t="str">
        <f>IFERROR(IF(SUMIFS(tblDaily[TransfersOut],tblDaily[EntryDate],DATE(2026,5,12),tblDaily[WardCode],"FAE")=0,"",SUMIFS(tblDaily[TransfersOut],tblDaily[EntryDate],DATE(2026,5,12),tblDaily[WardCode],"FAE")),"")</f>
        <v/>
      </c>
      <c r="H174" s="29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IFERROR(IF(SUMIFS(tblDaily[Admissions],tblDaily[EntryDate],DATE(2026,5,13),tblDaily[WardCode],"FAE")=0,"",SUMIFS(tblDaily[Admissions],tblDaily[EntryDate],DATE(2026,5,13),tblDaily[WardCode],"FAE")),"")</f>
        <v/>
      </c>
      <c r="C175" s="29" t="str">
        <f>IFERROR(IF(SUMIFS(tblDaily[Discharges],tblDaily[EntryDate],DATE(2026,5,13),tblDaily[WardCode],"FAE")=0,"",SUMIFS(tblDaily[Discharges],tblDaily[EntryDate],DATE(2026,5,13),tblDaily[WardCode],"FAE")),"")</f>
        <v/>
      </c>
      <c r="D175" s="29" t="str">
        <f>IFERROR(IF(SUMIFS(tblDaily[Deaths],tblDaily[EntryDate],DATE(2026,5,13),tblDaily[WardCode],"FAE")=0,"",SUMIFS(tblDaily[Deaths],tblDaily[EntryDate],DATE(2026,5,13),tblDaily[WardCode],"FAE")),"")</f>
        <v/>
      </c>
      <c r="E175" s="29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29" t="str">
        <f>IFERROR(IF(SUMIFS(tblDaily[TransfersIn],tblDaily[EntryDate],DATE(2026,5,13),tblDaily[WardCode],"FAE")=0,"",SUMIFS(tblDaily[TransfersIn],tblDaily[EntryDate],DATE(2026,5,13),tblDaily[WardCode],"FAE")),"")</f>
        <v/>
      </c>
      <c r="G175" s="29" t="str">
        <f>IFERROR(IF(SUMIFS(tblDaily[TransfersOut],tblDaily[EntryDate],DATE(2026,5,13),tblDaily[WardCode],"FAE")=0,"",SUMIFS(tblDaily[TransfersOut],tblDaily[EntryDate],DATE(2026,5,13),tblDaily[WardCode],"FAE")),"")</f>
        <v/>
      </c>
      <c r="H175" s="29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IFERROR(IF(SUMIFS(tblDaily[Admissions],tblDaily[EntryDate],DATE(2026,5,14),tblDaily[WardCode],"FAE")=0,"",SUMIFS(tblDaily[Admissions],tblDaily[EntryDate],DATE(2026,5,14),tblDaily[WardCode],"FAE")),"")</f>
        <v/>
      </c>
      <c r="C176" s="29" t="str">
        <f>IFERROR(IF(SUMIFS(tblDaily[Discharges],tblDaily[EntryDate],DATE(2026,5,14),tblDaily[WardCode],"FAE")=0,"",SUMIFS(tblDaily[Discharges],tblDaily[EntryDate],DATE(2026,5,14),tblDaily[WardCode],"FAE")),"")</f>
        <v/>
      </c>
      <c r="D176" s="29" t="str">
        <f>IFERROR(IF(SUMIFS(tblDaily[Deaths],tblDaily[EntryDate],DATE(2026,5,14),tblDaily[WardCode],"FAE")=0,"",SUMIFS(tblDaily[Deaths],tblDaily[EntryDate],DATE(2026,5,14),tblDaily[WardCode],"FAE")),"")</f>
        <v/>
      </c>
      <c r="E176" s="29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29" t="str">
        <f>IFERROR(IF(SUMIFS(tblDaily[TransfersIn],tblDaily[EntryDate],DATE(2026,5,14),tblDaily[WardCode],"FAE")=0,"",SUMIFS(tblDaily[TransfersIn],tblDaily[EntryDate],DATE(2026,5,14),tblDaily[WardCode],"FAE")),"")</f>
        <v/>
      </c>
      <c r="G176" s="29" t="str">
        <f>IFERROR(IF(SUMIFS(tblDaily[TransfersOut],tblDaily[EntryDate],DATE(2026,5,14),tblDaily[WardCode],"FAE")=0,"",SUMIFS(tblDaily[TransfersOut],tblDaily[EntryDate],DATE(2026,5,14),tblDaily[WardCode],"FAE")),"")</f>
        <v/>
      </c>
      <c r="H176" s="29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IFERROR(IF(SUMIFS(tblDaily[Admissions],tblDaily[EntryDate],DATE(2026,5,15),tblDaily[WardCode],"FAE")=0,"",SUMIFS(tblDaily[Admissions],tblDaily[EntryDate],DATE(2026,5,15),tblDaily[WardCode],"FAE")),"")</f>
        <v/>
      </c>
      <c r="C177" s="29" t="str">
        <f>IFERROR(IF(SUMIFS(tblDaily[Discharges],tblDaily[EntryDate],DATE(2026,5,15),tblDaily[WardCode],"FAE")=0,"",SUMIFS(tblDaily[Discharges],tblDaily[EntryDate],DATE(2026,5,15),tblDaily[WardCode],"FAE")),"")</f>
        <v/>
      </c>
      <c r="D177" s="29" t="str">
        <f>IFERROR(IF(SUMIFS(tblDaily[Deaths],tblDaily[EntryDate],DATE(2026,5,15),tblDaily[WardCode],"FAE")=0,"",SUMIFS(tblDaily[Deaths],tblDaily[EntryDate],DATE(2026,5,15),tblDaily[WardCode],"FAE")),"")</f>
        <v/>
      </c>
      <c r="E177" s="29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29" t="str">
        <f>IFERROR(IF(SUMIFS(tblDaily[TransfersIn],tblDaily[EntryDate],DATE(2026,5,15),tblDaily[WardCode],"FAE")=0,"",SUMIFS(tblDaily[TransfersIn],tblDaily[EntryDate],DATE(2026,5,15),tblDaily[WardCode],"FAE")),"")</f>
        <v/>
      </c>
      <c r="G177" s="29" t="str">
        <f>IFERROR(IF(SUMIFS(tblDaily[TransfersOut],tblDaily[EntryDate],DATE(2026,5,15),tblDaily[WardCode],"FAE")=0,"",SUMIFS(tblDaily[TransfersOut],tblDaily[EntryDate],DATE(2026,5,15),tblDaily[WardCode],"FAE")),"")</f>
        <v/>
      </c>
      <c r="H177" s="29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IFERROR(IF(SUMIFS(tblDaily[Admissions],tblDaily[EntryDate],DATE(2026,5,16),tblDaily[WardCode],"FAE")=0,"",SUMIFS(tblDaily[Admissions],tblDaily[EntryDate],DATE(2026,5,16),tblDaily[WardCode],"FAE")),"")</f>
        <v/>
      </c>
      <c r="C178" s="29" t="str">
        <f>IFERROR(IF(SUMIFS(tblDaily[Discharges],tblDaily[EntryDate],DATE(2026,5,16),tblDaily[WardCode],"FAE")=0,"",SUMIFS(tblDaily[Discharges],tblDaily[EntryDate],DATE(2026,5,16),tblDaily[WardCode],"FAE")),"")</f>
        <v/>
      </c>
      <c r="D178" s="29" t="str">
        <f>IFERROR(IF(SUMIFS(tblDaily[Deaths],tblDaily[EntryDate],DATE(2026,5,16),tblDaily[WardCode],"FAE")=0,"",SUMIFS(tblDaily[Deaths],tblDaily[EntryDate],DATE(2026,5,16),tblDaily[WardCode],"FAE")),"")</f>
        <v/>
      </c>
      <c r="E178" s="29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29" t="str">
        <f>IFERROR(IF(SUMIFS(tblDaily[TransfersIn],tblDaily[EntryDate],DATE(2026,5,16),tblDaily[WardCode],"FAE")=0,"",SUMIFS(tblDaily[TransfersIn],tblDaily[EntryDate],DATE(2026,5,16),tblDaily[WardCode],"FAE")),"")</f>
        <v/>
      </c>
      <c r="G178" s="29" t="str">
        <f>IFERROR(IF(SUMIFS(tblDaily[TransfersOut],tblDaily[EntryDate],DATE(2026,5,16),tblDaily[WardCode],"FAE")=0,"",SUMIFS(tblDaily[TransfersOut],tblDaily[EntryDate],DATE(2026,5,16),tblDaily[WardCode],"FAE")),"")</f>
        <v/>
      </c>
      <c r="H178" s="29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IFERROR(IF(SUMIFS(tblDaily[Admissions],tblDaily[EntryDate],DATE(2026,5,17),tblDaily[WardCode],"FAE")=0,"",SUMIFS(tblDaily[Admissions],tblDaily[EntryDate],DATE(2026,5,17),tblDaily[WardCode],"FAE")),"")</f>
        <v/>
      </c>
      <c r="C179" s="29" t="str">
        <f>IFERROR(IF(SUMIFS(tblDaily[Discharges],tblDaily[EntryDate],DATE(2026,5,17),tblDaily[WardCode],"FAE")=0,"",SUMIFS(tblDaily[Discharges],tblDaily[EntryDate],DATE(2026,5,17),tblDaily[WardCode],"FAE")),"")</f>
        <v/>
      </c>
      <c r="D179" s="29" t="str">
        <f>IFERROR(IF(SUMIFS(tblDaily[Deaths],tblDaily[EntryDate],DATE(2026,5,17),tblDaily[WardCode],"FAE")=0,"",SUMIFS(tblDaily[Deaths],tblDaily[EntryDate],DATE(2026,5,17),tblDaily[WardCode],"FAE")),"")</f>
        <v/>
      </c>
      <c r="E179" s="29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29" t="str">
        <f>IFERROR(IF(SUMIFS(tblDaily[TransfersIn],tblDaily[EntryDate],DATE(2026,5,17),tblDaily[WardCode],"FAE")=0,"",SUMIFS(tblDaily[TransfersIn],tblDaily[EntryDate],DATE(2026,5,17),tblDaily[WardCode],"FAE")),"")</f>
        <v/>
      </c>
      <c r="G179" s="29" t="str">
        <f>IFERROR(IF(SUMIFS(tblDaily[TransfersOut],tblDaily[EntryDate],DATE(2026,5,17),tblDaily[WardCode],"FAE")=0,"",SUMIFS(tblDaily[TransfersOut],tblDaily[EntryDate],DATE(2026,5,17),tblDaily[WardCode],"FAE")),"")</f>
        <v/>
      </c>
      <c r="H179" s="29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IFERROR(IF(SUMIFS(tblDaily[Admissions],tblDaily[EntryDate],DATE(2026,5,18),tblDaily[WardCode],"FAE")=0,"",SUMIFS(tblDaily[Admissions],tblDaily[EntryDate],DATE(2026,5,18),tblDaily[WardCode],"FAE")),"")</f>
        <v/>
      </c>
      <c r="C180" s="29" t="str">
        <f>IFERROR(IF(SUMIFS(tblDaily[Discharges],tblDaily[EntryDate],DATE(2026,5,18),tblDaily[WardCode],"FAE")=0,"",SUMIFS(tblDaily[Discharges],tblDaily[EntryDate],DATE(2026,5,18),tblDaily[WardCode],"FAE")),"")</f>
        <v/>
      </c>
      <c r="D180" s="29" t="str">
        <f>IFERROR(IF(SUMIFS(tblDaily[Deaths],tblDaily[EntryDate],DATE(2026,5,18),tblDaily[WardCode],"FAE")=0,"",SUMIFS(tblDaily[Deaths],tblDaily[EntryDate],DATE(2026,5,18),tblDaily[WardCode],"FAE")),"")</f>
        <v/>
      </c>
      <c r="E180" s="29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29" t="str">
        <f>IFERROR(IF(SUMIFS(tblDaily[TransfersIn],tblDaily[EntryDate],DATE(2026,5,18),tblDaily[WardCode],"FAE")=0,"",SUMIFS(tblDaily[TransfersIn],tblDaily[EntryDate],DATE(2026,5,18),tblDaily[WardCode],"FAE")),"")</f>
        <v/>
      </c>
      <c r="G180" s="29" t="str">
        <f>IFERROR(IF(SUMIFS(tblDaily[TransfersOut],tblDaily[EntryDate],DATE(2026,5,18),tblDaily[WardCode],"FAE")=0,"",SUMIFS(tblDaily[TransfersOut],tblDaily[EntryDate],DATE(2026,5,18),tblDaily[WardCode],"FAE")),"")</f>
        <v/>
      </c>
      <c r="H180" s="29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IFERROR(IF(SUMIFS(tblDaily[Admissions],tblDaily[EntryDate],DATE(2026,5,19),tblDaily[WardCode],"FAE")=0,"",SUMIFS(tblDaily[Admissions],tblDaily[EntryDate],DATE(2026,5,19),tblDaily[WardCode],"FAE")),"")</f>
        <v/>
      </c>
      <c r="C181" s="29" t="str">
        <f>IFERROR(IF(SUMIFS(tblDaily[Discharges],tblDaily[EntryDate],DATE(2026,5,19),tblDaily[WardCode],"FAE")=0,"",SUMIFS(tblDaily[Discharges],tblDaily[EntryDate],DATE(2026,5,19),tblDaily[WardCode],"FAE")),"")</f>
        <v/>
      </c>
      <c r="D181" s="29" t="str">
        <f>IFERROR(IF(SUMIFS(tblDaily[Deaths],tblDaily[EntryDate],DATE(2026,5,19),tblDaily[WardCode],"FAE")=0,"",SUMIFS(tblDaily[Deaths],tblDaily[EntryDate],DATE(2026,5,19),tblDaily[WardCode],"FAE")),"")</f>
        <v/>
      </c>
      <c r="E181" s="29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29" t="str">
        <f>IFERROR(IF(SUMIFS(tblDaily[TransfersIn],tblDaily[EntryDate],DATE(2026,5,19),tblDaily[WardCode],"FAE")=0,"",SUMIFS(tblDaily[TransfersIn],tblDaily[EntryDate],DATE(2026,5,19),tblDaily[WardCode],"FAE")),"")</f>
        <v/>
      </c>
      <c r="G181" s="29" t="str">
        <f>IFERROR(IF(SUMIFS(tblDaily[TransfersOut],tblDaily[EntryDate],DATE(2026,5,19),tblDaily[WardCode],"FAE")=0,"",SUMIFS(tblDaily[TransfersOut],tblDaily[EntryDate],DATE(2026,5,19),tblDaily[WardCode],"FAE")),"")</f>
        <v/>
      </c>
      <c r="H181" s="29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IFERROR(IF(SUMIFS(tblDaily[Admissions],tblDaily[EntryDate],DATE(2026,5,20),tblDaily[WardCode],"FAE")=0,"",SUMIFS(tblDaily[Admissions],tblDaily[EntryDate],DATE(2026,5,20),tblDaily[WardCode],"FAE")),"")</f>
        <v/>
      </c>
      <c r="C182" s="29" t="str">
        <f>IFERROR(IF(SUMIFS(tblDaily[Discharges],tblDaily[EntryDate],DATE(2026,5,20),tblDaily[WardCode],"FAE")=0,"",SUMIFS(tblDaily[Discharges],tblDaily[EntryDate],DATE(2026,5,20),tblDaily[WardCode],"FAE")),"")</f>
        <v/>
      </c>
      <c r="D182" s="29" t="str">
        <f>IFERROR(IF(SUMIFS(tblDaily[Deaths],tblDaily[EntryDate],DATE(2026,5,20),tblDaily[WardCode],"FAE")=0,"",SUMIFS(tblDaily[Deaths],tblDaily[EntryDate],DATE(2026,5,20),tblDaily[WardCode],"FAE")),"")</f>
        <v/>
      </c>
      <c r="E182" s="29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29" t="str">
        <f>IFERROR(IF(SUMIFS(tblDaily[TransfersIn],tblDaily[EntryDate],DATE(2026,5,20),tblDaily[WardCode],"FAE")=0,"",SUMIFS(tblDaily[TransfersIn],tblDaily[EntryDate],DATE(2026,5,20),tblDaily[WardCode],"FAE")),"")</f>
        <v/>
      </c>
      <c r="G182" s="29" t="str">
        <f>IFERROR(IF(SUMIFS(tblDaily[TransfersOut],tblDaily[EntryDate],DATE(2026,5,20),tblDaily[WardCode],"FAE")=0,"",SUMIFS(tblDaily[TransfersOut],tblDaily[EntryDate],DATE(2026,5,20),tblDaily[WardCode],"FAE")),"")</f>
        <v/>
      </c>
      <c r="H182" s="29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IFERROR(IF(SUMIFS(tblDaily[Admissions],tblDaily[EntryDate],DATE(2026,5,21),tblDaily[WardCode],"FAE")=0,"",SUMIFS(tblDaily[Admissions],tblDaily[EntryDate],DATE(2026,5,21),tblDaily[WardCode],"FAE")),"")</f>
        <v/>
      </c>
      <c r="C183" s="29" t="str">
        <f>IFERROR(IF(SUMIFS(tblDaily[Discharges],tblDaily[EntryDate],DATE(2026,5,21),tblDaily[WardCode],"FAE")=0,"",SUMIFS(tblDaily[Discharges],tblDaily[EntryDate],DATE(2026,5,21),tblDaily[WardCode],"FAE")),"")</f>
        <v/>
      </c>
      <c r="D183" s="29" t="str">
        <f>IFERROR(IF(SUMIFS(tblDaily[Deaths],tblDaily[EntryDate],DATE(2026,5,21),tblDaily[WardCode],"FAE")=0,"",SUMIFS(tblDaily[Deaths],tblDaily[EntryDate],DATE(2026,5,21),tblDaily[WardCode],"FAE")),"")</f>
        <v/>
      </c>
      <c r="E183" s="29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29" t="str">
        <f>IFERROR(IF(SUMIFS(tblDaily[TransfersIn],tblDaily[EntryDate],DATE(2026,5,21),tblDaily[WardCode],"FAE")=0,"",SUMIFS(tblDaily[TransfersIn],tblDaily[EntryDate],DATE(2026,5,21),tblDaily[WardCode],"FAE")),"")</f>
        <v/>
      </c>
      <c r="G183" s="29" t="str">
        <f>IFERROR(IF(SUMIFS(tblDaily[TransfersOut],tblDaily[EntryDate],DATE(2026,5,21),tblDaily[WardCode],"FAE")=0,"",SUMIFS(tblDaily[TransfersOut],tblDaily[EntryDate],DATE(2026,5,21),tblDaily[WardCode],"FAE")),"")</f>
        <v/>
      </c>
      <c r="H183" s="29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IFERROR(IF(SUMIFS(tblDaily[Admissions],tblDaily[EntryDate],DATE(2026,5,22),tblDaily[WardCode],"FAE")=0,"",SUMIFS(tblDaily[Admissions],tblDaily[EntryDate],DATE(2026,5,22),tblDaily[WardCode],"FAE")),"")</f>
        <v/>
      </c>
      <c r="C184" s="29" t="str">
        <f>IFERROR(IF(SUMIFS(tblDaily[Discharges],tblDaily[EntryDate],DATE(2026,5,22),tblDaily[WardCode],"FAE")=0,"",SUMIFS(tblDaily[Discharges],tblDaily[EntryDate],DATE(2026,5,22),tblDaily[WardCode],"FAE")),"")</f>
        <v/>
      </c>
      <c r="D184" s="29" t="str">
        <f>IFERROR(IF(SUMIFS(tblDaily[Deaths],tblDaily[EntryDate],DATE(2026,5,22),tblDaily[WardCode],"FAE")=0,"",SUMIFS(tblDaily[Deaths],tblDaily[EntryDate],DATE(2026,5,22),tblDaily[WardCode],"FAE")),"")</f>
        <v/>
      </c>
      <c r="E184" s="29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29" t="str">
        <f>IFERROR(IF(SUMIFS(tblDaily[TransfersIn],tblDaily[EntryDate],DATE(2026,5,22),tblDaily[WardCode],"FAE")=0,"",SUMIFS(tblDaily[TransfersIn],tblDaily[EntryDate],DATE(2026,5,22),tblDaily[WardCode],"FAE")),"")</f>
        <v/>
      </c>
      <c r="G184" s="29" t="str">
        <f>IFERROR(IF(SUMIFS(tblDaily[TransfersOut],tblDaily[EntryDate],DATE(2026,5,22),tblDaily[WardCode],"FAE")=0,"",SUMIFS(tblDaily[TransfersOut],tblDaily[EntryDate],DATE(2026,5,22),tblDaily[WardCode],"FAE")),"")</f>
        <v/>
      </c>
      <c r="H184" s="29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IFERROR(IF(SUMIFS(tblDaily[Admissions],tblDaily[EntryDate],DATE(2026,5,23),tblDaily[WardCode],"FAE")=0,"",SUMIFS(tblDaily[Admissions],tblDaily[EntryDate],DATE(2026,5,23),tblDaily[WardCode],"FAE")),"")</f>
        <v/>
      </c>
      <c r="C185" s="29" t="str">
        <f>IFERROR(IF(SUMIFS(tblDaily[Discharges],tblDaily[EntryDate],DATE(2026,5,23),tblDaily[WardCode],"FAE")=0,"",SUMIFS(tblDaily[Discharges],tblDaily[EntryDate],DATE(2026,5,23),tblDaily[WardCode],"FAE")),"")</f>
        <v/>
      </c>
      <c r="D185" s="29" t="str">
        <f>IFERROR(IF(SUMIFS(tblDaily[Deaths],tblDaily[EntryDate],DATE(2026,5,23),tblDaily[WardCode],"FAE")=0,"",SUMIFS(tblDaily[Deaths],tblDaily[EntryDate],DATE(2026,5,23),tblDaily[WardCode],"FAE")),"")</f>
        <v/>
      </c>
      <c r="E185" s="29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29" t="str">
        <f>IFERROR(IF(SUMIFS(tblDaily[TransfersIn],tblDaily[EntryDate],DATE(2026,5,23),tblDaily[WardCode],"FAE")=0,"",SUMIFS(tblDaily[TransfersIn],tblDaily[EntryDate],DATE(2026,5,23),tblDaily[WardCode],"FAE")),"")</f>
        <v/>
      </c>
      <c r="G185" s="29" t="str">
        <f>IFERROR(IF(SUMIFS(tblDaily[TransfersOut],tblDaily[EntryDate],DATE(2026,5,23),tblDaily[WardCode],"FAE")=0,"",SUMIFS(tblDaily[TransfersOut],tblDaily[EntryDate],DATE(2026,5,23),tblDaily[WardCode],"FAE")),"")</f>
        <v/>
      </c>
      <c r="H185" s="29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IFERROR(IF(SUMIFS(tblDaily[Admissions],tblDaily[EntryDate],DATE(2026,5,24),tblDaily[WardCode],"FAE")=0,"",SUMIFS(tblDaily[Admissions],tblDaily[EntryDate],DATE(2026,5,24),tblDaily[WardCode],"FAE")),"")</f>
        <v/>
      </c>
      <c r="C186" s="29" t="str">
        <f>IFERROR(IF(SUMIFS(tblDaily[Discharges],tblDaily[EntryDate],DATE(2026,5,24),tblDaily[WardCode],"FAE")=0,"",SUMIFS(tblDaily[Discharges],tblDaily[EntryDate],DATE(2026,5,24),tblDaily[WardCode],"FAE")),"")</f>
        <v/>
      </c>
      <c r="D186" s="29" t="str">
        <f>IFERROR(IF(SUMIFS(tblDaily[Deaths],tblDaily[EntryDate],DATE(2026,5,24),tblDaily[WardCode],"FAE")=0,"",SUMIFS(tblDaily[Deaths],tblDaily[EntryDate],DATE(2026,5,24),tblDaily[WardCode],"FAE")),"")</f>
        <v/>
      </c>
      <c r="E186" s="29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29" t="str">
        <f>IFERROR(IF(SUMIFS(tblDaily[TransfersIn],tblDaily[EntryDate],DATE(2026,5,24),tblDaily[WardCode],"FAE")=0,"",SUMIFS(tblDaily[TransfersIn],tblDaily[EntryDate],DATE(2026,5,24),tblDaily[WardCode],"FAE")),"")</f>
        <v/>
      </c>
      <c r="G186" s="29" t="str">
        <f>IFERROR(IF(SUMIFS(tblDaily[TransfersOut],tblDaily[EntryDate],DATE(2026,5,24),tblDaily[WardCode],"FAE")=0,"",SUMIFS(tblDaily[TransfersOut],tblDaily[EntryDate],DATE(2026,5,24),tblDaily[WardCode],"FAE")),"")</f>
        <v/>
      </c>
      <c r="H186" s="29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IFERROR(IF(SUMIFS(tblDaily[Admissions],tblDaily[EntryDate],DATE(2026,5,25),tblDaily[WardCode],"FAE")=0,"",SUMIFS(tblDaily[Admissions],tblDaily[EntryDate],DATE(2026,5,25),tblDaily[WardCode],"FAE")),"")</f>
        <v/>
      </c>
      <c r="C187" s="29" t="str">
        <f>IFERROR(IF(SUMIFS(tblDaily[Discharges],tblDaily[EntryDate],DATE(2026,5,25),tblDaily[WardCode],"FAE")=0,"",SUMIFS(tblDaily[Discharges],tblDaily[EntryDate],DATE(2026,5,25),tblDaily[WardCode],"FAE")),"")</f>
        <v/>
      </c>
      <c r="D187" s="29" t="str">
        <f>IFERROR(IF(SUMIFS(tblDaily[Deaths],tblDaily[EntryDate],DATE(2026,5,25),tblDaily[WardCode],"FAE")=0,"",SUMIFS(tblDaily[Deaths],tblDaily[EntryDate],DATE(2026,5,25),tblDaily[WardCode],"FAE")),"")</f>
        <v/>
      </c>
      <c r="E187" s="29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29" t="str">
        <f>IFERROR(IF(SUMIFS(tblDaily[TransfersIn],tblDaily[EntryDate],DATE(2026,5,25),tblDaily[WardCode],"FAE")=0,"",SUMIFS(tblDaily[TransfersIn],tblDaily[EntryDate],DATE(2026,5,25),tblDaily[WardCode],"FAE")),"")</f>
        <v/>
      </c>
      <c r="G187" s="29" t="str">
        <f>IFERROR(IF(SUMIFS(tblDaily[TransfersOut],tblDaily[EntryDate],DATE(2026,5,25),tblDaily[WardCode],"FAE")=0,"",SUMIFS(tblDaily[TransfersOut],tblDaily[EntryDate],DATE(2026,5,25),tblDaily[WardCode],"FAE")),"")</f>
        <v/>
      </c>
      <c r="H187" s="29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IFERROR(IF(SUMIFS(tblDaily[Admissions],tblDaily[EntryDate],DATE(2026,5,26),tblDaily[WardCode],"FAE")=0,"",SUMIFS(tblDaily[Admissions],tblDaily[EntryDate],DATE(2026,5,26),tblDaily[WardCode],"FAE")),"")</f>
        <v/>
      </c>
      <c r="C188" s="29" t="str">
        <f>IFERROR(IF(SUMIFS(tblDaily[Discharges],tblDaily[EntryDate],DATE(2026,5,26),tblDaily[WardCode],"FAE")=0,"",SUMIFS(tblDaily[Discharges],tblDaily[EntryDate],DATE(2026,5,26),tblDaily[WardCode],"FAE")),"")</f>
        <v/>
      </c>
      <c r="D188" s="29" t="str">
        <f>IFERROR(IF(SUMIFS(tblDaily[Deaths],tblDaily[EntryDate],DATE(2026,5,26),tblDaily[WardCode],"FAE")=0,"",SUMIFS(tblDaily[Deaths],tblDaily[EntryDate],DATE(2026,5,26),tblDaily[WardCode],"FAE")),"")</f>
        <v/>
      </c>
      <c r="E188" s="29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29" t="str">
        <f>IFERROR(IF(SUMIFS(tblDaily[TransfersIn],tblDaily[EntryDate],DATE(2026,5,26),tblDaily[WardCode],"FAE")=0,"",SUMIFS(tblDaily[TransfersIn],tblDaily[EntryDate],DATE(2026,5,26),tblDaily[WardCode],"FAE")),"")</f>
        <v/>
      </c>
      <c r="G188" s="29" t="str">
        <f>IFERROR(IF(SUMIFS(tblDaily[TransfersOut],tblDaily[EntryDate],DATE(2026,5,26),tblDaily[WardCode],"FAE")=0,"",SUMIFS(tblDaily[TransfersOut],tblDaily[EntryDate],DATE(2026,5,26),tblDaily[WardCode],"FAE")),"")</f>
        <v/>
      </c>
      <c r="H188" s="29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IFERROR(IF(SUMIFS(tblDaily[Admissions],tblDaily[EntryDate],DATE(2026,5,27),tblDaily[WardCode],"FAE")=0,"",SUMIFS(tblDaily[Admissions],tblDaily[EntryDate],DATE(2026,5,27),tblDaily[WardCode],"FAE")),"")</f>
        <v/>
      </c>
      <c r="C189" s="29" t="str">
        <f>IFERROR(IF(SUMIFS(tblDaily[Discharges],tblDaily[EntryDate],DATE(2026,5,27),tblDaily[WardCode],"FAE")=0,"",SUMIFS(tblDaily[Discharges],tblDaily[EntryDate],DATE(2026,5,27),tblDaily[WardCode],"FAE")),"")</f>
        <v/>
      </c>
      <c r="D189" s="29" t="str">
        <f>IFERROR(IF(SUMIFS(tblDaily[Deaths],tblDaily[EntryDate],DATE(2026,5,27),tblDaily[WardCode],"FAE")=0,"",SUMIFS(tblDaily[Deaths],tblDaily[EntryDate],DATE(2026,5,27),tblDaily[WardCode],"FAE")),"")</f>
        <v/>
      </c>
      <c r="E189" s="29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29" t="str">
        <f>IFERROR(IF(SUMIFS(tblDaily[TransfersIn],tblDaily[EntryDate],DATE(2026,5,27),tblDaily[WardCode],"FAE")=0,"",SUMIFS(tblDaily[TransfersIn],tblDaily[EntryDate],DATE(2026,5,27),tblDaily[WardCode],"FAE")),"")</f>
        <v/>
      </c>
      <c r="G189" s="29" t="str">
        <f>IFERROR(IF(SUMIFS(tblDaily[TransfersOut],tblDaily[EntryDate],DATE(2026,5,27),tblDaily[WardCode],"FAE")=0,"",SUMIFS(tblDaily[TransfersOut],tblDaily[EntryDate],DATE(2026,5,27),tblDaily[WardCode],"FAE")),"")</f>
        <v/>
      </c>
      <c r="H189" s="29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IFERROR(IF(SUMIFS(tblDaily[Admissions],tblDaily[EntryDate],DATE(2026,5,28),tblDaily[WardCode],"FAE")=0,"",SUMIFS(tblDaily[Admissions],tblDaily[EntryDate],DATE(2026,5,28),tblDaily[WardCode],"FAE")),"")</f>
        <v/>
      </c>
      <c r="C190" s="29" t="str">
        <f>IFERROR(IF(SUMIFS(tblDaily[Discharges],tblDaily[EntryDate],DATE(2026,5,28),tblDaily[WardCode],"FAE")=0,"",SUMIFS(tblDaily[Discharges],tblDaily[EntryDate],DATE(2026,5,28),tblDaily[WardCode],"FAE")),"")</f>
        <v/>
      </c>
      <c r="D190" s="29" t="str">
        <f>IFERROR(IF(SUMIFS(tblDaily[Deaths],tblDaily[EntryDate],DATE(2026,5,28),tblDaily[WardCode],"FAE")=0,"",SUMIFS(tblDaily[Deaths],tblDaily[EntryDate],DATE(2026,5,28),tblDaily[WardCode],"FAE")),"")</f>
        <v/>
      </c>
      <c r="E190" s="29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29" t="str">
        <f>IFERROR(IF(SUMIFS(tblDaily[TransfersIn],tblDaily[EntryDate],DATE(2026,5,28),tblDaily[WardCode],"FAE")=0,"",SUMIFS(tblDaily[TransfersIn],tblDaily[EntryDate],DATE(2026,5,28),tblDaily[WardCode],"FAE")),"")</f>
        <v/>
      </c>
      <c r="G190" s="29" t="str">
        <f>IFERROR(IF(SUMIFS(tblDaily[TransfersOut],tblDaily[EntryDate],DATE(2026,5,28),tblDaily[WardCode],"FAE")=0,"",SUMIFS(tblDaily[TransfersOut],tblDaily[EntryDate],DATE(2026,5,28),tblDaily[WardCode],"FAE")),"")</f>
        <v/>
      </c>
      <c r="H190" s="29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IFERROR(IF(SUMIFS(tblDaily[Admissions],tblDaily[EntryDate],DATE(2026,5,29),tblDaily[WardCode],"FAE")=0,"",SUMIFS(tblDaily[Admissions],tblDaily[EntryDate],DATE(2026,5,29),tblDaily[WardCode],"FAE")),"")</f>
        <v/>
      </c>
      <c r="C191" s="29" t="str">
        <f>IFERROR(IF(SUMIFS(tblDaily[Discharges],tblDaily[EntryDate],DATE(2026,5,29),tblDaily[WardCode],"FAE")=0,"",SUMIFS(tblDaily[Discharges],tblDaily[EntryDate],DATE(2026,5,29),tblDaily[WardCode],"FAE")),"")</f>
        <v/>
      </c>
      <c r="D191" s="29" t="str">
        <f>IFERROR(IF(SUMIFS(tblDaily[Deaths],tblDaily[EntryDate],DATE(2026,5,29),tblDaily[WardCode],"FAE")=0,"",SUMIFS(tblDaily[Deaths],tblDaily[EntryDate],DATE(2026,5,29),tblDaily[WardCode],"FAE")),"")</f>
        <v/>
      </c>
      <c r="E191" s="29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29" t="str">
        <f>IFERROR(IF(SUMIFS(tblDaily[TransfersIn],tblDaily[EntryDate],DATE(2026,5,29),tblDaily[WardCode],"FAE")=0,"",SUMIFS(tblDaily[TransfersIn],tblDaily[EntryDate],DATE(2026,5,29),tblDaily[WardCode],"FAE")),"")</f>
        <v/>
      </c>
      <c r="G191" s="29" t="str">
        <f>IFERROR(IF(SUMIFS(tblDaily[TransfersOut],tblDaily[EntryDate],DATE(2026,5,29),tblDaily[WardCode],"FAE")=0,"",SUMIFS(tblDaily[TransfersOut],tblDaily[EntryDate],DATE(2026,5,29),tblDaily[WardCode],"FAE")),"")</f>
        <v/>
      </c>
      <c r="H191" s="29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IFERROR(IF(SUMIFS(tblDaily[Admissions],tblDaily[EntryDate],DATE(2026,5,30),tblDaily[WardCode],"FAE")=0,"",SUMIFS(tblDaily[Admissions],tblDaily[EntryDate],DATE(2026,5,30),tblDaily[WardCode],"FAE")),"")</f>
        <v/>
      </c>
      <c r="C192" s="29" t="str">
        <f>IFERROR(IF(SUMIFS(tblDaily[Discharges],tblDaily[EntryDate],DATE(2026,5,30),tblDaily[WardCode],"FAE")=0,"",SUMIFS(tblDaily[Discharges],tblDaily[EntryDate],DATE(2026,5,30),tblDaily[WardCode],"FAE")),"")</f>
        <v/>
      </c>
      <c r="D192" s="29" t="str">
        <f>IFERROR(IF(SUMIFS(tblDaily[Deaths],tblDaily[EntryDate],DATE(2026,5,30),tblDaily[WardCode],"FAE")=0,"",SUMIFS(tblDaily[Deaths],tblDaily[EntryDate],DATE(2026,5,30),tblDaily[WardCode],"FAE")),"")</f>
        <v/>
      </c>
      <c r="E192" s="29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29" t="str">
        <f>IFERROR(IF(SUMIFS(tblDaily[TransfersIn],tblDaily[EntryDate],DATE(2026,5,30),tblDaily[WardCode],"FAE")=0,"",SUMIFS(tblDaily[TransfersIn],tblDaily[EntryDate],DATE(2026,5,30),tblDaily[WardCode],"FAE")),"")</f>
        <v/>
      </c>
      <c r="G192" s="29" t="str">
        <f>IFERROR(IF(SUMIFS(tblDaily[TransfersOut],tblDaily[EntryDate],DATE(2026,5,30),tblDaily[WardCode],"FAE")=0,"",SUMIFS(tblDaily[TransfersOut],tblDaily[EntryDate],DATE(2026,5,30),tblDaily[WardCode],"FAE")),"")</f>
        <v/>
      </c>
      <c r="H192" s="29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IFERROR(IF(SUMIFS(tblDaily[Admissions],tblDaily[EntryDate],DATE(2026,5,31),tblDaily[WardCode],"FAE")=0,"",SUMIFS(tblDaily[Admissions],tblDaily[EntryDate],DATE(2026,5,31),tblDaily[WardCode],"FAE")),"")</f>
        <v/>
      </c>
      <c r="C193" s="29" t="str">
        <f>IFERROR(IF(SUMIFS(tblDaily[Discharges],tblDaily[EntryDate],DATE(2026,5,31),tblDaily[WardCode],"FAE")=0,"",SUMIFS(tblDaily[Discharges],tblDaily[EntryDate],DATE(2026,5,31),tblDaily[WardCode],"FAE")),"")</f>
        <v/>
      </c>
      <c r="D193" s="29" t="str">
        <f>IFERROR(IF(SUMIFS(tblDaily[Deaths],tblDaily[EntryDate],DATE(2026,5,31),tblDaily[WardCode],"FAE")=0,"",SUMIFS(tblDaily[Deaths],tblDaily[EntryDate],DATE(2026,5,31),tblDaily[WardCode],"FAE")),"")</f>
        <v/>
      </c>
      <c r="E193" s="29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29" t="str">
        <f>IFERROR(IF(SUMIFS(tblDaily[TransfersIn],tblDaily[EntryDate],DATE(2026,5,31),tblDaily[WardCode],"FAE")=0,"",SUMIFS(tblDaily[TransfersIn],tblDaily[EntryDate],DATE(2026,5,31),tblDaily[WardCode],"FAE")),"")</f>
        <v/>
      </c>
      <c r="G193" s="29" t="str">
        <f>IFERROR(IF(SUMIFS(tblDaily[TransfersOut],tblDaily[EntryDate],DATE(2026,5,31),tblDaily[WardCode],"FAE")=0,"",SUMIFS(tblDaily[TransfersOut],tblDaily[EntryDate],DATE(2026,5,31),tblDaily[WardCode],"FAE")),"")</f>
        <v/>
      </c>
      <c r="H193" s="29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30" t="s">
        <v>115</v>
      </c>
      <c r="B194" s="30">
        <f>SUMIFS(tblDaily[Admissions],tblDaily[Month],5,tblDaily[WardCode],"FAE") - SUMIFS(tblDaily[DeathsUnder24Hrs],tblDaily[Month],5,tblDaily[WardCode],"FAE")</f>
        <v>0</v>
      </c>
      <c r="C194" s="30">
        <f>SUMIFS(tblDaily[Discharges],tblDaily[Month],5,tblDaily[WardCode],"FAE")</f>
        <v>0</v>
      </c>
      <c r="D194" s="30">
        <f>SUMIFS(tblDaily[Deaths],tblDaily[Month],5,tblDaily[WardCode],"FAE")</f>
        <v>0</v>
      </c>
      <c r="E194" s="30">
        <f>SUMIFS(tblDaily[DeathsUnder24Hrs],tblDaily[Month],5,tblDaily[WardCode],"FAE")</f>
        <v>0</v>
      </c>
      <c r="F194" s="30">
        <f>SUMIFS(tblDaily[TransfersIn],tblDaily[Month],5,tblDaily[WardCode],"FAE")</f>
        <v>0</v>
      </c>
      <c r="G194" s="30">
        <f>SUMIFS(tblDaily[TransfersOut],tblDaily[Month],5,tblDaily[WardCode],"FAE")</f>
        <v>0</v>
      </c>
      <c r="H194" s="30">
        <f>SUMIFS(tblDaily[Remaining],tblDaily[Month],5,tblDaily[WardCode],"FAE")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123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IFERROR(SUMIFS(tblDaily[Remaining],tblDaily[EntryDate],DATE(2026,5,31),tblDaily[WardCode],"FAE"),0)</f>
        <v>0</v>
      </c>
    </row>
    <row r="200" spans="1:8" x14ac:dyDescent="0.25">
      <c r="A200" s="24" t="s">
        <v>109</v>
      </c>
      <c r="H200" s="27">
        <f>IFERROR(INDEX(tblWardConfig[BedComplement],MATCH("FAE",tblWardConfig[WardCode],0)),0)</f>
        <v>10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IFERROR(IF(SUMIFS(tblDaily[Admissions],tblDaily[EntryDate],DATE(2026,6,1),tblDaily[WardCode],"FAE")=0,"",SUMIFS(tblDaily[Admissions],tblDaily[EntryDate],DATE(2026,6,1),tblDaily[WardCode],"FAE")),"")</f>
        <v/>
      </c>
      <c r="C202" s="29" t="str">
        <f>IFERROR(IF(SUMIFS(tblDaily[Discharges],tblDaily[EntryDate],DATE(2026,6,1),tblDaily[WardCode],"FAE")=0,"",SUMIFS(tblDaily[Discharges],tblDaily[EntryDate],DATE(2026,6,1),tblDaily[WardCode],"FAE")),"")</f>
        <v/>
      </c>
      <c r="D202" s="29" t="str">
        <f>IFERROR(IF(SUMIFS(tblDaily[Deaths],tblDaily[EntryDate],DATE(2026,6,1),tblDaily[WardCode],"FAE")=0,"",SUMIFS(tblDaily[Deaths],tblDaily[EntryDate],DATE(2026,6,1),tblDaily[WardCode],"FAE")),"")</f>
        <v/>
      </c>
      <c r="E202" s="29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29" t="str">
        <f>IFERROR(IF(SUMIFS(tblDaily[TransfersIn],tblDaily[EntryDate],DATE(2026,6,1),tblDaily[WardCode],"FAE")=0,"",SUMIFS(tblDaily[TransfersIn],tblDaily[EntryDate],DATE(2026,6,1),tblDaily[WardCode],"FAE")),"")</f>
        <v/>
      </c>
      <c r="G202" s="29" t="str">
        <f>IFERROR(IF(SUMIFS(tblDaily[TransfersOut],tblDaily[EntryDate],DATE(2026,6,1),tblDaily[WardCode],"FAE")=0,"",SUMIFS(tblDaily[TransfersOut],tblDaily[EntryDate],DATE(2026,6,1),tblDaily[WardCode],"FAE")),"")</f>
        <v/>
      </c>
      <c r="H202" s="29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IFERROR(IF(SUMIFS(tblDaily[Admissions],tblDaily[EntryDate],DATE(2026,6,2),tblDaily[WardCode],"FAE")=0,"",SUMIFS(tblDaily[Admissions],tblDaily[EntryDate],DATE(2026,6,2),tblDaily[WardCode],"FAE")),"")</f>
        <v/>
      </c>
      <c r="C203" s="29" t="str">
        <f>IFERROR(IF(SUMIFS(tblDaily[Discharges],tblDaily[EntryDate],DATE(2026,6,2),tblDaily[WardCode],"FAE")=0,"",SUMIFS(tblDaily[Discharges],tblDaily[EntryDate],DATE(2026,6,2),tblDaily[WardCode],"FAE")),"")</f>
        <v/>
      </c>
      <c r="D203" s="29" t="str">
        <f>IFERROR(IF(SUMIFS(tblDaily[Deaths],tblDaily[EntryDate],DATE(2026,6,2),tblDaily[WardCode],"FAE")=0,"",SUMIFS(tblDaily[Deaths],tblDaily[EntryDate],DATE(2026,6,2),tblDaily[WardCode],"FAE")),"")</f>
        <v/>
      </c>
      <c r="E203" s="29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29" t="str">
        <f>IFERROR(IF(SUMIFS(tblDaily[TransfersIn],tblDaily[EntryDate],DATE(2026,6,2),tblDaily[WardCode],"FAE")=0,"",SUMIFS(tblDaily[TransfersIn],tblDaily[EntryDate],DATE(2026,6,2),tblDaily[WardCode],"FAE")),"")</f>
        <v/>
      </c>
      <c r="G203" s="29" t="str">
        <f>IFERROR(IF(SUMIFS(tblDaily[TransfersOut],tblDaily[EntryDate],DATE(2026,6,2),tblDaily[WardCode],"FAE")=0,"",SUMIFS(tblDaily[TransfersOut],tblDaily[EntryDate],DATE(2026,6,2),tblDaily[WardCode],"FAE")),"")</f>
        <v/>
      </c>
      <c r="H203" s="29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IFERROR(IF(SUMIFS(tblDaily[Admissions],tblDaily[EntryDate],DATE(2026,6,3),tblDaily[WardCode],"FAE")=0,"",SUMIFS(tblDaily[Admissions],tblDaily[EntryDate],DATE(2026,6,3),tblDaily[WardCode],"FAE")),"")</f>
        <v/>
      </c>
      <c r="C204" s="29" t="str">
        <f>IFERROR(IF(SUMIFS(tblDaily[Discharges],tblDaily[EntryDate],DATE(2026,6,3),tblDaily[WardCode],"FAE")=0,"",SUMIFS(tblDaily[Discharges],tblDaily[EntryDate],DATE(2026,6,3),tblDaily[WardCode],"FAE")),"")</f>
        <v/>
      </c>
      <c r="D204" s="29" t="str">
        <f>IFERROR(IF(SUMIFS(tblDaily[Deaths],tblDaily[EntryDate],DATE(2026,6,3),tblDaily[WardCode],"FAE")=0,"",SUMIFS(tblDaily[Deaths],tblDaily[EntryDate],DATE(2026,6,3),tblDaily[WardCode],"FAE")),"")</f>
        <v/>
      </c>
      <c r="E204" s="29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29" t="str">
        <f>IFERROR(IF(SUMIFS(tblDaily[TransfersIn],tblDaily[EntryDate],DATE(2026,6,3),tblDaily[WardCode],"FAE")=0,"",SUMIFS(tblDaily[TransfersIn],tblDaily[EntryDate],DATE(2026,6,3),tblDaily[WardCode],"FAE")),"")</f>
        <v/>
      </c>
      <c r="G204" s="29" t="str">
        <f>IFERROR(IF(SUMIFS(tblDaily[TransfersOut],tblDaily[EntryDate],DATE(2026,6,3),tblDaily[WardCode],"FAE")=0,"",SUMIFS(tblDaily[TransfersOut],tblDaily[EntryDate],DATE(2026,6,3),tblDaily[WardCode],"FAE")),"")</f>
        <v/>
      </c>
      <c r="H204" s="29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IFERROR(IF(SUMIFS(tblDaily[Admissions],tblDaily[EntryDate],DATE(2026,6,4),tblDaily[WardCode],"FAE")=0,"",SUMIFS(tblDaily[Admissions],tblDaily[EntryDate],DATE(2026,6,4),tblDaily[WardCode],"FAE")),"")</f>
        <v/>
      </c>
      <c r="C205" s="29" t="str">
        <f>IFERROR(IF(SUMIFS(tblDaily[Discharges],tblDaily[EntryDate],DATE(2026,6,4),tblDaily[WardCode],"FAE")=0,"",SUMIFS(tblDaily[Discharges],tblDaily[EntryDate],DATE(2026,6,4),tblDaily[WardCode],"FAE")),"")</f>
        <v/>
      </c>
      <c r="D205" s="29" t="str">
        <f>IFERROR(IF(SUMIFS(tblDaily[Deaths],tblDaily[EntryDate],DATE(2026,6,4),tblDaily[WardCode],"FAE")=0,"",SUMIFS(tblDaily[Deaths],tblDaily[EntryDate],DATE(2026,6,4),tblDaily[WardCode],"FAE")),"")</f>
        <v/>
      </c>
      <c r="E205" s="29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29" t="str">
        <f>IFERROR(IF(SUMIFS(tblDaily[TransfersIn],tblDaily[EntryDate],DATE(2026,6,4),tblDaily[WardCode],"FAE")=0,"",SUMIFS(tblDaily[TransfersIn],tblDaily[EntryDate],DATE(2026,6,4),tblDaily[WardCode],"FAE")),"")</f>
        <v/>
      </c>
      <c r="G205" s="29" t="str">
        <f>IFERROR(IF(SUMIFS(tblDaily[TransfersOut],tblDaily[EntryDate],DATE(2026,6,4),tblDaily[WardCode],"FAE")=0,"",SUMIFS(tblDaily[TransfersOut],tblDaily[EntryDate],DATE(2026,6,4),tblDaily[WardCode],"FAE")),"")</f>
        <v/>
      </c>
      <c r="H205" s="29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IFERROR(IF(SUMIFS(tblDaily[Admissions],tblDaily[EntryDate],DATE(2026,6,5),tblDaily[WardCode],"FAE")=0,"",SUMIFS(tblDaily[Admissions],tblDaily[EntryDate],DATE(2026,6,5),tblDaily[WardCode],"FAE")),"")</f>
        <v/>
      </c>
      <c r="C206" s="29" t="str">
        <f>IFERROR(IF(SUMIFS(tblDaily[Discharges],tblDaily[EntryDate],DATE(2026,6,5),tblDaily[WardCode],"FAE")=0,"",SUMIFS(tblDaily[Discharges],tblDaily[EntryDate],DATE(2026,6,5),tblDaily[WardCode],"FAE")),"")</f>
        <v/>
      </c>
      <c r="D206" s="29" t="str">
        <f>IFERROR(IF(SUMIFS(tblDaily[Deaths],tblDaily[EntryDate],DATE(2026,6,5),tblDaily[WardCode],"FAE")=0,"",SUMIFS(tblDaily[Deaths],tblDaily[EntryDate],DATE(2026,6,5),tblDaily[WardCode],"FAE")),"")</f>
        <v/>
      </c>
      <c r="E206" s="29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29" t="str">
        <f>IFERROR(IF(SUMIFS(tblDaily[TransfersIn],tblDaily[EntryDate],DATE(2026,6,5),tblDaily[WardCode],"FAE")=0,"",SUMIFS(tblDaily[TransfersIn],tblDaily[EntryDate],DATE(2026,6,5),tblDaily[WardCode],"FAE")),"")</f>
        <v/>
      </c>
      <c r="G206" s="29" t="str">
        <f>IFERROR(IF(SUMIFS(tblDaily[TransfersOut],tblDaily[EntryDate],DATE(2026,6,5),tblDaily[WardCode],"FAE")=0,"",SUMIFS(tblDaily[TransfersOut],tblDaily[EntryDate],DATE(2026,6,5),tblDaily[WardCode],"FAE")),"")</f>
        <v/>
      </c>
      <c r="H206" s="29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IFERROR(IF(SUMIFS(tblDaily[Admissions],tblDaily[EntryDate],DATE(2026,6,6),tblDaily[WardCode],"FAE")=0,"",SUMIFS(tblDaily[Admissions],tblDaily[EntryDate],DATE(2026,6,6),tblDaily[WardCode],"FAE")),"")</f>
        <v/>
      </c>
      <c r="C207" s="29" t="str">
        <f>IFERROR(IF(SUMIFS(tblDaily[Discharges],tblDaily[EntryDate],DATE(2026,6,6),tblDaily[WardCode],"FAE")=0,"",SUMIFS(tblDaily[Discharges],tblDaily[EntryDate],DATE(2026,6,6),tblDaily[WardCode],"FAE")),"")</f>
        <v/>
      </c>
      <c r="D207" s="29" t="str">
        <f>IFERROR(IF(SUMIFS(tblDaily[Deaths],tblDaily[EntryDate],DATE(2026,6,6),tblDaily[WardCode],"FAE")=0,"",SUMIFS(tblDaily[Deaths],tblDaily[EntryDate],DATE(2026,6,6),tblDaily[WardCode],"FAE")),"")</f>
        <v/>
      </c>
      <c r="E207" s="29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29" t="str">
        <f>IFERROR(IF(SUMIFS(tblDaily[TransfersIn],tblDaily[EntryDate],DATE(2026,6,6),tblDaily[WardCode],"FAE")=0,"",SUMIFS(tblDaily[TransfersIn],tblDaily[EntryDate],DATE(2026,6,6),tblDaily[WardCode],"FAE")),"")</f>
        <v/>
      </c>
      <c r="G207" s="29" t="str">
        <f>IFERROR(IF(SUMIFS(tblDaily[TransfersOut],tblDaily[EntryDate],DATE(2026,6,6),tblDaily[WardCode],"FAE")=0,"",SUMIFS(tblDaily[TransfersOut],tblDaily[EntryDate],DATE(2026,6,6),tblDaily[WardCode],"FAE")),"")</f>
        <v/>
      </c>
      <c r="H207" s="29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IFERROR(IF(SUMIFS(tblDaily[Admissions],tblDaily[EntryDate],DATE(2026,6,7),tblDaily[WardCode],"FAE")=0,"",SUMIFS(tblDaily[Admissions],tblDaily[EntryDate],DATE(2026,6,7),tblDaily[WardCode],"FAE")),"")</f>
        <v/>
      </c>
      <c r="C208" s="29" t="str">
        <f>IFERROR(IF(SUMIFS(tblDaily[Discharges],tblDaily[EntryDate],DATE(2026,6,7),tblDaily[WardCode],"FAE")=0,"",SUMIFS(tblDaily[Discharges],tblDaily[EntryDate],DATE(2026,6,7),tblDaily[WardCode],"FAE")),"")</f>
        <v/>
      </c>
      <c r="D208" s="29" t="str">
        <f>IFERROR(IF(SUMIFS(tblDaily[Deaths],tblDaily[EntryDate],DATE(2026,6,7),tblDaily[WardCode],"FAE")=0,"",SUMIFS(tblDaily[Deaths],tblDaily[EntryDate],DATE(2026,6,7),tblDaily[WardCode],"FAE")),"")</f>
        <v/>
      </c>
      <c r="E208" s="29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29" t="str">
        <f>IFERROR(IF(SUMIFS(tblDaily[TransfersIn],tblDaily[EntryDate],DATE(2026,6,7),tblDaily[WardCode],"FAE")=0,"",SUMIFS(tblDaily[TransfersIn],tblDaily[EntryDate],DATE(2026,6,7),tblDaily[WardCode],"FAE")),"")</f>
        <v/>
      </c>
      <c r="G208" s="29" t="str">
        <f>IFERROR(IF(SUMIFS(tblDaily[TransfersOut],tblDaily[EntryDate],DATE(2026,6,7),tblDaily[WardCode],"FAE")=0,"",SUMIFS(tblDaily[TransfersOut],tblDaily[EntryDate],DATE(2026,6,7),tblDaily[WardCode],"FAE")),"")</f>
        <v/>
      </c>
      <c r="H208" s="29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IFERROR(IF(SUMIFS(tblDaily[Admissions],tblDaily[EntryDate],DATE(2026,6,8),tblDaily[WardCode],"FAE")=0,"",SUMIFS(tblDaily[Admissions],tblDaily[EntryDate],DATE(2026,6,8),tblDaily[WardCode],"FAE")),"")</f>
        <v/>
      </c>
      <c r="C209" s="29" t="str">
        <f>IFERROR(IF(SUMIFS(tblDaily[Discharges],tblDaily[EntryDate],DATE(2026,6,8),tblDaily[WardCode],"FAE")=0,"",SUMIFS(tblDaily[Discharges],tblDaily[EntryDate],DATE(2026,6,8),tblDaily[WardCode],"FAE")),"")</f>
        <v/>
      </c>
      <c r="D209" s="29" t="str">
        <f>IFERROR(IF(SUMIFS(tblDaily[Deaths],tblDaily[EntryDate],DATE(2026,6,8),tblDaily[WardCode],"FAE")=0,"",SUMIFS(tblDaily[Deaths],tblDaily[EntryDate],DATE(2026,6,8),tblDaily[WardCode],"FAE")),"")</f>
        <v/>
      </c>
      <c r="E209" s="29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29" t="str">
        <f>IFERROR(IF(SUMIFS(tblDaily[TransfersIn],tblDaily[EntryDate],DATE(2026,6,8),tblDaily[WardCode],"FAE")=0,"",SUMIFS(tblDaily[TransfersIn],tblDaily[EntryDate],DATE(2026,6,8),tblDaily[WardCode],"FAE")),"")</f>
        <v/>
      </c>
      <c r="G209" s="29" t="str">
        <f>IFERROR(IF(SUMIFS(tblDaily[TransfersOut],tblDaily[EntryDate],DATE(2026,6,8),tblDaily[WardCode],"FAE")=0,"",SUMIFS(tblDaily[TransfersOut],tblDaily[EntryDate],DATE(2026,6,8),tblDaily[WardCode],"FAE")),"")</f>
        <v/>
      </c>
      <c r="H209" s="29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IFERROR(IF(SUMIFS(tblDaily[Admissions],tblDaily[EntryDate],DATE(2026,6,9),tblDaily[WardCode],"FAE")=0,"",SUMIFS(tblDaily[Admissions],tblDaily[EntryDate],DATE(2026,6,9),tblDaily[WardCode],"FAE")),"")</f>
        <v/>
      </c>
      <c r="C210" s="29" t="str">
        <f>IFERROR(IF(SUMIFS(tblDaily[Discharges],tblDaily[EntryDate],DATE(2026,6,9),tblDaily[WardCode],"FAE")=0,"",SUMIFS(tblDaily[Discharges],tblDaily[EntryDate],DATE(2026,6,9),tblDaily[WardCode],"FAE")),"")</f>
        <v/>
      </c>
      <c r="D210" s="29" t="str">
        <f>IFERROR(IF(SUMIFS(tblDaily[Deaths],tblDaily[EntryDate],DATE(2026,6,9),tblDaily[WardCode],"FAE")=0,"",SUMIFS(tblDaily[Deaths],tblDaily[EntryDate],DATE(2026,6,9),tblDaily[WardCode],"FAE")),"")</f>
        <v/>
      </c>
      <c r="E210" s="29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29" t="str">
        <f>IFERROR(IF(SUMIFS(tblDaily[TransfersIn],tblDaily[EntryDate],DATE(2026,6,9),tblDaily[WardCode],"FAE")=0,"",SUMIFS(tblDaily[TransfersIn],tblDaily[EntryDate],DATE(2026,6,9),tblDaily[WardCode],"FAE")),"")</f>
        <v/>
      </c>
      <c r="G210" s="29" t="str">
        <f>IFERROR(IF(SUMIFS(tblDaily[TransfersOut],tblDaily[EntryDate],DATE(2026,6,9),tblDaily[WardCode],"FAE")=0,"",SUMIFS(tblDaily[TransfersOut],tblDaily[EntryDate],DATE(2026,6,9),tblDaily[WardCode],"FAE")),"")</f>
        <v/>
      </c>
      <c r="H210" s="29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IFERROR(IF(SUMIFS(tblDaily[Admissions],tblDaily[EntryDate],DATE(2026,6,10),tblDaily[WardCode],"FAE")=0,"",SUMIFS(tblDaily[Admissions],tblDaily[EntryDate],DATE(2026,6,10),tblDaily[WardCode],"FAE")),"")</f>
        <v/>
      </c>
      <c r="C211" s="29" t="str">
        <f>IFERROR(IF(SUMIFS(tblDaily[Discharges],tblDaily[EntryDate],DATE(2026,6,10),tblDaily[WardCode],"FAE")=0,"",SUMIFS(tblDaily[Discharges],tblDaily[EntryDate],DATE(2026,6,10),tblDaily[WardCode],"FAE")),"")</f>
        <v/>
      </c>
      <c r="D211" s="29" t="str">
        <f>IFERROR(IF(SUMIFS(tblDaily[Deaths],tblDaily[EntryDate],DATE(2026,6,10),tblDaily[WardCode],"FAE")=0,"",SUMIFS(tblDaily[Deaths],tblDaily[EntryDate],DATE(2026,6,10),tblDaily[WardCode],"FAE")),"")</f>
        <v/>
      </c>
      <c r="E211" s="29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29" t="str">
        <f>IFERROR(IF(SUMIFS(tblDaily[TransfersIn],tblDaily[EntryDate],DATE(2026,6,10),tblDaily[WardCode],"FAE")=0,"",SUMIFS(tblDaily[TransfersIn],tblDaily[EntryDate],DATE(2026,6,10),tblDaily[WardCode],"FAE")),"")</f>
        <v/>
      </c>
      <c r="G211" s="29" t="str">
        <f>IFERROR(IF(SUMIFS(tblDaily[TransfersOut],tblDaily[EntryDate],DATE(2026,6,10),tblDaily[WardCode],"FAE")=0,"",SUMIFS(tblDaily[TransfersOut],tblDaily[EntryDate],DATE(2026,6,10),tblDaily[WardCode],"FAE")),"")</f>
        <v/>
      </c>
      <c r="H211" s="29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IFERROR(IF(SUMIFS(tblDaily[Admissions],tblDaily[EntryDate],DATE(2026,6,11),tblDaily[WardCode],"FAE")=0,"",SUMIFS(tblDaily[Admissions],tblDaily[EntryDate],DATE(2026,6,11),tblDaily[WardCode],"FAE")),"")</f>
        <v/>
      </c>
      <c r="C212" s="29" t="str">
        <f>IFERROR(IF(SUMIFS(tblDaily[Discharges],tblDaily[EntryDate],DATE(2026,6,11),tblDaily[WardCode],"FAE")=0,"",SUMIFS(tblDaily[Discharges],tblDaily[EntryDate],DATE(2026,6,11),tblDaily[WardCode],"FAE")),"")</f>
        <v/>
      </c>
      <c r="D212" s="29" t="str">
        <f>IFERROR(IF(SUMIFS(tblDaily[Deaths],tblDaily[EntryDate],DATE(2026,6,11),tblDaily[WardCode],"FAE")=0,"",SUMIFS(tblDaily[Deaths],tblDaily[EntryDate],DATE(2026,6,11),tblDaily[WardCode],"FAE")),"")</f>
        <v/>
      </c>
      <c r="E212" s="29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29" t="str">
        <f>IFERROR(IF(SUMIFS(tblDaily[TransfersIn],tblDaily[EntryDate],DATE(2026,6,11),tblDaily[WardCode],"FAE")=0,"",SUMIFS(tblDaily[TransfersIn],tblDaily[EntryDate],DATE(2026,6,11),tblDaily[WardCode],"FAE")),"")</f>
        <v/>
      </c>
      <c r="G212" s="29" t="str">
        <f>IFERROR(IF(SUMIFS(tblDaily[TransfersOut],tblDaily[EntryDate],DATE(2026,6,11),tblDaily[WardCode],"FAE")=0,"",SUMIFS(tblDaily[TransfersOut],tblDaily[EntryDate],DATE(2026,6,11),tblDaily[WardCode],"FAE")),"")</f>
        <v/>
      </c>
      <c r="H212" s="29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IFERROR(IF(SUMIFS(tblDaily[Admissions],tblDaily[EntryDate],DATE(2026,6,12),tblDaily[WardCode],"FAE")=0,"",SUMIFS(tblDaily[Admissions],tblDaily[EntryDate],DATE(2026,6,12),tblDaily[WardCode],"FAE")),"")</f>
        <v/>
      </c>
      <c r="C213" s="29" t="str">
        <f>IFERROR(IF(SUMIFS(tblDaily[Discharges],tblDaily[EntryDate],DATE(2026,6,12),tblDaily[WardCode],"FAE")=0,"",SUMIFS(tblDaily[Discharges],tblDaily[EntryDate],DATE(2026,6,12),tblDaily[WardCode],"FAE")),"")</f>
        <v/>
      </c>
      <c r="D213" s="29" t="str">
        <f>IFERROR(IF(SUMIFS(tblDaily[Deaths],tblDaily[EntryDate],DATE(2026,6,12),tblDaily[WardCode],"FAE")=0,"",SUMIFS(tblDaily[Deaths],tblDaily[EntryDate],DATE(2026,6,12),tblDaily[WardCode],"FAE")),"")</f>
        <v/>
      </c>
      <c r="E213" s="29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29" t="str">
        <f>IFERROR(IF(SUMIFS(tblDaily[TransfersIn],tblDaily[EntryDate],DATE(2026,6,12),tblDaily[WardCode],"FAE")=0,"",SUMIFS(tblDaily[TransfersIn],tblDaily[EntryDate],DATE(2026,6,12),tblDaily[WardCode],"FAE")),"")</f>
        <v/>
      </c>
      <c r="G213" s="29" t="str">
        <f>IFERROR(IF(SUMIFS(tblDaily[TransfersOut],tblDaily[EntryDate],DATE(2026,6,12),tblDaily[WardCode],"FAE")=0,"",SUMIFS(tblDaily[TransfersOut],tblDaily[EntryDate],DATE(2026,6,12),tblDaily[WardCode],"FAE")),"")</f>
        <v/>
      </c>
      <c r="H213" s="29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IFERROR(IF(SUMIFS(tblDaily[Admissions],tblDaily[EntryDate],DATE(2026,6,13),tblDaily[WardCode],"FAE")=0,"",SUMIFS(tblDaily[Admissions],tblDaily[EntryDate],DATE(2026,6,13),tblDaily[WardCode],"FAE")),"")</f>
        <v/>
      </c>
      <c r="C214" s="29" t="str">
        <f>IFERROR(IF(SUMIFS(tblDaily[Discharges],tblDaily[EntryDate],DATE(2026,6,13),tblDaily[WardCode],"FAE")=0,"",SUMIFS(tblDaily[Discharges],tblDaily[EntryDate],DATE(2026,6,13),tblDaily[WardCode],"FAE")),"")</f>
        <v/>
      </c>
      <c r="D214" s="29" t="str">
        <f>IFERROR(IF(SUMIFS(tblDaily[Deaths],tblDaily[EntryDate],DATE(2026,6,13),tblDaily[WardCode],"FAE")=0,"",SUMIFS(tblDaily[Deaths],tblDaily[EntryDate],DATE(2026,6,13),tblDaily[WardCode],"FAE")),"")</f>
        <v/>
      </c>
      <c r="E214" s="29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29" t="str">
        <f>IFERROR(IF(SUMIFS(tblDaily[TransfersIn],tblDaily[EntryDate],DATE(2026,6,13),tblDaily[WardCode],"FAE")=0,"",SUMIFS(tblDaily[TransfersIn],tblDaily[EntryDate],DATE(2026,6,13),tblDaily[WardCode],"FAE")),"")</f>
        <v/>
      </c>
      <c r="G214" s="29" t="str">
        <f>IFERROR(IF(SUMIFS(tblDaily[TransfersOut],tblDaily[EntryDate],DATE(2026,6,13),tblDaily[WardCode],"FAE")=0,"",SUMIFS(tblDaily[TransfersOut],tblDaily[EntryDate],DATE(2026,6,13),tblDaily[WardCode],"FAE")),"")</f>
        <v/>
      </c>
      <c r="H214" s="29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IFERROR(IF(SUMIFS(tblDaily[Admissions],tblDaily[EntryDate],DATE(2026,6,14),tblDaily[WardCode],"FAE")=0,"",SUMIFS(tblDaily[Admissions],tblDaily[EntryDate],DATE(2026,6,14),tblDaily[WardCode],"FAE")),"")</f>
        <v/>
      </c>
      <c r="C215" s="29" t="str">
        <f>IFERROR(IF(SUMIFS(tblDaily[Discharges],tblDaily[EntryDate],DATE(2026,6,14),tblDaily[WardCode],"FAE")=0,"",SUMIFS(tblDaily[Discharges],tblDaily[EntryDate],DATE(2026,6,14),tblDaily[WardCode],"FAE")),"")</f>
        <v/>
      </c>
      <c r="D215" s="29" t="str">
        <f>IFERROR(IF(SUMIFS(tblDaily[Deaths],tblDaily[EntryDate],DATE(2026,6,14),tblDaily[WardCode],"FAE")=0,"",SUMIFS(tblDaily[Deaths],tblDaily[EntryDate],DATE(2026,6,14),tblDaily[WardCode],"FAE")),"")</f>
        <v/>
      </c>
      <c r="E215" s="29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29" t="str">
        <f>IFERROR(IF(SUMIFS(tblDaily[TransfersIn],tblDaily[EntryDate],DATE(2026,6,14),tblDaily[WardCode],"FAE")=0,"",SUMIFS(tblDaily[TransfersIn],tblDaily[EntryDate],DATE(2026,6,14),tblDaily[WardCode],"FAE")),"")</f>
        <v/>
      </c>
      <c r="G215" s="29" t="str">
        <f>IFERROR(IF(SUMIFS(tblDaily[TransfersOut],tblDaily[EntryDate],DATE(2026,6,14),tblDaily[WardCode],"FAE")=0,"",SUMIFS(tblDaily[TransfersOut],tblDaily[EntryDate],DATE(2026,6,14),tblDaily[WardCode],"FAE")),"")</f>
        <v/>
      </c>
      <c r="H215" s="29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IFERROR(IF(SUMIFS(tblDaily[Admissions],tblDaily[EntryDate],DATE(2026,6,15),tblDaily[WardCode],"FAE")=0,"",SUMIFS(tblDaily[Admissions],tblDaily[EntryDate],DATE(2026,6,15),tblDaily[WardCode],"FAE")),"")</f>
        <v/>
      </c>
      <c r="C216" s="29" t="str">
        <f>IFERROR(IF(SUMIFS(tblDaily[Discharges],tblDaily[EntryDate],DATE(2026,6,15),tblDaily[WardCode],"FAE")=0,"",SUMIFS(tblDaily[Discharges],tblDaily[EntryDate],DATE(2026,6,15),tblDaily[WardCode],"FAE")),"")</f>
        <v/>
      </c>
      <c r="D216" s="29" t="str">
        <f>IFERROR(IF(SUMIFS(tblDaily[Deaths],tblDaily[EntryDate],DATE(2026,6,15),tblDaily[WardCode],"FAE")=0,"",SUMIFS(tblDaily[Deaths],tblDaily[EntryDate],DATE(2026,6,15),tblDaily[WardCode],"FAE")),"")</f>
        <v/>
      </c>
      <c r="E216" s="29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29" t="str">
        <f>IFERROR(IF(SUMIFS(tblDaily[TransfersIn],tblDaily[EntryDate],DATE(2026,6,15),tblDaily[WardCode],"FAE")=0,"",SUMIFS(tblDaily[TransfersIn],tblDaily[EntryDate],DATE(2026,6,15),tblDaily[WardCode],"FAE")),"")</f>
        <v/>
      </c>
      <c r="G216" s="29" t="str">
        <f>IFERROR(IF(SUMIFS(tblDaily[TransfersOut],tblDaily[EntryDate],DATE(2026,6,15),tblDaily[WardCode],"FAE")=0,"",SUMIFS(tblDaily[TransfersOut],tblDaily[EntryDate],DATE(2026,6,15),tblDaily[WardCode],"FAE")),"")</f>
        <v/>
      </c>
      <c r="H216" s="29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IFERROR(IF(SUMIFS(tblDaily[Admissions],tblDaily[EntryDate],DATE(2026,6,16),tblDaily[WardCode],"FAE")=0,"",SUMIFS(tblDaily[Admissions],tblDaily[EntryDate],DATE(2026,6,16),tblDaily[WardCode],"FAE")),"")</f>
        <v/>
      </c>
      <c r="C217" s="29" t="str">
        <f>IFERROR(IF(SUMIFS(tblDaily[Discharges],tblDaily[EntryDate],DATE(2026,6,16),tblDaily[WardCode],"FAE")=0,"",SUMIFS(tblDaily[Discharges],tblDaily[EntryDate],DATE(2026,6,16),tblDaily[WardCode],"FAE")),"")</f>
        <v/>
      </c>
      <c r="D217" s="29" t="str">
        <f>IFERROR(IF(SUMIFS(tblDaily[Deaths],tblDaily[EntryDate],DATE(2026,6,16),tblDaily[WardCode],"FAE")=0,"",SUMIFS(tblDaily[Deaths],tblDaily[EntryDate],DATE(2026,6,16),tblDaily[WardCode],"FAE")),"")</f>
        <v/>
      </c>
      <c r="E217" s="29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29" t="str">
        <f>IFERROR(IF(SUMIFS(tblDaily[TransfersIn],tblDaily[EntryDate],DATE(2026,6,16),tblDaily[WardCode],"FAE")=0,"",SUMIFS(tblDaily[TransfersIn],tblDaily[EntryDate],DATE(2026,6,16),tblDaily[WardCode],"FAE")),"")</f>
        <v/>
      </c>
      <c r="G217" s="29" t="str">
        <f>IFERROR(IF(SUMIFS(tblDaily[TransfersOut],tblDaily[EntryDate],DATE(2026,6,16),tblDaily[WardCode],"FAE")=0,"",SUMIFS(tblDaily[TransfersOut],tblDaily[EntryDate],DATE(2026,6,16),tblDaily[WardCode],"FAE")),"")</f>
        <v/>
      </c>
      <c r="H217" s="29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IFERROR(IF(SUMIFS(tblDaily[Admissions],tblDaily[EntryDate],DATE(2026,6,17),tblDaily[WardCode],"FAE")=0,"",SUMIFS(tblDaily[Admissions],tblDaily[EntryDate],DATE(2026,6,17),tblDaily[WardCode],"FAE")),"")</f>
        <v/>
      </c>
      <c r="C218" s="29" t="str">
        <f>IFERROR(IF(SUMIFS(tblDaily[Discharges],tblDaily[EntryDate],DATE(2026,6,17),tblDaily[WardCode],"FAE")=0,"",SUMIFS(tblDaily[Discharges],tblDaily[EntryDate],DATE(2026,6,17),tblDaily[WardCode],"FAE")),"")</f>
        <v/>
      </c>
      <c r="D218" s="29" t="str">
        <f>IFERROR(IF(SUMIFS(tblDaily[Deaths],tblDaily[EntryDate],DATE(2026,6,17),tblDaily[WardCode],"FAE")=0,"",SUMIFS(tblDaily[Deaths],tblDaily[EntryDate],DATE(2026,6,17),tblDaily[WardCode],"FAE")),"")</f>
        <v/>
      </c>
      <c r="E218" s="29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29" t="str">
        <f>IFERROR(IF(SUMIFS(tblDaily[TransfersIn],tblDaily[EntryDate],DATE(2026,6,17),tblDaily[WardCode],"FAE")=0,"",SUMIFS(tblDaily[TransfersIn],tblDaily[EntryDate],DATE(2026,6,17),tblDaily[WardCode],"FAE")),"")</f>
        <v/>
      </c>
      <c r="G218" s="29" t="str">
        <f>IFERROR(IF(SUMIFS(tblDaily[TransfersOut],tblDaily[EntryDate],DATE(2026,6,17),tblDaily[WardCode],"FAE")=0,"",SUMIFS(tblDaily[TransfersOut],tblDaily[EntryDate],DATE(2026,6,17),tblDaily[WardCode],"FAE")),"")</f>
        <v/>
      </c>
      <c r="H218" s="29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IFERROR(IF(SUMIFS(tblDaily[Admissions],tblDaily[EntryDate],DATE(2026,6,18),tblDaily[WardCode],"FAE")=0,"",SUMIFS(tblDaily[Admissions],tblDaily[EntryDate],DATE(2026,6,18),tblDaily[WardCode],"FAE")),"")</f>
        <v/>
      </c>
      <c r="C219" s="29" t="str">
        <f>IFERROR(IF(SUMIFS(tblDaily[Discharges],tblDaily[EntryDate],DATE(2026,6,18),tblDaily[WardCode],"FAE")=0,"",SUMIFS(tblDaily[Discharges],tblDaily[EntryDate],DATE(2026,6,18),tblDaily[WardCode],"FAE")),"")</f>
        <v/>
      </c>
      <c r="D219" s="29" t="str">
        <f>IFERROR(IF(SUMIFS(tblDaily[Deaths],tblDaily[EntryDate],DATE(2026,6,18),tblDaily[WardCode],"FAE")=0,"",SUMIFS(tblDaily[Deaths],tblDaily[EntryDate],DATE(2026,6,18),tblDaily[WardCode],"FAE")),"")</f>
        <v/>
      </c>
      <c r="E219" s="29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29" t="str">
        <f>IFERROR(IF(SUMIFS(tblDaily[TransfersIn],tblDaily[EntryDate],DATE(2026,6,18),tblDaily[WardCode],"FAE")=0,"",SUMIFS(tblDaily[TransfersIn],tblDaily[EntryDate],DATE(2026,6,18),tblDaily[WardCode],"FAE")),"")</f>
        <v/>
      </c>
      <c r="G219" s="29" t="str">
        <f>IFERROR(IF(SUMIFS(tblDaily[TransfersOut],tblDaily[EntryDate],DATE(2026,6,18),tblDaily[WardCode],"FAE")=0,"",SUMIFS(tblDaily[TransfersOut],tblDaily[EntryDate],DATE(2026,6,18),tblDaily[WardCode],"FAE")),"")</f>
        <v/>
      </c>
      <c r="H219" s="29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IFERROR(IF(SUMIFS(tblDaily[Admissions],tblDaily[EntryDate],DATE(2026,6,19),tblDaily[WardCode],"FAE")=0,"",SUMIFS(tblDaily[Admissions],tblDaily[EntryDate],DATE(2026,6,19),tblDaily[WardCode],"FAE")),"")</f>
        <v/>
      </c>
      <c r="C220" s="29" t="str">
        <f>IFERROR(IF(SUMIFS(tblDaily[Discharges],tblDaily[EntryDate],DATE(2026,6,19),tblDaily[WardCode],"FAE")=0,"",SUMIFS(tblDaily[Discharges],tblDaily[EntryDate],DATE(2026,6,19),tblDaily[WardCode],"FAE")),"")</f>
        <v/>
      </c>
      <c r="D220" s="29" t="str">
        <f>IFERROR(IF(SUMIFS(tblDaily[Deaths],tblDaily[EntryDate],DATE(2026,6,19),tblDaily[WardCode],"FAE")=0,"",SUMIFS(tblDaily[Deaths],tblDaily[EntryDate],DATE(2026,6,19),tblDaily[WardCode],"FAE")),"")</f>
        <v/>
      </c>
      <c r="E220" s="29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29" t="str">
        <f>IFERROR(IF(SUMIFS(tblDaily[TransfersIn],tblDaily[EntryDate],DATE(2026,6,19),tblDaily[WardCode],"FAE")=0,"",SUMIFS(tblDaily[TransfersIn],tblDaily[EntryDate],DATE(2026,6,19),tblDaily[WardCode],"FAE")),"")</f>
        <v/>
      </c>
      <c r="G220" s="29" t="str">
        <f>IFERROR(IF(SUMIFS(tblDaily[TransfersOut],tblDaily[EntryDate],DATE(2026,6,19),tblDaily[WardCode],"FAE")=0,"",SUMIFS(tblDaily[TransfersOut],tblDaily[EntryDate],DATE(2026,6,19),tblDaily[WardCode],"FAE")),"")</f>
        <v/>
      </c>
      <c r="H220" s="29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IFERROR(IF(SUMIFS(tblDaily[Admissions],tblDaily[EntryDate],DATE(2026,6,20),tblDaily[WardCode],"FAE")=0,"",SUMIFS(tblDaily[Admissions],tblDaily[EntryDate],DATE(2026,6,20),tblDaily[WardCode],"FAE")),"")</f>
        <v/>
      </c>
      <c r="C221" s="29" t="str">
        <f>IFERROR(IF(SUMIFS(tblDaily[Discharges],tblDaily[EntryDate],DATE(2026,6,20),tblDaily[WardCode],"FAE")=0,"",SUMIFS(tblDaily[Discharges],tblDaily[EntryDate],DATE(2026,6,20),tblDaily[WardCode],"FAE")),"")</f>
        <v/>
      </c>
      <c r="D221" s="29" t="str">
        <f>IFERROR(IF(SUMIFS(tblDaily[Deaths],tblDaily[EntryDate],DATE(2026,6,20),tblDaily[WardCode],"FAE")=0,"",SUMIFS(tblDaily[Deaths],tblDaily[EntryDate],DATE(2026,6,20),tblDaily[WardCode],"FAE")),"")</f>
        <v/>
      </c>
      <c r="E221" s="29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29" t="str">
        <f>IFERROR(IF(SUMIFS(tblDaily[TransfersIn],tblDaily[EntryDate],DATE(2026,6,20),tblDaily[WardCode],"FAE")=0,"",SUMIFS(tblDaily[TransfersIn],tblDaily[EntryDate],DATE(2026,6,20),tblDaily[WardCode],"FAE")),"")</f>
        <v/>
      </c>
      <c r="G221" s="29" t="str">
        <f>IFERROR(IF(SUMIFS(tblDaily[TransfersOut],tblDaily[EntryDate],DATE(2026,6,20),tblDaily[WardCode],"FAE")=0,"",SUMIFS(tblDaily[TransfersOut],tblDaily[EntryDate],DATE(2026,6,20),tblDaily[WardCode],"FAE")),"")</f>
        <v/>
      </c>
      <c r="H221" s="29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IFERROR(IF(SUMIFS(tblDaily[Admissions],tblDaily[EntryDate],DATE(2026,6,21),tblDaily[WardCode],"FAE")=0,"",SUMIFS(tblDaily[Admissions],tblDaily[EntryDate],DATE(2026,6,21),tblDaily[WardCode],"FAE")),"")</f>
        <v/>
      </c>
      <c r="C222" s="29" t="str">
        <f>IFERROR(IF(SUMIFS(tblDaily[Discharges],tblDaily[EntryDate],DATE(2026,6,21),tblDaily[WardCode],"FAE")=0,"",SUMIFS(tblDaily[Discharges],tblDaily[EntryDate],DATE(2026,6,21),tblDaily[WardCode],"FAE")),"")</f>
        <v/>
      </c>
      <c r="D222" s="29" t="str">
        <f>IFERROR(IF(SUMIFS(tblDaily[Deaths],tblDaily[EntryDate],DATE(2026,6,21),tblDaily[WardCode],"FAE")=0,"",SUMIFS(tblDaily[Deaths],tblDaily[EntryDate],DATE(2026,6,21),tblDaily[WardCode],"FAE")),"")</f>
        <v/>
      </c>
      <c r="E222" s="29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29" t="str">
        <f>IFERROR(IF(SUMIFS(tblDaily[TransfersIn],tblDaily[EntryDate],DATE(2026,6,21),tblDaily[WardCode],"FAE")=0,"",SUMIFS(tblDaily[TransfersIn],tblDaily[EntryDate],DATE(2026,6,21),tblDaily[WardCode],"FAE")),"")</f>
        <v/>
      </c>
      <c r="G222" s="29" t="str">
        <f>IFERROR(IF(SUMIFS(tblDaily[TransfersOut],tblDaily[EntryDate],DATE(2026,6,21),tblDaily[WardCode],"FAE")=0,"",SUMIFS(tblDaily[TransfersOut],tblDaily[EntryDate],DATE(2026,6,21),tblDaily[WardCode],"FAE")),"")</f>
        <v/>
      </c>
      <c r="H222" s="29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IFERROR(IF(SUMIFS(tblDaily[Admissions],tblDaily[EntryDate],DATE(2026,6,22),tblDaily[WardCode],"FAE")=0,"",SUMIFS(tblDaily[Admissions],tblDaily[EntryDate],DATE(2026,6,22),tblDaily[WardCode],"FAE")),"")</f>
        <v/>
      </c>
      <c r="C223" s="29" t="str">
        <f>IFERROR(IF(SUMIFS(tblDaily[Discharges],tblDaily[EntryDate],DATE(2026,6,22),tblDaily[WardCode],"FAE")=0,"",SUMIFS(tblDaily[Discharges],tblDaily[EntryDate],DATE(2026,6,22),tblDaily[WardCode],"FAE")),"")</f>
        <v/>
      </c>
      <c r="D223" s="29" t="str">
        <f>IFERROR(IF(SUMIFS(tblDaily[Deaths],tblDaily[EntryDate],DATE(2026,6,22),tblDaily[WardCode],"FAE")=0,"",SUMIFS(tblDaily[Deaths],tblDaily[EntryDate],DATE(2026,6,22),tblDaily[WardCode],"FAE")),"")</f>
        <v/>
      </c>
      <c r="E223" s="29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29" t="str">
        <f>IFERROR(IF(SUMIFS(tblDaily[TransfersIn],tblDaily[EntryDate],DATE(2026,6,22),tblDaily[WardCode],"FAE")=0,"",SUMIFS(tblDaily[TransfersIn],tblDaily[EntryDate],DATE(2026,6,22),tblDaily[WardCode],"FAE")),"")</f>
        <v/>
      </c>
      <c r="G223" s="29" t="str">
        <f>IFERROR(IF(SUMIFS(tblDaily[TransfersOut],tblDaily[EntryDate],DATE(2026,6,22),tblDaily[WardCode],"FAE")=0,"",SUMIFS(tblDaily[TransfersOut],tblDaily[EntryDate],DATE(2026,6,22),tblDaily[WardCode],"FAE")),"")</f>
        <v/>
      </c>
      <c r="H223" s="29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IFERROR(IF(SUMIFS(tblDaily[Admissions],tblDaily[EntryDate],DATE(2026,6,23),tblDaily[WardCode],"FAE")=0,"",SUMIFS(tblDaily[Admissions],tblDaily[EntryDate],DATE(2026,6,23),tblDaily[WardCode],"FAE")),"")</f>
        <v/>
      </c>
      <c r="C224" s="29" t="str">
        <f>IFERROR(IF(SUMIFS(tblDaily[Discharges],tblDaily[EntryDate],DATE(2026,6,23),tblDaily[WardCode],"FAE")=0,"",SUMIFS(tblDaily[Discharges],tblDaily[EntryDate],DATE(2026,6,23),tblDaily[WardCode],"FAE")),"")</f>
        <v/>
      </c>
      <c r="D224" s="29" t="str">
        <f>IFERROR(IF(SUMIFS(tblDaily[Deaths],tblDaily[EntryDate],DATE(2026,6,23),tblDaily[WardCode],"FAE")=0,"",SUMIFS(tblDaily[Deaths],tblDaily[EntryDate],DATE(2026,6,23),tblDaily[WardCode],"FAE")),"")</f>
        <v/>
      </c>
      <c r="E224" s="29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29" t="str">
        <f>IFERROR(IF(SUMIFS(tblDaily[TransfersIn],tblDaily[EntryDate],DATE(2026,6,23),tblDaily[WardCode],"FAE")=0,"",SUMIFS(tblDaily[TransfersIn],tblDaily[EntryDate],DATE(2026,6,23),tblDaily[WardCode],"FAE")),"")</f>
        <v/>
      </c>
      <c r="G224" s="29" t="str">
        <f>IFERROR(IF(SUMIFS(tblDaily[TransfersOut],tblDaily[EntryDate],DATE(2026,6,23),tblDaily[WardCode],"FAE")=0,"",SUMIFS(tblDaily[TransfersOut],tblDaily[EntryDate],DATE(2026,6,23),tblDaily[WardCode],"FAE")),"")</f>
        <v/>
      </c>
      <c r="H224" s="29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IFERROR(IF(SUMIFS(tblDaily[Admissions],tblDaily[EntryDate],DATE(2026,6,24),tblDaily[WardCode],"FAE")=0,"",SUMIFS(tblDaily[Admissions],tblDaily[EntryDate],DATE(2026,6,24),tblDaily[WardCode],"FAE")),"")</f>
        <v/>
      </c>
      <c r="C225" s="29" t="str">
        <f>IFERROR(IF(SUMIFS(tblDaily[Discharges],tblDaily[EntryDate],DATE(2026,6,24),tblDaily[WardCode],"FAE")=0,"",SUMIFS(tblDaily[Discharges],tblDaily[EntryDate],DATE(2026,6,24),tblDaily[WardCode],"FAE")),"")</f>
        <v/>
      </c>
      <c r="D225" s="29" t="str">
        <f>IFERROR(IF(SUMIFS(tblDaily[Deaths],tblDaily[EntryDate],DATE(2026,6,24),tblDaily[WardCode],"FAE")=0,"",SUMIFS(tblDaily[Deaths],tblDaily[EntryDate],DATE(2026,6,24),tblDaily[WardCode],"FAE")),"")</f>
        <v/>
      </c>
      <c r="E225" s="29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29" t="str">
        <f>IFERROR(IF(SUMIFS(tblDaily[TransfersIn],tblDaily[EntryDate],DATE(2026,6,24),tblDaily[WardCode],"FAE")=0,"",SUMIFS(tblDaily[TransfersIn],tblDaily[EntryDate],DATE(2026,6,24),tblDaily[WardCode],"FAE")),"")</f>
        <v/>
      </c>
      <c r="G225" s="29" t="str">
        <f>IFERROR(IF(SUMIFS(tblDaily[TransfersOut],tblDaily[EntryDate],DATE(2026,6,24),tblDaily[WardCode],"FAE")=0,"",SUMIFS(tblDaily[TransfersOut],tblDaily[EntryDate],DATE(2026,6,24),tblDaily[WardCode],"FAE")),"")</f>
        <v/>
      </c>
      <c r="H225" s="29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IFERROR(IF(SUMIFS(tblDaily[Admissions],tblDaily[EntryDate],DATE(2026,6,25),tblDaily[WardCode],"FAE")=0,"",SUMIFS(tblDaily[Admissions],tblDaily[EntryDate],DATE(2026,6,25),tblDaily[WardCode],"FAE")),"")</f>
        <v/>
      </c>
      <c r="C226" s="29" t="str">
        <f>IFERROR(IF(SUMIFS(tblDaily[Discharges],tblDaily[EntryDate],DATE(2026,6,25),tblDaily[WardCode],"FAE")=0,"",SUMIFS(tblDaily[Discharges],tblDaily[EntryDate],DATE(2026,6,25),tblDaily[WardCode],"FAE")),"")</f>
        <v/>
      </c>
      <c r="D226" s="29" t="str">
        <f>IFERROR(IF(SUMIFS(tblDaily[Deaths],tblDaily[EntryDate],DATE(2026,6,25),tblDaily[WardCode],"FAE")=0,"",SUMIFS(tblDaily[Deaths],tblDaily[EntryDate],DATE(2026,6,25),tblDaily[WardCode],"FAE")),"")</f>
        <v/>
      </c>
      <c r="E226" s="29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29" t="str">
        <f>IFERROR(IF(SUMIFS(tblDaily[TransfersIn],tblDaily[EntryDate],DATE(2026,6,25),tblDaily[WardCode],"FAE")=0,"",SUMIFS(tblDaily[TransfersIn],tblDaily[EntryDate],DATE(2026,6,25),tblDaily[WardCode],"FAE")),"")</f>
        <v/>
      </c>
      <c r="G226" s="29" t="str">
        <f>IFERROR(IF(SUMIFS(tblDaily[TransfersOut],tblDaily[EntryDate],DATE(2026,6,25),tblDaily[WardCode],"FAE")=0,"",SUMIFS(tblDaily[TransfersOut],tblDaily[EntryDate],DATE(2026,6,25),tblDaily[WardCode],"FAE")),"")</f>
        <v/>
      </c>
      <c r="H226" s="29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IFERROR(IF(SUMIFS(tblDaily[Admissions],tblDaily[EntryDate],DATE(2026,6,26),tblDaily[WardCode],"FAE")=0,"",SUMIFS(tblDaily[Admissions],tblDaily[EntryDate],DATE(2026,6,26),tblDaily[WardCode],"FAE")),"")</f>
        <v/>
      </c>
      <c r="C227" s="29" t="str">
        <f>IFERROR(IF(SUMIFS(tblDaily[Discharges],tblDaily[EntryDate],DATE(2026,6,26),tblDaily[WardCode],"FAE")=0,"",SUMIFS(tblDaily[Discharges],tblDaily[EntryDate],DATE(2026,6,26),tblDaily[WardCode],"FAE")),"")</f>
        <v/>
      </c>
      <c r="D227" s="29" t="str">
        <f>IFERROR(IF(SUMIFS(tblDaily[Deaths],tblDaily[EntryDate],DATE(2026,6,26),tblDaily[WardCode],"FAE")=0,"",SUMIFS(tblDaily[Deaths],tblDaily[EntryDate],DATE(2026,6,26),tblDaily[WardCode],"FAE")),"")</f>
        <v/>
      </c>
      <c r="E227" s="29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29" t="str">
        <f>IFERROR(IF(SUMIFS(tblDaily[TransfersIn],tblDaily[EntryDate],DATE(2026,6,26),tblDaily[WardCode],"FAE")=0,"",SUMIFS(tblDaily[TransfersIn],tblDaily[EntryDate],DATE(2026,6,26),tblDaily[WardCode],"FAE")),"")</f>
        <v/>
      </c>
      <c r="G227" s="29" t="str">
        <f>IFERROR(IF(SUMIFS(tblDaily[TransfersOut],tblDaily[EntryDate],DATE(2026,6,26),tblDaily[WardCode],"FAE")=0,"",SUMIFS(tblDaily[TransfersOut],tblDaily[EntryDate],DATE(2026,6,26),tblDaily[WardCode],"FAE")),"")</f>
        <v/>
      </c>
      <c r="H227" s="29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IFERROR(IF(SUMIFS(tblDaily[Admissions],tblDaily[EntryDate],DATE(2026,6,27),tblDaily[WardCode],"FAE")=0,"",SUMIFS(tblDaily[Admissions],tblDaily[EntryDate],DATE(2026,6,27),tblDaily[WardCode],"FAE")),"")</f>
        <v/>
      </c>
      <c r="C228" s="29" t="str">
        <f>IFERROR(IF(SUMIFS(tblDaily[Discharges],tblDaily[EntryDate],DATE(2026,6,27),tblDaily[WardCode],"FAE")=0,"",SUMIFS(tblDaily[Discharges],tblDaily[EntryDate],DATE(2026,6,27),tblDaily[WardCode],"FAE")),"")</f>
        <v/>
      </c>
      <c r="D228" s="29" t="str">
        <f>IFERROR(IF(SUMIFS(tblDaily[Deaths],tblDaily[EntryDate],DATE(2026,6,27),tblDaily[WardCode],"FAE")=0,"",SUMIFS(tblDaily[Deaths],tblDaily[EntryDate],DATE(2026,6,27),tblDaily[WardCode],"FAE")),"")</f>
        <v/>
      </c>
      <c r="E228" s="29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29" t="str">
        <f>IFERROR(IF(SUMIFS(tblDaily[TransfersIn],tblDaily[EntryDate],DATE(2026,6,27),tblDaily[WardCode],"FAE")=0,"",SUMIFS(tblDaily[TransfersIn],tblDaily[EntryDate],DATE(2026,6,27),tblDaily[WardCode],"FAE")),"")</f>
        <v/>
      </c>
      <c r="G228" s="29" t="str">
        <f>IFERROR(IF(SUMIFS(tblDaily[TransfersOut],tblDaily[EntryDate],DATE(2026,6,27),tblDaily[WardCode],"FAE")=0,"",SUMIFS(tblDaily[TransfersOut],tblDaily[EntryDate],DATE(2026,6,27),tblDaily[WardCode],"FAE")),"")</f>
        <v/>
      </c>
      <c r="H228" s="29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IFERROR(IF(SUMIFS(tblDaily[Admissions],tblDaily[EntryDate],DATE(2026,6,28),tblDaily[WardCode],"FAE")=0,"",SUMIFS(tblDaily[Admissions],tblDaily[EntryDate],DATE(2026,6,28),tblDaily[WardCode],"FAE")),"")</f>
        <v/>
      </c>
      <c r="C229" s="29" t="str">
        <f>IFERROR(IF(SUMIFS(tblDaily[Discharges],tblDaily[EntryDate],DATE(2026,6,28),tblDaily[WardCode],"FAE")=0,"",SUMIFS(tblDaily[Discharges],tblDaily[EntryDate],DATE(2026,6,28),tblDaily[WardCode],"FAE")),"")</f>
        <v/>
      </c>
      <c r="D229" s="29" t="str">
        <f>IFERROR(IF(SUMIFS(tblDaily[Deaths],tblDaily[EntryDate],DATE(2026,6,28),tblDaily[WardCode],"FAE")=0,"",SUMIFS(tblDaily[Deaths],tblDaily[EntryDate],DATE(2026,6,28),tblDaily[WardCode],"FAE")),"")</f>
        <v/>
      </c>
      <c r="E229" s="29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29" t="str">
        <f>IFERROR(IF(SUMIFS(tblDaily[TransfersIn],tblDaily[EntryDate],DATE(2026,6,28),tblDaily[WardCode],"FAE")=0,"",SUMIFS(tblDaily[TransfersIn],tblDaily[EntryDate],DATE(2026,6,28),tblDaily[WardCode],"FAE")),"")</f>
        <v/>
      </c>
      <c r="G229" s="29" t="str">
        <f>IFERROR(IF(SUMIFS(tblDaily[TransfersOut],tblDaily[EntryDate],DATE(2026,6,28),tblDaily[WardCode],"FAE")=0,"",SUMIFS(tblDaily[TransfersOut],tblDaily[EntryDate],DATE(2026,6,28),tblDaily[WardCode],"FAE")),"")</f>
        <v/>
      </c>
      <c r="H229" s="29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IFERROR(IF(SUMIFS(tblDaily[Admissions],tblDaily[EntryDate],DATE(2026,6,29),tblDaily[WardCode],"FAE")=0,"",SUMIFS(tblDaily[Admissions],tblDaily[EntryDate],DATE(2026,6,29),tblDaily[WardCode],"FAE")),"")</f>
        <v/>
      </c>
      <c r="C230" s="29" t="str">
        <f>IFERROR(IF(SUMIFS(tblDaily[Discharges],tblDaily[EntryDate],DATE(2026,6,29),tblDaily[WardCode],"FAE")=0,"",SUMIFS(tblDaily[Discharges],tblDaily[EntryDate],DATE(2026,6,29),tblDaily[WardCode],"FAE")),"")</f>
        <v/>
      </c>
      <c r="D230" s="29" t="str">
        <f>IFERROR(IF(SUMIFS(tblDaily[Deaths],tblDaily[EntryDate],DATE(2026,6,29),tblDaily[WardCode],"FAE")=0,"",SUMIFS(tblDaily[Deaths],tblDaily[EntryDate],DATE(2026,6,29),tblDaily[WardCode],"FAE")),"")</f>
        <v/>
      </c>
      <c r="E230" s="29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29" t="str">
        <f>IFERROR(IF(SUMIFS(tblDaily[TransfersIn],tblDaily[EntryDate],DATE(2026,6,29),tblDaily[WardCode],"FAE")=0,"",SUMIFS(tblDaily[TransfersIn],tblDaily[EntryDate],DATE(2026,6,29),tblDaily[WardCode],"FAE")),"")</f>
        <v/>
      </c>
      <c r="G230" s="29" t="str">
        <f>IFERROR(IF(SUMIFS(tblDaily[TransfersOut],tblDaily[EntryDate],DATE(2026,6,29),tblDaily[WardCode],"FAE")=0,"",SUMIFS(tblDaily[TransfersOut],tblDaily[EntryDate],DATE(2026,6,29),tblDaily[WardCode],"FAE")),"")</f>
        <v/>
      </c>
      <c r="H230" s="29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IFERROR(IF(SUMIFS(tblDaily[Admissions],tblDaily[EntryDate],DATE(2026,6,30),tblDaily[WardCode],"FAE")=0,"",SUMIFS(tblDaily[Admissions],tblDaily[EntryDate],DATE(2026,6,30),tblDaily[WardCode],"FAE")),"")</f>
        <v/>
      </c>
      <c r="C231" s="29" t="str">
        <f>IFERROR(IF(SUMIFS(tblDaily[Discharges],tblDaily[EntryDate],DATE(2026,6,30),tblDaily[WardCode],"FAE")=0,"",SUMIFS(tblDaily[Discharges],tblDaily[EntryDate],DATE(2026,6,30),tblDaily[WardCode],"FAE")),"")</f>
        <v/>
      </c>
      <c r="D231" s="29" t="str">
        <f>IFERROR(IF(SUMIFS(tblDaily[Deaths],tblDaily[EntryDate],DATE(2026,6,30),tblDaily[WardCode],"FAE")=0,"",SUMIFS(tblDaily[Deaths],tblDaily[EntryDate],DATE(2026,6,30),tblDaily[WardCode],"FAE")),"")</f>
        <v/>
      </c>
      <c r="E231" s="29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29" t="str">
        <f>IFERROR(IF(SUMIFS(tblDaily[TransfersIn],tblDaily[EntryDate],DATE(2026,6,30),tblDaily[WardCode],"FAE")=0,"",SUMIFS(tblDaily[TransfersIn],tblDaily[EntryDate],DATE(2026,6,30),tblDaily[WardCode],"FAE")),"")</f>
        <v/>
      </c>
      <c r="G231" s="29" t="str">
        <f>IFERROR(IF(SUMIFS(tblDaily[TransfersOut],tblDaily[EntryDate],DATE(2026,6,30),tblDaily[WardCode],"FAE")=0,"",SUMIFS(tblDaily[TransfersOut],tblDaily[EntryDate],DATE(2026,6,30),tblDaily[WardCode],"FAE")),"")</f>
        <v/>
      </c>
      <c r="H231" s="29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SUMIFS(tblDaily[Admissions],tblDaily[Month],6,tblDaily[WardCode],"FAE") - SUMIFS(tblDaily[DeathsUnder24Hrs],tblDaily[Month],6,tblDaily[WardCode],"FAE")</f>
        <v>0</v>
      </c>
      <c r="C233" s="30">
        <f>SUMIFS(tblDaily[Discharges],tblDaily[Month],6,tblDaily[WardCode],"FAE")</f>
        <v>0</v>
      </c>
      <c r="D233" s="30">
        <f>SUMIFS(tblDaily[Deaths],tblDaily[Month],6,tblDaily[WardCode],"FAE")</f>
        <v>0</v>
      </c>
      <c r="E233" s="30">
        <f>SUMIFS(tblDaily[DeathsUnder24Hrs],tblDaily[Month],6,tblDaily[WardCode],"FAE")</f>
        <v>0</v>
      </c>
      <c r="F233" s="30">
        <f>SUMIFS(tblDaily[TransfersIn],tblDaily[Month],6,tblDaily[WardCode],"FAE")</f>
        <v>0</v>
      </c>
      <c r="G233" s="30">
        <f>SUMIFS(tblDaily[TransfersOut],tblDaily[Month],6,tblDaily[WardCode],"FAE")</f>
        <v>0</v>
      </c>
      <c r="H233" s="30">
        <f>SUMIFS(tblDaily[Remaining],tblDaily[Month],6,tblDaily[WardCode],"FAE")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123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IFERROR(SUMIFS(tblDaily[Remaining],tblDaily[EntryDate],DATE(2026,6,30),tblDaily[WardCode],"FAE"),0)</f>
        <v>0</v>
      </c>
    </row>
    <row r="239" spans="1:8" x14ac:dyDescent="0.25">
      <c r="A239" s="24" t="s">
        <v>109</v>
      </c>
      <c r="H239" s="27">
        <f>IFERROR(INDEX(tblWardConfig[BedComplement],MATCH("FAE",tblWardConfig[WardCode],0)),0)</f>
        <v>10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IFERROR(IF(SUMIFS(tblDaily[Admissions],tblDaily[EntryDate],DATE(2026,7,1),tblDaily[WardCode],"FAE")=0,"",SUMIFS(tblDaily[Admissions],tblDaily[EntryDate],DATE(2026,7,1),tblDaily[WardCode],"FAE")),"")</f>
        <v/>
      </c>
      <c r="C241" s="29" t="str">
        <f>IFERROR(IF(SUMIFS(tblDaily[Discharges],tblDaily[EntryDate],DATE(2026,7,1),tblDaily[WardCode],"FAE")=0,"",SUMIFS(tblDaily[Discharges],tblDaily[EntryDate],DATE(2026,7,1),tblDaily[WardCode],"FAE")),"")</f>
        <v/>
      </c>
      <c r="D241" s="29" t="str">
        <f>IFERROR(IF(SUMIFS(tblDaily[Deaths],tblDaily[EntryDate],DATE(2026,7,1),tblDaily[WardCode],"FAE")=0,"",SUMIFS(tblDaily[Deaths],tblDaily[EntryDate],DATE(2026,7,1),tblDaily[WardCode],"FAE")),"")</f>
        <v/>
      </c>
      <c r="E241" s="29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29" t="str">
        <f>IFERROR(IF(SUMIFS(tblDaily[TransfersIn],tblDaily[EntryDate],DATE(2026,7,1),tblDaily[WardCode],"FAE")=0,"",SUMIFS(tblDaily[TransfersIn],tblDaily[EntryDate],DATE(2026,7,1),tblDaily[WardCode],"FAE")),"")</f>
        <v/>
      </c>
      <c r="G241" s="29" t="str">
        <f>IFERROR(IF(SUMIFS(tblDaily[TransfersOut],tblDaily[EntryDate],DATE(2026,7,1),tblDaily[WardCode],"FAE")=0,"",SUMIFS(tblDaily[TransfersOut],tblDaily[EntryDate],DATE(2026,7,1),tblDaily[WardCode],"FAE")),"")</f>
        <v/>
      </c>
      <c r="H241" s="29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IFERROR(IF(SUMIFS(tblDaily[Admissions],tblDaily[EntryDate],DATE(2026,7,2),tblDaily[WardCode],"FAE")=0,"",SUMIFS(tblDaily[Admissions],tblDaily[EntryDate],DATE(2026,7,2),tblDaily[WardCode],"FAE")),"")</f>
        <v/>
      </c>
      <c r="C242" s="29" t="str">
        <f>IFERROR(IF(SUMIFS(tblDaily[Discharges],tblDaily[EntryDate],DATE(2026,7,2),tblDaily[WardCode],"FAE")=0,"",SUMIFS(tblDaily[Discharges],tblDaily[EntryDate],DATE(2026,7,2),tblDaily[WardCode],"FAE")),"")</f>
        <v/>
      </c>
      <c r="D242" s="29" t="str">
        <f>IFERROR(IF(SUMIFS(tblDaily[Deaths],tblDaily[EntryDate],DATE(2026,7,2),tblDaily[WardCode],"FAE")=0,"",SUMIFS(tblDaily[Deaths],tblDaily[EntryDate],DATE(2026,7,2),tblDaily[WardCode],"FAE")),"")</f>
        <v/>
      </c>
      <c r="E242" s="29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29" t="str">
        <f>IFERROR(IF(SUMIFS(tblDaily[TransfersIn],tblDaily[EntryDate],DATE(2026,7,2),tblDaily[WardCode],"FAE")=0,"",SUMIFS(tblDaily[TransfersIn],tblDaily[EntryDate],DATE(2026,7,2),tblDaily[WardCode],"FAE")),"")</f>
        <v/>
      </c>
      <c r="G242" s="29" t="str">
        <f>IFERROR(IF(SUMIFS(tblDaily[TransfersOut],tblDaily[EntryDate],DATE(2026,7,2),tblDaily[WardCode],"FAE")=0,"",SUMIFS(tblDaily[TransfersOut],tblDaily[EntryDate],DATE(2026,7,2),tblDaily[WardCode],"FAE")),"")</f>
        <v/>
      </c>
      <c r="H242" s="29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IFERROR(IF(SUMIFS(tblDaily[Admissions],tblDaily[EntryDate],DATE(2026,7,3),tblDaily[WardCode],"FAE")=0,"",SUMIFS(tblDaily[Admissions],tblDaily[EntryDate],DATE(2026,7,3),tblDaily[WardCode],"FAE")),"")</f>
        <v/>
      </c>
      <c r="C243" s="29" t="str">
        <f>IFERROR(IF(SUMIFS(tblDaily[Discharges],tblDaily[EntryDate],DATE(2026,7,3),tblDaily[WardCode],"FAE")=0,"",SUMIFS(tblDaily[Discharges],tblDaily[EntryDate],DATE(2026,7,3),tblDaily[WardCode],"FAE")),"")</f>
        <v/>
      </c>
      <c r="D243" s="29" t="str">
        <f>IFERROR(IF(SUMIFS(tblDaily[Deaths],tblDaily[EntryDate],DATE(2026,7,3),tblDaily[WardCode],"FAE")=0,"",SUMIFS(tblDaily[Deaths],tblDaily[EntryDate],DATE(2026,7,3),tblDaily[WardCode],"FAE")),"")</f>
        <v/>
      </c>
      <c r="E243" s="29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29" t="str">
        <f>IFERROR(IF(SUMIFS(tblDaily[TransfersIn],tblDaily[EntryDate],DATE(2026,7,3),tblDaily[WardCode],"FAE")=0,"",SUMIFS(tblDaily[TransfersIn],tblDaily[EntryDate],DATE(2026,7,3),tblDaily[WardCode],"FAE")),"")</f>
        <v/>
      </c>
      <c r="G243" s="29" t="str">
        <f>IFERROR(IF(SUMIFS(tblDaily[TransfersOut],tblDaily[EntryDate],DATE(2026,7,3),tblDaily[WardCode],"FAE")=0,"",SUMIFS(tblDaily[TransfersOut],tblDaily[EntryDate],DATE(2026,7,3),tblDaily[WardCode],"FAE")),"")</f>
        <v/>
      </c>
      <c r="H243" s="29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IFERROR(IF(SUMIFS(tblDaily[Admissions],tblDaily[EntryDate],DATE(2026,7,4),tblDaily[WardCode],"FAE")=0,"",SUMIFS(tblDaily[Admissions],tblDaily[EntryDate],DATE(2026,7,4),tblDaily[WardCode],"FAE")),"")</f>
        <v/>
      </c>
      <c r="C244" s="29" t="str">
        <f>IFERROR(IF(SUMIFS(tblDaily[Discharges],tblDaily[EntryDate],DATE(2026,7,4),tblDaily[WardCode],"FAE")=0,"",SUMIFS(tblDaily[Discharges],tblDaily[EntryDate],DATE(2026,7,4),tblDaily[WardCode],"FAE")),"")</f>
        <v/>
      </c>
      <c r="D244" s="29" t="str">
        <f>IFERROR(IF(SUMIFS(tblDaily[Deaths],tblDaily[EntryDate],DATE(2026,7,4),tblDaily[WardCode],"FAE")=0,"",SUMIFS(tblDaily[Deaths],tblDaily[EntryDate],DATE(2026,7,4),tblDaily[WardCode],"FAE")),"")</f>
        <v/>
      </c>
      <c r="E244" s="29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29" t="str">
        <f>IFERROR(IF(SUMIFS(tblDaily[TransfersIn],tblDaily[EntryDate],DATE(2026,7,4),tblDaily[WardCode],"FAE")=0,"",SUMIFS(tblDaily[TransfersIn],tblDaily[EntryDate],DATE(2026,7,4),tblDaily[WardCode],"FAE")),"")</f>
        <v/>
      </c>
      <c r="G244" s="29" t="str">
        <f>IFERROR(IF(SUMIFS(tblDaily[TransfersOut],tblDaily[EntryDate],DATE(2026,7,4),tblDaily[WardCode],"FAE")=0,"",SUMIFS(tblDaily[TransfersOut],tblDaily[EntryDate],DATE(2026,7,4),tblDaily[WardCode],"FAE")),"")</f>
        <v/>
      </c>
      <c r="H244" s="29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IFERROR(IF(SUMIFS(tblDaily[Admissions],tblDaily[EntryDate],DATE(2026,7,5),tblDaily[WardCode],"FAE")=0,"",SUMIFS(tblDaily[Admissions],tblDaily[EntryDate],DATE(2026,7,5),tblDaily[WardCode],"FAE")),"")</f>
        <v/>
      </c>
      <c r="C245" s="29" t="str">
        <f>IFERROR(IF(SUMIFS(tblDaily[Discharges],tblDaily[EntryDate],DATE(2026,7,5),tblDaily[WardCode],"FAE")=0,"",SUMIFS(tblDaily[Discharges],tblDaily[EntryDate],DATE(2026,7,5),tblDaily[WardCode],"FAE")),"")</f>
        <v/>
      </c>
      <c r="D245" s="29" t="str">
        <f>IFERROR(IF(SUMIFS(tblDaily[Deaths],tblDaily[EntryDate],DATE(2026,7,5),tblDaily[WardCode],"FAE")=0,"",SUMIFS(tblDaily[Deaths],tblDaily[EntryDate],DATE(2026,7,5),tblDaily[WardCode],"FAE")),"")</f>
        <v/>
      </c>
      <c r="E245" s="29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29" t="str">
        <f>IFERROR(IF(SUMIFS(tblDaily[TransfersIn],tblDaily[EntryDate],DATE(2026,7,5),tblDaily[WardCode],"FAE")=0,"",SUMIFS(tblDaily[TransfersIn],tblDaily[EntryDate],DATE(2026,7,5),tblDaily[WardCode],"FAE")),"")</f>
        <v/>
      </c>
      <c r="G245" s="29" t="str">
        <f>IFERROR(IF(SUMIFS(tblDaily[TransfersOut],tblDaily[EntryDate],DATE(2026,7,5),tblDaily[WardCode],"FAE")=0,"",SUMIFS(tblDaily[TransfersOut],tblDaily[EntryDate],DATE(2026,7,5),tblDaily[WardCode],"FAE")),"")</f>
        <v/>
      </c>
      <c r="H245" s="29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IFERROR(IF(SUMIFS(tblDaily[Admissions],tblDaily[EntryDate],DATE(2026,7,6),tblDaily[WardCode],"FAE")=0,"",SUMIFS(tblDaily[Admissions],tblDaily[EntryDate],DATE(2026,7,6),tblDaily[WardCode],"FAE")),"")</f>
        <v/>
      </c>
      <c r="C246" s="29" t="str">
        <f>IFERROR(IF(SUMIFS(tblDaily[Discharges],tblDaily[EntryDate],DATE(2026,7,6),tblDaily[WardCode],"FAE")=0,"",SUMIFS(tblDaily[Discharges],tblDaily[EntryDate],DATE(2026,7,6),tblDaily[WardCode],"FAE")),"")</f>
        <v/>
      </c>
      <c r="D246" s="29" t="str">
        <f>IFERROR(IF(SUMIFS(tblDaily[Deaths],tblDaily[EntryDate],DATE(2026,7,6),tblDaily[WardCode],"FAE")=0,"",SUMIFS(tblDaily[Deaths],tblDaily[EntryDate],DATE(2026,7,6),tblDaily[WardCode],"FAE")),"")</f>
        <v/>
      </c>
      <c r="E246" s="29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29" t="str">
        <f>IFERROR(IF(SUMIFS(tblDaily[TransfersIn],tblDaily[EntryDate],DATE(2026,7,6),tblDaily[WardCode],"FAE")=0,"",SUMIFS(tblDaily[TransfersIn],tblDaily[EntryDate],DATE(2026,7,6),tblDaily[WardCode],"FAE")),"")</f>
        <v/>
      </c>
      <c r="G246" s="29" t="str">
        <f>IFERROR(IF(SUMIFS(tblDaily[TransfersOut],tblDaily[EntryDate],DATE(2026,7,6),tblDaily[WardCode],"FAE")=0,"",SUMIFS(tblDaily[TransfersOut],tblDaily[EntryDate],DATE(2026,7,6),tblDaily[WardCode],"FAE")),"")</f>
        <v/>
      </c>
      <c r="H246" s="29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IFERROR(IF(SUMIFS(tblDaily[Admissions],tblDaily[EntryDate],DATE(2026,7,7),tblDaily[WardCode],"FAE")=0,"",SUMIFS(tblDaily[Admissions],tblDaily[EntryDate],DATE(2026,7,7),tblDaily[WardCode],"FAE")),"")</f>
        <v/>
      </c>
      <c r="C247" s="29" t="str">
        <f>IFERROR(IF(SUMIFS(tblDaily[Discharges],tblDaily[EntryDate],DATE(2026,7,7),tblDaily[WardCode],"FAE")=0,"",SUMIFS(tblDaily[Discharges],tblDaily[EntryDate],DATE(2026,7,7),tblDaily[WardCode],"FAE")),"")</f>
        <v/>
      </c>
      <c r="D247" s="29" t="str">
        <f>IFERROR(IF(SUMIFS(tblDaily[Deaths],tblDaily[EntryDate],DATE(2026,7,7),tblDaily[WardCode],"FAE")=0,"",SUMIFS(tblDaily[Deaths],tblDaily[EntryDate],DATE(2026,7,7),tblDaily[WardCode],"FAE")),"")</f>
        <v/>
      </c>
      <c r="E247" s="29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29" t="str">
        <f>IFERROR(IF(SUMIFS(tblDaily[TransfersIn],tblDaily[EntryDate],DATE(2026,7,7),tblDaily[WardCode],"FAE")=0,"",SUMIFS(tblDaily[TransfersIn],tblDaily[EntryDate],DATE(2026,7,7),tblDaily[WardCode],"FAE")),"")</f>
        <v/>
      </c>
      <c r="G247" s="29" t="str">
        <f>IFERROR(IF(SUMIFS(tblDaily[TransfersOut],tblDaily[EntryDate],DATE(2026,7,7),tblDaily[WardCode],"FAE")=0,"",SUMIFS(tblDaily[TransfersOut],tblDaily[EntryDate],DATE(2026,7,7),tblDaily[WardCode],"FAE")),"")</f>
        <v/>
      </c>
      <c r="H247" s="29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IFERROR(IF(SUMIFS(tblDaily[Admissions],tblDaily[EntryDate],DATE(2026,7,8),tblDaily[WardCode],"FAE")=0,"",SUMIFS(tblDaily[Admissions],tblDaily[EntryDate],DATE(2026,7,8),tblDaily[WardCode],"FAE")),"")</f>
        <v/>
      </c>
      <c r="C248" s="29" t="str">
        <f>IFERROR(IF(SUMIFS(tblDaily[Discharges],tblDaily[EntryDate],DATE(2026,7,8),tblDaily[WardCode],"FAE")=0,"",SUMIFS(tblDaily[Discharges],tblDaily[EntryDate],DATE(2026,7,8),tblDaily[WardCode],"FAE")),"")</f>
        <v/>
      </c>
      <c r="D248" s="29" t="str">
        <f>IFERROR(IF(SUMIFS(tblDaily[Deaths],tblDaily[EntryDate],DATE(2026,7,8),tblDaily[WardCode],"FAE")=0,"",SUMIFS(tblDaily[Deaths],tblDaily[EntryDate],DATE(2026,7,8),tblDaily[WardCode],"FAE")),"")</f>
        <v/>
      </c>
      <c r="E248" s="29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29" t="str">
        <f>IFERROR(IF(SUMIFS(tblDaily[TransfersIn],tblDaily[EntryDate],DATE(2026,7,8),tblDaily[WardCode],"FAE")=0,"",SUMIFS(tblDaily[TransfersIn],tblDaily[EntryDate],DATE(2026,7,8),tblDaily[WardCode],"FAE")),"")</f>
        <v/>
      </c>
      <c r="G248" s="29" t="str">
        <f>IFERROR(IF(SUMIFS(tblDaily[TransfersOut],tblDaily[EntryDate],DATE(2026,7,8),tblDaily[WardCode],"FAE")=0,"",SUMIFS(tblDaily[TransfersOut],tblDaily[EntryDate],DATE(2026,7,8),tblDaily[WardCode],"FAE")),"")</f>
        <v/>
      </c>
      <c r="H248" s="29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IFERROR(IF(SUMIFS(tblDaily[Admissions],tblDaily[EntryDate],DATE(2026,7,9),tblDaily[WardCode],"FAE")=0,"",SUMIFS(tblDaily[Admissions],tblDaily[EntryDate],DATE(2026,7,9),tblDaily[WardCode],"FAE")),"")</f>
        <v/>
      </c>
      <c r="C249" s="29" t="str">
        <f>IFERROR(IF(SUMIFS(tblDaily[Discharges],tblDaily[EntryDate],DATE(2026,7,9),tblDaily[WardCode],"FAE")=0,"",SUMIFS(tblDaily[Discharges],tblDaily[EntryDate],DATE(2026,7,9),tblDaily[WardCode],"FAE")),"")</f>
        <v/>
      </c>
      <c r="D249" s="29" t="str">
        <f>IFERROR(IF(SUMIFS(tblDaily[Deaths],tblDaily[EntryDate],DATE(2026,7,9),tblDaily[WardCode],"FAE")=0,"",SUMIFS(tblDaily[Deaths],tblDaily[EntryDate],DATE(2026,7,9),tblDaily[WardCode],"FAE")),"")</f>
        <v/>
      </c>
      <c r="E249" s="29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29" t="str">
        <f>IFERROR(IF(SUMIFS(tblDaily[TransfersIn],tblDaily[EntryDate],DATE(2026,7,9),tblDaily[WardCode],"FAE")=0,"",SUMIFS(tblDaily[TransfersIn],tblDaily[EntryDate],DATE(2026,7,9),tblDaily[WardCode],"FAE")),"")</f>
        <v/>
      </c>
      <c r="G249" s="29" t="str">
        <f>IFERROR(IF(SUMIFS(tblDaily[TransfersOut],tblDaily[EntryDate],DATE(2026,7,9),tblDaily[WardCode],"FAE")=0,"",SUMIFS(tblDaily[TransfersOut],tblDaily[EntryDate],DATE(2026,7,9),tblDaily[WardCode],"FAE")),"")</f>
        <v/>
      </c>
      <c r="H249" s="29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IFERROR(IF(SUMIFS(tblDaily[Admissions],tblDaily[EntryDate],DATE(2026,7,10),tblDaily[WardCode],"FAE")=0,"",SUMIFS(tblDaily[Admissions],tblDaily[EntryDate],DATE(2026,7,10),tblDaily[WardCode],"FAE")),"")</f>
        <v/>
      </c>
      <c r="C250" s="29" t="str">
        <f>IFERROR(IF(SUMIFS(tblDaily[Discharges],tblDaily[EntryDate],DATE(2026,7,10),tblDaily[WardCode],"FAE")=0,"",SUMIFS(tblDaily[Discharges],tblDaily[EntryDate],DATE(2026,7,10),tblDaily[WardCode],"FAE")),"")</f>
        <v/>
      </c>
      <c r="D250" s="29" t="str">
        <f>IFERROR(IF(SUMIFS(tblDaily[Deaths],tblDaily[EntryDate],DATE(2026,7,10),tblDaily[WardCode],"FAE")=0,"",SUMIFS(tblDaily[Deaths],tblDaily[EntryDate],DATE(2026,7,10),tblDaily[WardCode],"FAE")),"")</f>
        <v/>
      </c>
      <c r="E250" s="29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29" t="str">
        <f>IFERROR(IF(SUMIFS(tblDaily[TransfersIn],tblDaily[EntryDate],DATE(2026,7,10),tblDaily[WardCode],"FAE")=0,"",SUMIFS(tblDaily[TransfersIn],tblDaily[EntryDate],DATE(2026,7,10),tblDaily[WardCode],"FAE")),"")</f>
        <v/>
      </c>
      <c r="G250" s="29" t="str">
        <f>IFERROR(IF(SUMIFS(tblDaily[TransfersOut],tblDaily[EntryDate],DATE(2026,7,10),tblDaily[WardCode],"FAE")=0,"",SUMIFS(tblDaily[TransfersOut],tblDaily[EntryDate],DATE(2026,7,10),tblDaily[WardCode],"FAE")),"")</f>
        <v/>
      </c>
      <c r="H250" s="29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IFERROR(IF(SUMIFS(tblDaily[Admissions],tblDaily[EntryDate],DATE(2026,7,11),tblDaily[WardCode],"FAE")=0,"",SUMIFS(tblDaily[Admissions],tblDaily[EntryDate],DATE(2026,7,11),tblDaily[WardCode],"FAE")),"")</f>
        <v/>
      </c>
      <c r="C251" s="29" t="str">
        <f>IFERROR(IF(SUMIFS(tblDaily[Discharges],tblDaily[EntryDate],DATE(2026,7,11),tblDaily[WardCode],"FAE")=0,"",SUMIFS(tblDaily[Discharges],tblDaily[EntryDate],DATE(2026,7,11),tblDaily[WardCode],"FAE")),"")</f>
        <v/>
      </c>
      <c r="D251" s="29" t="str">
        <f>IFERROR(IF(SUMIFS(tblDaily[Deaths],tblDaily[EntryDate],DATE(2026,7,11),tblDaily[WardCode],"FAE")=0,"",SUMIFS(tblDaily[Deaths],tblDaily[EntryDate],DATE(2026,7,11),tblDaily[WardCode],"FAE")),"")</f>
        <v/>
      </c>
      <c r="E251" s="29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29" t="str">
        <f>IFERROR(IF(SUMIFS(tblDaily[TransfersIn],tblDaily[EntryDate],DATE(2026,7,11),tblDaily[WardCode],"FAE")=0,"",SUMIFS(tblDaily[TransfersIn],tblDaily[EntryDate],DATE(2026,7,11),tblDaily[WardCode],"FAE")),"")</f>
        <v/>
      </c>
      <c r="G251" s="29" t="str">
        <f>IFERROR(IF(SUMIFS(tblDaily[TransfersOut],tblDaily[EntryDate],DATE(2026,7,11),tblDaily[WardCode],"FAE")=0,"",SUMIFS(tblDaily[TransfersOut],tblDaily[EntryDate],DATE(2026,7,11),tblDaily[WardCode],"FAE")),"")</f>
        <v/>
      </c>
      <c r="H251" s="29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IFERROR(IF(SUMIFS(tblDaily[Admissions],tblDaily[EntryDate],DATE(2026,7,12),tblDaily[WardCode],"FAE")=0,"",SUMIFS(tblDaily[Admissions],tblDaily[EntryDate],DATE(2026,7,12),tblDaily[WardCode],"FAE")),"")</f>
        <v/>
      </c>
      <c r="C252" s="29" t="str">
        <f>IFERROR(IF(SUMIFS(tblDaily[Discharges],tblDaily[EntryDate],DATE(2026,7,12),tblDaily[WardCode],"FAE")=0,"",SUMIFS(tblDaily[Discharges],tblDaily[EntryDate],DATE(2026,7,12),tblDaily[WardCode],"FAE")),"")</f>
        <v/>
      </c>
      <c r="D252" s="29" t="str">
        <f>IFERROR(IF(SUMIFS(tblDaily[Deaths],tblDaily[EntryDate],DATE(2026,7,12),tblDaily[WardCode],"FAE")=0,"",SUMIFS(tblDaily[Deaths],tblDaily[EntryDate],DATE(2026,7,12),tblDaily[WardCode],"FAE")),"")</f>
        <v/>
      </c>
      <c r="E252" s="29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29" t="str">
        <f>IFERROR(IF(SUMIFS(tblDaily[TransfersIn],tblDaily[EntryDate],DATE(2026,7,12),tblDaily[WardCode],"FAE")=0,"",SUMIFS(tblDaily[TransfersIn],tblDaily[EntryDate],DATE(2026,7,12),tblDaily[WardCode],"FAE")),"")</f>
        <v/>
      </c>
      <c r="G252" s="29" t="str">
        <f>IFERROR(IF(SUMIFS(tblDaily[TransfersOut],tblDaily[EntryDate],DATE(2026,7,12),tblDaily[WardCode],"FAE")=0,"",SUMIFS(tblDaily[TransfersOut],tblDaily[EntryDate],DATE(2026,7,12),tblDaily[WardCode],"FAE")),"")</f>
        <v/>
      </c>
      <c r="H252" s="29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IFERROR(IF(SUMIFS(tblDaily[Admissions],tblDaily[EntryDate],DATE(2026,7,13),tblDaily[WardCode],"FAE")=0,"",SUMIFS(tblDaily[Admissions],tblDaily[EntryDate],DATE(2026,7,13),tblDaily[WardCode],"FAE")),"")</f>
        <v/>
      </c>
      <c r="C253" s="29" t="str">
        <f>IFERROR(IF(SUMIFS(tblDaily[Discharges],tblDaily[EntryDate],DATE(2026,7,13),tblDaily[WardCode],"FAE")=0,"",SUMIFS(tblDaily[Discharges],tblDaily[EntryDate],DATE(2026,7,13),tblDaily[WardCode],"FAE")),"")</f>
        <v/>
      </c>
      <c r="D253" s="29" t="str">
        <f>IFERROR(IF(SUMIFS(tblDaily[Deaths],tblDaily[EntryDate],DATE(2026,7,13),tblDaily[WardCode],"FAE")=0,"",SUMIFS(tblDaily[Deaths],tblDaily[EntryDate],DATE(2026,7,13),tblDaily[WardCode],"FAE")),"")</f>
        <v/>
      </c>
      <c r="E253" s="29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29" t="str">
        <f>IFERROR(IF(SUMIFS(tblDaily[TransfersIn],tblDaily[EntryDate],DATE(2026,7,13),tblDaily[WardCode],"FAE")=0,"",SUMIFS(tblDaily[TransfersIn],tblDaily[EntryDate],DATE(2026,7,13),tblDaily[WardCode],"FAE")),"")</f>
        <v/>
      </c>
      <c r="G253" s="29" t="str">
        <f>IFERROR(IF(SUMIFS(tblDaily[TransfersOut],tblDaily[EntryDate],DATE(2026,7,13),tblDaily[WardCode],"FAE")=0,"",SUMIFS(tblDaily[TransfersOut],tblDaily[EntryDate],DATE(2026,7,13),tblDaily[WardCode],"FAE")),"")</f>
        <v/>
      </c>
      <c r="H253" s="29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IFERROR(IF(SUMIFS(tblDaily[Admissions],tblDaily[EntryDate],DATE(2026,7,14),tblDaily[WardCode],"FAE")=0,"",SUMIFS(tblDaily[Admissions],tblDaily[EntryDate],DATE(2026,7,14),tblDaily[WardCode],"FAE")),"")</f>
        <v/>
      </c>
      <c r="C254" s="29" t="str">
        <f>IFERROR(IF(SUMIFS(tblDaily[Discharges],tblDaily[EntryDate],DATE(2026,7,14),tblDaily[WardCode],"FAE")=0,"",SUMIFS(tblDaily[Discharges],tblDaily[EntryDate],DATE(2026,7,14),tblDaily[WardCode],"FAE")),"")</f>
        <v/>
      </c>
      <c r="D254" s="29" t="str">
        <f>IFERROR(IF(SUMIFS(tblDaily[Deaths],tblDaily[EntryDate],DATE(2026,7,14),tblDaily[WardCode],"FAE")=0,"",SUMIFS(tblDaily[Deaths],tblDaily[EntryDate],DATE(2026,7,14),tblDaily[WardCode],"FAE")),"")</f>
        <v/>
      </c>
      <c r="E254" s="29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29" t="str">
        <f>IFERROR(IF(SUMIFS(tblDaily[TransfersIn],tblDaily[EntryDate],DATE(2026,7,14),tblDaily[WardCode],"FAE")=0,"",SUMIFS(tblDaily[TransfersIn],tblDaily[EntryDate],DATE(2026,7,14),tblDaily[WardCode],"FAE")),"")</f>
        <v/>
      </c>
      <c r="G254" s="29" t="str">
        <f>IFERROR(IF(SUMIFS(tblDaily[TransfersOut],tblDaily[EntryDate],DATE(2026,7,14),tblDaily[WardCode],"FAE")=0,"",SUMIFS(tblDaily[TransfersOut],tblDaily[EntryDate],DATE(2026,7,14),tblDaily[WardCode],"FAE")),"")</f>
        <v/>
      </c>
      <c r="H254" s="29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IFERROR(IF(SUMIFS(tblDaily[Admissions],tblDaily[EntryDate],DATE(2026,7,15),tblDaily[WardCode],"FAE")=0,"",SUMIFS(tblDaily[Admissions],tblDaily[EntryDate],DATE(2026,7,15),tblDaily[WardCode],"FAE")),"")</f>
        <v/>
      </c>
      <c r="C255" s="29" t="str">
        <f>IFERROR(IF(SUMIFS(tblDaily[Discharges],tblDaily[EntryDate],DATE(2026,7,15),tblDaily[WardCode],"FAE")=0,"",SUMIFS(tblDaily[Discharges],tblDaily[EntryDate],DATE(2026,7,15),tblDaily[WardCode],"FAE")),"")</f>
        <v/>
      </c>
      <c r="D255" s="29" t="str">
        <f>IFERROR(IF(SUMIFS(tblDaily[Deaths],tblDaily[EntryDate],DATE(2026,7,15),tblDaily[WardCode],"FAE")=0,"",SUMIFS(tblDaily[Deaths],tblDaily[EntryDate],DATE(2026,7,15),tblDaily[WardCode],"FAE")),"")</f>
        <v/>
      </c>
      <c r="E255" s="29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29" t="str">
        <f>IFERROR(IF(SUMIFS(tblDaily[TransfersIn],tblDaily[EntryDate],DATE(2026,7,15),tblDaily[WardCode],"FAE")=0,"",SUMIFS(tblDaily[TransfersIn],tblDaily[EntryDate],DATE(2026,7,15),tblDaily[WardCode],"FAE")),"")</f>
        <v/>
      </c>
      <c r="G255" s="29" t="str">
        <f>IFERROR(IF(SUMIFS(tblDaily[TransfersOut],tblDaily[EntryDate],DATE(2026,7,15),tblDaily[WardCode],"FAE")=0,"",SUMIFS(tblDaily[TransfersOut],tblDaily[EntryDate],DATE(2026,7,15),tblDaily[WardCode],"FAE")),"")</f>
        <v/>
      </c>
      <c r="H255" s="29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IFERROR(IF(SUMIFS(tblDaily[Admissions],tblDaily[EntryDate],DATE(2026,7,16),tblDaily[WardCode],"FAE")=0,"",SUMIFS(tblDaily[Admissions],tblDaily[EntryDate],DATE(2026,7,16),tblDaily[WardCode],"FAE")),"")</f>
        <v/>
      </c>
      <c r="C256" s="29" t="str">
        <f>IFERROR(IF(SUMIFS(tblDaily[Discharges],tblDaily[EntryDate],DATE(2026,7,16),tblDaily[WardCode],"FAE")=0,"",SUMIFS(tblDaily[Discharges],tblDaily[EntryDate],DATE(2026,7,16),tblDaily[WardCode],"FAE")),"")</f>
        <v/>
      </c>
      <c r="D256" s="29" t="str">
        <f>IFERROR(IF(SUMIFS(tblDaily[Deaths],tblDaily[EntryDate],DATE(2026,7,16),tblDaily[WardCode],"FAE")=0,"",SUMIFS(tblDaily[Deaths],tblDaily[EntryDate],DATE(2026,7,16),tblDaily[WardCode],"FAE")),"")</f>
        <v/>
      </c>
      <c r="E256" s="29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29" t="str">
        <f>IFERROR(IF(SUMIFS(tblDaily[TransfersIn],tblDaily[EntryDate],DATE(2026,7,16),tblDaily[WardCode],"FAE")=0,"",SUMIFS(tblDaily[TransfersIn],tblDaily[EntryDate],DATE(2026,7,16),tblDaily[WardCode],"FAE")),"")</f>
        <v/>
      </c>
      <c r="G256" s="29" t="str">
        <f>IFERROR(IF(SUMIFS(tblDaily[TransfersOut],tblDaily[EntryDate],DATE(2026,7,16),tblDaily[WardCode],"FAE")=0,"",SUMIFS(tblDaily[TransfersOut],tblDaily[EntryDate],DATE(2026,7,16),tblDaily[WardCode],"FAE")),"")</f>
        <v/>
      </c>
      <c r="H256" s="29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IFERROR(IF(SUMIFS(tblDaily[Admissions],tblDaily[EntryDate],DATE(2026,7,17),tblDaily[WardCode],"FAE")=0,"",SUMIFS(tblDaily[Admissions],tblDaily[EntryDate],DATE(2026,7,17),tblDaily[WardCode],"FAE")),"")</f>
        <v/>
      </c>
      <c r="C257" s="29" t="str">
        <f>IFERROR(IF(SUMIFS(tblDaily[Discharges],tblDaily[EntryDate],DATE(2026,7,17),tblDaily[WardCode],"FAE")=0,"",SUMIFS(tblDaily[Discharges],tblDaily[EntryDate],DATE(2026,7,17),tblDaily[WardCode],"FAE")),"")</f>
        <v/>
      </c>
      <c r="D257" s="29" t="str">
        <f>IFERROR(IF(SUMIFS(tblDaily[Deaths],tblDaily[EntryDate],DATE(2026,7,17),tblDaily[WardCode],"FAE")=0,"",SUMIFS(tblDaily[Deaths],tblDaily[EntryDate],DATE(2026,7,17),tblDaily[WardCode],"FAE")),"")</f>
        <v/>
      </c>
      <c r="E257" s="29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29" t="str">
        <f>IFERROR(IF(SUMIFS(tblDaily[TransfersIn],tblDaily[EntryDate],DATE(2026,7,17),tblDaily[WardCode],"FAE")=0,"",SUMIFS(tblDaily[TransfersIn],tblDaily[EntryDate],DATE(2026,7,17),tblDaily[WardCode],"FAE")),"")</f>
        <v/>
      </c>
      <c r="G257" s="29" t="str">
        <f>IFERROR(IF(SUMIFS(tblDaily[TransfersOut],tblDaily[EntryDate],DATE(2026,7,17),tblDaily[WardCode],"FAE")=0,"",SUMIFS(tblDaily[TransfersOut],tblDaily[EntryDate],DATE(2026,7,17),tblDaily[WardCode],"FAE")),"")</f>
        <v/>
      </c>
      <c r="H257" s="29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IFERROR(IF(SUMIFS(tblDaily[Admissions],tblDaily[EntryDate],DATE(2026,7,18),tblDaily[WardCode],"FAE")=0,"",SUMIFS(tblDaily[Admissions],tblDaily[EntryDate],DATE(2026,7,18),tblDaily[WardCode],"FAE")),"")</f>
        <v/>
      </c>
      <c r="C258" s="29" t="str">
        <f>IFERROR(IF(SUMIFS(tblDaily[Discharges],tblDaily[EntryDate],DATE(2026,7,18),tblDaily[WardCode],"FAE")=0,"",SUMIFS(tblDaily[Discharges],tblDaily[EntryDate],DATE(2026,7,18),tblDaily[WardCode],"FAE")),"")</f>
        <v/>
      </c>
      <c r="D258" s="29" t="str">
        <f>IFERROR(IF(SUMIFS(tblDaily[Deaths],tblDaily[EntryDate],DATE(2026,7,18),tblDaily[WardCode],"FAE")=0,"",SUMIFS(tblDaily[Deaths],tblDaily[EntryDate],DATE(2026,7,18),tblDaily[WardCode],"FAE")),"")</f>
        <v/>
      </c>
      <c r="E258" s="29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29" t="str">
        <f>IFERROR(IF(SUMIFS(tblDaily[TransfersIn],tblDaily[EntryDate],DATE(2026,7,18),tblDaily[WardCode],"FAE")=0,"",SUMIFS(tblDaily[TransfersIn],tblDaily[EntryDate],DATE(2026,7,18),tblDaily[WardCode],"FAE")),"")</f>
        <v/>
      </c>
      <c r="G258" s="29" t="str">
        <f>IFERROR(IF(SUMIFS(tblDaily[TransfersOut],tblDaily[EntryDate],DATE(2026,7,18),tblDaily[WardCode],"FAE")=0,"",SUMIFS(tblDaily[TransfersOut],tblDaily[EntryDate],DATE(2026,7,18),tblDaily[WardCode],"FAE")),"")</f>
        <v/>
      </c>
      <c r="H258" s="29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IFERROR(IF(SUMIFS(tblDaily[Admissions],tblDaily[EntryDate],DATE(2026,7,19),tblDaily[WardCode],"FAE")=0,"",SUMIFS(tblDaily[Admissions],tblDaily[EntryDate],DATE(2026,7,19),tblDaily[WardCode],"FAE")),"")</f>
        <v/>
      </c>
      <c r="C259" s="29" t="str">
        <f>IFERROR(IF(SUMIFS(tblDaily[Discharges],tblDaily[EntryDate],DATE(2026,7,19),tblDaily[WardCode],"FAE")=0,"",SUMIFS(tblDaily[Discharges],tblDaily[EntryDate],DATE(2026,7,19),tblDaily[WardCode],"FAE")),"")</f>
        <v/>
      </c>
      <c r="D259" s="29" t="str">
        <f>IFERROR(IF(SUMIFS(tblDaily[Deaths],tblDaily[EntryDate],DATE(2026,7,19),tblDaily[WardCode],"FAE")=0,"",SUMIFS(tblDaily[Deaths],tblDaily[EntryDate],DATE(2026,7,19),tblDaily[WardCode],"FAE")),"")</f>
        <v/>
      </c>
      <c r="E259" s="29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29" t="str">
        <f>IFERROR(IF(SUMIFS(tblDaily[TransfersIn],tblDaily[EntryDate],DATE(2026,7,19),tblDaily[WardCode],"FAE")=0,"",SUMIFS(tblDaily[TransfersIn],tblDaily[EntryDate],DATE(2026,7,19),tblDaily[WardCode],"FAE")),"")</f>
        <v/>
      </c>
      <c r="G259" s="29" t="str">
        <f>IFERROR(IF(SUMIFS(tblDaily[TransfersOut],tblDaily[EntryDate],DATE(2026,7,19),tblDaily[WardCode],"FAE")=0,"",SUMIFS(tblDaily[TransfersOut],tblDaily[EntryDate],DATE(2026,7,19),tblDaily[WardCode],"FAE")),"")</f>
        <v/>
      </c>
      <c r="H259" s="29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IFERROR(IF(SUMIFS(tblDaily[Admissions],tblDaily[EntryDate],DATE(2026,7,20),tblDaily[WardCode],"FAE")=0,"",SUMIFS(tblDaily[Admissions],tblDaily[EntryDate],DATE(2026,7,20),tblDaily[WardCode],"FAE")),"")</f>
        <v/>
      </c>
      <c r="C260" s="29" t="str">
        <f>IFERROR(IF(SUMIFS(tblDaily[Discharges],tblDaily[EntryDate],DATE(2026,7,20),tblDaily[WardCode],"FAE")=0,"",SUMIFS(tblDaily[Discharges],tblDaily[EntryDate],DATE(2026,7,20),tblDaily[WardCode],"FAE")),"")</f>
        <v/>
      </c>
      <c r="D260" s="29" t="str">
        <f>IFERROR(IF(SUMIFS(tblDaily[Deaths],tblDaily[EntryDate],DATE(2026,7,20),tblDaily[WardCode],"FAE")=0,"",SUMIFS(tblDaily[Deaths],tblDaily[EntryDate],DATE(2026,7,20),tblDaily[WardCode],"FAE")),"")</f>
        <v/>
      </c>
      <c r="E260" s="29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29" t="str">
        <f>IFERROR(IF(SUMIFS(tblDaily[TransfersIn],tblDaily[EntryDate],DATE(2026,7,20),tblDaily[WardCode],"FAE")=0,"",SUMIFS(tblDaily[TransfersIn],tblDaily[EntryDate],DATE(2026,7,20),tblDaily[WardCode],"FAE")),"")</f>
        <v/>
      </c>
      <c r="G260" s="29" t="str">
        <f>IFERROR(IF(SUMIFS(tblDaily[TransfersOut],tblDaily[EntryDate],DATE(2026,7,20),tblDaily[WardCode],"FAE")=0,"",SUMIFS(tblDaily[TransfersOut],tblDaily[EntryDate],DATE(2026,7,20),tblDaily[WardCode],"FAE")),"")</f>
        <v/>
      </c>
      <c r="H260" s="29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IFERROR(IF(SUMIFS(tblDaily[Admissions],tblDaily[EntryDate],DATE(2026,7,21),tblDaily[WardCode],"FAE")=0,"",SUMIFS(tblDaily[Admissions],tblDaily[EntryDate],DATE(2026,7,21),tblDaily[WardCode],"FAE")),"")</f>
        <v/>
      </c>
      <c r="C261" s="29" t="str">
        <f>IFERROR(IF(SUMIFS(tblDaily[Discharges],tblDaily[EntryDate],DATE(2026,7,21),tblDaily[WardCode],"FAE")=0,"",SUMIFS(tblDaily[Discharges],tblDaily[EntryDate],DATE(2026,7,21),tblDaily[WardCode],"FAE")),"")</f>
        <v/>
      </c>
      <c r="D261" s="29" t="str">
        <f>IFERROR(IF(SUMIFS(tblDaily[Deaths],tblDaily[EntryDate],DATE(2026,7,21),tblDaily[WardCode],"FAE")=0,"",SUMIFS(tblDaily[Deaths],tblDaily[EntryDate],DATE(2026,7,21),tblDaily[WardCode],"FAE")),"")</f>
        <v/>
      </c>
      <c r="E261" s="29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29" t="str">
        <f>IFERROR(IF(SUMIFS(tblDaily[TransfersIn],tblDaily[EntryDate],DATE(2026,7,21),tblDaily[WardCode],"FAE")=0,"",SUMIFS(tblDaily[TransfersIn],tblDaily[EntryDate],DATE(2026,7,21),tblDaily[WardCode],"FAE")),"")</f>
        <v/>
      </c>
      <c r="G261" s="29" t="str">
        <f>IFERROR(IF(SUMIFS(tblDaily[TransfersOut],tblDaily[EntryDate],DATE(2026,7,21),tblDaily[WardCode],"FAE")=0,"",SUMIFS(tblDaily[TransfersOut],tblDaily[EntryDate],DATE(2026,7,21),tblDaily[WardCode],"FAE")),"")</f>
        <v/>
      </c>
      <c r="H261" s="29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IFERROR(IF(SUMIFS(tblDaily[Admissions],tblDaily[EntryDate],DATE(2026,7,22),tblDaily[WardCode],"FAE")=0,"",SUMIFS(tblDaily[Admissions],tblDaily[EntryDate],DATE(2026,7,22),tblDaily[WardCode],"FAE")),"")</f>
        <v/>
      </c>
      <c r="C262" s="29" t="str">
        <f>IFERROR(IF(SUMIFS(tblDaily[Discharges],tblDaily[EntryDate],DATE(2026,7,22),tblDaily[WardCode],"FAE")=0,"",SUMIFS(tblDaily[Discharges],tblDaily[EntryDate],DATE(2026,7,22),tblDaily[WardCode],"FAE")),"")</f>
        <v/>
      </c>
      <c r="D262" s="29" t="str">
        <f>IFERROR(IF(SUMIFS(tblDaily[Deaths],tblDaily[EntryDate],DATE(2026,7,22),tblDaily[WardCode],"FAE")=0,"",SUMIFS(tblDaily[Deaths],tblDaily[EntryDate],DATE(2026,7,22),tblDaily[WardCode],"FAE")),"")</f>
        <v/>
      </c>
      <c r="E262" s="29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29" t="str">
        <f>IFERROR(IF(SUMIFS(tblDaily[TransfersIn],tblDaily[EntryDate],DATE(2026,7,22),tblDaily[WardCode],"FAE")=0,"",SUMIFS(tblDaily[TransfersIn],tblDaily[EntryDate],DATE(2026,7,22),tblDaily[WardCode],"FAE")),"")</f>
        <v/>
      </c>
      <c r="G262" s="29" t="str">
        <f>IFERROR(IF(SUMIFS(tblDaily[TransfersOut],tblDaily[EntryDate],DATE(2026,7,22),tblDaily[WardCode],"FAE")=0,"",SUMIFS(tblDaily[TransfersOut],tblDaily[EntryDate],DATE(2026,7,22),tblDaily[WardCode],"FAE")),"")</f>
        <v/>
      </c>
      <c r="H262" s="29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IFERROR(IF(SUMIFS(tblDaily[Admissions],tblDaily[EntryDate],DATE(2026,7,23),tblDaily[WardCode],"FAE")=0,"",SUMIFS(tblDaily[Admissions],tblDaily[EntryDate],DATE(2026,7,23),tblDaily[WardCode],"FAE")),"")</f>
        <v/>
      </c>
      <c r="C263" s="29" t="str">
        <f>IFERROR(IF(SUMIFS(tblDaily[Discharges],tblDaily[EntryDate],DATE(2026,7,23),tblDaily[WardCode],"FAE")=0,"",SUMIFS(tblDaily[Discharges],tblDaily[EntryDate],DATE(2026,7,23),tblDaily[WardCode],"FAE")),"")</f>
        <v/>
      </c>
      <c r="D263" s="29" t="str">
        <f>IFERROR(IF(SUMIFS(tblDaily[Deaths],tblDaily[EntryDate],DATE(2026,7,23),tblDaily[WardCode],"FAE")=0,"",SUMIFS(tblDaily[Deaths],tblDaily[EntryDate],DATE(2026,7,23),tblDaily[WardCode],"FAE")),"")</f>
        <v/>
      </c>
      <c r="E263" s="29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29" t="str">
        <f>IFERROR(IF(SUMIFS(tblDaily[TransfersIn],tblDaily[EntryDate],DATE(2026,7,23),tblDaily[WardCode],"FAE")=0,"",SUMIFS(tblDaily[TransfersIn],tblDaily[EntryDate],DATE(2026,7,23),tblDaily[WardCode],"FAE")),"")</f>
        <v/>
      </c>
      <c r="G263" s="29" t="str">
        <f>IFERROR(IF(SUMIFS(tblDaily[TransfersOut],tblDaily[EntryDate],DATE(2026,7,23),tblDaily[WardCode],"FAE")=0,"",SUMIFS(tblDaily[TransfersOut],tblDaily[EntryDate],DATE(2026,7,23),tblDaily[WardCode],"FAE")),"")</f>
        <v/>
      </c>
      <c r="H263" s="29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IFERROR(IF(SUMIFS(tblDaily[Admissions],tblDaily[EntryDate],DATE(2026,7,24),tblDaily[WardCode],"FAE")=0,"",SUMIFS(tblDaily[Admissions],tblDaily[EntryDate],DATE(2026,7,24),tblDaily[WardCode],"FAE")),"")</f>
        <v/>
      </c>
      <c r="C264" s="29" t="str">
        <f>IFERROR(IF(SUMIFS(tblDaily[Discharges],tblDaily[EntryDate],DATE(2026,7,24),tblDaily[WardCode],"FAE")=0,"",SUMIFS(tblDaily[Discharges],tblDaily[EntryDate],DATE(2026,7,24),tblDaily[WardCode],"FAE")),"")</f>
        <v/>
      </c>
      <c r="D264" s="29" t="str">
        <f>IFERROR(IF(SUMIFS(tblDaily[Deaths],tblDaily[EntryDate],DATE(2026,7,24),tblDaily[WardCode],"FAE")=0,"",SUMIFS(tblDaily[Deaths],tblDaily[EntryDate],DATE(2026,7,24),tblDaily[WardCode],"FAE")),"")</f>
        <v/>
      </c>
      <c r="E264" s="29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29" t="str">
        <f>IFERROR(IF(SUMIFS(tblDaily[TransfersIn],tblDaily[EntryDate],DATE(2026,7,24),tblDaily[WardCode],"FAE")=0,"",SUMIFS(tblDaily[TransfersIn],tblDaily[EntryDate],DATE(2026,7,24),tblDaily[WardCode],"FAE")),"")</f>
        <v/>
      </c>
      <c r="G264" s="29" t="str">
        <f>IFERROR(IF(SUMIFS(tblDaily[TransfersOut],tblDaily[EntryDate],DATE(2026,7,24),tblDaily[WardCode],"FAE")=0,"",SUMIFS(tblDaily[TransfersOut],tblDaily[EntryDate],DATE(2026,7,24),tblDaily[WardCode],"FAE")),"")</f>
        <v/>
      </c>
      <c r="H264" s="29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IFERROR(IF(SUMIFS(tblDaily[Admissions],tblDaily[EntryDate],DATE(2026,7,25),tblDaily[WardCode],"FAE")=0,"",SUMIFS(tblDaily[Admissions],tblDaily[EntryDate],DATE(2026,7,25),tblDaily[WardCode],"FAE")),"")</f>
        <v/>
      </c>
      <c r="C265" s="29" t="str">
        <f>IFERROR(IF(SUMIFS(tblDaily[Discharges],tblDaily[EntryDate],DATE(2026,7,25),tblDaily[WardCode],"FAE")=0,"",SUMIFS(tblDaily[Discharges],tblDaily[EntryDate],DATE(2026,7,25),tblDaily[WardCode],"FAE")),"")</f>
        <v/>
      </c>
      <c r="D265" s="29" t="str">
        <f>IFERROR(IF(SUMIFS(tblDaily[Deaths],tblDaily[EntryDate],DATE(2026,7,25),tblDaily[WardCode],"FAE")=0,"",SUMIFS(tblDaily[Deaths],tblDaily[EntryDate],DATE(2026,7,25),tblDaily[WardCode],"FAE")),"")</f>
        <v/>
      </c>
      <c r="E265" s="29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29" t="str">
        <f>IFERROR(IF(SUMIFS(tblDaily[TransfersIn],tblDaily[EntryDate],DATE(2026,7,25),tblDaily[WardCode],"FAE")=0,"",SUMIFS(tblDaily[TransfersIn],tblDaily[EntryDate],DATE(2026,7,25),tblDaily[WardCode],"FAE")),"")</f>
        <v/>
      </c>
      <c r="G265" s="29" t="str">
        <f>IFERROR(IF(SUMIFS(tblDaily[TransfersOut],tblDaily[EntryDate],DATE(2026,7,25),tblDaily[WardCode],"FAE")=0,"",SUMIFS(tblDaily[TransfersOut],tblDaily[EntryDate],DATE(2026,7,25),tblDaily[WardCode],"FAE")),"")</f>
        <v/>
      </c>
      <c r="H265" s="29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IFERROR(IF(SUMIFS(tblDaily[Admissions],tblDaily[EntryDate],DATE(2026,7,26),tblDaily[WardCode],"FAE")=0,"",SUMIFS(tblDaily[Admissions],tblDaily[EntryDate],DATE(2026,7,26),tblDaily[WardCode],"FAE")),"")</f>
        <v/>
      </c>
      <c r="C266" s="29" t="str">
        <f>IFERROR(IF(SUMIFS(tblDaily[Discharges],tblDaily[EntryDate],DATE(2026,7,26),tblDaily[WardCode],"FAE")=0,"",SUMIFS(tblDaily[Discharges],tblDaily[EntryDate],DATE(2026,7,26),tblDaily[WardCode],"FAE")),"")</f>
        <v/>
      </c>
      <c r="D266" s="29" t="str">
        <f>IFERROR(IF(SUMIFS(tblDaily[Deaths],tblDaily[EntryDate],DATE(2026,7,26),tblDaily[WardCode],"FAE")=0,"",SUMIFS(tblDaily[Deaths],tblDaily[EntryDate],DATE(2026,7,26),tblDaily[WardCode],"FAE")),"")</f>
        <v/>
      </c>
      <c r="E266" s="29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29" t="str">
        <f>IFERROR(IF(SUMIFS(tblDaily[TransfersIn],tblDaily[EntryDate],DATE(2026,7,26),tblDaily[WardCode],"FAE")=0,"",SUMIFS(tblDaily[TransfersIn],tblDaily[EntryDate],DATE(2026,7,26),tblDaily[WardCode],"FAE")),"")</f>
        <v/>
      </c>
      <c r="G266" s="29" t="str">
        <f>IFERROR(IF(SUMIFS(tblDaily[TransfersOut],tblDaily[EntryDate],DATE(2026,7,26),tblDaily[WardCode],"FAE")=0,"",SUMIFS(tblDaily[TransfersOut],tblDaily[EntryDate],DATE(2026,7,26),tblDaily[WardCode],"FAE")),"")</f>
        <v/>
      </c>
      <c r="H266" s="29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IFERROR(IF(SUMIFS(tblDaily[Admissions],tblDaily[EntryDate],DATE(2026,7,27),tblDaily[WardCode],"FAE")=0,"",SUMIFS(tblDaily[Admissions],tblDaily[EntryDate],DATE(2026,7,27),tblDaily[WardCode],"FAE")),"")</f>
        <v/>
      </c>
      <c r="C267" s="29" t="str">
        <f>IFERROR(IF(SUMIFS(tblDaily[Discharges],tblDaily[EntryDate],DATE(2026,7,27),tblDaily[WardCode],"FAE")=0,"",SUMIFS(tblDaily[Discharges],tblDaily[EntryDate],DATE(2026,7,27),tblDaily[WardCode],"FAE")),"")</f>
        <v/>
      </c>
      <c r="D267" s="29" t="str">
        <f>IFERROR(IF(SUMIFS(tblDaily[Deaths],tblDaily[EntryDate],DATE(2026,7,27),tblDaily[WardCode],"FAE")=0,"",SUMIFS(tblDaily[Deaths],tblDaily[EntryDate],DATE(2026,7,27),tblDaily[WardCode],"FAE")),"")</f>
        <v/>
      </c>
      <c r="E267" s="29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29" t="str">
        <f>IFERROR(IF(SUMIFS(tblDaily[TransfersIn],tblDaily[EntryDate],DATE(2026,7,27),tblDaily[WardCode],"FAE")=0,"",SUMIFS(tblDaily[TransfersIn],tblDaily[EntryDate],DATE(2026,7,27),tblDaily[WardCode],"FAE")),"")</f>
        <v/>
      </c>
      <c r="G267" s="29" t="str">
        <f>IFERROR(IF(SUMIFS(tblDaily[TransfersOut],tblDaily[EntryDate],DATE(2026,7,27),tblDaily[WardCode],"FAE")=0,"",SUMIFS(tblDaily[TransfersOut],tblDaily[EntryDate],DATE(2026,7,27),tblDaily[WardCode],"FAE")),"")</f>
        <v/>
      </c>
      <c r="H267" s="29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IFERROR(IF(SUMIFS(tblDaily[Admissions],tblDaily[EntryDate],DATE(2026,7,28),tblDaily[WardCode],"FAE")=0,"",SUMIFS(tblDaily[Admissions],tblDaily[EntryDate],DATE(2026,7,28),tblDaily[WardCode],"FAE")),"")</f>
        <v/>
      </c>
      <c r="C268" s="29" t="str">
        <f>IFERROR(IF(SUMIFS(tblDaily[Discharges],tblDaily[EntryDate],DATE(2026,7,28),tblDaily[WardCode],"FAE")=0,"",SUMIFS(tblDaily[Discharges],tblDaily[EntryDate],DATE(2026,7,28),tblDaily[WardCode],"FAE")),"")</f>
        <v/>
      </c>
      <c r="D268" s="29" t="str">
        <f>IFERROR(IF(SUMIFS(tblDaily[Deaths],tblDaily[EntryDate],DATE(2026,7,28),tblDaily[WardCode],"FAE")=0,"",SUMIFS(tblDaily[Deaths],tblDaily[EntryDate],DATE(2026,7,28),tblDaily[WardCode],"FAE")),"")</f>
        <v/>
      </c>
      <c r="E268" s="29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29" t="str">
        <f>IFERROR(IF(SUMIFS(tblDaily[TransfersIn],tblDaily[EntryDate],DATE(2026,7,28),tblDaily[WardCode],"FAE")=0,"",SUMIFS(tblDaily[TransfersIn],tblDaily[EntryDate],DATE(2026,7,28),tblDaily[WardCode],"FAE")),"")</f>
        <v/>
      </c>
      <c r="G268" s="29" t="str">
        <f>IFERROR(IF(SUMIFS(tblDaily[TransfersOut],tblDaily[EntryDate],DATE(2026,7,28),tblDaily[WardCode],"FAE")=0,"",SUMIFS(tblDaily[TransfersOut],tblDaily[EntryDate],DATE(2026,7,28),tblDaily[WardCode],"FAE")),"")</f>
        <v/>
      </c>
      <c r="H268" s="29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IFERROR(IF(SUMIFS(tblDaily[Admissions],tblDaily[EntryDate],DATE(2026,7,29),tblDaily[WardCode],"FAE")=0,"",SUMIFS(tblDaily[Admissions],tblDaily[EntryDate],DATE(2026,7,29),tblDaily[WardCode],"FAE")),"")</f>
        <v/>
      </c>
      <c r="C269" s="29" t="str">
        <f>IFERROR(IF(SUMIFS(tblDaily[Discharges],tblDaily[EntryDate],DATE(2026,7,29),tblDaily[WardCode],"FAE")=0,"",SUMIFS(tblDaily[Discharges],tblDaily[EntryDate],DATE(2026,7,29),tblDaily[WardCode],"FAE")),"")</f>
        <v/>
      </c>
      <c r="D269" s="29" t="str">
        <f>IFERROR(IF(SUMIFS(tblDaily[Deaths],tblDaily[EntryDate],DATE(2026,7,29),tblDaily[WardCode],"FAE")=0,"",SUMIFS(tblDaily[Deaths],tblDaily[EntryDate],DATE(2026,7,29),tblDaily[WardCode],"FAE")),"")</f>
        <v/>
      </c>
      <c r="E269" s="29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29" t="str">
        <f>IFERROR(IF(SUMIFS(tblDaily[TransfersIn],tblDaily[EntryDate],DATE(2026,7,29),tblDaily[WardCode],"FAE")=0,"",SUMIFS(tblDaily[TransfersIn],tblDaily[EntryDate],DATE(2026,7,29),tblDaily[WardCode],"FAE")),"")</f>
        <v/>
      </c>
      <c r="G269" s="29" t="str">
        <f>IFERROR(IF(SUMIFS(tblDaily[TransfersOut],tblDaily[EntryDate],DATE(2026,7,29),tblDaily[WardCode],"FAE")=0,"",SUMIFS(tblDaily[TransfersOut],tblDaily[EntryDate],DATE(2026,7,29),tblDaily[WardCode],"FAE")),"")</f>
        <v/>
      </c>
      <c r="H269" s="29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IFERROR(IF(SUMIFS(tblDaily[Admissions],tblDaily[EntryDate],DATE(2026,7,30),tblDaily[WardCode],"FAE")=0,"",SUMIFS(tblDaily[Admissions],tblDaily[EntryDate],DATE(2026,7,30),tblDaily[WardCode],"FAE")),"")</f>
        <v/>
      </c>
      <c r="C270" s="29" t="str">
        <f>IFERROR(IF(SUMIFS(tblDaily[Discharges],tblDaily[EntryDate],DATE(2026,7,30),tblDaily[WardCode],"FAE")=0,"",SUMIFS(tblDaily[Discharges],tblDaily[EntryDate],DATE(2026,7,30),tblDaily[WardCode],"FAE")),"")</f>
        <v/>
      </c>
      <c r="D270" s="29" t="str">
        <f>IFERROR(IF(SUMIFS(tblDaily[Deaths],tblDaily[EntryDate],DATE(2026,7,30),tblDaily[WardCode],"FAE")=0,"",SUMIFS(tblDaily[Deaths],tblDaily[EntryDate],DATE(2026,7,30),tblDaily[WardCode],"FAE")),"")</f>
        <v/>
      </c>
      <c r="E270" s="29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29" t="str">
        <f>IFERROR(IF(SUMIFS(tblDaily[TransfersIn],tblDaily[EntryDate],DATE(2026,7,30),tblDaily[WardCode],"FAE")=0,"",SUMIFS(tblDaily[TransfersIn],tblDaily[EntryDate],DATE(2026,7,30),tblDaily[WardCode],"FAE")),"")</f>
        <v/>
      </c>
      <c r="G270" s="29" t="str">
        <f>IFERROR(IF(SUMIFS(tblDaily[TransfersOut],tblDaily[EntryDate],DATE(2026,7,30),tblDaily[WardCode],"FAE")=0,"",SUMIFS(tblDaily[TransfersOut],tblDaily[EntryDate],DATE(2026,7,30),tblDaily[WardCode],"FAE")),"")</f>
        <v/>
      </c>
      <c r="H270" s="29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IFERROR(IF(SUMIFS(tblDaily[Admissions],tblDaily[EntryDate],DATE(2026,7,31),tblDaily[WardCode],"FAE")=0,"",SUMIFS(tblDaily[Admissions],tblDaily[EntryDate],DATE(2026,7,31),tblDaily[WardCode],"FAE")),"")</f>
        <v/>
      </c>
      <c r="C271" s="29" t="str">
        <f>IFERROR(IF(SUMIFS(tblDaily[Discharges],tblDaily[EntryDate],DATE(2026,7,31),tblDaily[WardCode],"FAE")=0,"",SUMIFS(tblDaily[Discharges],tblDaily[EntryDate],DATE(2026,7,31),tblDaily[WardCode],"FAE")),"")</f>
        <v/>
      </c>
      <c r="D271" s="29" t="str">
        <f>IFERROR(IF(SUMIFS(tblDaily[Deaths],tblDaily[EntryDate],DATE(2026,7,31),tblDaily[WardCode],"FAE")=0,"",SUMIFS(tblDaily[Deaths],tblDaily[EntryDate],DATE(2026,7,31),tblDaily[WardCode],"FAE")),"")</f>
        <v/>
      </c>
      <c r="E271" s="29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29" t="str">
        <f>IFERROR(IF(SUMIFS(tblDaily[TransfersIn],tblDaily[EntryDate],DATE(2026,7,31),tblDaily[WardCode],"FAE")=0,"",SUMIFS(tblDaily[TransfersIn],tblDaily[EntryDate],DATE(2026,7,31),tblDaily[WardCode],"FAE")),"")</f>
        <v/>
      </c>
      <c r="G271" s="29" t="str">
        <f>IFERROR(IF(SUMIFS(tblDaily[TransfersOut],tblDaily[EntryDate],DATE(2026,7,31),tblDaily[WardCode],"FAE")=0,"",SUMIFS(tblDaily[TransfersOut],tblDaily[EntryDate],DATE(2026,7,31),tblDaily[WardCode],"FAE")),"")</f>
        <v/>
      </c>
      <c r="H271" s="29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30" t="s">
        <v>115</v>
      </c>
      <c r="B272" s="30">
        <f>SUMIFS(tblDaily[Admissions],tblDaily[Month],7,tblDaily[WardCode],"FAE") - SUMIFS(tblDaily[DeathsUnder24Hrs],tblDaily[Month],7,tblDaily[WardCode],"FAE")</f>
        <v>0</v>
      </c>
      <c r="C272" s="30">
        <f>SUMIFS(tblDaily[Discharges],tblDaily[Month],7,tblDaily[WardCode],"FAE")</f>
        <v>0</v>
      </c>
      <c r="D272" s="30">
        <f>SUMIFS(tblDaily[Deaths],tblDaily[Month],7,tblDaily[WardCode],"FAE")</f>
        <v>0</v>
      </c>
      <c r="E272" s="30">
        <f>SUMIFS(tblDaily[DeathsUnder24Hrs],tblDaily[Month],7,tblDaily[WardCode],"FAE")</f>
        <v>0</v>
      </c>
      <c r="F272" s="30">
        <f>SUMIFS(tblDaily[TransfersIn],tblDaily[Month],7,tblDaily[WardCode],"FAE")</f>
        <v>0</v>
      </c>
      <c r="G272" s="30">
        <f>SUMIFS(tblDaily[TransfersOut],tblDaily[Month],7,tblDaily[WardCode],"FAE")</f>
        <v>0</v>
      </c>
      <c r="H272" s="30">
        <f>SUMIFS(tblDaily[Remaining],tblDaily[Month],7,tblDaily[WardCode],"FAE")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123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IFERROR(SUMIFS(tblDaily[Remaining],tblDaily[EntryDate],DATE(2026,7,31),tblDaily[WardCode],"FAE"),0)</f>
        <v>0</v>
      </c>
    </row>
    <row r="278" spans="1:8" x14ac:dyDescent="0.25">
      <c r="A278" s="24" t="s">
        <v>109</v>
      </c>
      <c r="H278" s="27">
        <f>IFERROR(INDEX(tblWardConfig[BedComplement],MATCH("FAE",tblWardConfig[WardCode],0)),0)</f>
        <v>10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IFERROR(IF(SUMIFS(tblDaily[Admissions],tblDaily[EntryDate],DATE(2026,8,1),tblDaily[WardCode],"FAE")=0,"",SUMIFS(tblDaily[Admissions],tblDaily[EntryDate],DATE(2026,8,1),tblDaily[WardCode],"FAE")),"")</f>
        <v/>
      </c>
      <c r="C280" s="29" t="str">
        <f>IFERROR(IF(SUMIFS(tblDaily[Discharges],tblDaily[EntryDate],DATE(2026,8,1),tblDaily[WardCode],"FAE")=0,"",SUMIFS(tblDaily[Discharges],tblDaily[EntryDate],DATE(2026,8,1),tblDaily[WardCode],"FAE")),"")</f>
        <v/>
      </c>
      <c r="D280" s="29" t="str">
        <f>IFERROR(IF(SUMIFS(tblDaily[Deaths],tblDaily[EntryDate],DATE(2026,8,1),tblDaily[WardCode],"FAE")=0,"",SUMIFS(tblDaily[Deaths],tblDaily[EntryDate],DATE(2026,8,1),tblDaily[WardCode],"FAE")),"")</f>
        <v/>
      </c>
      <c r="E280" s="29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29" t="str">
        <f>IFERROR(IF(SUMIFS(tblDaily[TransfersIn],tblDaily[EntryDate],DATE(2026,8,1),tblDaily[WardCode],"FAE")=0,"",SUMIFS(tblDaily[TransfersIn],tblDaily[EntryDate],DATE(2026,8,1),tblDaily[WardCode],"FAE")),"")</f>
        <v/>
      </c>
      <c r="G280" s="29" t="str">
        <f>IFERROR(IF(SUMIFS(tblDaily[TransfersOut],tblDaily[EntryDate],DATE(2026,8,1),tblDaily[WardCode],"FAE")=0,"",SUMIFS(tblDaily[TransfersOut],tblDaily[EntryDate],DATE(2026,8,1),tblDaily[WardCode],"FAE")),"")</f>
        <v/>
      </c>
      <c r="H280" s="29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IFERROR(IF(SUMIFS(tblDaily[Admissions],tblDaily[EntryDate],DATE(2026,8,2),tblDaily[WardCode],"FAE")=0,"",SUMIFS(tblDaily[Admissions],tblDaily[EntryDate],DATE(2026,8,2),tblDaily[WardCode],"FAE")),"")</f>
        <v/>
      </c>
      <c r="C281" s="29" t="str">
        <f>IFERROR(IF(SUMIFS(tblDaily[Discharges],tblDaily[EntryDate],DATE(2026,8,2),tblDaily[WardCode],"FAE")=0,"",SUMIFS(tblDaily[Discharges],tblDaily[EntryDate],DATE(2026,8,2),tblDaily[WardCode],"FAE")),"")</f>
        <v/>
      </c>
      <c r="D281" s="29" t="str">
        <f>IFERROR(IF(SUMIFS(tblDaily[Deaths],tblDaily[EntryDate],DATE(2026,8,2),tblDaily[WardCode],"FAE")=0,"",SUMIFS(tblDaily[Deaths],tblDaily[EntryDate],DATE(2026,8,2),tblDaily[WardCode],"FAE")),"")</f>
        <v/>
      </c>
      <c r="E281" s="29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29" t="str">
        <f>IFERROR(IF(SUMIFS(tblDaily[TransfersIn],tblDaily[EntryDate],DATE(2026,8,2),tblDaily[WardCode],"FAE")=0,"",SUMIFS(tblDaily[TransfersIn],tblDaily[EntryDate],DATE(2026,8,2),tblDaily[WardCode],"FAE")),"")</f>
        <v/>
      </c>
      <c r="G281" s="29" t="str">
        <f>IFERROR(IF(SUMIFS(tblDaily[TransfersOut],tblDaily[EntryDate],DATE(2026,8,2),tblDaily[WardCode],"FAE")=0,"",SUMIFS(tblDaily[TransfersOut],tblDaily[EntryDate],DATE(2026,8,2),tblDaily[WardCode],"FAE")),"")</f>
        <v/>
      </c>
      <c r="H281" s="29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IFERROR(IF(SUMIFS(tblDaily[Admissions],tblDaily[EntryDate],DATE(2026,8,3),tblDaily[WardCode],"FAE")=0,"",SUMIFS(tblDaily[Admissions],tblDaily[EntryDate],DATE(2026,8,3),tblDaily[WardCode],"FAE")),"")</f>
        <v/>
      </c>
      <c r="C282" s="29" t="str">
        <f>IFERROR(IF(SUMIFS(tblDaily[Discharges],tblDaily[EntryDate],DATE(2026,8,3),tblDaily[WardCode],"FAE")=0,"",SUMIFS(tblDaily[Discharges],tblDaily[EntryDate],DATE(2026,8,3),tblDaily[WardCode],"FAE")),"")</f>
        <v/>
      </c>
      <c r="D282" s="29" t="str">
        <f>IFERROR(IF(SUMIFS(tblDaily[Deaths],tblDaily[EntryDate],DATE(2026,8,3),tblDaily[WardCode],"FAE")=0,"",SUMIFS(tblDaily[Deaths],tblDaily[EntryDate],DATE(2026,8,3),tblDaily[WardCode],"FAE")),"")</f>
        <v/>
      </c>
      <c r="E282" s="29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29" t="str">
        <f>IFERROR(IF(SUMIFS(tblDaily[TransfersIn],tblDaily[EntryDate],DATE(2026,8,3),tblDaily[WardCode],"FAE")=0,"",SUMIFS(tblDaily[TransfersIn],tblDaily[EntryDate],DATE(2026,8,3),tblDaily[WardCode],"FAE")),"")</f>
        <v/>
      </c>
      <c r="G282" s="29" t="str">
        <f>IFERROR(IF(SUMIFS(tblDaily[TransfersOut],tblDaily[EntryDate],DATE(2026,8,3),tblDaily[WardCode],"FAE")=0,"",SUMIFS(tblDaily[TransfersOut],tblDaily[EntryDate],DATE(2026,8,3),tblDaily[WardCode],"FAE")),"")</f>
        <v/>
      </c>
      <c r="H282" s="29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IFERROR(IF(SUMIFS(tblDaily[Admissions],tblDaily[EntryDate],DATE(2026,8,4),tblDaily[WardCode],"FAE")=0,"",SUMIFS(tblDaily[Admissions],tblDaily[EntryDate],DATE(2026,8,4),tblDaily[WardCode],"FAE")),"")</f>
        <v/>
      </c>
      <c r="C283" s="29" t="str">
        <f>IFERROR(IF(SUMIFS(tblDaily[Discharges],tblDaily[EntryDate],DATE(2026,8,4),tblDaily[WardCode],"FAE")=0,"",SUMIFS(tblDaily[Discharges],tblDaily[EntryDate],DATE(2026,8,4),tblDaily[WardCode],"FAE")),"")</f>
        <v/>
      </c>
      <c r="D283" s="29" t="str">
        <f>IFERROR(IF(SUMIFS(tblDaily[Deaths],tblDaily[EntryDate],DATE(2026,8,4),tblDaily[WardCode],"FAE")=0,"",SUMIFS(tblDaily[Deaths],tblDaily[EntryDate],DATE(2026,8,4),tblDaily[WardCode],"FAE")),"")</f>
        <v/>
      </c>
      <c r="E283" s="29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29" t="str">
        <f>IFERROR(IF(SUMIFS(tblDaily[TransfersIn],tblDaily[EntryDate],DATE(2026,8,4),tblDaily[WardCode],"FAE")=0,"",SUMIFS(tblDaily[TransfersIn],tblDaily[EntryDate],DATE(2026,8,4),tblDaily[WardCode],"FAE")),"")</f>
        <v/>
      </c>
      <c r="G283" s="29" t="str">
        <f>IFERROR(IF(SUMIFS(tblDaily[TransfersOut],tblDaily[EntryDate],DATE(2026,8,4),tblDaily[WardCode],"FAE")=0,"",SUMIFS(tblDaily[TransfersOut],tblDaily[EntryDate],DATE(2026,8,4),tblDaily[WardCode],"FAE")),"")</f>
        <v/>
      </c>
      <c r="H283" s="29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IFERROR(IF(SUMIFS(tblDaily[Admissions],tblDaily[EntryDate],DATE(2026,8,5),tblDaily[WardCode],"FAE")=0,"",SUMIFS(tblDaily[Admissions],tblDaily[EntryDate],DATE(2026,8,5),tblDaily[WardCode],"FAE")),"")</f>
        <v/>
      </c>
      <c r="C284" s="29" t="str">
        <f>IFERROR(IF(SUMIFS(tblDaily[Discharges],tblDaily[EntryDate],DATE(2026,8,5),tblDaily[WardCode],"FAE")=0,"",SUMIFS(tblDaily[Discharges],tblDaily[EntryDate],DATE(2026,8,5),tblDaily[WardCode],"FAE")),"")</f>
        <v/>
      </c>
      <c r="D284" s="29" t="str">
        <f>IFERROR(IF(SUMIFS(tblDaily[Deaths],tblDaily[EntryDate],DATE(2026,8,5),tblDaily[WardCode],"FAE")=0,"",SUMIFS(tblDaily[Deaths],tblDaily[EntryDate],DATE(2026,8,5),tblDaily[WardCode],"FAE")),"")</f>
        <v/>
      </c>
      <c r="E284" s="29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29" t="str">
        <f>IFERROR(IF(SUMIFS(tblDaily[TransfersIn],tblDaily[EntryDate],DATE(2026,8,5),tblDaily[WardCode],"FAE")=0,"",SUMIFS(tblDaily[TransfersIn],tblDaily[EntryDate],DATE(2026,8,5),tblDaily[WardCode],"FAE")),"")</f>
        <v/>
      </c>
      <c r="G284" s="29" t="str">
        <f>IFERROR(IF(SUMIFS(tblDaily[TransfersOut],tblDaily[EntryDate],DATE(2026,8,5),tblDaily[WardCode],"FAE")=0,"",SUMIFS(tblDaily[TransfersOut],tblDaily[EntryDate],DATE(2026,8,5),tblDaily[WardCode],"FAE")),"")</f>
        <v/>
      </c>
      <c r="H284" s="29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IFERROR(IF(SUMIFS(tblDaily[Admissions],tblDaily[EntryDate],DATE(2026,8,6),tblDaily[WardCode],"FAE")=0,"",SUMIFS(tblDaily[Admissions],tblDaily[EntryDate],DATE(2026,8,6),tblDaily[WardCode],"FAE")),"")</f>
        <v/>
      </c>
      <c r="C285" s="29" t="str">
        <f>IFERROR(IF(SUMIFS(tblDaily[Discharges],tblDaily[EntryDate],DATE(2026,8,6),tblDaily[WardCode],"FAE")=0,"",SUMIFS(tblDaily[Discharges],tblDaily[EntryDate],DATE(2026,8,6),tblDaily[WardCode],"FAE")),"")</f>
        <v/>
      </c>
      <c r="D285" s="29" t="str">
        <f>IFERROR(IF(SUMIFS(tblDaily[Deaths],tblDaily[EntryDate],DATE(2026,8,6),tblDaily[WardCode],"FAE")=0,"",SUMIFS(tblDaily[Deaths],tblDaily[EntryDate],DATE(2026,8,6),tblDaily[WardCode],"FAE")),"")</f>
        <v/>
      </c>
      <c r="E285" s="29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29" t="str">
        <f>IFERROR(IF(SUMIFS(tblDaily[TransfersIn],tblDaily[EntryDate],DATE(2026,8,6),tblDaily[WardCode],"FAE")=0,"",SUMIFS(tblDaily[TransfersIn],tblDaily[EntryDate],DATE(2026,8,6),tblDaily[WardCode],"FAE")),"")</f>
        <v/>
      </c>
      <c r="G285" s="29" t="str">
        <f>IFERROR(IF(SUMIFS(tblDaily[TransfersOut],tblDaily[EntryDate],DATE(2026,8,6),tblDaily[WardCode],"FAE")=0,"",SUMIFS(tblDaily[TransfersOut],tblDaily[EntryDate],DATE(2026,8,6),tblDaily[WardCode],"FAE")),"")</f>
        <v/>
      </c>
      <c r="H285" s="29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IFERROR(IF(SUMIFS(tblDaily[Admissions],tblDaily[EntryDate],DATE(2026,8,7),tblDaily[WardCode],"FAE")=0,"",SUMIFS(tblDaily[Admissions],tblDaily[EntryDate],DATE(2026,8,7),tblDaily[WardCode],"FAE")),"")</f>
        <v/>
      </c>
      <c r="C286" s="29" t="str">
        <f>IFERROR(IF(SUMIFS(tblDaily[Discharges],tblDaily[EntryDate],DATE(2026,8,7),tblDaily[WardCode],"FAE")=0,"",SUMIFS(tblDaily[Discharges],tblDaily[EntryDate],DATE(2026,8,7),tblDaily[WardCode],"FAE")),"")</f>
        <v/>
      </c>
      <c r="D286" s="29" t="str">
        <f>IFERROR(IF(SUMIFS(tblDaily[Deaths],tblDaily[EntryDate],DATE(2026,8,7),tblDaily[WardCode],"FAE")=0,"",SUMIFS(tblDaily[Deaths],tblDaily[EntryDate],DATE(2026,8,7),tblDaily[WardCode],"FAE")),"")</f>
        <v/>
      </c>
      <c r="E286" s="29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29" t="str">
        <f>IFERROR(IF(SUMIFS(tblDaily[TransfersIn],tblDaily[EntryDate],DATE(2026,8,7),tblDaily[WardCode],"FAE")=0,"",SUMIFS(tblDaily[TransfersIn],tblDaily[EntryDate],DATE(2026,8,7),tblDaily[WardCode],"FAE")),"")</f>
        <v/>
      </c>
      <c r="G286" s="29" t="str">
        <f>IFERROR(IF(SUMIFS(tblDaily[TransfersOut],tblDaily[EntryDate],DATE(2026,8,7),tblDaily[WardCode],"FAE")=0,"",SUMIFS(tblDaily[TransfersOut],tblDaily[EntryDate],DATE(2026,8,7),tblDaily[WardCode],"FAE")),"")</f>
        <v/>
      </c>
      <c r="H286" s="29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IFERROR(IF(SUMIFS(tblDaily[Admissions],tblDaily[EntryDate],DATE(2026,8,8),tblDaily[WardCode],"FAE")=0,"",SUMIFS(tblDaily[Admissions],tblDaily[EntryDate],DATE(2026,8,8),tblDaily[WardCode],"FAE")),"")</f>
        <v/>
      </c>
      <c r="C287" s="29" t="str">
        <f>IFERROR(IF(SUMIFS(tblDaily[Discharges],tblDaily[EntryDate],DATE(2026,8,8),tblDaily[WardCode],"FAE")=0,"",SUMIFS(tblDaily[Discharges],tblDaily[EntryDate],DATE(2026,8,8),tblDaily[WardCode],"FAE")),"")</f>
        <v/>
      </c>
      <c r="D287" s="29" t="str">
        <f>IFERROR(IF(SUMIFS(tblDaily[Deaths],tblDaily[EntryDate],DATE(2026,8,8),tblDaily[WardCode],"FAE")=0,"",SUMIFS(tblDaily[Deaths],tblDaily[EntryDate],DATE(2026,8,8),tblDaily[WardCode],"FAE")),"")</f>
        <v/>
      </c>
      <c r="E287" s="29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29" t="str">
        <f>IFERROR(IF(SUMIFS(tblDaily[TransfersIn],tblDaily[EntryDate],DATE(2026,8,8),tblDaily[WardCode],"FAE")=0,"",SUMIFS(tblDaily[TransfersIn],tblDaily[EntryDate],DATE(2026,8,8),tblDaily[WardCode],"FAE")),"")</f>
        <v/>
      </c>
      <c r="G287" s="29" t="str">
        <f>IFERROR(IF(SUMIFS(tblDaily[TransfersOut],tblDaily[EntryDate],DATE(2026,8,8),tblDaily[WardCode],"FAE")=0,"",SUMIFS(tblDaily[TransfersOut],tblDaily[EntryDate],DATE(2026,8,8),tblDaily[WardCode],"FAE")),"")</f>
        <v/>
      </c>
      <c r="H287" s="29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IFERROR(IF(SUMIFS(tblDaily[Admissions],tblDaily[EntryDate],DATE(2026,8,9),tblDaily[WardCode],"FAE")=0,"",SUMIFS(tblDaily[Admissions],tblDaily[EntryDate],DATE(2026,8,9),tblDaily[WardCode],"FAE")),"")</f>
        <v/>
      </c>
      <c r="C288" s="29" t="str">
        <f>IFERROR(IF(SUMIFS(tblDaily[Discharges],tblDaily[EntryDate],DATE(2026,8,9),tblDaily[WardCode],"FAE")=0,"",SUMIFS(tblDaily[Discharges],tblDaily[EntryDate],DATE(2026,8,9),tblDaily[WardCode],"FAE")),"")</f>
        <v/>
      </c>
      <c r="D288" s="29" t="str">
        <f>IFERROR(IF(SUMIFS(tblDaily[Deaths],tblDaily[EntryDate],DATE(2026,8,9),tblDaily[WardCode],"FAE")=0,"",SUMIFS(tblDaily[Deaths],tblDaily[EntryDate],DATE(2026,8,9),tblDaily[WardCode],"FAE")),"")</f>
        <v/>
      </c>
      <c r="E288" s="29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29" t="str">
        <f>IFERROR(IF(SUMIFS(tblDaily[TransfersIn],tblDaily[EntryDate],DATE(2026,8,9),tblDaily[WardCode],"FAE")=0,"",SUMIFS(tblDaily[TransfersIn],tblDaily[EntryDate],DATE(2026,8,9),tblDaily[WardCode],"FAE")),"")</f>
        <v/>
      </c>
      <c r="G288" s="29" t="str">
        <f>IFERROR(IF(SUMIFS(tblDaily[TransfersOut],tblDaily[EntryDate],DATE(2026,8,9),tblDaily[WardCode],"FAE")=0,"",SUMIFS(tblDaily[TransfersOut],tblDaily[EntryDate],DATE(2026,8,9),tblDaily[WardCode],"FAE")),"")</f>
        <v/>
      </c>
      <c r="H288" s="29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IFERROR(IF(SUMIFS(tblDaily[Admissions],tblDaily[EntryDate],DATE(2026,8,10),tblDaily[WardCode],"FAE")=0,"",SUMIFS(tblDaily[Admissions],tblDaily[EntryDate],DATE(2026,8,10),tblDaily[WardCode],"FAE")),"")</f>
        <v/>
      </c>
      <c r="C289" s="29" t="str">
        <f>IFERROR(IF(SUMIFS(tblDaily[Discharges],tblDaily[EntryDate],DATE(2026,8,10),tblDaily[WardCode],"FAE")=0,"",SUMIFS(tblDaily[Discharges],tblDaily[EntryDate],DATE(2026,8,10),tblDaily[WardCode],"FAE")),"")</f>
        <v/>
      </c>
      <c r="D289" s="29" t="str">
        <f>IFERROR(IF(SUMIFS(tblDaily[Deaths],tblDaily[EntryDate],DATE(2026,8,10),tblDaily[WardCode],"FAE")=0,"",SUMIFS(tblDaily[Deaths],tblDaily[EntryDate],DATE(2026,8,10),tblDaily[WardCode],"FAE")),"")</f>
        <v/>
      </c>
      <c r="E289" s="29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29" t="str">
        <f>IFERROR(IF(SUMIFS(tblDaily[TransfersIn],tblDaily[EntryDate],DATE(2026,8,10),tblDaily[WardCode],"FAE")=0,"",SUMIFS(tblDaily[TransfersIn],tblDaily[EntryDate],DATE(2026,8,10),tblDaily[WardCode],"FAE")),"")</f>
        <v/>
      </c>
      <c r="G289" s="29" t="str">
        <f>IFERROR(IF(SUMIFS(tblDaily[TransfersOut],tblDaily[EntryDate],DATE(2026,8,10),tblDaily[WardCode],"FAE")=0,"",SUMIFS(tblDaily[TransfersOut],tblDaily[EntryDate],DATE(2026,8,10),tblDaily[WardCode],"FAE")),"")</f>
        <v/>
      </c>
      <c r="H289" s="29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IFERROR(IF(SUMIFS(tblDaily[Admissions],tblDaily[EntryDate],DATE(2026,8,11),tblDaily[WardCode],"FAE")=0,"",SUMIFS(tblDaily[Admissions],tblDaily[EntryDate],DATE(2026,8,11),tblDaily[WardCode],"FAE")),"")</f>
        <v/>
      </c>
      <c r="C290" s="29" t="str">
        <f>IFERROR(IF(SUMIFS(tblDaily[Discharges],tblDaily[EntryDate],DATE(2026,8,11),tblDaily[WardCode],"FAE")=0,"",SUMIFS(tblDaily[Discharges],tblDaily[EntryDate],DATE(2026,8,11),tblDaily[WardCode],"FAE")),"")</f>
        <v/>
      </c>
      <c r="D290" s="29" t="str">
        <f>IFERROR(IF(SUMIFS(tblDaily[Deaths],tblDaily[EntryDate],DATE(2026,8,11),tblDaily[WardCode],"FAE")=0,"",SUMIFS(tblDaily[Deaths],tblDaily[EntryDate],DATE(2026,8,11),tblDaily[WardCode],"FAE")),"")</f>
        <v/>
      </c>
      <c r="E290" s="29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29" t="str">
        <f>IFERROR(IF(SUMIFS(tblDaily[TransfersIn],tblDaily[EntryDate],DATE(2026,8,11),tblDaily[WardCode],"FAE")=0,"",SUMIFS(tblDaily[TransfersIn],tblDaily[EntryDate],DATE(2026,8,11),tblDaily[WardCode],"FAE")),"")</f>
        <v/>
      </c>
      <c r="G290" s="29" t="str">
        <f>IFERROR(IF(SUMIFS(tblDaily[TransfersOut],tblDaily[EntryDate],DATE(2026,8,11),tblDaily[WardCode],"FAE")=0,"",SUMIFS(tblDaily[TransfersOut],tblDaily[EntryDate],DATE(2026,8,11),tblDaily[WardCode],"FAE")),"")</f>
        <v/>
      </c>
      <c r="H290" s="29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IFERROR(IF(SUMIFS(tblDaily[Admissions],tblDaily[EntryDate],DATE(2026,8,12),tblDaily[WardCode],"FAE")=0,"",SUMIFS(tblDaily[Admissions],tblDaily[EntryDate],DATE(2026,8,12),tblDaily[WardCode],"FAE")),"")</f>
        <v/>
      </c>
      <c r="C291" s="29" t="str">
        <f>IFERROR(IF(SUMIFS(tblDaily[Discharges],tblDaily[EntryDate],DATE(2026,8,12),tblDaily[WardCode],"FAE")=0,"",SUMIFS(tblDaily[Discharges],tblDaily[EntryDate],DATE(2026,8,12),tblDaily[WardCode],"FAE")),"")</f>
        <v/>
      </c>
      <c r="D291" s="29" t="str">
        <f>IFERROR(IF(SUMIFS(tblDaily[Deaths],tblDaily[EntryDate],DATE(2026,8,12),tblDaily[WardCode],"FAE")=0,"",SUMIFS(tblDaily[Deaths],tblDaily[EntryDate],DATE(2026,8,12),tblDaily[WardCode],"FAE")),"")</f>
        <v/>
      </c>
      <c r="E291" s="29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29" t="str">
        <f>IFERROR(IF(SUMIFS(tblDaily[TransfersIn],tblDaily[EntryDate],DATE(2026,8,12),tblDaily[WardCode],"FAE")=0,"",SUMIFS(tblDaily[TransfersIn],tblDaily[EntryDate],DATE(2026,8,12),tblDaily[WardCode],"FAE")),"")</f>
        <v/>
      </c>
      <c r="G291" s="29" t="str">
        <f>IFERROR(IF(SUMIFS(tblDaily[TransfersOut],tblDaily[EntryDate],DATE(2026,8,12),tblDaily[WardCode],"FAE")=0,"",SUMIFS(tblDaily[TransfersOut],tblDaily[EntryDate],DATE(2026,8,12),tblDaily[WardCode],"FAE")),"")</f>
        <v/>
      </c>
      <c r="H291" s="29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IFERROR(IF(SUMIFS(tblDaily[Admissions],tblDaily[EntryDate],DATE(2026,8,13),tblDaily[WardCode],"FAE")=0,"",SUMIFS(tblDaily[Admissions],tblDaily[EntryDate],DATE(2026,8,13),tblDaily[WardCode],"FAE")),"")</f>
        <v/>
      </c>
      <c r="C292" s="29" t="str">
        <f>IFERROR(IF(SUMIFS(tblDaily[Discharges],tblDaily[EntryDate],DATE(2026,8,13),tblDaily[WardCode],"FAE")=0,"",SUMIFS(tblDaily[Discharges],tblDaily[EntryDate],DATE(2026,8,13),tblDaily[WardCode],"FAE")),"")</f>
        <v/>
      </c>
      <c r="D292" s="29" t="str">
        <f>IFERROR(IF(SUMIFS(tblDaily[Deaths],tblDaily[EntryDate],DATE(2026,8,13),tblDaily[WardCode],"FAE")=0,"",SUMIFS(tblDaily[Deaths],tblDaily[EntryDate],DATE(2026,8,13),tblDaily[WardCode],"FAE")),"")</f>
        <v/>
      </c>
      <c r="E292" s="29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29" t="str">
        <f>IFERROR(IF(SUMIFS(tblDaily[TransfersIn],tblDaily[EntryDate],DATE(2026,8,13),tblDaily[WardCode],"FAE")=0,"",SUMIFS(tblDaily[TransfersIn],tblDaily[EntryDate],DATE(2026,8,13),tblDaily[WardCode],"FAE")),"")</f>
        <v/>
      </c>
      <c r="G292" s="29" t="str">
        <f>IFERROR(IF(SUMIFS(tblDaily[TransfersOut],tblDaily[EntryDate],DATE(2026,8,13),tblDaily[WardCode],"FAE")=0,"",SUMIFS(tblDaily[TransfersOut],tblDaily[EntryDate],DATE(2026,8,13),tblDaily[WardCode],"FAE")),"")</f>
        <v/>
      </c>
      <c r="H292" s="29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IFERROR(IF(SUMIFS(tblDaily[Admissions],tblDaily[EntryDate],DATE(2026,8,14),tblDaily[WardCode],"FAE")=0,"",SUMIFS(tblDaily[Admissions],tblDaily[EntryDate],DATE(2026,8,14),tblDaily[WardCode],"FAE")),"")</f>
        <v/>
      </c>
      <c r="C293" s="29" t="str">
        <f>IFERROR(IF(SUMIFS(tblDaily[Discharges],tblDaily[EntryDate],DATE(2026,8,14),tblDaily[WardCode],"FAE")=0,"",SUMIFS(tblDaily[Discharges],tblDaily[EntryDate],DATE(2026,8,14),tblDaily[WardCode],"FAE")),"")</f>
        <v/>
      </c>
      <c r="D293" s="29" t="str">
        <f>IFERROR(IF(SUMIFS(tblDaily[Deaths],tblDaily[EntryDate],DATE(2026,8,14),tblDaily[WardCode],"FAE")=0,"",SUMIFS(tblDaily[Deaths],tblDaily[EntryDate],DATE(2026,8,14),tblDaily[WardCode],"FAE")),"")</f>
        <v/>
      </c>
      <c r="E293" s="29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29" t="str">
        <f>IFERROR(IF(SUMIFS(tblDaily[TransfersIn],tblDaily[EntryDate],DATE(2026,8,14),tblDaily[WardCode],"FAE")=0,"",SUMIFS(tblDaily[TransfersIn],tblDaily[EntryDate],DATE(2026,8,14),tblDaily[WardCode],"FAE")),"")</f>
        <v/>
      </c>
      <c r="G293" s="29" t="str">
        <f>IFERROR(IF(SUMIFS(tblDaily[TransfersOut],tblDaily[EntryDate],DATE(2026,8,14),tblDaily[WardCode],"FAE")=0,"",SUMIFS(tblDaily[TransfersOut],tblDaily[EntryDate],DATE(2026,8,14),tblDaily[WardCode],"FAE")),"")</f>
        <v/>
      </c>
      <c r="H293" s="29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IFERROR(IF(SUMIFS(tblDaily[Admissions],tblDaily[EntryDate],DATE(2026,8,15),tblDaily[WardCode],"FAE")=0,"",SUMIFS(tblDaily[Admissions],tblDaily[EntryDate],DATE(2026,8,15),tblDaily[WardCode],"FAE")),"")</f>
        <v/>
      </c>
      <c r="C294" s="29" t="str">
        <f>IFERROR(IF(SUMIFS(tblDaily[Discharges],tblDaily[EntryDate],DATE(2026,8,15),tblDaily[WardCode],"FAE")=0,"",SUMIFS(tblDaily[Discharges],tblDaily[EntryDate],DATE(2026,8,15),tblDaily[WardCode],"FAE")),"")</f>
        <v/>
      </c>
      <c r="D294" s="29" t="str">
        <f>IFERROR(IF(SUMIFS(tblDaily[Deaths],tblDaily[EntryDate],DATE(2026,8,15),tblDaily[WardCode],"FAE")=0,"",SUMIFS(tblDaily[Deaths],tblDaily[EntryDate],DATE(2026,8,15),tblDaily[WardCode],"FAE")),"")</f>
        <v/>
      </c>
      <c r="E294" s="29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29" t="str">
        <f>IFERROR(IF(SUMIFS(tblDaily[TransfersIn],tblDaily[EntryDate],DATE(2026,8,15),tblDaily[WardCode],"FAE")=0,"",SUMIFS(tblDaily[TransfersIn],tblDaily[EntryDate],DATE(2026,8,15),tblDaily[WardCode],"FAE")),"")</f>
        <v/>
      </c>
      <c r="G294" s="29" t="str">
        <f>IFERROR(IF(SUMIFS(tblDaily[TransfersOut],tblDaily[EntryDate],DATE(2026,8,15),tblDaily[WardCode],"FAE")=0,"",SUMIFS(tblDaily[TransfersOut],tblDaily[EntryDate],DATE(2026,8,15),tblDaily[WardCode],"FAE")),"")</f>
        <v/>
      </c>
      <c r="H294" s="29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IFERROR(IF(SUMIFS(tblDaily[Admissions],tblDaily[EntryDate],DATE(2026,8,16),tblDaily[WardCode],"FAE")=0,"",SUMIFS(tblDaily[Admissions],tblDaily[EntryDate],DATE(2026,8,16),tblDaily[WardCode],"FAE")),"")</f>
        <v/>
      </c>
      <c r="C295" s="29" t="str">
        <f>IFERROR(IF(SUMIFS(tblDaily[Discharges],tblDaily[EntryDate],DATE(2026,8,16),tblDaily[WardCode],"FAE")=0,"",SUMIFS(tblDaily[Discharges],tblDaily[EntryDate],DATE(2026,8,16),tblDaily[WardCode],"FAE")),"")</f>
        <v/>
      </c>
      <c r="D295" s="29" t="str">
        <f>IFERROR(IF(SUMIFS(tblDaily[Deaths],tblDaily[EntryDate],DATE(2026,8,16),tblDaily[WardCode],"FAE")=0,"",SUMIFS(tblDaily[Deaths],tblDaily[EntryDate],DATE(2026,8,16),tblDaily[WardCode],"FAE")),"")</f>
        <v/>
      </c>
      <c r="E295" s="29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29" t="str">
        <f>IFERROR(IF(SUMIFS(tblDaily[TransfersIn],tblDaily[EntryDate],DATE(2026,8,16),tblDaily[WardCode],"FAE")=0,"",SUMIFS(tblDaily[TransfersIn],tblDaily[EntryDate],DATE(2026,8,16),tblDaily[WardCode],"FAE")),"")</f>
        <v/>
      </c>
      <c r="G295" s="29" t="str">
        <f>IFERROR(IF(SUMIFS(tblDaily[TransfersOut],tblDaily[EntryDate],DATE(2026,8,16),tblDaily[WardCode],"FAE")=0,"",SUMIFS(tblDaily[TransfersOut],tblDaily[EntryDate],DATE(2026,8,16),tblDaily[WardCode],"FAE")),"")</f>
        <v/>
      </c>
      <c r="H295" s="29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IFERROR(IF(SUMIFS(tblDaily[Admissions],tblDaily[EntryDate],DATE(2026,8,17),tblDaily[WardCode],"FAE")=0,"",SUMIFS(tblDaily[Admissions],tblDaily[EntryDate],DATE(2026,8,17),tblDaily[WardCode],"FAE")),"")</f>
        <v/>
      </c>
      <c r="C296" s="29" t="str">
        <f>IFERROR(IF(SUMIFS(tblDaily[Discharges],tblDaily[EntryDate],DATE(2026,8,17),tblDaily[WardCode],"FAE")=0,"",SUMIFS(tblDaily[Discharges],tblDaily[EntryDate],DATE(2026,8,17),tblDaily[WardCode],"FAE")),"")</f>
        <v/>
      </c>
      <c r="D296" s="29" t="str">
        <f>IFERROR(IF(SUMIFS(tblDaily[Deaths],tblDaily[EntryDate],DATE(2026,8,17),tblDaily[WardCode],"FAE")=0,"",SUMIFS(tblDaily[Deaths],tblDaily[EntryDate],DATE(2026,8,17),tblDaily[WardCode],"FAE")),"")</f>
        <v/>
      </c>
      <c r="E296" s="29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29" t="str">
        <f>IFERROR(IF(SUMIFS(tblDaily[TransfersIn],tblDaily[EntryDate],DATE(2026,8,17),tblDaily[WardCode],"FAE")=0,"",SUMIFS(tblDaily[TransfersIn],tblDaily[EntryDate],DATE(2026,8,17),tblDaily[WardCode],"FAE")),"")</f>
        <v/>
      </c>
      <c r="G296" s="29" t="str">
        <f>IFERROR(IF(SUMIFS(tblDaily[TransfersOut],tblDaily[EntryDate],DATE(2026,8,17),tblDaily[WardCode],"FAE")=0,"",SUMIFS(tblDaily[TransfersOut],tblDaily[EntryDate],DATE(2026,8,17),tblDaily[WardCode],"FAE")),"")</f>
        <v/>
      </c>
      <c r="H296" s="29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IFERROR(IF(SUMIFS(tblDaily[Admissions],tblDaily[EntryDate],DATE(2026,8,18),tblDaily[WardCode],"FAE")=0,"",SUMIFS(tblDaily[Admissions],tblDaily[EntryDate],DATE(2026,8,18),tblDaily[WardCode],"FAE")),"")</f>
        <v/>
      </c>
      <c r="C297" s="29" t="str">
        <f>IFERROR(IF(SUMIFS(tblDaily[Discharges],tblDaily[EntryDate],DATE(2026,8,18),tblDaily[WardCode],"FAE")=0,"",SUMIFS(tblDaily[Discharges],tblDaily[EntryDate],DATE(2026,8,18),tblDaily[WardCode],"FAE")),"")</f>
        <v/>
      </c>
      <c r="D297" s="29" t="str">
        <f>IFERROR(IF(SUMIFS(tblDaily[Deaths],tblDaily[EntryDate],DATE(2026,8,18),tblDaily[WardCode],"FAE")=0,"",SUMIFS(tblDaily[Deaths],tblDaily[EntryDate],DATE(2026,8,18),tblDaily[WardCode],"FAE")),"")</f>
        <v/>
      </c>
      <c r="E297" s="29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29" t="str">
        <f>IFERROR(IF(SUMIFS(tblDaily[TransfersIn],tblDaily[EntryDate],DATE(2026,8,18),tblDaily[WardCode],"FAE")=0,"",SUMIFS(tblDaily[TransfersIn],tblDaily[EntryDate],DATE(2026,8,18),tblDaily[WardCode],"FAE")),"")</f>
        <v/>
      </c>
      <c r="G297" s="29" t="str">
        <f>IFERROR(IF(SUMIFS(tblDaily[TransfersOut],tblDaily[EntryDate],DATE(2026,8,18),tblDaily[WardCode],"FAE")=0,"",SUMIFS(tblDaily[TransfersOut],tblDaily[EntryDate],DATE(2026,8,18),tblDaily[WardCode],"FAE")),"")</f>
        <v/>
      </c>
      <c r="H297" s="29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IFERROR(IF(SUMIFS(tblDaily[Admissions],tblDaily[EntryDate],DATE(2026,8,19),tblDaily[WardCode],"FAE")=0,"",SUMIFS(tblDaily[Admissions],tblDaily[EntryDate],DATE(2026,8,19),tblDaily[WardCode],"FAE")),"")</f>
        <v/>
      </c>
      <c r="C298" s="29" t="str">
        <f>IFERROR(IF(SUMIFS(tblDaily[Discharges],tblDaily[EntryDate],DATE(2026,8,19),tblDaily[WardCode],"FAE")=0,"",SUMIFS(tblDaily[Discharges],tblDaily[EntryDate],DATE(2026,8,19),tblDaily[WardCode],"FAE")),"")</f>
        <v/>
      </c>
      <c r="D298" s="29" t="str">
        <f>IFERROR(IF(SUMIFS(tblDaily[Deaths],tblDaily[EntryDate],DATE(2026,8,19),tblDaily[WardCode],"FAE")=0,"",SUMIFS(tblDaily[Deaths],tblDaily[EntryDate],DATE(2026,8,19),tblDaily[WardCode],"FAE")),"")</f>
        <v/>
      </c>
      <c r="E298" s="29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29" t="str">
        <f>IFERROR(IF(SUMIFS(tblDaily[TransfersIn],tblDaily[EntryDate],DATE(2026,8,19),tblDaily[WardCode],"FAE")=0,"",SUMIFS(tblDaily[TransfersIn],tblDaily[EntryDate],DATE(2026,8,19),tblDaily[WardCode],"FAE")),"")</f>
        <v/>
      </c>
      <c r="G298" s="29" t="str">
        <f>IFERROR(IF(SUMIFS(tblDaily[TransfersOut],tblDaily[EntryDate],DATE(2026,8,19),tblDaily[WardCode],"FAE")=0,"",SUMIFS(tblDaily[TransfersOut],tblDaily[EntryDate],DATE(2026,8,19),tblDaily[WardCode],"FAE")),"")</f>
        <v/>
      </c>
      <c r="H298" s="29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IFERROR(IF(SUMIFS(tblDaily[Admissions],tblDaily[EntryDate],DATE(2026,8,20),tblDaily[WardCode],"FAE")=0,"",SUMIFS(tblDaily[Admissions],tblDaily[EntryDate],DATE(2026,8,20),tblDaily[WardCode],"FAE")),"")</f>
        <v/>
      </c>
      <c r="C299" s="29" t="str">
        <f>IFERROR(IF(SUMIFS(tblDaily[Discharges],tblDaily[EntryDate],DATE(2026,8,20),tblDaily[WardCode],"FAE")=0,"",SUMIFS(tblDaily[Discharges],tblDaily[EntryDate],DATE(2026,8,20),tblDaily[WardCode],"FAE")),"")</f>
        <v/>
      </c>
      <c r="D299" s="29" t="str">
        <f>IFERROR(IF(SUMIFS(tblDaily[Deaths],tblDaily[EntryDate],DATE(2026,8,20),tblDaily[WardCode],"FAE")=0,"",SUMIFS(tblDaily[Deaths],tblDaily[EntryDate],DATE(2026,8,20),tblDaily[WardCode],"FAE")),"")</f>
        <v/>
      </c>
      <c r="E299" s="29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29" t="str">
        <f>IFERROR(IF(SUMIFS(tblDaily[TransfersIn],tblDaily[EntryDate],DATE(2026,8,20),tblDaily[WardCode],"FAE")=0,"",SUMIFS(tblDaily[TransfersIn],tblDaily[EntryDate],DATE(2026,8,20),tblDaily[WardCode],"FAE")),"")</f>
        <v/>
      </c>
      <c r="G299" s="29" t="str">
        <f>IFERROR(IF(SUMIFS(tblDaily[TransfersOut],tblDaily[EntryDate],DATE(2026,8,20),tblDaily[WardCode],"FAE")=0,"",SUMIFS(tblDaily[TransfersOut],tblDaily[EntryDate],DATE(2026,8,20),tblDaily[WardCode],"FAE")),"")</f>
        <v/>
      </c>
      <c r="H299" s="29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IFERROR(IF(SUMIFS(tblDaily[Admissions],tblDaily[EntryDate],DATE(2026,8,21),tblDaily[WardCode],"FAE")=0,"",SUMIFS(tblDaily[Admissions],tblDaily[EntryDate],DATE(2026,8,21),tblDaily[WardCode],"FAE")),"")</f>
        <v/>
      </c>
      <c r="C300" s="29" t="str">
        <f>IFERROR(IF(SUMIFS(tblDaily[Discharges],tblDaily[EntryDate],DATE(2026,8,21),tblDaily[WardCode],"FAE")=0,"",SUMIFS(tblDaily[Discharges],tblDaily[EntryDate],DATE(2026,8,21),tblDaily[WardCode],"FAE")),"")</f>
        <v/>
      </c>
      <c r="D300" s="29" t="str">
        <f>IFERROR(IF(SUMIFS(tblDaily[Deaths],tblDaily[EntryDate],DATE(2026,8,21),tblDaily[WardCode],"FAE")=0,"",SUMIFS(tblDaily[Deaths],tblDaily[EntryDate],DATE(2026,8,21),tblDaily[WardCode],"FAE")),"")</f>
        <v/>
      </c>
      <c r="E300" s="29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29" t="str">
        <f>IFERROR(IF(SUMIFS(tblDaily[TransfersIn],tblDaily[EntryDate],DATE(2026,8,21),tblDaily[WardCode],"FAE")=0,"",SUMIFS(tblDaily[TransfersIn],tblDaily[EntryDate],DATE(2026,8,21),tblDaily[WardCode],"FAE")),"")</f>
        <v/>
      </c>
      <c r="G300" s="29" t="str">
        <f>IFERROR(IF(SUMIFS(tblDaily[TransfersOut],tblDaily[EntryDate],DATE(2026,8,21),tblDaily[WardCode],"FAE")=0,"",SUMIFS(tblDaily[TransfersOut],tblDaily[EntryDate],DATE(2026,8,21),tblDaily[WardCode],"FAE")),"")</f>
        <v/>
      </c>
      <c r="H300" s="29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IFERROR(IF(SUMIFS(tblDaily[Admissions],tblDaily[EntryDate],DATE(2026,8,22),tblDaily[WardCode],"FAE")=0,"",SUMIFS(tblDaily[Admissions],tblDaily[EntryDate],DATE(2026,8,22),tblDaily[WardCode],"FAE")),"")</f>
        <v/>
      </c>
      <c r="C301" s="29" t="str">
        <f>IFERROR(IF(SUMIFS(tblDaily[Discharges],tblDaily[EntryDate],DATE(2026,8,22),tblDaily[WardCode],"FAE")=0,"",SUMIFS(tblDaily[Discharges],tblDaily[EntryDate],DATE(2026,8,22),tblDaily[WardCode],"FAE")),"")</f>
        <v/>
      </c>
      <c r="D301" s="29" t="str">
        <f>IFERROR(IF(SUMIFS(tblDaily[Deaths],tblDaily[EntryDate],DATE(2026,8,22),tblDaily[WardCode],"FAE")=0,"",SUMIFS(tblDaily[Deaths],tblDaily[EntryDate],DATE(2026,8,22),tblDaily[WardCode],"FAE")),"")</f>
        <v/>
      </c>
      <c r="E301" s="29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29" t="str">
        <f>IFERROR(IF(SUMIFS(tblDaily[TransfersIn],tblDaily[EntryDate],DATE(2026,8,22),tblDaily[WardCode],"FAE")=0,"",SUMIFS(tblDaily[TransfersIn],tblDaily[EntryDate],DATE(2026,8,22),tblDaily[WardCode],"FAE")),"")</f>
        <v/>
      </c>
      <c r="G301" s="29" t="str">
        <f>IFERROR(IF(SUMIFS(tblDaily[TransfersOut],tblDaily[EntryDate],DATE(2026,8,22),tblDaily[WardCode],"FAE")=0,"",SUMIFS(tblDaily[TransfersOut],tblDaily[EntryDate],DATE(2026,8,22),tblDaily[WardCode],"FAE")),"")</f>
        <v/>
      </c>
      <c r="H301" s="29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IFERROR(IF(SUMIFS(tblDaily[Admissions],tblDaily[EntryDate],DATE(2026,8,23),tblDaily[WardCode],"FAE")=0,"",SUMIFS(tblDaily[Admissions],tblDaily[EntryDate],DATE(2026,8,23),tblDaily[WardCode],"FAE")),"")</f>
        <v/>
      </c>
      <c r="C302" s="29" t="str">
        <f>IFERROR(IF(SUMIFS(tblDaily[Discharges],tblDaily[EntryDate],DATE(2026,8,23),tblDaily[WardCode],"FAE")=0,"",SUMIFS(tblDaily[Discharges],tblDaily[EntryDate],DATE(2026,8,23),tblDaily[WardCode],"FAE")),"")</f>
        <v/>
      </c>
      <c r="D302" s="29" t="str">
        <f>IFERROR(IF(SUMIFS(tblDaily[Deaths],tblDaily[EntryDate],DATE(2026,8,23),tblDaily[WardCode],"FAE")=0,"",SUMIFS(tblDaily[Deaths],tblDaily[EntryDate],DATE(2026,8,23),tblDaily[WardCode],"FAE")),"")</f>
        <v/>
      </c>
      <c r="E302" s="29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29" t="str">
        <f>IFERROR(IF(SUMIFS(tblDaily[TransfersIn],tblDaily[EntryDate],DATE(2026,8,23),tblDaily[WardCode],"FAE")=0,"",SUMIFS(tblDaily[TransfersIn],tblDaily[EntryDate],DATE(2026,8,23),tblDaily[WardCode],"FAE")),"")</f>
        <v/>
      </c>
      <c r="G302" s="29" t="str">
        <f>IFERROR(IF(SUMIFS(tblDaily[TransfersOut],tblDaily[EntryDate],DATE(2026,8,23),tblDaily[WardCode],"FAE")=0,"",SUMIFS(tblDaily[TransfersOut],tblDaily[EntryDate],DATE(2026,8,23),tblDaily[WardCode],"FAE")),"")</f>
        <v/>
      </c>
      <c r="H302" s="29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IFERROR(IF(SUMIFS(tblDaily[Admissions],tblDaily[EntryDate],DATE(2026,8,24),tblDaily[WardCode],"FAE")=0,"",SUMIFS(tblDaily[Admissions],tblDaily[EntryDate],DATE(2026,8,24),tblDaily[WardCode],"FAE")),"")</f>
        <v/>
      </c>
      <c r="C303" s="29" t="str">
        <f>IFERROR(IF(SUMIFS(tblDaily[Discharges],tblDaily[EntryDate],DATE(2026,8,24),tblDaily[WardCode],"FAE")=0,"",SUMIFS(tblDaily[Discharges],tblDaily[EntryDate],DATE(2026,8,24),tblDaily[WardCode],"FAE")),"")</f>
        <v/>
      </c>
      <c r="D303" s="29" t="str">
        <f>IFERROR(IF(SUMIFS(tblDaily[Deaths],tblDaily[EntryDate],DATE(2026,8,24),tblDaily[WardCode],"FAE")=0,"",SUMIFS(tblDaily[Deaths],tblDaily[EntryDate],DATE(2026,8,24),tblDaily[WardCode],"FAE")),"")</f>
        <v/>
      </c>
      <c r="E303" s="29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29" t="str">
        <f>IFERROR(IF(SUMIFS(tblDaily[TransfersIn],tblDaily[EntryDate],DATE(2026,8,24),tblDaily[WardCode],"FAE")=0,"",SUMIFS(tblDaily[TransfersIn],tblDaily[EntryDate],DATE(2026,8,24),tblDaily[WardCode],"FAE")),"")</f>
        <v/>
      </c>
      <c r="G303" s="29" t="str">
        <f>IFERROR(IF(SUMIFS(tblDaily[TransfersOut],tblDaily[EntryDate],DATE(2026,8,24),tblDaily[WardCode],"FAE")=0,"",SUMIFS(tblDaily[TransfersOut],tblDaily[EntryDate],DATE(2026,8,24),tblDaily[WardCode],"FAE")),"")</f>
        <v/>
      </c>
      <c r="H303" s="29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IFERROR(IF(SUMIFS(tblDaily[Admissions],tblDaily[EntryDate],DATE(2026,8,25),tblDaily[WardCode],"FAE")=0,"",SUMIFS(tblDaily[Admissions],tblDaily[EntryDate],DATE(2026,8,25),tblDaily[WardCode],"FAE")),"")</f>
        <v/>
      </c>
      <c r="C304" s="29" t="str">
        <f>IFERROR(IF(SUMIFS(tblDaily[Discharges],tblDaily[EntryDate],DATE(2026,8,25),tblDaily[WardCode],"FAE")=0,"",SUMIFS(tblDaily[Discharges],tblDaily[EntryDate],DATE(2026,8,25),tblDaily[WardCode],"FAE")),"")</f>
        <v/>
      </c>
      <c r="D304" s="29" t="str">
        <f>IFERROR(IF(SUMIFS(tblDaily[Deaths],tblDaily[EntryDate],DATE(2026,8,25),tblDaily[WardCode],"FAE")=0,"",SUMIFS(tblDaily[Deaths],tblDaily[EntryDate],DATE(2026,8,25),tblDaily[WardCode],"FAE")),"")</f>
        <v/>
      </c>
      <c r="E304" s="29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29" t="str">
        <f>IFERROR(IF(SUMIFS(tblDaily[TransfersIn],tblDaily[EntryDate],DATE(2026,8,25),tblDaily[WardCode],"FAE")=0,"",SUMIFS(tblDaily[TransfersIn],tblDaily[EntryDate],DATE(2026,8,25),tblDaily[WardCode],"FAE")),"")</f>
        <v/>
      </c>
      <c r="G304" s="29" t="str">
        <f>IFERROR(IF(SUMIFS(tblDaily[TransfersOut],tblDaily[EntryDate],DATE(2026,8,25),tblDaily[WardCode],"FAE")=0,"",SUMIFS(tblDaily[TransfersOut],tblDaily[EntryDate],DATE(2026,8,25),tblDaily[WardCode],"FAE")),"")</f>
        <v/>
      </c>
      <c r="H304" s="29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IFERROR(IF(SUMIFS(tblDaily[Admissions],tblDaily[EntryDate],DATE(2026,8,26),tblDaily[WardCode],"FAE")=0,"",SUMIFS(tblDaily[Admissions],tblDaily[EntryDate],DATE(2026,8,26),tblDaily[WardCode],"FAE")),"")</f>
        <v/>
      </c>
      <c r="C305" s="29" t="str">
        <f>IFERROR(IF(SUMIFS(tblDaily[Discharges],tblDaily[EntryDate],DATE(2026,8,26),tblDaily[WardCode],"FAE")=0,"",SUMIFS(tblDaily[Discharges],tblDaily[EntryDate],DATE(2026,8,26),tblDaily[WardCode],"FAE")),"")</f>
        <v/>
      </c>
      <c r="D305" s="29" t="str">
        <f>IFERROR(IF(SUMIFS(tblDaily[Deaths],tblDaily[EntryDate],DATE(2026,8,26),tblDaily[WardCode],"FAE")=0,"",SUMIFS(tblDaily[Deaths],tblDaily[EntryDate],DATE(2026,8,26),tblDaily[WardCode],"FAE")),"")</f>
        <v/>
      </c>
      <c r="E305" s="29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29" t="str">
        <f>IFERROR(IF(SUMIFS(tblDaily[TransfersIn],tblDaily[EntryDate],DATE(2026,8,26),tblDaily[WardCode],"FAE")=0,"",SUMIFS(tblDaily[TransfersIn],tblDaily[EntryDate],DATE(2026,8,26),tblDaily[WardCode],"FAE")),"")</f>
        <v/>
      </c>
      <c r="G305" s="29" t="str">
        <f>IFERROR(IF(SUMIFS(tblDaily[TransfersOut],tblDaily[EntryDate],DATE(2026,8,26),tblDaily[WardCode],"FAE")=0,"",SUMIFS(tblDaily[TransfersOut],tblDaily[EntryDate],DATE(2026,8,26),tblDaily[WardCode],"FAE")),"")</f>
        <v/>
      </c>
      <c r="H305" s="29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IFERROR(IF(SUMIFS(tblDaily[Admissions],tblDaily[EntryDate],DATE(2026,8,27),tblDaily[WardCode],"FAE")=0,"",SUMIFS(tblDaily[Admissions],tblDaily[EntryDate],DATE(2026,8,27),tblDaily[WardCode],"FAE")),"")</f>
        <v/>
      </c>
      <c r="C306" s="29" t="str">
        <f>IFERROR(IF(SUMIFS(tblDaily[Discharges],tblDaily[EntryDate],DATE(2026,8,27),tblDaily[WardCode],"FAE")=0,"",SUMIFS(tblDaily[Discharges],tblDaily[EntryDate],DATE(2026,8,27),tblDaily[WardCode],"FAE")),"")</f>
        <v/>
      </c>
      <c r="D306" s="29" t="str">
        <f>IFERROR(IF(SUMIFS(tblDaily[Deaths],tblDaily[EntryDate],DATE(2026,8,27),tblDaily[WardCode],"FAE")=0,"",SUMIFS(tblDaily[Deaths],tblDaily[EntryDate],DATE(2026,8,27),tblDaily[WardCode],"FAE")),"")</f>
        <v/>
      </c>
      <c r="E306" s="29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29" t="str">
        <f>IFERROR(IF(SUMIFS(tblDaily[TransfersIn],tblDaily[EntryDate],DATE(2026,8,27),tblDaily[WardCode],"FAE")=0,"",SUMIFS(tblDaily[TransfersIn],tblDaily[EntryDate],DATE(2026,8,27),tblDaily[WardCode],"FAE")),"")</f>
        <v/>
      </c>
      <c r="G306" s="29" t="str">
        <f>IFERROR(IF(SUMIFS(tblDaily[TransfersOut],tblDaily[EntryDate],DATE(2026,8,27),tblDaily[WardCode],"FAE")=0,"",SUMIFS(tblDaily[TransfersOut],tblDaily[EntryDate],DATE(2026,8,27),tblDaily[WardCode],"FAE")),"")</f>
        <v/>
      </c>
      <c r="H306" s="29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IFERROR(IF(SUMIFS(tblDaily[Admissions],tblDaily[EntryDate],DATE(2026,8,28),tblDaily[WardCode],"FAE")=0,"",SUMIFS(tblDaily[Admissions],tblDaily[EntryDate],DATE(2026,8,28),tblDaily[WardCode],"FAE")),"")</f>
        <v/>
      </c>
      <c r="C307" s="29" t="str">
        <f>IFERROR(IF(SUMIFS(tblDaily[Discharges],tblDaily[EntryDate],DATE(2026,8,28),tblDaily[WardCode],"FAE")=0,"",SUMIFS(tblDaily[Discharges],tblDaily[EntryDate],DATE(2026,8,28),tblDaily[WardCode],"FAE")),"")</f>
        <v/>
      </c>
      <c r="D307" s="29" t="str">
        <f>IFERROR(IF(SUMIFS(tblDaily[Deaths],tblDaily[EntryDate],DATE(2026,8,28),tblDaily[WardCode],"FAE")=0,"",SUMIFS(tblDaily[Deaths],tblDaily[EntryDate],DATE(2026,8,28),tblDaily[WardCode],"FAE")),"")</f>
        <v/>
      </c>
      <c r="E307" s="29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29" t="str">
        <f>IFERROR(IF(SUMIFS(tblDaily[TransfersIn],tblDaily[EntryDate],DATE(2026,8,28),tblDaily[WardCode],"FAE")=0,"",SUMIFS(tblDaily[TransfersIn],tblDaily[EntryDate],DATE(2026,8,28),tblDaily[WardCode],"FAE")),"")</f>
        <v/>
      </c>
      <c r="G307" s="29" t="str">
        <f>IFERROR(IF(SUMIFS(tblDaily[TransfersOut],tblDaily[EntryDate],DATE(2026,8,28),tblDaily[WardCode],"FAE")=0,"",SUMIFS(tblDaily[TransfersOut],tblDaily[EntryDate],DATE(2026,8,28),tblDaily[WardCode],"FAE")),"")</f>
        <v/>
      </c>
      <c r="H307" s="29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IFERROR(IF(SUMIFS(tblDaily[Admissions],tblDaily[EntryDate],DATE(2026,8,29),tblDaily[WardCode],"FAE")=0,"",SUMIFS(tblDaily[Admissions],tblDaily[EntryDate],DATE(2026,8,29),tblDaily[WardCode],"FAE")),"")</f>
        <v/>
      </c>
      <c r="C308" s="29" t="str">
        <f>IFERROR(IF(SUMIFS(tblDaily[Discharges],tblDaily[EntryDate],DATE(2026,8,29),tblDaily[WardCode],"FAE")=0,"",SUMIFS(tblDaily[Discharges],tblDaily[EntryDate],DATE(2026,8,29),tblDaily[WardCode],"FAE")),"")</f>
        <v/>
      </c>
      <c r="D308" s="29" t="str">
        <f>IFERROR(IF(SUMIFS(tblDaily[Deaths],tblDaily[EntryDate],DATE(2026,8,29),tblDaily[WardCode],"FAE")=0,"",SUMIFS(tblDaily[Deaths],tblDaily[EntryDate],DATE(2026,8,29),tblDaily[WardCode],"FAE")),"")</f>
        <v/>
      </c>
      <c r="E308" s="29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29" t="str">
        <f>IFERROR(IF(SUMIFS(tblDaily[TransfersIn],tblDaily[EntryDate],DATE(2026,8,29),tblDaily[WardCode],"FAE")=0,"",SUMIFS(tblDaily[TransfersIn],tblDaily[EntryDate],DATE(2026,8,29),tblDaily[WardCode],"FAE")),"")</f>
        <v/>
      </c>
      <c r="G308" s="29" t="str">
        <f>IFERROR(IF(SUMIFS(tblDaily[TransfersOut],tblDaily[EntryDate],DATE(2026,8,29),tblDaily[WardCode],"FAE")=0,"",SUMIFS(tblDaily[TransfersOut],tblDaily[EntryDate],DATE(2026,8,29),tblDaily[WardCode],"FAE")),"")</f>
        <v/>
      </c>
      <c r="H308" s="29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IFERROR(IF(SUMIFS(tblDaily[Admissions],tblDaily[EntryDate],DATE(2026,8,30),tblDaily[WardCode],"FAE")=0,"",SUMIFS(tblDaily[Admissions],tblDaily[EntryDate],DATE(2026,8,30),tblDaily[WardCode],"FAE")),"")</f>
        <v/>
      </c>
      <c r="C309" s="29" t="str">
        <f>IFERROR(IF(SUMIFS(tblDaily[Discharges],tblDaily[EntryDate],DATE(2026,8,30),tblDaily[WardCode],"FAE")=0,"",SUMIFS(tblDaily[Discharges],tblDaily[EntryDate],DATE(2026,8,30),tblDaily[WardCode],"FAE")),"")</f>
        <v/>
      </c>
      <c r="D309" s="29" t="str">
        <f>IFERROR(IF(SUMIFS(tblDaily[Deaths],tblDaily[EntryDate],DATE(2026,8,30),tblDaily[WardCode],"FAE")=0,"",SUMIFS(tblDaily[Deaths],tblDaily[EntryDate],DATE(2026,8,30),tblDaily[WardCode],"FAE")),"")</f>
        <v/>
      </c>
      <c r="E309" s="29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29" t="str">
        <f>IFERROR(IF(SUMIFS(tblDaily[TransfersIn],tblDaily[EntryDate],DATE(2026,8,30),tblDaily[WardCode],"FAE")=0,"",SUMIFS(tblDaily[TransfersIn],tblDaily[EntryDate],DATE(2026,8,30),tblDaily[WardCode],"FAE")),"")</f>
        <v/>
      </c>
      <c r="G309" s="29" t="str">
        <f>IFERROR(IF(SUMIFS(tblDaily[TransfersOut],tblDaily[EntryDate],DATE(2026,8,30),tblDaily[WardCode],"FAE")=0,"",SUMIFS(tblDaily[TransfersOut],tblDaily[EntryDate],DATE(2026,8,30),tblDaily[WardCode],"FAE")),"")</f>
        <v/>
      </c>
      <c r="H309" s="29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IFERROR(IF(SUMIFS(tblDaily[Admissions],tblDaily[EntryDate],DATE(2026,8,31),tblDaily[WardCode],"FAE")=0,"",SUMIFS(tblDaily[Admissions],tblDaily[EntryDate],DATE(2026,8,31),tblDaily[WardCode],"FAE")),"")</f>
        <v/>
      </c>
      <c r="C310" s="29" t="str">
        <f>IFERROR(IF(SUMIFS(tblDaily[Discharges],tblDaily[EntryDate],DATE(2026,8,31),tblDaily[WardCode],"FAE")=0,"",SUMIFS(tblDaily[Discharges],tblDaily[EntryDate],DATE(2026,8,31),tblDaily[WardCode],"FAE")),"")</f>
        <v/>
      </c>
      <c r="D310" s="29" t="str">
        <f>IFERROR(IF(SUMIFS(tblDaily[Deaths],tblDaily[EntryDate],DATE(2026,8,31),tblDaily[WardCode],"FAE")=0,"",SUMIFS(tblDaily[Deaths],tblDaily[EntryDate],DATE(2026,8,31),tblDaily[WardCode],"FAE")),"")</f>
        <v/>
      </c>
      <c r="E310" s="29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29" t="str">
        <f>IFERROR(IF(SUMIFS(tblDaily[TransfersIn],tblDaily[EntryDate],DATE(2026,8,31),tblDaily[WardCode],"FAE")=0,"",SUMIFS(tblDaily[TransfersIn],tblDaily[EntryDate],DATE(2026,8,31),tblDaily[WardCode],"FAE")),"")</f>
        <v/>
      </c>
      <c r="G310" s="29" t="str">
        <f>IFERROR(IF(SUMIFS(tblDaily[TransfersOut],tblDaily[EntryDate],DATE(2026,8,31),tblDaily[WardCode],"FAE")=0,"",SUMIFS(tblDaily[TransfersOut],tblDaily[EntryDate],DATE(2026,8,31),tblDaily[WardCode],"FAE")),"")</f>
        <v/>
      </c>
      <c r="H310" s="29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30" t="s">
        <v>115</v>
      </c>
      <c r="B311" s="30">
        <f>SUMIFS(tblDaily[Admissions],tblDaily[Month],8,tblDaily[WardCode],"FAE") - SUMIFS(tblDaily[DeathsUnder24Hrs],tblDaily[Month],8,tblDaily[WardCode],"FAE")</f>
        <v>0</v>
      </c>
      <c r="C311" s="30">
        <f>SUMIFS(tblDaily[Discharges],tblDaily[Month],8,tblDaily[WardCode],"FAE")</f>
        <v>0</v>
      </c>
      <c r="D311" s="30">
        <f>SUMIFS(tblDaily[Deaths],tblDaily[Month],8,tblDaily[WardCode],"FAE")</f>
        <v>0</v>
      </c>
      <c r="E311" s="30">
        <f>SUMIFS(tblDaily[DeathsUnder24Hrs],tblDaily[Month],8,tblDaily[WardCode],"FAE")</f>
        <v>0</v>
      </c>
      <c r="F311" s="30">
        <f>SUMIFS(tblDaily[TransfersIn],tblDaily[Month],8,tblDaily[WardCode],"FAE")</f>
        <v>0</v>
      </c>
      <c r="G311" s="30">
        <f>SUMIFS(tblDaily[TransfersOut],tblDaily[Month],8,tblDaily[WardCode],"FAE")</f>
        <v>0</v>
      </c>
      <c r="H311" s="30">
        <f>SUMIFS(tblDaily[Remaining],tblDaily[Month],8,tblDaily[WardCode],"FAE")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123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IFERROR(SUMIFS(tblDaily[Remaining],tblDaily[EntryDate],DATE(2026,8,31),tblDaily[WardCode],"FAE"),0)</f>
        <v>0</v>
      </c>
    </row>
    <row r="317" spans="1:8" x14ac:dyDescent="0.25">
      <c r="A317" s="24" t="s">
        <v>109</v>
      </c>
      <c r="H317" s="27">
        <f>IFERROR(INDEX(tblWardConfig[BedComplement],MATCH("FAE",tblWardConfig[WardCode],0)),0)</f>
        <v>10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IFERROR(IF(SUMIFS(tblDaily[Admissions],tblDaily[EntryDate],DATE(2026,9,1),tblDaily[WardCode],"FAE")=0,"",SUMIFS(tblDaily[Admissions],tblDaily[EntryDate],DATE(2026,9,1),tblDaily[WardCode],"FAE")),"")</f>
        <v/>
      </c>
      <c r="C319" s="29" t="str">
        <f>IFERROR(IF(SUMIFS(tblDaily[Discharges],tblDaily[EntryDate],DATE(2026,9,1),tblDaily[WardCode],"FAE")=0,"",SUMIFS(tblDaily[Discharges],tblDaily[EntryDate],DATE(2026,9,1),tblDaily[WardCode],"FAE")),"")</f>
        <v/>
      </c>
      <c r="D319" s="29" t="str">
        <f>IFERROR(IF(SUMIFS(tblDaily[Deaths],tblDaily[EntryDate],DATE(2026,9,1),tblDaily[WardCode],"FAE")=0,"",SUMIFS(tblDaily[Deaths],tblDaily[EntryDate],DATE(2026,9,1),tblDaily[WardCode],"FAE")),"")</f>
        <v/>
      </c>
      <c r="E319" s="29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29" t="str">
        <f>IFERROR(IF(SUMIFS(tblDaily[TransfersIn],tblDaily[EntryDate],DATE(2026,9,1),tblDaily[WardCode],"FAE")=0,"",SUMIFS(tblDaily[TransfersIn],tblDaily[EntryDate],DATE(2026,9,1),tblDaily[WardCode],"FAE")),"")</f>
        <v/>
      </c>
      <c r="G319" s="29" t="str">
        <f>IFERROR(IF(SUMIFS(tblDaily[TransfersOut],tblDaily[EntryDate],DATE(2026,9,1),tblDaily[WardCode],"FAE")=0,"",SUMIFS(tblDaily[TransfersOut],tblDaily[EntryDate],DATE(2026,9,1),tblDaily[WardCode],"FAE")),"")</f>
        <v/>
      </c>
      <c r="H319" s="29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IFERROR(IF(SUMIFS(tblDaily[Admissions],tblDaily[EntryDate],DATE(2026,9,2),tblDaily[WardCode],"FAE")=0,"",SUMIFS(tblDaily[Admissions],tblDaily[EntryDate],DATE(2026,9,2),tblDaily[WardCode],"FAE")),"")</f>
        <v/>
      </c>
      <c r="C320" s="29" t="str">
        <f>IFERROR(IF(SUMIFS(tblDaily[Discharges],tblDaily[EntryDate],DATE(2026,9,2),tblDaily[WardCode],"FAE")=0,"",SUMIFS(tblDaily[Discharges],tblDaily[EntryDate],DATE(2026,9,2),tblDaily[WardCode],"FAE")),"")</f>
        <v/>
      </c>
      <c r="D320" s="29" t="str">
        <f>IFERROR(IF(SUMIFS(tblDaily[Deaths],tblDaily[EntryDate],DATE(2026,9,2),tblDaily[WardCode],"FAE")=0,"",SUMIFS(tblDaily[Deaths],tblDaily[EntryDate],DATE(2026,9,2),tblDaily[WardCode],"FAE")),"")</f>
        <v/>
      </c>
      <c r="E320" s="29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29" t="str">
        <f>IFERROR(IF(SUMIFS(tblDaily[TransfersIn],tblDaily[EntryDate],DATE(2026,9,2),tblDaily[WardCode],"FAE")=0,"",SUMIFS(tblDaily[TransfersIn],tblDaily[EntryDate],DATE(2026,9,2),tblDaily[WardCode],"FAE")),"")</f>
        <v/>
      </c>
      <c r="G320" s="29" t="str">
        <f>IFERROR(IF(SUMIFS(tblDaily[TransfersOut],tblDaily[EntryDate],DATE(2026,9,2),tblDaily[WardCode],"FAE")=0,"",SUMIFS(tblDaily[TransfersOut],tblDaily[EntryDate],DATE(2026,9,2),tblDaily[WardCode],"FAE")),"")</f>
        <v/>
      </c>
      <c r="H320" s="29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IFERROR(IF(SUMIFS(tblDaily[Admissions],tblDaily[EntryDate],DATE(2026,9,3),tblDaily[WardCode],"FAE")=0,"",SUMIFS(tblDaily[Admissions],tblDaily[EntryDate],DATE(2026,9,3),tblDaily[WardCode],"FAE")),"")</f>
        <v/>
      </c>
      <c r="C321" s="29" t="str">
        <f>IFERROR(IF(SUMIFS(tblDaily[Discharges],tblDaily[EntryDate],DATE(2026,9,3),tblDaily[WardCode],"FAE")=0,"",SUMIFS(tblDaily[Discharges],tblDaily[EntryDate],DATE(2026,9,3),tblDaily[WardCode],"FAE")),"")</f>
        <v/>
      </c>
      <c r="D321" s="29" t="str">
        <f>IFERROR(IF(SUMIFS(tblDaily[Deaths],tblDaily[EntryDate],DATE(2026,9,3),tblDaily[WardCode],"FAE")=0,"",SUMIFS(tblDaily[Deaths],tblDaily[EntryDate],DATE(2026,9,3),tblDaily[WardCode],"FAE")),"")</f>
        <v/>
      </c>
      <c r="E321" s="29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29" t="str">
        <f>IFERROR(IF(SUMIFS(tblDaily[TransfersIn],tblDaily[EntryDate],DATE(2026,9,3),tblDaily[WardCode],"FAE")=0,"",SUMIFS(tblDaily[TransfersIn],tblDaily[EntryDate],DATE(2026,9,3),tblDaily[WardCode],"FAE")),"")</f>
        <v/>
      </c>
      <c r="G321" s="29" t="str">
        <f>IFERROR(IF(SUMIFS(tblDaily[TransfersOut],tblDaily[EntryDate],DATE(2026,9,3),tblDaily[WardCode],"FAE")=0,"",SUMIFS(tblDaily[TransfersOut],tblDaily[EntryDate],DATE(2026,9,3),tblDaily[WardCode],"FAE")),"")</f>
        <v/>
      </c>
      <c r="H321" s="29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IFERROR(IF(SUMIFS(tblDaily[Admissions],tblDaily[EntryDate],DATE(2026,9,4),tblDaily[WardCode],"FAE")=0,"",SUMIFS(tblDaily[Admissions],tblDaily[EntryDate],DATE(2026,9,4),tblDaily[WardCode],"FAE")),"")</f>
        <v/>
      </c>
      <c r="C322" s="29" t="str">
        <f>IFERROR(IF(SUMIFS(tblDaily[Discharges],tblDaily[EntryDate],DATE(2026,9,4),tblDaily[WardCode],"FAE")=0,"",SUMIFS(tblDaily[Discharges],tblDaily[EntryDate],DATE(2026,9,4),tblDaily[WardCode],"FAE")),"")</f>
        <v/>
      </c>
      <c r="D322" s="29" t="str">
        <f>IFERROR(IF(SUMIFS(tblDaily[Deaths],tblDaily[EntryDate],DATE(2026,9,4),tblDaily[WardCode],"FAE")=0,"",SUMIFS(tblDaily[Deaths],tblDaily[EntryDate],DATE(2026,9,4),tblDaily[WardCode],"FAE")),"")</f>
        <v/>
      </c>
      <c r="E322" s="29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29" t="str">
        <f>IFERROR(IF(SUMIFS(tblDaily[TransfersIn],tblDaily[EntryDate],DATE(2026,9,4),tblDaily[WardCode],"FAE")=0,"",SUMIFS(tblDaily[TransfersIn],tblDaily[EntryDate],DATE(2026,9,4),tblDaily[WardCode],"FAE")),"")</f>
        <v/>
      </c>
      <c r="G322" s="29" t="str">
        <f>IFERROR(IF(SUMIFS(tblDaily[TransfersOut],tblDaily[EntryDate],DATE(2026,9,4),tblDaily[WardCode],"FAE")=0,"",SUMIFS(tblDaily[TransfersOut],tblDaily[EntryDate],DATE(2026,9,4),tblDaily[WardCode],"FAE")),"")</f>
        <v/>
      </c>
      <c r="H322" s="29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IFERROR(IF(SUMIFS(tblDaily[Admissions],tblDaily[EntryDate],DATE(2026,9,5),tblDaily[WardCode],"FAE")=0,"",SUMIFS(tblDaily[Admissions],tblDaily[EntryDate],DATE(2026,9,5),tblDaily[WardCode],"FAE")),"")</f>
        <v/>
      </c>
      <c r="C323" s="29" t="str">
        <f>IFERROR(IF(SUMIFS(tblDaily[Discharges],tblDaily[EntryDate],DATE(2026,9,5),tblDaily[WardCode],"FAE")=0,"",SUMIFS(tblDaily[Discharges],tblDaily[EntryDate],DATE(2026,9,5),tblDaily[WardCode],"FAE")),"")</f>
        <v/>
      </c>
      <c r="D323" s="29" t="str">
        <f>IFERROR(IF(SUMIFS(tblDaily[Deaths],tblDaily[EntryDate],DATE(2026,9,5),tblDaily[WardCode],"FAE")=0,"",SUMIFS(tblDaily[Deaths],tblDaily[EntryDate],DATE(2026,9,5),tblDaily[WardCode],"FAE")),"")</f>
        <v/>
      </c>
      <c r="E323" s="29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29" t="str">
        <f>IFERROR(IF(SUMIFS(tblDaily[TransfersIn],tblDaily[EntryDate],DATE(2026,9,5),tblDaily[WardCode],"FAE")=0,"",SUMIFS(tblDaily[TransfersIn],tblDaily[EntryDate],DATE(2026,9,5),tblDaily[WardCode],"FAE")),"")</f>
        <v/>
      </c>
      <c r="G323" s="29" t="str">
        <f>IFERROR(IF(SUMIFS(tblDaily[TransfersOut],tblDaily[EntryDate],DATE(2026,9,5),tblDaily[WardCode],"FAE")=0,"",SUMIFS(tblDaily[TransfersOut],tblDaily[EntryDate],DATE(2026,9,5),tblDaily[WardCode],"FAE")),"")</f>
        <v/>
      </c>
      <c r="H323" s="29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IFERROR(IF(SUMIFS(tblDaily[Admissions],tblDaily[EntryDate],DATE(2026,9,6),tblDaily[WardCode],"FAE")=0,"",SUMIFS(tblDaily[Admissions],tblDaily[EntryDate],DATE(2026,9,6),tblDaily[WardCode],"FAE")),"")</f>
        <v/>
      </c>
      <c r="C324" s="29" t="str">
        <f>IFERROR(IF(SUMIFS(tblDaily[Discharges],tblDaily[EntryDate],DATE(2026,9,6),tblDaily[WardCode],"FAE")=0,"",SUMIFS(tblDaily[Discharges],tblDaily[EntryDate],DATE(2026,9,6),tblDaily[WardCode],"FAE")),"")</f>
        <v/>
      </c>
      <c r="D324" s="29" t="str">
        <f>IFERROR(IF(SUMIFS(tblDaily[Deaths],tblDaily[EntryDate],DATE(2026,9,6),tblDaily[WardCode],"FAE")=0,"",SUMIFS(tblDaily[Deaths],tblDaily[EntryDate],DATE(2026,9,6),tblDaily[WardCode],"FAE")),"")</f>
        <v/>
      </c>
      <c r="E324" s="29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29" t="str">
        <f>IFERROR(IF(SUMIFS(tblDaily[TransfersIn],tblDaily[EntryDate],DATE(2026,9,6),tblDaily[WardCode],"FAE")=0,"",SUMIFS(tblDaily[TransfersIn],tblDaily[EntryDate],DATE(2026,9,6),tblDaily[WardCode],"FAE")),"")</f>
        <v/>
      </c>
      <c r="G324" s="29" t="str">
        <f>IFERROR(IF(SUMIFS(tblDaily[TransfersOut],tblDaily[EntryDate],DATE(2026,9,6),tblDaily[WardCode],"FAE")=0,"",SUMIFS(tblDaily[TransfersOut],tblDaily[EntryDate],DATE(2026,9,6),tblDaily[WardCode],"FAE")),"")</f>
        <v/>
      </c>
      <c r="H324" s="29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IFERROR(IF(SUMIFS(tblDaily[Admissions],tblDaily[EntryDate],DATE(2026,9,7),tblDaily[WardCode],"FAE")=0,"",SUMIFS(tblDaily[Admissions],tblDaily[EntryDate],DATE(2026,9,7),tblDaily[WardCode],"FAE")),"")</f>
        <v/>
      </c>
      <c r="C325" s="29" t="str">
        <f>IFERROR(IF(SUMIFS(tblDaily[Discharges],tblDaily[EntryDate],DATE(2026,9,7),tblDaily[WardCode],"FAE")=0,"",SUMIFS(tblDaily[Discharges],tblDaily[EntryDate],DATE(2026,9,7),tblDaily[WardCode],"FAE")),"")</f>
        <v/>
      </c>
      <c r="D325" s="29" t="str">
        <f>IFERROR(IF(SUMIFS(tblDaily[Deaths],tblDaily[EntryDate],DATE(2026,9,7),tblDaily[WardCode],"FAE")=0,"",SUMIFS(tblDaily[Deaths],tblDaily[EntryDate],DATE(2026,9,7),tblDaily[WardCode],"FAE")),"")</f>
        <v/>
      </c>
      <c r="E325" s="29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29" t="str">
        <f>IFERROR(IF(SUMIFS(tblDaily[TransfersIn],tblDaily[EntryDate],DATE(2026,9,7),tblDaily[WardCode],"FAE")=0,"",SUMIFS(tblDaily[TransfersIn],tblDaily[EntryDate],DATE(2026,9,7),tblDaily[WardCode],"FAE")),"")</f>
        <v/>
      </c>
      <c r="G325" s="29" t="str">
        <f>IFERROR(IF(SUMIFS(tblDaily[TransfersOut],tblDaily[EntryDate],DATE(2026,9,7),tblDaily[WardCode],"FAE")=0,"",SUMIFS(tblDaily[TransfersOut],tblDaily[EntryDate],DATE(2026,9,7),tblDaily[WardCode],"FAE")),"")</f>
        <v/>
      </c>
      <c r="H325" s="29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IFERROR(IF(SUMIFS(tblDaily[Admissions],tblDaily[EntryDate],DATE(2026,9,8),tblDaily[WardCode],"FAE")=0,"",SUMIFS(tblDaily[Admissions],tblDaily[EntryDate],DATE(2026,9,8),tblDaily[WardCode],"FAE")),"")</f>
        <v/>
      </c>
      <c r="C326" s="29" t="str">
        <f>IFERROR(IF(SUMIFS(tblDaily[Discharges],tblDaily[EntryDate],DATE(2026,9,8),tblDaily[WardCode],"FAE")=0,"",SUMIFS(tblDaily[Discharges],tblDaily[EntryDate],DATE(2026,9,8),tblDaily[WardCode],"FAE")),"")</f>
        <v/>
      </c>
      <c r="D326" s="29" t="str">
        <f>IFERROR(IF(SUMIFS(tblDaily[Deaths],tblDaily[EntryDate],DATE(2026,9,8),tblDaily[WardCode],"FAE")=0,"",SUMIFS(tblDaily[Deaths],tblDaily[EntryDate],DATE(2026,9,8),tblDaily[WardCode],"FAE")),"")</f>
        <v/>
      </c>
      <c r="E326" s="29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29" t="str">
        <f>IFERROR(IF(SUMIFS(tblDaily[TransfersIn],tblDaily[EntryDate],DATE(2026,9,8),tblDaily[WardCode],"FAE")=0,"",SUMIFS(tblDaily[TransfersIn],tblDaily[EntryDate],DATE(2026,9,8),tblDaily[WardCode],"FAE")),"")</f>
        <v/>
      </c>
      <c r="G326" s="29" t="str">
        <f>IFERROR(IF(SUMIFS(tblDaily[TransfersOut],tblDaily[EntryDate],DATE(2026,9,8),tblDaily[WardCode],"FAE")=0,"",SUMIFS(tblDaily[TransfersOut],tblDaily[EntryDate],DATE(2026,9,8),tblDaily[WardCode],"FAE")),"")</f>
        <v/>
      </c>
      <c r="H326" s="29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IFERROR(IF(SUMIFS(tblDaily[Admissions],tblDaily[EntryDate],DATE(2026,9,9),tblDaily[WardCode],"FAE")=0,"",SUMIFS(tblDaily[Admissions],tblDaily[EntryDate],DATE(2026,9,9),tblDaily[WardCode],"FAE")),"")</f>
        <v/>
      </c>
      <c r="C327" s="29" t="str">
        <f>IFERROR(IF(SUMIFS(tblDaily[Discharges],tblDaily[EntryDate],DATE(2026,9,9),tblDaily[WardCode],"FAE")=0,"",SUMIFS(tblDaily[Discharges],tblDaily[EntryDate],DATE(2026,9,9),tblDaily[WardCode],"FAE")),"")</f>
        <v/>
      </c>
      <c r="D327" s="29" t="str">
        <f>IFERROR(IF(SUMIFS(tblDaily[Deaths],tblDaily[EntryDate],DATE(2026,9,9),tblDaily[WardCode],"FAE")=0,"",SUMIFS(tblDaily[Deaths],tblDaily[EntryDate],DATE(2026,9,9),tblDaily[WardCode],"FAE")),"")</f>
        <v/>
      </c>
      <c r="E327" s="29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29" t="str">
        <f>IFERROR(IF(SUMIFS(tblDaily[TransfersIn],tblDaily[EntryDate],DATE(2026,9,9),tblDaily[WardCode],"FAE")=0,"",SUMIFS(tblDaily[TransfersIn],tblDaily[EntryDate],DATE(2026,9,9),tblDaily[WardCode],"FAE")),"")</f>
        <v/>
      </c>
      <c r="G327" s="29" t="str">
        <f>IFERROR(IF(SUMIFS(tblDaily[TransfersOut],tblDaily[EntryDate],DATE(2026,9,9),tblDaily[WardCode],"FAE")=0,"",SUMIFS(tblDaily[TransfersOut],tblDaily[EntryDate],DATE(2026,9,9),tblDaily[WardCode],"FAE")),"")</f>
        <v/>
      </c>
      <c r="H327" s="29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IFERROR(IF(SUMIFS(tblDaily[Admissions],tblDaily[EntryDate],DATE(2026,9,10),tblDaily[WardCode],"FAE")=0,"",SUMIFS(tblDaily[Admissions],tblDaily[EntryDate],DATE(2026,9,10),tblDaily[WardCode],"FAE")),"")</f>
        <v/>
      </c>
      <c r="C328" s="29" t="str">
        <f>IFERROR(IF(SUMIFS(tblDaily[Discharges],tblDaily[EntryDate],DATE(2026,9,10),tblDaily[WardCode],"FAE")=0,"",SUMIFS(tblDaily[Discharges],tblDaily[EntryDate],DATE(2026,9,10),tblDaily[WardCode],"FAE")),"")</f>
        <v/>
      </c>
      <c r="D328" s="29" t="str">
        <f>IFERROR(IF(SUMIFS(tblDaily[Deaths],tblDaily[EntryDate],DATE(2026,9,10),tblDaily[WardCode],"FAE")=0,"",SUMIFS(tblDaily[Deaths],tblDaily[EntryDate],DATE(2026,9,10),tblDaily[WardCode],"FAE")),"")</f>
        <v/>
      </c>
      <c r="E328" s="29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29" t="str">
        <f>IFERROR(IF(SUMIFS(tblDaily[TransfersIn],tblDaily[EntryDate],DATE(2026,9,10),tblDaily[WardCode],"FAE")=0,"",SUMIFS(tblDaily[TransfersIn],tblDaily[EntryDate],DATE(2026,9,10),tblDaily[WardCode],"FAE")),"")</f>
        <v/>
      </c>
      <c r="G328" s="29" t="str">
        <f>IFERROR(IF(SUMIFS(tblDaily[TransfersOut],tblDaily[EntryDate],DATE(2026,9,10),tblDaily[WardCode],"FAE")=0,"",SUMIFS(tblDaily[TransfersOut],tblDaily[EntryDate],DATE(2026,9,10),tblDaily[WardCode],"FAE")),"")</f>
        <v/>
      </c>
      <c r="H328" s="29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IFERROR(IF(SUMIFS(tblDaily[Admissions],tblDaily[EntryDate],DATE(2026,9,11),tblDaily[WardCode],"FAE")=0,"",SUMIFS(tblDaily[Admissions],tblDaily[EntryDate],DATE(2026,9,11),tblDaily[WardCode],"FAE")),"")</f>
        <v/>
      </c>
      <c r="C329" s="29" t="str">
        <f>IFERROR(IF(SUMIFS(tblDaily[Discharges],tblDaily[EntryDate],DATE(2026,9,11),tblDaily[WardCode],"FAE")=0,"",SUMIFS(tblDaily[Discharges],tblDaily[EntryDate],DATE(2026,9,11),tblDaily[WardCode],"FAE")),"")</f>
        <v/>
      </c>
      <c r="D329" s="29" t="str">
        <f>IFERROR(IF(SUMIFS(tblDaily[Deaths],tblDaily[EntryDate],DATE(2026,9,11),tblDaily[WardCode],"FAE")=0,"",SUMIFS(tblDaily[Deaths],tblDaily[EntryDate],DATE(2026,9,11),tblDaily[WardCode],"FAE")),"")</f>
        <v/>
      </c>
      <c r="E329" s="29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29" t="str">
        <f>IFERROR(IF(SUMIFS(tblDaily[TransfersIn],tblDaily[EntryDate],DATE(2026,9,11),tblDaily[WardCode],"FAE")=0,"",SUMIFS(tblDaily[TransfersIn],tblDaily[EntryDate],DATE(2026,9,11),tblDaily[WardCode],"FAE")),"")</f>
        <v/>
      </c>
      <c r="G329" s="29" t="str">
        <f>IFERROR(IF(SUMIFS(tblDaily[TransfersOut],tblDaily[EntryDate],DATE(2026,9,11),tblDaily[WardCode],"FAE")=0,"",SUMIFS(tblDaily[TransfersOut],tblDaily[EntryDate],DATE(2026,9,11),tblDaily[WardCode],"FAE")),"")</f>
        <v/>
      </c>
      <c r="H329" s="29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IFERROR(IF(SUMIFS(tblDaily[Admissions],tblDaily[EntryDate],DATE(2026,9,12),tblDaily[WardCode],"FAE")=0,"",SUMIFS(tblDaily[Admissions],tblDaily[EntryDate],DATE(2026,9,12),tblDaily[WardCode],"FAE")),"")</f>
        <v/>
      </c>
      <c r="C330" s="29" t="str">
        <f>IFERROR(IF(SUMIFS(tblDaily[Discharges],tblDaily[EntryDate],DATE(2026,9,12),tblDaily[WardCode],"FAE")=0,"",SUMIFS(tblDaily[Discharges],tblDaily[EntryDate],DATE(2026,9,12),tblDaily[WardCode],"FAE")),"")</f>
        <v/>
      </c>
      <c r="D330" s="29" t="str">
        <f>IFERROR(IF(SUMIFS(tblDaily[Deaths],tblDaily[EntryDate],DATE(2026,9,12),tblDaily[WardCode],"FAE")=0,"",SUMIFS(tblDaily[Deaths],tblDaily[EntryDate],DATE(2026,9,12),tblDaily[WardCode],"FAE")),"")</f>
        <v/>
      </c>
      <c r="E330" s="29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29" t="str">
        <f>IFERROR(IF(SUMIFS(tblDaily[TransfersIn],tblDaily[EntryDate],DATE(2026,9,12),tblDaily[WardCode],"FAE")=0,"",SUMIFS(tblDaily[TransfersIn],tblDaily[EntryDate],DATE(2026,9,12),tblDaily[WardCode],"FAE")),"")</f>
        <v/>
      </c>
      <c r="G330" s="29" t="str">
        <f>IFERROR(IF(SUMIFS(tblDaily[TransfersOut],tblDaily[EntryDate],DATE(2026,9,12),tblDaily[WardCode],"FAE")=0,"",SUMIFS(tblDaily[TransfersOut],tblDaily[EntryDate],DATE(2026,9,12),tblDaily[WardCode],"FAE")),"")</f>
        <v/>
      </c>
      <c r="H330" s="29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IFERROR(IF(SUMIFS(tblDaily[Admissions],tblDaily[EntryDate],DATE(2026,9,13),tblDaily[WardCode],"FAE")=0,"",SUMIFS(tblDaily[Admissions],tblDaily[EntryDate],DATE(2026,9,13),tblDaily[WardCode],"FAE")),"")</f>
        <v/>
      </c>
      <c r="C331" s="29" t="str">
        <f>IFERROR(IF(SUMIFS(tblDaily[Discharges],tblDaily[EntryDate],DATE(2026,9,13),tblDaily[WardCode],"FAE")=0,"",SUMIFS(tblDaily[Discharges],tblDaily[EntryDate],DATE(2026,9,13),tblDaily[WardCode],"FAE")),"")</f>
        <v/>
      </c>
      <c r="D331" s="29" t="str">
        <f>IFERROR(IF(SUMIFS(tblDaily[Deaths],tblDaily[EntryDate],DATE(2026,9,13),tblDaily[WardCode],"FAE")=0,"",SUMIFS(tblDaily[Deaths],tblDaily[EntryDate],DATE(2026,9,13),tblDaily[WardCode],"FAE")),"")</f>
        <v/>
      </c>
      <c r="E331" s="29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29" t="str">
        <f>IFERROR(IF(SUMIFS(tblDaily[TransfersIn],tblDaily[EntryDate],DATE(2026,9,13),tblDaily[WardCode],"FAE")=0,"",SUMIFS(tblDaily[TransfersIn],tblDaily[EntryDate],DATE(2026,9,13),tblDaily[WardCode],"FAE")),"")</f>
        <v/>
      </c>
      <c r="G331" s="29" t="str">
        <f>IFERROR(IF(SUMIFS(tblDaily[TransfersOut],tblDaily[EntryDate],DATE(2026,9,13),tblDaily[WardCode],"FAE")=0,"",SUMIFS(tblDaily[TransfersOut],tblDaily[EntryDate],DATE(2026,9,13),tblDaily[WardCode],"FAE")),"")</f>
        <v/>
      </c>
      <c r="H331" s="29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IFERROR(IF(SUMIFS(tblDaily[Admissions],tblDaily[EntryDate],DATE(2026,9,14),tblDaily[WardCode],"FAE")=0,"",SUMIFS(tblDaily[Admissions],tblDaily[EntryDate],DATE(2026,9,14),tblDaily[WardCode],"FAE")),"")</f>
        <v/>
      </c>
      <c r="C332" s="29" t="str">
        <f>IFERROR(IF(SUMIFS(tblDaily[Discharges],tblDaily[EntryDate],DATE(2026,9,14),tblDaily[WardCode],"FAE")=0,"",SUMIFS(tblDaily[Discharges],tblDaily[EntryDate],DATE(2026,9,14),tblDaily[WardCode],"FAE")),"")</f>
        <v/>
      </c>
      <c r="D332" s="29" t="str">
        <f>IFERROR(IF(SUMIFS(tblDaily[Deaths],tblDaily[EntryDate],DATE(2026,9,14),tblDaily[WardCode],"FAE")=0,"",SUMIFS(tblDaily[Deaths],tblDaily[EntryDate],DATE(2026,9,14),tblDaily[WardCode],"FAE")),"")</f>
        <v/>
      </c>
      <c r="E332" s="29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29" t="str">
        <f>IFERROR(IF(SUMIFS(tblDaily[TransfersIn],tblDaily[EntryDate],DATE(2026,9,14),tblDaily[WardCode],"FAE")=0,"",SUMIFS(tblDaily[TransfersIn],tblDaily[EntryDate],DATE(2026,9,14),tblDaily[WardCode],"FAE")),"")</f>
        <v/>
      </c>
      <c r="G332" s="29" t="str">
        <f>IFERROR(IF(SUMIFS(tblDaily[TransfersOut],tblDaily[EntryDate],DATE(2026,9,14),tblDaily[WardCode],"FAE")=0,"",SUMIFS(tblDaily[TransfersOut],tblDaily[EntryDate],DATE(2026,9,14),tblDaily[WardCode],"FAE")),"")</f>
        <v/>
      </c>
      <c r="H332" s="29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IFERROR(IF(SUMIFS(tblDaily[Admissions],tblDaily[EntryDate],DATE(2026,9,15),tblDaily[WardCode],"FAE")=0,"",SUMIFS(tblDaily[Admissions],tblDaily[EntryDate],DATE(2026,9,15),tblDaily[WardCode],"FAE")),"")</f>
        <v/>
      </c>
      <c r="C333" s="29" t="str">
        <f>IFERROR(IF(SUMIFS(tblDaily[Discharges],tblDaily[EntryDate],DATE(2026,9,15),tblDaily[WardCode],"FAE")=0,"",SUMIFS(tblDaily[Discharges],tblDaily[EntryDate],DATE(2026,9,15),tblDaily[WardCode],"FAE")),"")</f>
        <v/>
      </c>
      <c r="D333" s="29" t="str">
        <f>IFERROR(IF(SUMIFS(tblDaily[Deaths],tblDaily[EntryDate],DATE(2026,9,15),tblDaily[WardCode],"FAE")=0,"",SUMIFS(tblDaily[Deaths],tblDaily[EntryDate],DATE(2026,9,15),tblDaily[WardCode],"FAE")),"")</f>
        <v/>
      </c>
      <c r="E333" s="29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29" t="str">
        <f>IFERROR(IF(SUMIFS(tblDaily[TransfersIn],tblDaily[EntryDate],DATE(2026,9,15),tblDaily[WardCode],"FAE")=0,"",SUMIFS(tblDaily[TransfersIn],tblDaily[EntryDate],DATE(2026,9,15),tblDaily[WardCode],"FAE")),"")</f>
        <v/>
      </c>
      <c r="G333" s="29" t="str">
        <f>IFERROR(IF(SUMIFS(tblDaily[TransfersOut],tblDaily[EntryDate],DATE(2026,9,15),tblDaily[WardCode],"FAE")=0,"",SUMIFS(tblDaily[TransfersOut],tblDaily[EntryDate],DATE(2026,9,15),tblDaily[WardCode],"FAE")),"")</f>
        <v/>
      </c>
      <c r="H333" s="29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IFERROR(IF(SUMIFS(tblDaily[Admissions],tblDaily[EntryDate],DATE(2026,9,16),tblDaily[WardCode],"FAE")=0,"",SUMIFS(tblDaily[Admissions],tblDaily[EntryDate],DATE(2026,9,16),tblDaily[WardCode],"FAE")),"")</f>
        <v/>
      </c>
      <c r="C334" s="29" t="str">
        <f>IFERROR(IF(SUMIFS(tblDaily[Discharges],tblDaily[EntryDate],DATE(2026,9,16),tblDaily[WardCode],"FAE")=0,"",SUMIFS(tblDaily[Discharges],tblDaily[EntryDate],DATE(2026,9,16),tblDaily[WardCode],"FAE")),"")</f>
        <v/>
      </c>
      <c r="D334" s="29" t="str">
        <f>IFERROR(IF(SUMIFS(tblDaily[Deaths],tblDaily[EntryDate],DATE(2026,9,16),tblDaily[WardCode],"FAE")=0,"",SUMIFS(tblDaily[Deaths],tblDaily[EntryDate],DATE(2026,9,16),tblDaily[WardCode],"FAE")),"")</f>
        <v/>
      </c>
      <c r="E334" s="29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29" t="str">
        <f>IFERROR(IF(SUMIFS(tblDaily[TransfersIn],tblDaily[EntryDate],DATE(2026,9,16),tblDaily[WardCode],"FAE")=0,"",SUMIFS(tblDaily[TransfersIn],tblDaily[EntryDate],DATE(2026,9,16),tblDaily[WardCode],"FAE")),"")</f>
        <v/>
      </c>
      <c r="G334" s="29" t="str">
        <f>IFERROR(IF(SUMIFS(tblDaily[TransfersOut],tblDaily[EntryDate],DATE(2026,9,16),tblDaily[WardCode],"FAE")=0,"",SUMIFS(tblDaily[TransfersOut],tblDaily[EntryDate],DATE(2026,9,16),tblDaily[WardCode],"FAE")),"")</f>
        <v/>
      </c>
      <c r="H334" s="29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IFERROR(IF(SUMIFS(tblDaily[Admissions],tblDaily[EntryDate],DATE(2026,9,17),tblDaily[WardCode],"FAE")=0,"",SUMIFS(tblDaily[Admissions],tblDaily[EntryDate],DATE(2026,9,17),tblDaily[WardCode],"FAE")),"")</f>
        <v/>
      </c>
      <c r="C335" s="29" t="str">
        <f>IFERROR(IF(SUMIFS(tblDaily[Discharges],tblDaily[EntryDate],DATE(2026,9,17),tblDaily[WardCode],"FAE")=0,"",SUMIFS(tblDaily[Discharges],tblDaily[EntryDate],DATE(2026,9,17),tblDaily[WardCode],"FAE")),"")</f>
        <v/>
      </c>
      <c r="D335" s="29" t="str">
        <f>IFERROR(IF(SUMIFS(tblDaily[Deaths],tblDaily[EntryDate],DATE(2026,9,17),tblDaily[WardCode],"FAE")=0,"",SUMIFS(tblDaily[Deaths],tblDaily[EntryDate],DATE(2026,9,17),tblDaily[WardCode],"FAE")),"")</f>
        <v/>
      </c>
      <c r="E335" s="29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29" t="str">
        <f>IFERROR(IF(SUMIFS(tblDaily[TransfersIn],tblDaily[EntryDate],DATE(2026,9,17),tblDaily[WardCode],"FAE")=0,"",SUMIFS(tblDaily[TransfersIn],tblDaily[EntryDate],DATE(2026,9,17),tblDaily[WardCode],"FAE")),"")</f>
        <v/>
      </c>
      <c r="G335" s="29" t="str">
        <f>IFERROR(IF(SUMIFS(tblDaily[TransfersOut],tblDaily[EntryDate],DATE(2026,9,17),tblDaily[WardCode],"FAE")=0,"",SUMIFS(tblDaily[TransfersOut],tblDaily[EntryDate],DATE(2026,9,17),tblDaily[WardCode],"FAE")),"")</f>
        <v/>
      </c>
      <c r="H335" s="29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IFERROR(IF(SUMIFS(tblDaily[Admissions],tblDaily[EntryDate],DATE(2026,9,18),tblDaily[WardCode],"FAE")=0,"",SUMIFS(tblDaily[Admissions],tblDaily[EntryDate],DATE(2026,9,18),tblDaily[WardCode],"FAE")),"")</f>
        <v/>
      </c>
      <c r="C336" s="29" t="str">
        <f>IFERROR(IF(SUMIFS(tblDaily[Discharges],tblDaily[EntryDate],DATE(2026,9,18),tblDaily[WardCode],"FAE")=0,"",SUMIFS(tblDaily[Discharges],tblDaily[EntryDate],DATE(2026,9,18),tblDaily[WardCode],"FAE")),"")</f>
        <v/>
      </c>
      <c r="D336" s="29" t="str">
        <f>IFERROR(IF(SUMIFS(tblDaily[Deaths],tblDaily[EntryDate],DATE(2026,9,18),tblDaily[WardCode],"FAE")=0,"",SUMIFS(tblDaily[Deaths],tblDaily[EntryDate],DATE(2026,9,18),tblDaily[WardCode],"FAE")),"")</f>
        <v/>
      </c>
      <c r="E336" s="29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29" t="str">
        <f>IFERROR(IF(SUMIFS(tblDaily[TransfersIn],tblDaily[EntryDate],DATE(2026,9,18),tblDaily[WardCode],"FAE")=0,"",SUMIFS(tblDaily[TransfersIn],tblDaily[EntryDate],DATE(2026,9,18),tblDaily[WardCode],"FAE")),"")</f>
        <v/>
      </c>
      <c r="G336" s="29" t="str">
        <f>IFERROR(IF(SUMIFS(tblDaily[TransfersOut],tblDaily[EntryDate],DATE(2026,9,18),tblDaily[WardCode],"FAE")=0,"",SUMIFS(tblDaily[TransfersOut],tblDaily[EntryDate],DATE(2026,9,18),tblDaily[WardCode],"FAE")),"")</f>
        <v/>
      </c>
      <c r="H336" s="29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IFERROR(IF(SUMIFS(tblDaily[Admissions],tblDaily[EntryDate],DATE(2026,9,19),tblDaily[WardCode],"FAE")=0,"",SUMIFS(tblDaily[Admissions],tblDaily[EntryDate],DATE(2026,9,19),tblDaily[WardCode],"FAE")),"")</f>
        <v/>
      </c>
      <c r="C337" s="29" t="str">
        <f>IFERROR(IF(SUMIFS(tblDaily[Discharges],tblDaily[EntryDate],DATE(2026,9,19),tblDaily[WardCode],"FAE")=0,"",SUMIFS(tblDaily[Discharges],tblDaily[EntryDate],DATE(2026,9,19),tblDaily[WardCode],"FAE")),"")</f>
        <v/>
      </c>
      <c r="D337" s="29" t="str">
        <f>IFERROR(IF(SUMIFS(tblDaily[Deaths],tblDaily[EntryDate],DATE(2026,9,19),tblDaily[WardCode],"FAE")=0,"",SUMIFS(tblDaily[Deaths],tblDaily[EntryDate],DATE(2026,9,19),tblDaily[WardCode],"FAE")),"")</f>
        <v/>
      </c>
      <c r="E337" s="29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29" t="str">
        <f>IFERROR(IF(SUMIFS(tblDaily[TransfersIn],tblDaily[EntryDate],DATE(2026,9,19),tblDaily[WardCode],"FAE")=0,"",SUMIFS(tblDaily[TransfersIn],tblDaily[EntryDate],DATE(2026,9,19),tblDaily[WardCode],"FAE")),"")</f>
        <v/>
      </c>
      <c r="G337" s="29" t="str">
        <f>IFERROR(IF(SUMIFS(tblDaily[TransfersOut],tblDaily[EntryDate],DATE(2026,9,19),tblDaily[WardCode],"FAE")=0,"",SUMIFS(tblDaily[TransfersOut],tblDaily[EntryDate],DATE(2026,9,19),tblDaily[WardCode],"FAE")),"")</f>
        <v/>
      </c>
      <c r="H337" s="29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IFERROR(IF(SUMIFS(tblDaily[Admissions],tblDaily[EntryDate],DATE(2026,9,20),tblDaily[WardCode],"FAE")=0,"",SUMIFS(tblDaily[Admissions],tblDaily[EntryDate],DATE(2026,9,20),tblDaily[WardCode],"FAE")),"")</f>
        <v/>
      </c>
      <c r="C338" s="29" t="str">
        <f>IFERROR(IF(SUMIFS(tblDaily[Discharges],tblDaily[EntryDate],DATE(2026,9,20),tblDaily[WardCode],"FAE")=0,"",SUMIFS(tblDaily[Discharges],tblDaily[EntryDate],DATE(2026,9,20),tblDaily[WardCode],"FAE")),"")</f>
        <v/>
      </c>
      <c r="D338" s="29" t="str">
        <f>IFERROR(IF(SUMIFS(tblDaily[Deaths],tblDaily[EntryDate],DATE(2026,9,20),tblDaily[WardCode],"FAE")=0,"",SUMIFS(tblDaily[Deaths],tblDaily[EntryDate],DATE(2026,9,20),tblDaily[WardCode],"FAE")),"")</f>
        <v/>
      </c>
      <c r="E338" s="29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29" t="str">
        <f>IFERROR(IF(SUMIFS(tblDaily[TransfersIn],tblDaily[EntryDate],DATE(2026,9,20),tblDaily[WardCode],"FAE")=0,"",SUMIFS(tblDaily[TransfersIn],tblDaily[EntryDate],DATE(2026,9,20),tblDaily[WardCode],"FAE")),"")</f>
        <v/>
      </c>
      <c r="G338" s="29" t="str">
        <f>IFERROR(IF(SUMIFS(tblDaily[TransfersOut],tblDaily[EntryDate],DATE(2026,9,20),tblDaily[WardCode],"FAE")=0,"",SUMIFS(tblDaily[TransfersOut],tblDaily[EntryDate],DATE(2026,9,20),tblDaily[WardCode],"FAE")),"")</f>
        <v/>
      </c>
      <c r="H338" s="29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IFERROR(IF(SUMIFS(tblDaily[Admissions],tblDaily[EntryDate],DATE(2026,9,21),tblDaily[WardCode],"FAE")=0,"",SUMIFS(tblDaily[Admissions],tblDaily[EntryDate],DATE(2026,9,21),tblDaily[WardCode],"FAE")),"")</f>
        <v/>
      </c>
      <c r="C339" s="29" t="str">
        <f>IFERROR(IF(SUMIFS(tblDaily[Discharges],tblDaily[EntryDate],DATE(2026,9,21),tblDaily[WardCode],"FAE")=0,"",SUMIFS(tblDaily[Discharges],tblDaily[EntryDate],DATE(2026,9,21),tblDaily[WardCode],"FAE")),"")</f>
        <v/>
      </c>
      <c r="D339" s="29" t="str">
        <f>IFERROR(IF(SUMIFS(tblDaily[Deaths],tblDaily[EntryDate],DATE(2026,9,21),tblDaily[WardCode],"FAE")=0,"",SUMIFS(tblDaily[Deaths],tblDaily[EntryDate],DATE(2026,9,21),tblDaily[WardCode],"FAE")),"")</f>
        <v/>
      </c>
      <c r="E339" s="29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29" t="str">
        <f>IFERROR(IF(SUMIFS(tblDaily[TransfersIn],tblDaily[EntryDate],DATE(2026,9,21),tblDaily[WardCode],"FAE")=0,"",SUMIFS(tblDaily[TransfersIn],tblDaily[EntryDate],DATE(2026,9,21),tblDaily[WardCode],"FAE")),"")</f>
        <v/>
      </c>
      <c r="G339" s="29" t="str">
        <f>IFERROR(IF(SUMIFS(tblDaily[TransfersOut],tblDaily[EntryDate],DATE(2026,9,21),tblDaily[WardCode],"FAE")=0,"",SUMIFS(tblDaily[TransfersOut],tblDaily[EntryDate],DATE(2026,9,21),tblDaily[WardCode],"FAE")),"")</f>
        <v/>
      </c>
      <c r="H339" s="29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IFERROR(IF(SUMIFS(tblDaily[Admissions],tblDaily[EntryDate],DATE(2026,9,22),tblDaily[WardCode],"FAE")=0,"",SUMIFS(tblDaily[Admissions],tblDaily[EntryDate],DATE(2026,9,22),tblDaily[WardCode],"FAE")),"")</f>
        <v/>
      </c>
      <c r="C340" s="29" t="str">
        <f>IFERROR(IF(SUMIFS(tblDaily[Discharges],tblDaily[EntryDate],DATE(2026,9,22),tblDaily[WardCode],"FAE")=0,"",SUMIFS(tblDaily[Discharges],tblDaily[EntryDate],DATE(2026,9,22),tblDaily[WardCode],"FAE")),"")</f>
        <v/>
      </c>
      <c r="D340" s="29" t="str">
        <f>IFERROR(IF(SUMIFS(tblDaily[Deaths],tblDaily[EntryDate],DATE(2026,9,22),tblDaily[WardCode],"FAE")=0,"",SUMIFS(tblDaily[Deaths],tblDaily[EntryDate],DATE(2026,9,22),tblDaily[WardCode],"FAE")),"")</f>
        <v/>
      </c>
      <c r="E340" s="29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29" t="str">
        <f>IFERROR(IF(SUMIFS(tblDaily[TransfersIn],tblDaily[EntryDate],DATE(2026,9,22),tblDaily[WardCode],"FAE")=0,"",SUMIFS(tblDaily[TransfersIn],tblDaily[EntryDate],DATE(2026,9,22),tblDaily[WardCode],"FAE")),"")</f>
        <v/>
      </c>
      <c r="G340" s="29" t="str">
        <f>IFERROR(IF(SUMIFS(tblDaily[TransfersOut],tblDaily[EntryDate],DATE(2026,9,22),tblDaily[WardCode],"FAE")=0,"",SUMIFS(tblDaily[TransfersOut],tblDaily[EntryDate],DATE(2026,9,22),tblDaily[WardCode],"FAE")),"")</f>
        <v/>
      </c>
      <c r="H340" s="29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IFERROR(IF(SUMIFS(tblDaily[Admissions],tblDaily[EntryDate],DATE(2026,9,23),tblDaily[WardCode],"FAE")=0,"",SUMIFS(tblDaily[Admissions],tblDaily[EntryDate],DATE(2026,9,23),tblDaily[WardCode],"FAE")),"")</f>
        <v/>
      </c>
      <c r="C341" s="29" t="str">
        <f>IFERROR(IF(SUMIFS(tblDaily[Discharges],tblDaily[EntryDate],DATE(2026,9,23),tblDaily[WardCode],"FAE")=0,"",SUMIFS(tblDaily[Discharges],tblDaily[EntryDate],DATE(2026,9,23),tblDaily[WardCode],"FAE")),"")</f>
        <v/>
      </c>
      <c r="D341" s="29" t="str">
        <f>IFERROR(IF(SUMIFS(tblDaily[Deaths],tblDaily[EntryDate],DATE(2026,9,23),tblDaily[WardCode],"FAE")=0,"",SUMIFS(tblDaily[Deaths],tblDaily[EntryDate],DATE(2026,9,23),tblDaily[WardCode],"FAE")),"")</f>
        <v/>
      </c>
      <c r="E341" s="29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29" t="str">
        <f>IFERROR(IF(SUMIFS(tblDaily[TransfersIn],tblDaily[EntryDate],DATE(2026,9,23),tblDaily[WardCode],"FAE")=0,"",SUMIFS(tblDaily[TransfersIn],tblDaily[EntryDate],DATE(2026,9,23),tblDaily[WardCode],"FAE")),"")</f>
        <v/>
      </c>
      <c r="G341" s="29" t="str">
        <f>IFERROR(IF(SUMIFS(tblDaily[TransfersOut],tblDaily[EntryDate],DATE(2026,9,23),tblDaily[WardCode],"FAE")=0,"",SUMIFS(tblDaily[TransfersOut],tblDaily[EntryDate],DATE(2026,9,23),tblDaily[WardCode],"FAE")),"")</f>
        <v/>
      </c>
      <c r="H341" s="29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IFERROR(IF(SUMIFS(tblDaily[Admissions],tblDaily[EntryDate],DATE(2026,9,24),tblDaily[WardCode],"FAE")=0,"",SUMIFS(tblDaily[Admissions],tblDaily[EntryDate],DATE(2026,9,24),tblDaily[WardCode],"FAE")),"")</f>
        <v/>
      </c>
      <c r="C342" s="29" t="str">
        <f>IFERROR(IF(SUMIFS(tblDaily[Discharges],tblDaily[EntryDate],DATE(2026,9,24),tblDaily[WardCode],"FAE")=0,"",SUMIFS(tblDaily[Discharges],tblDaily[EntryDate],DATE(2026,9,24),tblDaily[WardCode],"FAE")),"")</f>
        <v/>
      </c>
      <c r="D342" s="29" t="str">
        <f>IFERROR(IF(SUMIFS(tblDaily[Deaths],tblDaily[EntryDate],DATE(2026,9,24),tblDaily[WardCode],"FAE")=0,"",SUMIFS(tblDaily[Deaths],tblDaily[EntryDate],DATE(2026,9,24),tblDaily[WardCode],"FAE")),"")</f>
        <v/>
      </c>
      <c r="E342" s="29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29" t="str">
        <f>IFERROR(IF(SUMIFS(tblDaily[TransfersIn],tblDaily[EntryDate],DATE(2026,9,24),tblDaily[WardCode],"FAE")=0,"",SUMIFS(tblDaily[TransfersIn],tblDaily[EntryDate],DATE(2026,9,24),tblDaily[WardCode],"FAE")),"")</f>
        <v/>
      </c>
      <c r="G342" s="29" t="str">
        <f>IFERROR(IF(SUMIFS(tblDaily[TransfersOut],tblDaily[EntryDate],DATE(2026,9,24),tblDaily[WardCode],"FAE")=0,"",SUMIFS(tblDaily[TransfersOut],tblDaily[EntryDate],DATE(2026,9,24),tblDaily[WardCode],"FAE")),"")</f>
        <v/>
      </c>
      <c r="H342" s="29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IFERROR(IF(SUMIFS(tblDaily[Admissions],tblDaily[EntryDate],DATE(2026,9,25),tblDaily[WardCode],"FAE")=0,"",SUMIFS(tblDaily[Admissions],tblDaily[EntryDate],DATE(2026,9,25),tblDaily[WardCode],"FAE")),"")</f>
        <v/>
      </c>
      <c r="C343" s="29" t="str">
        <f>IFERROR(IF(SUMIFS(tblDaily[Discharges],tblDaily[EntryDate],DATE(2026,9,25),tblDaily[WardCode],"FAE")=0,"",SUMIFS(tblDaily[Discharges],tblDaily[EntryDate],DATE(2026,9,25),tblDaily[WardCode],"FAE")),"")</f>
        <v/>
      </c>
      <c r="D343" s="29" t="str">
        <f>IFERROR(IF(SUMIFS(tblDaily[Deaths],tblDaily[EntryDate],DATE(2026,9,25),tblDaily[WardCode],"FAE")=0,"",SUMIFS(tblDaily[Deaths],tblDaily[EntryDate],DATE(2026,9,25),tblDaily[WardCode],"FAE")),"")</f>
        <v/>
      </c>
      <c r="E343" s="29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29" t="str">
        <f>IFERROR(IF(SUMIFS(tblDaily[TransfersIn],tblDaily[EntryDate],DATE(2026,9,25),tblDaily[WardCode],"FAE")=0,"",SUMIFS(tblDaily[TransfersIn],tblDaily[EntryDate],DATE(2026,9,25),tblDaily[WardCode],"FAE")),"")</f>
        <v/>
      </c>
      <c r="G343" s="29" t="str">
        <f>IFERROR(IF(SUMIFS(tblDaily[TransfersOut],tblDaily[EntryDate],DATE(2026,9,25),tblDaily[WardCode],"FAE")=0,"",SUMIFS(tblDaily[TransfersOut],tblDaily[EntryDate],DATE(2026,9,25),tblDaily[WardCode],"FAE")),"")</f>
        <v/>
      </c>
      <c r="H343" s="29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IFERROR(IF(SUMIFS(tblDaily[Admissions],tblDaily[EntryDate],DATE(2026,9,26),tblDaily[WardCode],"FAE")=0,"",SUMIFS(tblDaily[Admissions],tblDaily[EntryDate],DATE(2026,9,26),tblDaily[WardCode],"FAE")),"")</f>
        <v/>
      </c>
      <c r="C344" s="29" t="str">
        <f>IFERROR(IF(SUMIFS(tblDaily[Discharges],tblDaily[EntryDate],DATE(2026,9,26),tblDaily[WardCode],"FAE")=0,"",SUMIFS(tblDaily[Discharges],tblDaily[EntryDate],DATE(2026,9,26),tblDaily[WardCode],"FAE")),"")</f>
        <v/>
      </c>
      <c r="D344" s="29" t="str">
        <f>IFERROR(IF(SUMIFS(tblDaily[Deaths],tblDaily[EntryDate],DATE(2026,9,26),tblDaily[WardCode],"FAE")=0,"",SUMIFS(tblDaily[Deaths],tblDaily[EntryDate],DATE(2026,9,26),tblDaily[WardCode],"FAE")),"")</f>
        <v/>
      </c>
      <c r="E344" s="29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29" t="str">
        <f>IFERROR(IF(SUMIFS(tblDaily[TransfersIn],tblDaily[EntryDate],DATE(2026,9,26),tblDaily[WardCode],"FAE")=0,"",SUMIFS(tblDaily[TransfersIn],tblDaily[EntryDate],DATE(2026,9,26),tblDaily[WardCode],"FAE")),"")</f>
        <v/>
      </c>
      <c r="G344" s="29" t="str">
        <f>IFERROR(IF(SUMIFS(tblDaily[TransfersOut],tblDaily[EntryDate],DATE(2026,9,26),tblDaily[WardCode],"FAE")=0,"",SUMIFS(tblDaily[TransfersOut],tblDaily[EntryDate],DATE(2026,9,26),tblDaily[WardCode],"FAE")),"")</f>
        <v/>
      </c>
      <c r="H344" s="29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IFERROR(IF(SUMIFS(tblDaily[Admissions],tblDaily[EntryDate],DATE(2026,9,27),tblDaily[WardCode],"FAE")=0,"",SUMIFS(tblDaily[Admissions],tblDaily[EntryDate],DATE(2026,9,27),tblDaily[WardCode],"FAE")),"")</f>
        <v/>
      </c>
      <c r="C345" s="29" t="str">
        <f>IFERROR(IF(SUMIFS(tblDaily[Discharges],tblDaily[EntryDate],DATE(2026,9,27),tblDaily[WardCode],"FAE")=0,"",SUMIFS(tblDaily[Discharges],tblDaily[EntryDate],DATE(2026,9,27),tblDaily[WardCode],"FAE")),"")</f>
        <v/>
      </c>
      <c r="D345" s="29" t="str">
        <f>IFERROR(IF(SUMIFS(tblDaily[Deaths],tblDaily[EntryDate],DATE(2026,9,27),tblDaily[WardCode],"FAE")=0,"",SUMIFS(tblDaily[Deaths],tblDaily[EntryDate],DATE(2026,9,27),tblDaily[WardCode],"FAE")),"")</f>
        <v/>
      </c>
      <c r="E345" s="29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29" t="str">
        <f>IFERROR(IF(SUMIFS(tblDaily[TransfersIn],tblDaily[EntryDate],DATE(2026,9,27),tblDaily[WardCode],"FAE")=0,"",SUMIFS(tblDaily[TransfersIn],tblDaily[EntryDate],DATE(2026,9,27),tblDaily[WardCode],"FAE")),"")</f>
        <v/>
      </c>
      <c r="G345" s="29" t="str">
        <f>IFERROR(IF(SUMIFS(tblDaily[TransfersOut],tblDaily[EntryDate],DATE(2026,9,27),tblDaily[WardCode],"FAE")=0,"",SUMIFS(tblDaily[TransfersOut],tblDaily[EntryDate],DATE(2026,9,27),tblDaily[WardCode],"FAE")),"")</f>
        <v/>
      </c>
      <c r="H345" s="29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IFERROR(IF(SUMIFS(tblDaily[Admissions],tblDaily[EntryDate],DATE(2026,9,28),tblDaily[WardCode],"FAE")=0,"",SUMIFS(tblDaily[Admissions],tblDaily[EntryDate],DATE(2026,9,28),tblDaily[WardCode],"FAE")),"")</f>
        <v/>
      </c>
      <c r="C346" s="29" t="str">
        <f>IFERROR(IF(SUMIFS(tblDaily[Discharges],tblDaily[EntryDate],DATE(2026,9,28),tblDaily[WardCode],"FAE")=0,"",SUMIFS(tblDaily[Discharges],tblDaily[EntryDate],DATE(2026,9,28),tblDaily[WardCode],"FAE")),"")</f>
        <v/>
      </c>
      <c r="D346" s="29" t="str">
        <f>IFERROR(IF(SUMIFS(tblDaily[Deaths],tblDaily[EntryDate],DATE(2026,9,28),tblDaily[WardCode],"FAE")=0,"",SUMIFS(tblDaily[Deaths],tblDaily[EntryDate],DATE(2026,9,28),tblDaily[WardCode],"FAE")),"")</f>
        <v/>
      </c>
      <c r="E346" s="29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29" t="str">
        <f>IFERROR(IF(SUMIFS(tblDaily[TransfersIn],tblDaily[EntryDate],DATE(2026,9,28),tblDaily[WardCode],"FAE")=0,"",SUMIFS(tblDaily[TransfersIn],tblDaily[EntryDate],DATE(2026,9,28),tblDaily[WardCode],"FAE")),"")</f>
        <v/>
      </c>
      <c r="G346" s="29" t="str">
        <f>IFERROR(IF(SUMIFS(tblDaily[TransfersOut],tblDaily[EntryDate],DATE(2026,9,28),tblDaily[WardCode],"FAE")=0,"",SUMIFS(tblDaily[TransfersOut],tblDaily[EntryDate],DATE(2026,9,28),tblDaily[WardCode],"FAE")),"")</f>
        <v/>
      </c>
      <c r="H346" s="29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IFERROR(IF(SUMIFS(tblDaily[Admissions],tblDaily[EntryDate],DATE(2026,9,29),tblDaily[WardCode],"FAE")=0,"",SUMIFS(tblDaily[Admissions],tblDaily[EntryDate],DATE(2026,9,29),tblDaily[WardCode],"FAE")),"")</f>
        <v/>
      </c>
      <c r="C347" s="29" t="str">
        <f>IFERROR(IF(SUMIFS(tblDaily[Discharges],tblDaily[EntryDate],DATE(2026,9,29),tblDaily[WardCode],"FAE")=0,"",SUMIFS(tblDaily[Discharges],tblDaily[EntryDate],DATE(2026,9,29),tblDaily[WardCode],"FAE")),"")</f>
        <v/>
      </c>
      <c r="D347" s="29" t="str">
        <f>IFERROR(IF(SUMIFS(tblDaily[Deaths],tblDaily[EntryDate],DATE(2026,9,29),tblDaily[WardCode],"FAE")=0,"",SUMIFS(tblDaily[Deaths],tblDaily[EntryDate],DATE(2026,9,29),tblDaily[WardCode],"FAE")),"")</f>
        <v/>
      </c>
      <c r="E347" s="29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29" t="str">
        <f>IFERROR(IF(SUMIFS(tblDaily[TransfersIn],tblDaily[EntryDate],DATE(2026,9,29),tblDaily[WardCode],"FAE")=0,"",SUMIFS(tblDaily[TransfersIn],tblDaily[EntryDate],DATE(2026,9,29),tblDaily[WardCode],"FAE")),"")</f>
        <v/>
      </c>
      <c r="G347" s="29" t="str">
        <f>IFERROR(IF(SUMIFS(tblDaily[TransfersOut],tblDaily[EntryDate],DATE(2026,9,29),tblDaily[WardCode],"FAE")=0,"",SUMIFS(tblDaily[TransfersOut],tblDaily[EntryDate],DATE(2026,9,29),tblDaily[WardCode],"FAE")),"")</f>
        <v/>
      </c>
      <c r="H347" s="29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IFERROR(IF(SUMIFS(tblDaily[Admissions],tblDaily[EntryDate],DATE(2026,9,30),tblDaily[WardCode],"FAE")=0,"",SUMIFS(tblDaily[Admissions],tblDaily[EntryDate],DATE(2026,9,30),tblDaily[WardCode],"FAE")),"")</f>
        <v/>
      </c>
      <c r="C348" s="29" t="str">
        <f>IFERROR(IF(SUMIFS(tblDaily[Discharges],tblDaily[EntryDate],DATE(2026,9,30),tblDaily[WardCode],"FAE")=0,"",SUMIFS(tblDaily[Discharges],tblDaily[EntryDate],DATE(2026,9,30),tblDaily[WardCode],"FAE")),"")</f>
        <v/>
      </c>
      <c r="D348" s="29" t="str">
        <f>IFERROR(IF(SUMIFS(tblDaily[Deaths],tblDaily[EntryDate],DATE(2026,9,30),tblDaily[WardCode],"FAE")=0,"",SUMIFS(tblDaily[Deaths],tblDaily[EntryDate],DATE(2026,9,30),tblDaily[WardCode],"FAE")),"")</f>
        <v/>
      </c>
      <c r="E348" s="29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29" t="str">
        <f>IFERROR(IF(SUMIFS(tblDaily[TransfersIn],tblDaily[EntryDate],DATE(2026,9,30),tblDaily[WardCode],"FAE")=0,"",SUMIFS(tblDaily[TransfersIn],tblDaily[EntryDate],DATE(2026,9,30),tblDaily[WardCode],"FAE")),"")</f>
        <v/>
      </c>
      <c r="G348" s="29" t="str">
        <f>IFERROR(IF(SUMIFS(tblDaily[TransfersOut],tblDaily[EntryDate],DATE(2026,9,30),tblDaily[WardCode],"FAE")=0,"",SUMIFS(tblDaily[TransfersOut],tblDaily[EntryDate],DATE(2026,9,30),tblDaily[WardCode],"FAE")),"")</f>
        <v/>
      </c>
      <c r="H348" s="29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SUMIFS(tblDaily[Admissions],tblDaily[Month],9,tblDaily[WardCode],"FAE") - SUMIFS(tblDaily[DeathsUnder24Hrs],tblDaily[Month],9,tblDaily[WardCode],"FAE")</f>
        <v>0</v>
      </c>
      <c r="C350" s="30">
        <f>SUMIFS(tblDaily[Discharges],tblDaily[Month],9,tblDaily[WardCode],"FAE")</f>
        <v>0</v>
      </c>
      <c r="D350" s="30">
        <f>SUMIFS(tblDaily[Deaths],tblDaily[Month],9,tblDaily[WardCode],"FAE")</f>
        <v>0</v>
      </c>
      <c r="E350" s="30">
        <f>SUMIFS(tblDaily[DeathsUnder24Hrs],tblDaily[Month],9,tblDaily[WardCode],"FAE")</f>
        <v>0</v>
      </c>
      <c r="F350" s="30">
        <f>SUMIFS(tblDaily[TransfersIn],tblDaily[Month],9,tblDaily[WardCode],"FAE")</f>
        <v>0</v>
      </c>
      <c r="G350" s="30">
        <f>SUMIFS(tblDaily[TransfersOut],tblDaily[Month],9,tblDaily[WardCode],"FAE")</f>
        <v>0</v>
      </c>
      <c r="H350" s="30">
        <f>SUMIFS(tblDaily[Remaining],tblDaily[Month],9,tblDaily[WardCode],"FAE")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123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IFERROR(SUMIFS(tblDaily[Remaining],tblDaily[EntryDate],DATE(2026,9,30),tblDaily[WardCode],"FAE"),0)</f>
        <v>0</v>
      </c>
    </row>
    <row r="356" spans="1:8" x14ac:dyDescent="0.25">
      <c r="A356" s="24" t="s">
        <v>109</v>
      </c>
      <c r="H356" s="27">
        <f>IFERROR(INDEX(tblWardConfig[BedComplement],MATCH("FAE",tblWardConfig[WardCode],0)),0)</f>
        <v>10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IFERROR(IF(SUMIFS(tblDaily[Admissions],tblDaily[EntryDate],DATE(2026,10,1),tblDaily[WardCode],"FAE")=0,"",SUMIFS(tblDaily[Admissions],tblDaily[EntryDate],DATE(2026,10,1),tblDaily[WardCode],"FAE")),"")</f>
        <v/>
      </c>
      <c r="C358" s="29" t="str">
        <f>IFERROR(IF(SUMIFS(tblDaily[Discharges],tblDaily[EntryDate],DATE(2026,10,1),tblDaily[WardCode],"FAE")=0,"",SUMIFS(tblDaily[Discharges],tblDaily[EntryDate],DATE(2026,10,1),tblDaily[WardCode],"FAE")),"")</f>
        <v/>
      </c>
      <c r="D358" s="29" t="str">
        <f>IFERROR(IF(SUMIFS(tblDaily[Deaths],tblDaily[EntryDate],DATE(2026,10,1),tblDaily[WardCode],"FAE")=0,"",SUMIFS(tblDaily[Deaths],tblDaily[EntryDate],DATE(2026,10,1),tblDaily[WardCode],"FAE")),"")</f>
        <v/>
      </c>
      <c r="E358" s="29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29" t="str">
        <f>IFERROR(IF(SUMIFS(tblDaily[TransfersIn],tblDaily[EntryDate],DATE(2026,10,1),tblDaily[WardCode],"FAE")=0,"",SUMIFS(tblDaily[TransfersIn],tblDaily[EntryDate],DATE(2026,10,1),tblDaily[WardCode],"FAE")),"")</f>
        <v/>
      </c>
      <c r="G358" s="29" t="str">
        <f>IFERROR(IF(SUMIFS(tblDaily[TransfersOut],tblDaily[EntryDate],DATE(2026,10,1),tblDaily[WardCode],"FAE")=0,"",SUMIFS(tblDaily[TransfersOut],tblDaily[EntryDate],DATE(2026,10,1),tblDaily[WardCode],"FAE")),"")</f>
        <v/>
      </c>
      <c r="H358" s="29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IFERROR(IF(SUMIFS(tblDaily[Admissions],tblDaily[EntryDate],DATE(2026,10,2),tblDaily[WardCode],"FAE")=0,"",SUMIFS(tblDaily[Admissions],tblDaily[EntryDate],DATE(2026,10,2),tblDaily[WardCode],"FAE")),"")</f>
        <v/>
      </c>
      <c r="C359" s="29" t="str">
        <f>IFERROR(IF(SUMIFS(tblDaily[Discharges],tblDaily[EntryDate],DATE(2026,10,2),tblDaily[WardCode],"FAE")=0,"",SUMIFS(tblDaily[Discharges],tblDaily[EntryDate],DATE(2026,10,2),tblDaily[WardCode],"FAE")),"")</f>
        <v/>
      </c>
      <c r="D359" s="29" t="str">
        <f>IFERROR(IF(SUMIFS(tblDaily[Deaths],tblDaily[EntryDate],DATE(2026,10,2),tblDaily[WardCode],"FAE")=0,"",SUMIFS(tblDaily[Deaths],tblDaily[EntryDate],DATE(2026,10,2),tblDaily[WardCode],"FAE")),"")</f>
        <v/>
      </c>
      <c r="E359" s="29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29" t="str">
        <f>IFERROR(IF(SUMIFS(tblDaily[TransfersIn],tblDaily[EntryDate],DATE(2026,10,2),tblDaily[WardCode],"FAE")=0,"",SUMIFS(tblDaily[TransfersIn],tblDaily[EntryDate],DATE(2026,10,2),tblDaily[WardCode],"FAE")),"")</f>
        <v/>
      </c>
      <c r="G359" s="29" t="str">
        <f>IFERROR(IF(SUMIFS(tblDaily[TransfersOut],tblDaily[EntryDate],DATE(2026,10,2),tblDaily[WardCode],"FAE")=0,"",SUMIFS(tblDaily[TransfersOut],tblDaily[EntryDate],DATE(2026,10,2),tblDaily[WardCode],"FAE")),"")</f>
        <v/>
      </c>
      <c r="H359" s="29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IFERROR(IF(SUMIFS(tblDaily[Admissions],tblDaily[EntryDate],DATE(2026,10,3),tblDaily[WardCode],"FAE")=0,"",SUMIFS(tblDaily[Admissions],tblDaily[EntryDate],DATE(2026,10,3),tblDaily[WardCode],"FAE")),"")</f>
        <v/>
      </c>
      <c r="C360" s="29" t="str">
        <f>IFERROR(IF(SUMIFS(tblDaily[Discharges],tblDaily[EntryDate],DATE(2026,10,3),tblDaily[WardCode],"FAE")=0,"",SUMIFS(tblDaily[Discharges],tblDaily[EntryDate],DATE(2026,10,3),tblDaily[WardCode],"FAE")),"")</f>
        <v/>
      </c>
      <c r="D360" s="29" t="str">
        <f>IFERROR(IF(SUMIFS(tblDaily[Deaths],tblDaily[EntryDate],DATE(2026,10,3),tblDaily[WardCode],"FAE")=0,"",SUMIFS(tblDaily[Deaths],tblDaily[EntryDate],DATE(2026,10,3),tblDaily[WardCode],"FAE")),"")</f>
        <v/>
      </c>
      <c r="E360" s="29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29" t="str">
        <f>IFERROR(IF(SUMIFS(tblDaily[TransfersIn],tblDaily[EntryDate],DATE(2026,10,3),tblDaily[WardCode],"FAE")=0,"",SUMIFS(tblDaily[TransfersIn],tblDaily[EntryDate],DATE(2026,10,3),tblDaily[WardCode],"FAE")),"")</f>
        <v/>
      </c>
      <c r="G360" s="29" t="str">
        <f>IFERROR(IF(SUMIFS(tblDaily[TransfersOut],tblDaily[EntryDate],DATE(2026,10,3),tblDaily[WardCode],"FAE")=0,"",SUMIFS(tblDaily[TransfersOut],tblDaily[EntryDate],DATE(2026,10,3),tblDaily[WardCode],"FAE")),"")</f>
        <v/>
      </c>
      <c r="H360" s="29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IFERROR(IF(SUMIFS(tblDaily[Admissions],tblDaily[EntryDate],DATE(2026,10,4),tblDaily[WardCode],"FAE")=0,"",SUMIFS(tblDaily[Admissions],tblDaily[EntryDate],DATE(2026,10,4),tblDaily[WardCode],"FAE")),"")</f>
        <v/>
      </c>
      <c r="C361" s="29" t="str">
        <f>IFERROR(IF(SUMIFS(tblDaily[Discharges],tblDaily[EntryDate],DATE(2026,10,4),tblDaily[WardCode],"FAE")=0,"",SUMIFS(tblDaily[Discharges],tblDaily[EntryDate],DATE(2026,10,4),tblDaily[WardCode],"FAE")),"")</f>
        <v/>
      </c>
      <c r="D361" s="29" t="str">
        <f>IFERROR(IF(SUMIFS(tblDaily[Deaths],tblDaily[EntryDate],DATE(2026,10,4),tblDaily[WardCode],"FAE")=0,"",SUMIFS(tblDaily[Deaths],tblDaily[EntryDate],DATE(2026,10,4),tblDaily[WardCode],"FAE")),"")</f>
        <v/>
      </c>
      <c r="E361" s="29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29" t="str">
        <f>IFERROR(IF(SUMIFS(tblDaily[TransfersIn],tblDaily[EntryDate],DATE(2026,10,4),tblDaily[WardCode],"FAE")=0,"",SUMIFS(tblDaily[TransfersIn],tblDaily[EntryDate],DATE(2026,10,4),tblDaily[WardCode],"FAE")),"")</f>
        <v/>
      </c>
      <c r="G361" s="29" t="str">
        <f>IFERROR(IF(SUMIFS(tblDaily[TransfersOut],tblDaily[EntryDate],DATE(2026,10,4),tblDaily[WardCode],"FAE")=0,"",SUMIFS(tblDaily[TransfersOut],tblDaily[EntryDate],DATE(2026,10,4),tblDaily[WardCode],"FAE")),"")</f>
        <v/>
      </c>
      <c r="H361" s="29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IFERROR(IF(SUMIFS(tblDaily[Admissions],tblDaily[EntryDate],DATE(2026,10,5),tblDaily[WardCode],"FAE")=0,"",SUMIFS(tblDaily[Admissions],tblDaily[EntryDate],DATE(2026,10,5),tblDaily[WardCode],"FAE")),"")</f>
        <v/>
      </c>
      <c r="C362" s="29" t="str">
        <f>IFERROR(IF(SUMIFS(tblDaily[Discharges],tblDaily[EntryDate],DATE(2026,10,5),tblDaily[WardCode],"FAE")=0,"",SUMIFS(tblDaily[Discharges],tblDaily[EntryDate],DATE(2026,10,5),tblDaily[WardCode],"FAE")),"")</f>
        <v/>
      </c>
      <c r="D362" s="29" t="str">
        <f>IFERROR(IF(SUMIFS(tblDaily[Deaths],tblDaily[EntryDate],DATE(2026,10,5),tblDaily[WardCode],"FAE")=0,"",SUMIFS(tblDaily[Deaths],tblDaily[EntryDate],DATE(2026,10,5),tblDaily[WardCode],"FAE")),"")</f>
        <v/>
      </c>
      <c r="E362" s="29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29" t="str">
        <f>IFERROR(IF(SUMIFS(tblDaily[TransfersIn],tblDaily[EntryDate],DATE(2026,10,5),tblDaily[WardCode],"FAE")=0,"",SUMIFS(tblDaily[TransfersIn],tblDaily[EntryDate],DATE(2026,10,5),tblDaily[WardCode],"FAE")),"")</f>
        <v/>
      </c>
      <c r="G362" s="29" t="str">
        <f>IFERROR(IF(SUMIFS(tblDaily[TransfersOut],tblDaily[EntryDate],DATE(2026,10,5),tblDaily[WardCode],"FAE")=0,"",SUMIFS(tblDaily[TransfersOut],tblDaily[EntryDate],DATE(2026,10,5),tblDaily[WardCode],"FAE")),"")</f>
        <v/>
      </c>
      <c r="H362" s="29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IFERROR(IF(SUMIFS(tblDaily[Admissions],tblDaily[EntryDate],DATE(2026,10,6),tblDaily[WardCode],"FAE")=0,"",SUMIFS(tblDaily[Admissions],tblDaily[EntryDate],DATE(2026,10,6),tblDaily[WardCode],"FAE")),"")</f>
        <v/>
      </c>
      <c r="C363" s="29" t="str">
        <f>IFERROR(IF(SUMIFS(tblDaily[Discharges],tblDaily[EntryDate],DATE(2026,10,6),tblDaily[WardCode],"FAE")=0,"",SUMIFS(tblDaily[Discharges],tblDaily[EntryDate],DATE(2026,10,6),tblDaily[WardCode],"FAE")),"")</f>
        <v/>
      </c>
      <c r="D363" s="29" t="str">
        <f>IFERROR(IF(SUMIFS(tblDaily[Deaths],tblDaily[EntryDate],DATE(2026,10,6),tblDaily[WardCode],"FAE")=0,"",SUMIFS(tblDaily[Deaths],tblDaily[EntryDate],DATE(2026,10,6),tblDaily[WardCode],"FAE")),"")</f>
        <v/>
      </c>
      <c r="E363" s="29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29" t="str">
        <f>IFERROR(IF(SUMIFS(tblDaily[TransfersIn],tblDaily[EntryDate],DATE(2026,10,6),tblDaily[WardCode],"FAE")=0,"",SUMIFS(tblDaily[TransfersIn],tblDaily[EntryDate],DATE(2026,10,6),tblDaily[WardCode],"FAE")),"")</f>
        <v/>
      </c>
      <c r="G363" s="29" t="str">
        <f>IFERROR(IF(SUMIFS(tblDaily[TransfersOut],tblDaily[EntryDate],DATE(2026,10,6),tblDaily[WardCode],"FAE")=0,"",SUMIFS(tblDaily[TransfersOut],tblDaily[EntryDate],DATE(2026,10,6),tblDaily[WardCode],"FAE")),"")</f>
        <v/>
      </c>
      <c r="H363" s="29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IFERROR(IF(SUMIFS(tblDaily[Admissions],tblDaily[EntryDate],DATE(2026,10,7),tblDaily[WardCode],"FAE")=0,"",SUMIFS(tblDaily[Admissions],tblDaily[EntryDate],DATE(2026,10,7),tblDaily[WardCode],"FAE")),"")</f>
        <v/>
      </c>
      <c r="C364" s="29" t="str">
        <f>IFERROR(IF(SUMIFS(tblDaily[Discharges],tblDaily[EntryDate],DATE(2026,10,7),tblDaily[WardCode],"FAE")=0,"",SUMIFS(tblDaily[Discharges],tblDaily[EntryDate],DATE(2026,10,7),tblDaily[WardCode],"FAE")),"")</f>
        <v/>
      </c>
      <c r="D364" s="29" t="str">
        <f>IFERROR(IF(SUMIFS(tblDaily[Deaths],tblDaily[EntryDate],DATE(2026,10,7),tblDaily[WardCode],"FAE")=0,"",SUMIFS(tblDaily[Deaths],tblDaily[EntryDate],DATE(2026,10,7),tblDaily[WardCode],"FAE")),"")</f>
        <v/>
      </c>
      <c r="E364" s="29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29" t="str">
        <f>IFERROR(IF(SUMIFS(tblDaily[TransfersIn],tblDaily[EntryDate],DATE(2026,10,7),tblDaily[WardCode],"FAE")=0,"",SUMIFS(tblDaily[TransfersIn],tblDaily[EntryDate],DATE(2026,10,7),tblDaily[WardCode],"FAE")),"")</f>
        <v/>
      </c>
      <c r="G364" s="29" t="str">
        <f>IFERROR(IF(SUMIFS(tblDaily[TransfersOut],tblDaily[EntryDate],DATE(2026,10,7),tblDaily[WardCode],"FAE")=0,"",SUMIFS(tblDaily[TransfersOut],tblDaily[EntryDate],DATE(2026,10,7),tblDaily[WardCode],"FAE")),"")</f>
        <v/>
      </c>
      <c r="H364" s="29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IFERROR(IF(SUMIFS(tblDaily[Admissions],tblDaily[EntryDate],DATE(2026,10,8),tblDaily[WardCode],"FAE")=0,"",SUMIFS(tblDaily[Admissions],tblDaily[EntryDate],DATE(2026,10,8),tblDaily[WardCode],"FAE")),"")</f>
        <v/>
      </c>
      <c r="C365" s="29" t="str">
        <f>IFERROR(IF(SUMIFS(tblDaily[Discharges],tblDaily[EntryDate],DATE(2026,10,8),tblDaily[WardCode],"FAE")=0,"",SUMIFS(tblDaily[Discharges],tblDaily[EntryDate],DATE(2026,10,8),tblDaily[WardCode],"FAE")),"")</f>
        <v/>
      </c>
      <c r="D365" s="29" t="str">
        <f>IFERROR(IF(SUMIFS(tblDaily[Deaths],tblDaily[EntryDate],DATE(2026,10,8),tblDaily[WardCode],"FAE")=0,"",SUMIFS(tblDaily[Deaths],tblDaily[EntryDate],DATE(2026,10,8),tblDaily[WardCode],"FAE")),"")</f>
        <v/>
      </c>
      <c r="E365" s="29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29" t="str">
        <f>IFERROR(IF(SUMIFS(tblDaily[TransfersIn],tblDaily[EntryDate],DATE(2026,10,8),tblDaily[WardCode],"FAE")=0,"",SUMIFS(tblDaily[TransfersIn],tblDaily[EntryDate],DATE(2026,10,8),tblDaily[WardCode],"FAE")),"")</f>
        <v/>
      </c>
      <c r="G365" s="29" t="str">
        <f>IFERROR(IF(SUMIFS(tblDaily[TransfersOut],tblDaily[EntryDate],DATE(2026,10,8),tblDaily[WardCode],"FAE")=0,"",SUMIFS(tblDaily[TransfersOut],tblDaily[EntryDate],DATE(2026,10,8),tblDaily[WardCode],"FAE")),"")</f>
        <v/>
      </c>
      <c r="H365" s="29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IFERROR(IF(SUMIFS(tblDaily[Admissions],tblDaily[EntryDate],DATE(2026,10,9),tblDaily[WardCode],"FAE")=0,"",SUMIFS(tblDaily[Admissions],tblDaily[EntryDate],DATE(2026,10,9),tblDaily[WardCode],"FAE")),"")</f>
        <v/>
      </c>
      <c r="C366" s="29" t="str">
        <f>IFERROR(IF(SUMIFS(tblDaily[Discharges],tblDaily[EntryDate],DATE(2026,10,9),tblDaily[WardCode],"FAE")=0,"",SUMIFS(tblDaily[Discharges],tblDaily[EntryDate],DATE(2026,10,9),tblDaily[WardCode],"FAE")),"")</f>
        <v/>
      </c>
      <c r="D366" s="29" t="str">
        <f>IFERROR(IF(SUMIFS(tblDaily[Deaths],tblDaily[EntryDate],DATE(2026,10,9),tblDaily[WardCode],"FAE")=0,"",SUMIFS(tblDaily[Deaths],tblDaily[EntryDate],DATE(2026,10,9),tblDaily[WardCode],"FAE")),"")</f>
        <v/>
      </c>
      <c r="E366" s="29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29" t="str">
        <f>IFERROR(IF(SUMIFS(tblDaily[TransfersIn],tblDaily[EntryDate],DATE(2026,10,9),tblDaily[WardCode],"FAE")=0,"",SUMIFS(tblDaily[TransfersIn],tblDaily[EntryDate],DATE(2026,10,9),tblDaily[WardCode],"FAE")),"")</f>
        <v/>
      </c>
      <c r="G366" s="29" t="str">
        <f>IFERROR(IF(SUMIFS(tblDaily[TransfersOut],tblDaily[EntryDate],DATE(2026,10,9),tblDaily[WardCode],"FAE")=0,"",SUMIFS(tblDaily[TransfersOut],tblDaily[EntryDate],DATE(2026,10,9),tblDaily[WardCode],"FAE")),"")</f>
        <v/>
      </c>
      <c r="H366" s="29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IFERROR(IF(SUMIFS(tblDaily[Admissions],tblDaily[EntryDate],DATE(2026,10,10),tblDaily[WardCode],"FAE")=0,"",SUMIFS(tblDaily[Admissions],tblDaily[EntryDate],DATE(2026,10,10),tblDaily[WardCode],"FAE")),"")</f>
        <v/>
      </c>
      <c r="C367" s="29" t="str">
        <f>IFERROR(IF(SUMIFS(tblDaily[Discharges],tblDaily[EntryDate],DATE(2026,10,10),tblDaily[WardCode],"FAE")=0,"",SUMIFS(tblDaily[Discharges],tblDaily[EntryDate],DATE(2026,10,10),tblDaily[WardCode],"FAE")),"")</f>
        <v/>
      </c>
      <c r="D367" s="29" t="str">
        <f>IFERROR(IF(SUMIFS(tblDaily[Deaths],tblDaily[EntryDate],DATE(2026,10,10),tblDaily[WardCode],"FAE")=0,"",SUMIFS(tblDaily[Deaths],tblDaily[EntryDate],DATE(2026,10,10),tblDaily[WardCode],"FAE")),"")</f>
        <v/>
      </c>
      <c r="E367" s="29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29" t="str">
        <f>IFERROR(IF(SUMIFS(tblDaily[TransfersIn],tblDaily[EntryDate],DATE(2026,10,10),tblDaily[WardCode],"FAE")=0,"",SUMIFS(tblDaily[TransfersIn],tblDaily[EntryDate],DATE(2026,10,10),tblDaily[WardCode],"FAE")),"")</f>
        <v/>
      </c>
      <c r="G367" s="29" t="str">
        <f>IFERROR(IF(SUMIFS(tblDaily[TransfersOut],tblDaily[EntryDate],DATE(2026,10,10),tblDaily[WardCode],"FAE")=0,"",SUMIFS(tblDaily[TransfersOut],tblDaily[EntryDate],DATE(2026,10,10),tblDaily[WardCode],"FAE")),"")</f>
        <v/>
      </c>
      <c r="H367" s="29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IFERROR(IF(SUMIFS(tblDaily[Admissions],tblDaily[EntryDate],DATE(2026,10,11),tblDaily[WardCode],"FAE")=0,"",SUMIFS(tblDaily[Admissions],tblDaily[EntryDate],DATE(2026,10,11),tblDaily[WardCode],"FAE")),"")</f>
        <v/>
      </c>
      <c r="C368" s="29" t="str">
        <f>IFERROR(IF(SUMIFS(tblDaily[Discharges],tblDaily[EntryDate],DATE(2026,10,11),tblDaily[WardCode],"FAE")=0,"",SUMIFS(tblDaily[Discharges],tblDaily[EntryDate],DATE(2026,10,11),tblDaily[WardCode],"FAE")),"")</f>
        <v/>
      </c>
      <c r="D368" s="29" t="str">
        <f>IFERROR(IF(SUMIFS(tblDaily[Deaths],tblDaily[EntryDate],DATE(2026,10,11),tblDaily[WardCode],"FAE")=0,"",SUMIFS(tblDaily[Deaths],tblDaily[EntryDate],DATE(2026,10,11),tblDaily[WardCode],"FAE")),"")</f>
        <v/>
      </c>
      <c r="E368" s="29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29" t="str">
        <f>IFERROR(IF(SUMIFS(tblDaily[TransfersIn],tblDaily[EntryDate],DATE(2026,10,11),tblDaily[WardCode],"FAE")=0,"",SUMIFS(tblDaily[TransfersIn],tblDaily[EntryDate],DATE(2026,10,11),tblDaily[WardCode],"FAE")),"")</f>
        <v/>
      </c>
      <c r="G368" s="29" t="str">
        <f>IFERROR(IF(SUMIFS(tblDaily[TransfersOut],tblDaily[EntryDate],DATE(2026,10,11),tblDaily[WardCode],"FAE")=0,"",SUMIFS(tblDaily[TransfersOut],tblDaily[EntryDate],DATE(2026,10,11),tblDaily[WardCode],"FAE")),"")</f>
        <v/>
      </c>
      <c r="H368" s="29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IFERROR(IF(SUMIFS(tblDaily[Admissions],tblDaily[EntryDate],DATE(2026,10,12),tblDaily[WardCode],"FAE")=0,"",SUMIFS(tblDaily[Admissions],tblDaily[EntryDate],DATE(2026,10,12),tblDaily[WardCode],"FAE")),"")</f>
        <v/>
      </c>
      <c r="C369" s="29" t="str">
        <f>IFERROR(IF(SUMIFS(tblDaily[Discharges],tblDaily[EntryDate],DATE(2026,10,12),tblDaily[WardCode],"FAE")=0,"",SUMIFS(tblDaily[Discharges],tblDaily[EntryDate],DATE(2026,10,12),tblDaily[WardCode],"FAE")),"")</f>
        <v/>
      </c>
      <c r="D369" s="29" t="str">
        <f>IFERROR(IF(SUMIFS(tblDaily[Deaths],tblDaily[EntryDate],DATE(2026,10,12),tblDaily[WardCode],"FAE")=0,"",SUMIFS(tblDaily[Deaths],tblDaily[EntryDate],DATE(2026,10,12),tblDaily[WardCode],"FAE")),"")</f>
        <v/>
      </c>
      <c r="E369" s="29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29" t="str">
        <f>IFERROR(IF(SUMIFS(tblDaily[TransfersIn],tblDaily[EntryDate],DATE(2026,10,12),tblDaily[WardCode],"FAE")=0,"",SUMIFS(tblDaily[TransfersIn],tblDaily[EntryDate],DATE(2026,10,12),tblDaily[WardCode],"FAE")),"")</f>
        <v/>
      </c>
      <c r="G369" s="29" t="str">
        <f>IFERROR(IF(SUMIFS(tblDaily[TransfersOut],tblDaily[EntryDate],DATE(2026,10,12),tblDaily[WardCode],"FAE")=0,"",SUMIFS(tblDaily[TransfersOut],tblDaily[EntryDate],DATE(2026,10,12),tblDaily[WardCode],"FAE")),"")</f>
        <v/>
      </c>
      <c r="H369" s="29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IFERROR(IF(SUMIFS(tblDaily[Admissions],tblDaily[EntryDate],DATE(2026,10,13),tblDaily[WardCode],"FAE")=0,"",SUMIFS(tblDaily[Admissions],tblDaily[EntryDate],DATE(2026,10,13),tblDaily[WardCode],"FAE")),"")</f>
        <v/>
      </c>
      <c r="C370" s="29" t="str">
        <f>IFERROR(IF(SUMIFS(tblDaily[Discharges],tblDaily[EntryDate],DATE(2026,10,13),tblDaily[WardCode],"FAE")=0,"",SUMIFS(tblDaily[Discharges],tblDaily[EntryDate],DATE(2026,10,13),tblDaily[WardCode],"FAE")),"")</f>
        <v/>
      </c>
      <c r="D370" s="29" t="str">
        <f>IFERROR(IF(SUMIFS(tblDaily[Deaths],tblDaily[EntryDate],DATE(2026,10,13),tblDaily[WardCode],"FAE")=0,"",SUMIFS(tblDaily[Deaths],tblDaily[EntryDate],DATE(2026,10,13),tblDaily[WardCode],"FAE")),"")</f>
        <v/>
      </c>
      <c r="E370" s="29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29" t="str">
        <f>IFERROR(IF(SUMIFS(tblDaily[TransfersIn],tblDaily[EntryDate],DATE(2026,10,13),tblDaily[WardCode],"FAE")=0,"",SUMIFS(tblDaily[TransfersIn],tblDaily[EntryDate],DATE(2026,10,13),tblDaily[WardCode],"FAE")),"")</f>
        <v/>
      </c>
      <c r="G370" s="29" t="str">
        <f>IFERROR(IF(SUMIFS(tblDaily[TransfersOut],tblDaily[EntryDate],DATE(2026,10,13),tblDaily[WardCode],"FAE")=0,"",SUMIFS(tblDaily[TransfersOut],tblDaily[EntryDate],DATE(2026,10,13),tblDaily[WardCode],"FAE")),"")</f>
        <v/>
      </c>
      <c r="H370" s="29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IFERROR(IF(SUMIFS(tblDaily[Admissions],tblDaily[EntryDate],DATE(2026,10,14),tblDaily[WardCode],"FAE")=0,"",SUMIFS(tblDaily[Admissions],tblDaily[EntryDate],DATE(2026,10,14),tblDaily[WardCode],"FAE")),"")</f>
        <v/>
      </c>
      <c r="C371" s="29" t="str">
        <f>IFERROR(IF(SUMIFS(tblDaily[Discharges],tblDaily[EntryDate],DATE(2026,10,14),tblDaily[WardCode],"FAE")=0,"",SUMIFS(tblDaily[Discharges],tblDaily[EntryDate],DATE(2026,10,14),tblDaily[WardCode],"FAE")),"")</f>
        <v/>
      </c>
      <c r="D371" s="29" t="str">
        <f>IFERROR(IF(SUMIFS(tblDaily[Deaths],tblDaily[EntryDate],DATE(2026,10,14),tblDaily[WardCode],"FAE")=0,"",SUMIFS(tblDaily[Deaths],tblDaily[EntryDate],DATE(2026,10,14),tblDaily[WardCode],"FAE")),"")</f>
        <v/>
      </c>
      <c r="E371" s="29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29" t="str">
        <f>IFERROR(IF(SUMIFS(tblDaily[TransfersIn],tblDaily[EntryDate],DATE(2026,10,14),tblDaily[WardCode],"FAE")=0,"",SUMIFS(tblDaily[TransfersIn],tblDaily[EntryDate],DATE(2026,10,14),tblDaily[WardCode],"FAE")),"")</f>
        <v/>
      </c>
      <c r="G371" s="29" t="str">
        <f>IFERROR(IF(SUMIFS(tblDaily[TransfersOut],tblDaily[EntryDate],DATE(2026,10,14),tblDaily[WardCode],"FAE")=0,"",SUMIFS(tblDaily[TransfersOut],tblDaily[EntryDate],DATE(2026,10,14),tblDaily[WardCode],"FAE")),"")</f>
        <v/>
      </c>
      <c r="H371" s="29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IFERROR(IF(SUMIFS(tblDaily[Admissions],tblDaily[EntryDate],DATE(2026,10,15),tblDaily[WardCode],"FAE")=0,"",SUMIFS(tblDaily[Admissions],tblDaily[EntryDate],DATE(2026,10,15),tblDaily[WardCode],"FAE")),"")</f>
        <v/>
      </c>
      <c r="C372" s="29" t="str">
        <f>IFERROR(IF(SUMIFS(tblDaily[Discharges],tblDaily[EntryDate],DATE(2026,10,15),tblDaily[WardCode],"FAE")=0,"",SUMIFS(tblDaily[Discharges],tblDaily[EntryDate],DATE(2026,10,15),tblDaily[WardCode],"FAE")),"")</f>
        <v/>
      </c>
      <c r="D372" s="29" t="str">
        <f>IFERROR(IF(SUMIFS(tblDaily[Deaths],tblDaily[EntryDate],DATE(2026,10,15),tblDaily[WardCode],"FAE")=0,"",SUMIFS(tblDaily[Deaths],tblDaily[EntryDate],DATE(2026,10,15),tblDaily[WardCode],"FAE")),"")</f>
        <v/>
      </c>
      <c r="E372" s="29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29" t="str">
        <f>IFERROR(IF(SUMIFS(tblDaily[TransfersIn],tblDaily[EntryDate],DATE(2026,10,15),tblDaily[WardCode],"FAE")=0,"",SUMIFS(tblDaily[TransfersIn],tblDaily[EntryDate],DATE(2026,10,15),tblDaily[WardCode],"FAE")),"")</f>
        <v/>
      </c>
      <c r="G372" s="29" t="str">
        <f>IFERROR(IF(SUMIFS(tblDaily[TransfersOut],tblDaily[EntryDate],DATE(2026,10,15),tblDaily[WardCode],"FAE")=0,"",SUMIFS(tblDaily[TransfersOut],tblDaily[EntryDate],DATE(2026,10,15),tblDaily[WardCode],"FAE")),"")</f>
        <v/>
      </c>
      <c r="H372" s="29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IFERROR(IF(SUMIFS(tblDaily[Admissions],tblDaily[EntryDate],DATE(2026,10,16),tblDaily[WardCode],"FAE")=0,"",SUMIFS(tblDaily[Admissions],tblDaily[EntryDate],DATE(2026,10,16),tblDaily[WardCode],"FAE")),"")</f>
        <v/>
      </c>
      <c r="C373" s="29" t="str">
        <f>IFERROR(IF(SUMIFS(tblDaily[Discharges],tblDaily[EntryDate],DATE(2026,10,16),tblDaily[WardCode],"FAE")=0,"",SUMIFS(tblDaily[Discharges],tblDaily[EntryDate],DATE(2026,10,16),tblDaily[WardCode],"FAE")),"")</f>
        <v/>
      </c>
      <c r="D373" s="29" t="str">
        <f>IFERROR(IF(SUMIFS(tblDaily[Deaths],tblDaily[EntryDate],DATE(2026,10,16),tblDaily[WardCode],"FAE")=0,"",SUMIFS(tblDaily[Deaths],tblDaily[EntryDate],DATE(2026,10,16),tblDaily[WardCode],"FAE")),"")</f>
        <v/>
      </c>
      <c r="E373" s="29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29" t="str">
        <f>IFERROR(IF(SUMIFS(tblDaily[TransfersIn],tblDaily[EntryDate],DATE(2026,10,16),tblDaily[WardCode],"FAE")=0,"",SUMIFS(tblDaily[TransfersIn],tblDaily[EntryDate],DATE(2026,10,16),tblDaily[WardCode],"FAE")),"")</f>
        <v/>
      </c>
      <c r="G373" s="29" t="str">
        <f>IFERROR(IF(SUMIFS(tblDaily[TransfersOut],tblDaily[EntryDate],DATE(2026,10,16),tblDaily[WardCode],"FAE")=0,"",SUMIFS(tblDaily[TransfersOut],tblDaily[EntryDate],DATE(2026,10,16),tblDaily[WardCode],"FAE")),"")</f>
        <v/>
      </c>
      <c r="H373" s="29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IFERROR(IF(SUMIFS(tblDaily[Admissions],tblDaily[EntryDate],DATE(2026,10,17),tblDaily[WardCode],"FAE")=0,"",SUMIFS(tblDaily[Admissions],tblDaily[EntryDate],DATE(2026,10,17),tblDaily[WardCode],"FAE")),"")</f>
        <v/>
      </c>
      <c r="C374" s="29" t="str">
        <f>IFERROR(IF(SUMIFS(tblDaily[Discharges],tblDaily[EntryDate],DATE(2026,10,17),tblDaily[WardCode],"FAE")=0,"",SUMIFS(tblDaily[Discharges],tblDaily[EntryDate],DATE(2026,10,17),tblDaily[WardCode],"FAE")),"")</f>
        <v/>
      </c>
      <c r="D374" s="29" t="str">
        <f>IFERROR(IF(SUMIFS(tblDaily[Deaths],tblDaily[EntryDate],DATE(2026,10,17),tblDaily[WardCode],"FAE")=0,"",SUMIFS(tblDaily[Deaths],tblDaily[EntryDate],DATE(2026,10,17),tblDaily[WardCode],"FAE")),"")</f>
        <v/>
      </c>
      <c r="E374" s="29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29" t="str">
        <f>IFERROR(IF(SUMIFS(tblDaily[TransfersIn],tblDaily[EntryDate],DATE(2026,10,17),tblDaily[WardCode],"FAE")=0,"",SUMIFS(tblDaily[TransfersIn],tblDaily[EntryDate],DATE(2026,10,17),tblDaily[WardCode],"FAE")),"")</f>
        <v/>
      </c>
      <c r="G374" s="29" t="str">
        <f>IFERROR(IF(SUMIFS(tblDaily[TransfersOut],tblDaily[EntryDate],DATE(2026,10,17),tblDaily[WardCode],"FAE")=0,"",SUMIFS(tblDaily[TransfersOut],tblDaily[EntryDate],DATE(2026,10,17),tblDaily[WardCode],"FAE")),"")</f>
        <v/>
      </c>
      <c r="H374" s="29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IFERROR(IF(SUMIFS(tblDaily[Admissions],tblDaily[EntryDate],DATE(2026,10,18),tblDaily[WardCode],"FAE")=0,"",SUMIFS(tblDaily[Admissions],tblDaily[EntryDate],DATE(2026,10,18),tblDaily[WardCode],"FAE")),"")</f>
        <v/>
      </c>
      <c r="C375" s="29" t="str">
        <f>IFERROR(IF(SUMIFS(tblDaily[Discharges],tblDaily[EntryDate],DATE(2026,10,18),tblDaily[WardCode],"FAE")=0,"",SUMIFS(tblDaily[Discharges],tblDaily[EntryDate],DATE(2026,10,18),tblDaily[WardCode],"FAE")),"")</f>
        <v/>
      </c>
      <c r="D375" s="29" t="str">
        <f>IFERROR(IF(SUMIFS(tblDaily[Deaths],tblDaily[EntryDate],DATE(2026,10,18),tblDaily[WardCode],"FAE")=0,"",SUMIFS(tblDaily[Deaths],tblDaily[EntryDate],DATE(2026,10,18),tblDaily[WardCode],"FAE")),"")</f>
        <v/>
      </c>
      <c r="E375" s="29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29" t="str">
        <f>IFERROR(IF(SUMIFS(tblDaily[TransfersIn],tblDaily[EntryDate],DATE(2026,10,18),tblDaily[WardCode],"FAE")=0,"",SUMIFS(tblDaily[TransfersIn],tblDaily[EntryDate],DATE(2026,10,18),tblDaily[WardCode],"FAE")),"")</f>
        <v/>
      </c>
      <c r="G375" s="29" t="str">
        <f>IFERROR(IF(SUMIFS(tblDaily[TransfersOut],tblDaily[EntryDate],DATE(2026,10,18),tblDaily[WardCode],"FAE")=0,"",SUMIFS(tblDaily[TransfersOut],tblDaily[EntryDate],DATE(2026,10,18),tblDaily[WardCode],"FAE")),"")</f>
        <v/>
      </c>
      <c r="H375" s="29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IFERROR(IF(SUMIFS(tblDaily[Admissions],tblDaily[EntryDate],DATE(2026,10,19),tblDaily[WardCode],"FAE")=0,"",SUMIFS(tblDaily[Admissions],tblDaily[EntryDate],DATE(2026,10,19),tblDaily[WardCode],"FAE")),"")</f>
        <v/>
      </c>
      <c r="C376" s="29" t="str">
        <f>IFERROR(IF(SUMIFS(tblDaily[Discharges],tblDaily[EntryDate],DATE(2026,10,19),tblDaily[WardCode],"FAE")=0,"",SUMIFS(tblDaily[Discharges],tblDaily[EntryDate],DATE(2026,10,19),tblDaily[WardCode],"FAE")),"")</f>
        <v/>
      </c>
      <c r="D376" s="29" t="str">
        <f>IFERROR(IF(SUMIFS(tblDaily[Deaths],tblDaily[EntryDate],DATE(2026,10,19),tblDaily[WardCode],"FAE")=0,"",SUMIFS(tblDaily[Deaths],tblDaily[EntryDate],DATE(2026,10,19),tblDaily[WardCode],"FAE")),"")</f>
        <v/>
      </c>
      <c r="E376" s="29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29" t="str">
        <f>IFERROR(IF(SUMIFS(tblDaily[TransfersIn],tblDaily[EntryDate],DATE(2026,10,19),tblDaily[WardCode],"FAE")=0,"",SUMIFS(tblDaily[TransfersIn],tblDaily[EntryDate],DATE(2026,10,19),tblDaily[WardCode],"FAE")),"")</f>
        <v/>
      </c>
      <c r="G376" s="29" t="str">
        <f>IFERROR(IF(SUMIFS(tblDaily[TransfersOut],tblDaily[EntryDate],DATE(2026,10,19),tblDaily[WardCode],"FAE")=0,"",SUMIFS(tblDaily[TransfersOut],tblDaily[EntryDate],DATE(2026,10,19),tblDaily[WardCode],"FAE")),"")</f>
        <v/>
      </c>
      <c r="H376" s="29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IFERROR(IF(SUMIFS(tblDaily[Admissions],tblDaily[EntryDate],DATE(2026,10,20),tblDaily[WardCode],"FAE")=0,"",SUMIFS(tblDaily[Admissions],tblDaily[EntryDate],DATE(2026,10,20),tblDaily[WardCode],"FAE")),"")</f>
        <v/>
      </c>
      <c r="C377" s="29" t="str">
        <f>IFERROR(IF(SUMIFS(tblDaily[Discharges],tblDaily[EntryDate],DATE(2026,10,20),tblDaily[WardCode],"FAE")=0,"",SUMIFS(tblDaily[Discharges],tblDaily[EntryDate],DATE(2026,10,20),tblDaily[WardCode],"FAE")),"")</f>
        <v/>
      </c>
      <c r="D377" s="29" t="str">
        <f>IFERROR(IF(SUMIFS(tblDaily[Deaths],tblDaily[EntryDate],DATE(2026,10,20),tblDaily[WardCode],"FAE")=0,"",SUMIFS(tblDaily[Deaths],tblDaily[EntryDate],DATE(2026,10,20),tblDaily[WardCode],"FAE")),"")</f>
        <v/>
      </c>
      <c r="E377" s="29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29" t="str">
        <f>IFERROR(IF(SUMIFS(tblDaily[TransfersIn],tblDaily[EntryDate],DATE(2026,10,20),tblDaily[WardCode],"FAE")=0,"",SUMIFS(tblDaily[TransfersIn],tblDaily[EntryDate],DATE(2026,10,20),tblDaily[WardCode],"FAE")),"")</f>
        <v/>
      </c>
      <c r="G377" s="29" t="str">
        <f>IFERROR(IF(SUMIFS(tblDaily[TransfersOut],tblDaily[EntryDate],DATE(2026,10,20),tblDaily[WardCode],"FAE")=0,"",SUMIFS(tblDaily[TransfersOut],tblDaily[EntryDate],DATE(2026,10,20),tblDaily[WardCode],"FAE")),"")</f>
        <v/>
      </c>
      <c r="H377" s="29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IFERROR(IF(SUMIFS(tblDaily[Admissions],tblDaily[EntryDate],DATE(2026,10,21),tblDaily[WardCode],"FAE")=0,"",SUMIFS(tblDaily[Admissions],tblDaily[EntryDate],DATE(2026,10,21),tblDaily[WardCode],"FAE")),"")</f>
        <v/>
      </c>
      <c r="C378" s="29" t="str">
        <f>IFERROR(IF(SUMIFS(tblDaily[Discharges],tblDaily[EntryDate],DATE(2026,10,21),tblDaily[WardCode],"FAE")=0,"",SUMIFS(tblDaily[Discharges],tblDaily[EntryDate],DATE(2026,10,21),tblDaily[WardCode],"FAE")),"")</f>
        <v/>
      </c>
      <c r="D378" s="29" t="str">
        <f>IFERROR(IF(SUMIFS(tblDaily[Deaths],tblDaily[EntryDate],DATE(2026,10,21),tblDaily[WardCode],"FAE")=0,"",SUMIFS(tblDaily[Deaths],tblDaily[EntryDate],DATE(2026,10,21),tblDaily[WardCode],"FAE")),"")</f>
        <v/>
      </c>
      <c r="E378" s="29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29" t="str">
        <f>IFERROR(IF(SUMIFS(tblDaily[TransfersIn],tblDaily[EntryDate],DATE(2026,10,21),tblDaily[WardCode],"FAE")=0,"",SUMIFS(tblDaily[TransfersIn],tblDaily[EntryDate],DATE(2026,10,21),tblDaily[WardCode],"FAE")),"")</f>
        <v/>
      </c>
      <c r="G378" s="29" t="str">
        <f>IFERROR(IF(SUMIFS(tblDaily[TransfersOut],tblDaily[EntryDate],DATE(2026,10,21),tblDaily[WardCode],"FAE")=0,"",SUMIFS(tblDaily[TransfersOut],tblDaily[EntryDate],DATE(2026,10,21),tblDaily[WardCode],"FAE")),"")</f>
        <v/>
      </c>
      <c r="H378" s="29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IFERROR(IF(SUMIFS(tblDaily[Admissions],tblDaily[EntryDate],DATE(2026,10,22),tblDaily[WardCode],"FAE")=0,"",SUMIFS(tblDaily[Admissions],tblDaily[EntryDate],DATE(2026,10,22),tblDaily[WardCode],"FAE")),"")</f>
        <v/>
      </c>
      <c r="C379" s="29" t="str">
        <f>IFERROR(IF(SUMIFS(tblDaily[Discharges],tblDaily[EntryDate],DATE(2026,10,22),tblDaily[WardCode],"FAE")=0,"",SUMIFS(tblDaily[Discharges],tblDaily[EntryDate],DATE(2026,10,22),tblDaily[WardCode],"FAE")),"")</f>
        <v/>
      </c>
      <c r="D379" s="29" t="str">
        <f>IFERROR(IF(SUMIFS(tblDaily[Deaths],tblDaily[EntryDate],DATE(2026,10,22),tblDaily[WardCode],"FAE")=0,"",SUMIFS(tblDaily[Deaths],tblDaily[EntryDate],DATE(2026,10,22),tblDaily[WardCode],"FAE")),"")</f>
        <v/>
      </c>
      <c r="E379" s="29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29" t="str">
        <f>IFERROR(IF(SUMIFS(tblDaily[TransfersIn],tblDaily[EntryDate],DATE(2026,10,22),tblDaily[WardCode],"FAE")=0,"",SUMIFS(tblDaily[TransfersIn],tblDaily[EntryDate],DATE(2026,10,22),tblDaily[WardCode],"FAE")),"")</f>
        <v/>
      </c>
      <c r="G379" s="29" t="str">
        <f>IFERROR(IF(SUMIFS(tblDaily[TransfersOut],tblDaily[EntryDate],DATE(2026,10,22),tblDaily[WardCode],"FAE")=0,"",SUMIFS(tblDaily[TransfersOut],tblDaily[EntryDate],DATE(2026,10,22),tblDaily[WardCode],"FAE")),"")</f>
        <v/>
      </c>
      <c r="H379" s="29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IFERROR(IF(SUMIFS(tblDaily[Admissions],tblDaily[EntryDate],DATE(2026,10,23),tblDaily[WardCode],"FAE")=0,"",SUMIFS(tblDaily[Admissions],tblDaily[EntryDate],DATE(2026,10,23),tblDaily[WardCode],"FAE")),"")</f>
        <v/>
      </c>
      <c r="C380" s="29" t="str">
        <f>IFERROR(IF(SUMIFS(tblDaily[Discharges],tblDaily[EntryDate],DATE(2026,10,23),tblDaily[WardCode],"FAE")=0,"",SUMIFS(tblDaily[Discharges],tblDaily[EntryDate],DATE(2026,10,23),tblDaily[WardCode],"FAE")),"")</f>
        <v/>
      </c>
      <c r="D380" s="29" t="str">
        <f>IFERROR(IF(SUMIFS(tblDaily[Deaths],tblDaily[EntryDate],DATE(2026,10,23),tblDaily[WardCode],"FAE")=0,"",SUMIFS(tblDaily[Deaths],tblDaily[EntryDate],DATE(2026,10,23),tblDaily[WardCode],"FAE")),"")</f>
        <v/>
      </c>
      <c r="E380" s="29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29" t="str">
        <f>IFERROR(IF(SUMIFS(tblDaily[TransfersIn],tblDaily[EntryDate],DATE(2026,10,23),tblDaily[WardCode],"FAE")=0,"",SUMIFS(tblDaily[TransfersIn],tblDaily[EntryDate],DATE(2026,10,23),tblDaily[WardCode],"FAE")),"")</f>
        <v/>
      </c>
      <c r="G380" s="29" t="str">
        <f>IFERROR(IF(SUMIFS(tblDaily[TransfersOut],tblDaily[EntryDate],DATE(2026,10,23),tblDaily[WardCode],"FAE")=0,"",SUMIFS(tblDaily[TransfersOut],tblDaily[EntryDate],DATE(2026,10,23),tblDaily[WardCode],"FAE")),"")</f>
        <v/>
      </c>
      <c r="H380" s="29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IFERROR(IF(SUMIFS(tblDaily[Admissions],tblDaily[EntryDate],DATE(2026,10,24),tblDaily[WardCode],"FAE")=0,"",SUMIFS(tblDaily[Admissions],tblDaily[EntryDate],DATE(2026,10,24),tblDaily[WardCode],"FAE")),"")</f>
        <v/>
      </c>
      <c r="C381" s="29" t="str">
        <f>IFERROR(IF(SUMIFS(tblDaily[Discharges],tblDaily[EntryDate],DATE(2026,10,24),tblDaily[WardCode],"FAE")=0,"",SUMIFS(tblDaily[Discharges],tblDaily[EntryDate],DATE(2026,10,24),tblDaily[WardCode],"FAE")),"")</f>
        <v/>
      </c>
      <c r="D381" s="29" t="str">
        <f>IFERROR(IF(SUMIFS(tblDaily[Deaths],tblDaily[EntryDate],DATE(2026,10,24),tblDaily[WardCode],"FAE")=0,"",SUMIFS(tblDaily[Deaths],tblDaily[EntryDate],DATE(2026,10,24),tblDaily[WardCode],"FAE")),"")</f>
        <v/>
      </c>
      <c r="E381" s="29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29" t="str">
        <f>IFERROR(IF(SUMIFS(tblDaily[TransfersIn],tblDaily[EntryDate],DATE(2026,10,24),tblDaily[WardCode],"FAE")=0,"",SUMIFS(tblDaily[TransfersIn],tblDaily[EntryDate],DATE(2026,10,24),tblDaily[WardCode],"FAE")),"")</f>
        <v/>
      </c>
      <c r="G381" s="29" t="str">
        <f>IFERROR(IF(SUMIFS(tblDaily[TransfersOut],tblDaily[EntryDate],DATE(2026,10,24),tblDaily[WardCode],"FAE")=0,"",SUMIFS(tblDaily[TransfersOut],tblDaily[EntryDate],DATE(2026,10,24),tblDaily[WardCode],"FAE")),"")</f>
        <v/>
      </c>
      <c r="H381" s="29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IFERROR(IF(SUMIFS(tblDaily[Admissions],tblDaily[EntryDate],DATE(2026,10,25),tblDaily[WardCode],"FAE")=0,"",SUMIFS(tblDaily[Admissions],tblDaily[EntryDate],DATE(2026,10,25),tblDaily[WardCode],"FAE")),"")</f>
        <v/>
      </c>
      <c r="C382" s="29" t="str">
        <f>IFERROR(IF(SUMIFS(tblDaily[Discharges],tblDaily[EntryDate],DATE(2026,10,25),tblDaily[WardCode],"FAE")=0,"",SUMIFS(tblDaily[Discharges],tblDaily[EntryDate],DATE(2026,10,25),tblDaily[WardCode],"FAE")),"")</f>
        <v/>
      </c>
      <c r="D382" s="29" t="str">
        <f>IFERROR(IF(SUMIFS(tblDaily[Deaths],tblDaily[EntryDate],DATE(2026,10,25),tblDaily[WardCode],"FAE")=0,"",SUMIFS(tblDaily[Deaths],tblDaily[EntryDate],DATE(2026,10,25),tblDaily[WardCode],"FAE")),"")</f>
        <v/>
      </c>
      <c r="E382" s="29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29" t="str">
        <f>IFERROR(IF(SUMIFS(tblDaily[TransfersIn],tblDaily[EntryDate],DATE(2026,10,25),tblDaily[WardCode],"FAE")=0,"",SUMIFS(tblDaily[TransfersIn],tblDaily[EntryDate],DATE(2026,10,25),tblDaily[WardCode],"FAE")),"")</f>
        <v/>
      </c>
      <c r="G382" s="29" t="str">
        <f>IFERROR(IF(SUMIFS(tblDaily[TransfersOut],tblDaily[EntryDate],DATE(2026,10,25),tblDaily[WardCode],"FAE")=0,"",SUMIFS(tblDaily[TransfersOut],tblDaily[EntryDate],DATE(2026,10,25),tblDaily[WardCode],"FAE")),"")</f>
        <v/>
      </c>
      <c r="H382" s="29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IFERROR(IF(SUMIFS(tblDaily[Admissions],tblDaily[EntryDate],DATE(2026,10,26),tblDaily[WardCode],"FAE")=0,"",SUMIFS(tblDaily[Admissions],tblDaily[EntryDate],DATE(2026,10,26),tblDaily[WardCode],"FAE")),"")</f>
        <v/>
      </c>
      <c r="C383" s="29" t="str">
        <f>IFERROR(IF(SUMIFS(tblDaily[Discharges],tblDaily[EntryDate],DATE(2026,10,26),tblDaily[WardCode],"FAE")=0,"",SUMIFS(tblDaily[Discharges],tblDaily[EntryDate],DATE(2026,10,26),tblDaily[WardCode],"FAE")),"")</f>
        <v/>
      </c>
      <c r="D383" s="29" t="str">
        <f>IFERROR(IF(SUMIFS(tblDaily[Deaths],tblDaily[EntryDate],DATE(2026,10,26),tblDaily[WardCode],"FAE")=0,"",SUMIFS(tblDaily[Deaths],tblDaily[EntryDate],DATE(2026,10,26),tblDaily[WardCode],"FAE")),"")</f>
        <v/>
      </c>
      <c r="E383" s="29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29" t="str">
        <f>IFERROR(IF(SUMIFS(tblDaily[TransfersIn],tblDaily[EntryDate],DATE(2026,10,26),tblDaily[WardCode],"FAE")=0,"",SUMIFS(tblDaily[TransfersIn],tblDaily[EntryDate],DATE(2026,10,26),tblDaily[WardCode],"FAE")),"")</f>
        <v/>
      </c>
      <c r="G383" s="29" t="str">
        <f>IFERROR(IF(SUMIFS(tblDaily[TransfersOut],tblDaily[EntryDate],DATE(2026,10,26),tblDaily[WardCode],"FAE")=0,"",SUMIFS(tblDaily[TransfersOut],tblDaily[EntryDate],DATE(2026,10,26),tblDaily[WardCode],"FAE")),"")</f>
        <v/>
      </c>
      <c r="H383" s="29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IFERROR(IF(SUMIFS(tblDaily[Admissions],tblDaily[EntryDate],DATE(2026,10,27),tblDaily[WardCode],"FAE")=0,"",SUMIFS(tblDaily[Admissions],tblDaily[EntryDate],DATE(2026,10,27),tblDaily[WardCode],"FAE")),"")</f>
        <v/>
      </c>
      <c r="C384" s="29" t="str">
        <f>IFERROR(IF(SUMIFS(tblDaily[Discharges],tblDaily[EntryDate],DATE(2026,10,27),tblDaily[WardCode],"FAE")=0,"",SUMIFS(tblDaily[Discharges],tblDaily[EntryDate],DATE(2026,10,27),tblDaily[WardCode],"FAE")),"")</f>
        <v/>
      </c>
      <c r="D384" s="29" t="str">
        <f>IFERROR(IF(SUMIFS(tblDaily[Deaths],tblDaily[EntryDate],DATE(2026,10,27),tblDaily[WardCode],"FAE")=0,"",SUMIFS(tblDaily[Deaths],tblDaily[EntryDate],DATE(2026,10,27),tblDaily[WardCode],"FAE")),"")</f>
        <v/>
      </c>
      <c r="E384" s="29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29" t="str">
        <f>IFERROR(IF(SUMIFS(tblDaily[TransfersIn],tblDaily[EntryDate],DATE(2026,10,27),tblDaily[WardCode],"FAE")=0,"",SUMIFS(tblDaily[TransfersIn],tblDaily[EntryDate],DATE(2026,10,27),tblDaily[WardCode],"FAE")),"")</f>
        <v/>
      </c>
      <c r="G384" s="29" t="str">
        <f>IFERROR(IF(SUMIFS(tblDaily[TransfersOut],tblDaily[EntryDate],DATE(2026,10,27),tblDaily[WardCode],"FAE")=0,"",SUMIFS(tblDaily[TransfersOut],tblDaily[EntryDate],DATE(2026,10,27),tblDaily[WardCode],"FAE")),"")</f>
        <v/>
      </c>
      <c r="H384" s="29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IFERROR(IF(SUMIFS(tblDaily[Admissions],tblDaily[EntryDate],DATE(2026,10,28),tblDaily[WardCode],"FAE")=0,"",SUMIFS(tblDaily[Admissions],tblDaily[EntryDate],DATE(2026,10,28),tblDaily[WardCode],"FAE")),"")</f>
        <v/>
      </c>
      <c r="C385" s="29" t="str">
        <f>IFERROR(IF(SUMIFS(tblDaily[Discharges],tblDaily[EntryDate],DATE(2026,10,28),tblDaily[WardCode],"FAE")=0,"",SUMIFS(tblDaily[Discharges],tblDaily[EntryDate],DATE(2026,10,28),tblDaily[WardCode],"FAE")),"")</f>
        <v/>
      </c>
      <c r="D385" s="29" t="str">
        <f>IFERROR(IF(SUMIFS(tblDaily[Deaths],tblDaily[EntryDate],DATE(2026,10,28),tblDaily[WardCode],"FAE")=0,"",SUMIFS(tblDaily[Deaths],tblDaily[EntryDate],DATE(2026,10,28),tblDaily[WardCode],"FAE")),"")</f>
        <v/>
      </c>
      <c r="E385" s="29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29" t="str">
        <f>IFERROR(IF(SUMIFS(tblDaily[TransfersIn],tblDaily[EntryDate],DATE(2026,10,28),tblDaily[WardCode],"FAE")=0,"",SUMIFS(tblDaily[TransfersIn],tblDaily[EntryDate],DATE(2026,10,28),tblDaily[WardCode],"FAE")),"")</f>
        <v/>
      </c>
      <c r="G385" s="29" t="str">
        <f>IFERROR(IF(SUMIFS(tblDaily[TransfersOut],tblDaily[EntryDate],DATE(2026,10,28),tblDaily[WardCode],"FAE")=0,"",SUMIFS(tblDaily[TransfersOut],tblDaily[EntryDate],DATE(2026,10,28),tblDaily[WardCode],"FAE")),"")</f>
        <v/>
      </c>
      <c r="H385" s="29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IFERROR(IF(SUMIFS(tblDaily[Admissions],tblDaily[EntryDate],DATE(2026,10,29),tblDaily[WardCode],"FAE")=0,"",SUMIFS(tblDaily[Admissions],tblDaily[EntryDate],DATE(2026,10,29),tblDaily[WardCode],"FAE")),"")</f>
        <v/>
      </c>
      <c r="C386" s="29" t="str">
        <f>IFERROR(IF(SUMIFS(tblDaily[Discharges],tblDaily[EntryDate],DATE(2026,10,29),tblDaily[WardCode],"FAE")=0,"",SUMIFS(tblDaily[Discharges],tblDaily[EntryDate],DATE(2026,10,29),tblDaily[WardCode],"FAE")),"")</f>
        <v/>
      </c>
      <c r="D386" s="29" t="str">
        <f>IFERROR(IF(SUMIFS(tblDaily[Deaths],tblDaily[EntryDate],DATE(2026,10,29),tblDaily[WardCode],"FAE")=0,"",SUMIFS(tblDaily[Deaths],tblDaily[EntryDate],DATE(2026,10,29),tblDaily[WardCode],"FAE")),"")</f>
        <v/>
      </c>
      <c r="E386" s="29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29" t="str">
        <f>IFERROR(IF(SUMIFS(tblDaily[TransfersIn],tblDaily[EntryDate],DATE(2026,10,29),tblDaily[WardCode],"FAE")=0,"",SUMIFS(tblDaily[TransfersIn],tblDaily[EntryDate],DATE(2026,10,29),tblDaily[WardCode],"FAE")),"")</f>
        <v/>
      </c>
      <c r="G386" s="29" t="str">
        <f>IFERROR(IF(SUMIFS(tblDaily[TransfersOut],tblDaily[EntryDate],DATE(2026,10,29),tblDaily[WardCode],"FAE")=0,"",SUMIFS(tblDaily[TransfersOut],tblDaily[EntryDate],DATE(2026,10,29),tblDaily[WardCode],"FAE")),"")</f>
        <v/>
      </c>
      <c r="H386" s="29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IFERROR(IF(SUMIFS(tblDaily[Admissions],tblDaily[EntryDate],DATE(2026,10,30),tblDaily[WardCode],"FAE")=0,"",SUMIFS(tblDaily[Admissions],tblDaily[EntryDate],DATE(2026,10,30),tblDaily[WardCode],"FAE")),"")</f>
        <v/>
      </c>
      <c r="C387" s="29" t="str">
        <f>IFERROR(IF(SUMIFS(tblDaily[Discharges],tblDaily[EntryDate],DATE(2026,10,30),tblDaily[WardCode],"FAE")=0,"",SUMIFS(tblDaily[Discharges],tblDaily[EntryDate],DATE(2026,10,30),tblDaily[WardCode],"FAE")),"")</f>
        <v/>
      </c>
      <c r="D387" s="29" t="str">
        <f>IFERROR(IF(SUMIFS(tblDaily[Deaths],tblDaily[EntryDate],DATE(2026,10,30),tblDaily[WardCode],"FAE")=0,"",SUMIFS(tblDaily[Deaths],tblDaily[EntryDate],DATE(2026,10,30),tblDaily[WardCode],"FAE")),"")</f>
        <v/>
      </c>
      <c r="E387" s="29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29" t="str">
        <f>IFERROR(IF(SUMIFS(tblDaily[TransfersIn],tblDaily[EntryDate],DATE(2026,10,30),tblDaily[WardCode],"FAE")=0,"",SUMIFS(tblDaily[TransfersIn],tblDaily[EntryDate],DATE(2026,10,30),tblDaily[WardCode],"FAE")),"")</f>
        <v/>
      </c>
      <c r="G387" s="29" t="str">
        <f>IFERROR(IF(SUMIFS(tblDaily[TransfersOut],tblDaily[EntryDate],DATE(2026,10,30),tblDaily[WardCode],"FAE")=0,"",SUMIFS(tblDaily[TransfersOut],tblDaily[EntryDate],DATE(2026,10,30),tblDaily[WardCode],"FAE")),"")</f>
        <v/>
      </c>
      <c r="H387" s="29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IFERROR(IF(SUMIFS(tblDaily[Admissions],tblDaily[EntryDate],DATE(2026,10,31),tblDaily[WardCode],"FAE")=0,"",SUMIFS(tblDaily[Admissions],tblDaily[EntryDate],DATE(2026,10,31),tblDaily[WardCode],"FAE")),"")</f>
        <v/>
      </c>
      <c r="C388" s="29" t="str">
        <f>IFERROR(IF(SUMIFS(tblDaily[Discharges],tblDaily[EntryDate],DATE(2026,10,31),tblDaily[WardCode],"FAE")=0,"",SUMIFS(tblDaily[Discharges],tblDaily[EntryDate],DATE(2026,10,31),tblDaily[WardCode],"FAE")),"")</f>
        <v/>
      </c>
      <c r="D388" s="29" t="str">
        <f>IFERROR(IF(SUMIFS(tblDaily[Deaths],tblDaily[EntryDate],DATE(2026,10,31),tblDaily[WardCode],"FAE")=0,"",SUMIFS(tblDaily[Deaths],tblDaily[EntryDate],DATE(2026,10,31),tblDaily[WardCode],"FAE")),"")</f>
        <v/>
      </c>
      <c r="E388" s="29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29" t="str">
        <f>IFERROR(IF(SUMIFS(tblDaily[TransfersIn],tblDaily[EntryDate],DATE(2026,10,31),tblDaily[WardCode],"FAE")=0,"",SUMIFS(tblDaily[TransfersIn],tblDaily[EntryDate],DATE(2026,10,31),tblDaily[WardCode],"FAE")),"")</f>
        <v/>
      </c>
      <c r="G388" s="29" t="str">
        <f>IFERROR(IF(SUMIFS(tblDaily[TransfersOut],tblDaily[EntryDate],DATE(2026,10,31),tblDaily[WardCode],"FAE")=0,"",SUMIFS(tblDaily[TransfersOut],tblDaily[EntryDate],DATE(2026,10,31),tblDaily[WardCode],"FAE")),"")</f>
        <v/>
      </c>
      <c r="H388" s="29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30" t="s">
        <v>115</v>
      </c>
      <c r="B389" s="30">
        <f>SUMIFS(tblDaily[Admissions],tblDaily[Month],10,tblDaily[WardCode],"FAE") - SUMIFS(tblDaily[DeathsUnder24Hrs],tblDaily[Month],10,tblDaily[WardCode],"FAE")</f>
        <v>0</v>
      </c>
      <c r="C389" s="30">
        <f>SUMIFS(tblDaily[Discharges],tblDaily[Month],10,tblDaily[WardCode],"FAE")</f>
        <v>0</v>
      </c>
      <c r="D389" s="30">
        <f>SUMIFS(tblDaily[Deaths],tblDaily[Month],10,tblDaily[WardCode],"FAE")</f>
        <v>0</v>
      </c>
      <c r="E389" s="30">
        <f>SUMIFS(tblDaily[DeathsUnder24Hrs],tblDaily[Month],10,tblDaily[WardCode],"FAE")</f>
        <v>0</v>
      </c>
      <c r="F389" s="30">
        <f>SUMIFS(tblDaily[TransfersIn],tblDaily[Month],10,tblDaily[WardCode],"FAE")</f>
        <v>0</v>
      </c>
      <c r="G389" s="30">
        <f>SUMIFS(tblDaily[TransfersOut],tblDaily[Month],10,tblDaily[WardCode],"FAE")</f>
        <v>0</v>
      </c>
      <c r="H389" s="30">
        <f>SUMIFS(tblDaily[Remaining],tblDaily[Month],10,tblDaily[WardCode],"FAE")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123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IFERROR(SUMIFS(tblDaily[Remaining],tblDaily[EntryDate],DATE(2026,10,31),tblDaily[WardCode],"FAE"),0)</f>
        <v>0</v>
      </c>
    </row>
    <row r="395" spans="1:8" x14ac:dyDescent="0.25">
      <c r="A395" s="24" t="s">
        <v>109</v>
      </c>
      <c r="H395" s="27">
        <f>IFERROR(INDEX(tblWardConfig[BedComplement],MATCH("FAE",tblWardConfig[WardCode],0)),0)</f>
        <v>10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IFERROR(IF(SUMIFS(tblDaily[Admissions],tblDaily[EntryDate],DATE(2026,11,1),tblDaily[WardCode],"FAE")=0,"",SUMIFS(tblDaily[Admissions],tblDaily[EntryDate],DATE(2026,11,1),tblDaily[WardCode],"FAE")),"")</f>
        <v/>
      </c>
      <c r="C397" s="29" t="str">
        <f>IFERROR(IF(SUMIFS(tblDaily[Discharges],tblDaily[EntryDate],DATE(2026,11,1),tblDaily[WardCode],"FAE")=0,"",SUMIFS(tblDaily[Discharges],tblDaily[EntryDate],DATE(2026,11,1),tblDaily[WardCode],"FAE")),"")</f>
        <v/>
      </c>
      <c r="D397" s="29" t="str">
        <f>IFERROR(IF(SUMIFS(tblDaily[Deaths],tblDaily[EntryDate],DATE(2026,11,1),tblDaily[WardCode],"FAE")=0,"",SUMIFS(tblDaily[Deaths],tblDaily[EntryDate],DATE(2026,11,1),tblDaily[WardCode],"FAE")),"")</f>
        <v/>
      </c>
      <c r="E397" s="29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29" t="str">
        <f>IFERROR(IF(SUMIFS(tblDaily[TransfersIn],tblDaily[EntryDate],DATE(2026,11,1),tblDaily[WardCode],"FAE")=0,"",SUMIFS(tblDaily[TransfersIn],tblDaily[EntryDate],DATE(2026,11,1),tblDaily[WardCode],"FAE")),"")</f>
        <v/>
      </c>
      <c r="G397" s="29" t="str">
        <f>IFERROR(IF(SUMIFS(tblDaily[TransfersOut],tblDaily[EntryDate],DATE(2026,11,1),tblDaily[WardCode],"FAE")=0,"",SUMIFS(tblDaily[TransfersOut],tblDaily[EntryDate],DATE(2026,11,1),tblDaily[WardCode],"FAE")),"")</f>
        <v/>
      </c>
      <c r="H397" s="29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IFERROR(IF(SUMIFS(tblDaily[Admissions],tblDaily[EntryDate],DATE(2026,11,2),tblDaily[WardCode],"FAE")=0,"",SUMIFS(tblDaily[Admissions],tblDaily[EntryDate],DATE(2026,11,2),tblDaily[WardCode],"FAE")),"")</f>
        <v/>
      </c>
      <c r="C398" s="29" t="str">
        <f>IFERROR(IF(SUMIFS(tblDaily[Discharges],tblDaily[EntryDate],DATE(2026,11,2),tblDaily[WardCode],"FAE")=0,"",SUMIFS(tblDaily[Discharges],tblDaily[EntryDate],DATE(2026,11,2),tblDaily[WardCode],"FAE")),"")</f>
        <v/>
      </c>
      <c r="D398" s="29" t="str">
        <f>IFERROR(IF(SUMIFS(tblDaily[Deaths],tblDaily[EntryDate],DATE(2026,11,2),tblDaily[WardCode],"FAE")=0,"",SUMIFS(tblDaily[Deaths],tblDaily[EntryDate],DATE(2026,11,2),tblDaily[WardCode],"FAE")),"")</f>
        <v/>
      </c>
      <c r="E398" s="29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29" t="str">
        <f>IFERROR(IF(SUMIFS(tblDaily[TransfersIn],tblDaily[EntryDate],DATE(2026,11,2),tblDaily[WardCode],"FAE")=0,"",SUMIFS(tblDaily[TransfersIn],tblDaily[EntryDate],DATE(2026,11,2),tblDaily[WardCode],"FAE")),"")</f>
        <v/>
      </c>
      <c r="G398" s="29" t="str">
        <f>IFERROR(IF(SUMIFS(tblDaily[TransfersOut],tblDaily[EntryDate],DATE(2026,11,2),tblDaily[WardCode],"FAE")=0,"",SUMIFS(tblDaily[TransfersOut],tblDaily[EntryDate],DATE(2026,11,2),tblDaily[WardCode],"FAE")),"")</f>
        <v/>
      </c>
      <c r="H398" s="29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IFERROR(IF(SUMIFS(tblDaily[Admissions],tblDaily[EntryDate],DATE(2026,11,3),tblDaily[WardCode],"FAE")=0,"",SUMIFS(tblDaily[Admissions],tblDaily[EntryDate],DATE(2026,11,3),tblDaily[WardCode],"FAE")),"")</f>
        <v/>
      </c>
      <c r="C399" s="29" t="str">
        <f>IFERROR(IF(SUMIFS(tblDaily[Discharges],tblDaily[EntryDate],DATE(2026,11,3),tblDaily[WardCode],"FAE")=0,"",SUMIFS(tblDaily[Discharges],tblDaily[EntryDate],DATE(2026,11,3),tblDaily[WardCode],"FAE")),"")</f>
        <v/>
      </c>
      <c r="D399" s="29" t="str">
        <f>IFERROR(IF(SUMIFS(tblDaily[Deaths],tblDaily[EntryDate],DATE(2026,11,3),tblDaily[WardCode],"FAE")=0,"",SUMIFS(tblDaily[Deaths],tblDaily[EntryDate],DATE(2026,11,3),tblDaily[WardCode],"FAE")),"")</f>
        <v/>
      </c>
      <c r="E399" s="29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29" t="str">
        <f>IFERROR(IF(SUMIFS(tblDaily[TransfersIn],tblDaily[EntryDate],DATE(2026,11,3),tblDaily[WardCode],"FAE")=0,"",SUMIFS(tblDaily[TransfersIn],tblDaily[EntryDate],DATE(2026,11,3),tblDaily[WardCode],"FAE")),"")</f>
        <v/>
      </c>
      <c r="G399" s="29" t="str">
        <f>IFERROR(IF(SUMIFS(tblDaily[TransfersOut],tblDaily[EntryDate],DATE(2026,11,3),tblDaily[WardCode],"FAE")=0,"",SUMIFS(tblDaily[TransfersOut],tblDaily[EntryDate],DATE(2026,11,3),tblDaily[WardCode],"FAE")),"")</f>
        <v/>
      </c>
      <c r="H399" s="29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IFERROR(IF(SUMIFS(tblDaily[Admissions],tblDaily[EntryDate],DATE(2026,11,4),tblDaily[WardCode],"FAE")=0,"",SUMIFS(tblDaily[Admissions],tblDaily[EntryDate],DATE(2026,11,4),tblDaily[WardCode],"FAE")),"")</f>
        <v/>
      </c>
      <c r="C400" s="29" t="str">
        <f>IFERROR(IF(SUMIFS(tblDaily[Discharges],tblDaily[EntryDate],DATE(2026,11,4),tblDaily[WardCode],"FAE")=0,"",SUMIFS(tblDaily[Discharges],tblDaily[EntryDate],DATE(2026,11,4),tblDaily[WardCode],"FAE")),"")</f>
        <v/>
      </c>
      <c r="D400" s="29" t="str">
        <f>IFERROR(IF(SUMIFS(tblDaily[Deaths],tblDaily[EntryDate],DATE(2026,11,4),tblDaily[WardCode],"FAE")=0,"",SUMIFS(tblDaily[Deaths],tblDaily[EntryDate],DATE(2026,11,4),tblDaily[WardCode],"FAE")),"")</f>
        <v/>
      </c>
      <c r="E400" s="29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29" t="str">
        <f>IFERROR(IF(SUMIFS(tblDaily[TransfersIn],tblDaily[EntryDate],DATE(2026,11,4),tblDaily[WardCode],"FAE")=0,"",SUMIFS(tblDaily[TransfersIn],tblDaily[EntryDate],DATE(2026,11,4),tblDaily[WardCode],"FAE")),"")</f>
        <v/>
      </c>
      <c r="G400" s="29" t="str">
        <f>IFERROR(IF(SUMIFS(tblDaily[TransfersOut],tblDaily[EntryDate],DATE(2026,11,4),tblDaily[WardCode],"FAE")=0,"",SUMIFS(tblDaily[TransfersOut],tblDaily[EntryDate],DATE(2026,11,4),tblDaily[WardCode],"FAE")),"")</f>
        <v/>
      </c>
      <c r="H400" s="29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IFERROR(IF(SUMIFS(tblDaily[Admissions],tblDaily[EntryDate],DATE(2026,11,5),tblDaily[WardCode],"FAE")=0,"",SUMIFS(tblDaily[Admissions],tblDaily[EntryDate],DATE(2026,11,5),tblDaily[WardCode],"FAE")),"")</f>
        <v/>
      </c>
      <c r="C401" s="29" t="str">
        <f>IFERROR(IF(SUMIFS(tblDaily[Discharges],tblDaily[EntryDate],DATE(2026,11,5),tblDaily[WardCode],"FAE")=0,"",SUMIFS(tblDaily[Discharges],tblDaily[EntryDate],DATE(2026,11,5),tblDaily[WardCode],"FAE")),"")</f>
        <v/>
      </c>
      <c r="D401" s="29" t="str">
        <f>IFERROR(IF(SUMIFS(tblDaily[Deaths],tblDaily[EntryDate],DATE(2026,11,5),tblDaily[WardCode],"FAE")=0,"",SUMIFS(tblDaily[Deaths],tblDaily[EntryDate],DATE(2026,11,5),tblDaily[WardCode],"FAE")),"")</f>
        <v/>
      </c>
      <c r="E401" s="29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29" t="str">
        <f>IFERROR(IF(SUMIFS(tblDaily[TransfersIn],tblDaily[EntryDate],DATE(2026,11,5),tblDaily[WardCode],"FAE")=0,"",SUMIFS(tblDaily[TransfersIn],tblDaily[EntryDate],DATE(2026,11,5),tblDaily[WardCode],"FAE")),"")</f>
        <v/>
      </c>
      <c r="G401" s="29" t="str">
        <f>IFERROR(IF(SUMIFS(tblDaily[TransfersOut],tblDaily[EntryDate],DATE(2026,11,5),tblDaily[WardCode],"FAE")=0,"",SUMIFS(tblDaily[TransfersOut],tblDaily[EntryDate],DATE(2026,11,5),tblDaily[WardCode],"FAE")),"")</f>
        <v/>
      </c>
      <c r="H401" s="29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IFERROR(IF(SUMIFS(tblDaily[Admissions],tblDaily[EntryDate],DATE(2026,11,6),tblDaily[WardCode],"FAE")=0,"",SUMIFS(tblDaily[Admissions],tblDaily[EntryDate],DATE(2026,11,6),tblDaily[WardCode],"FAE")),"")</f>
        <v/>
      </c>
      <c r="C402" s="29" t="str">
        <f>IFERROR(IF(SUMIFS(tblDaily[Discharges],tblDaily[EntryDate],DATE(2026,11,6),tblDaily[WardCode],"FAE")=0,"",SUMIFS(tblDaily[Discharges],tblDaily[EntryDate],DATE(2026,11,6),tblDaily[WardCode],"FAE")),"")</f>
        <v/>
      </c>
      <c r="D402" s="29" t="str">
        <f>IFERROR(IF(SUMIFS(tblDaily[Deaths],tblDaily[EntryDate],DATE(2026,11,6),tblDaily[WardCode],"FAE")=0,"",SUMIFS(tblDaily[Deaths],tblDaily[EntryDate],DATE(2026,11,6),tblDaily[WardCode],"FAE")),"")</f>
        <v/>
      </c>
      <c r="E402" s="29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29" t="str">
        <f>IFERROR(IF(SUMIFS(tblDaily[TransfersIn],tblDaily[EntryDate],DATE(2026,11,6),tblDaily[WardCode],"FAE")=0,"",SUMIFS(tblDaily[TransfersIn],tblDaily[EntryDate],DATE(2026,11,6),tblDaily[WardCode],"FAE")),"")</f>
        <v/>
      </c>
      <c r="G402" s="29" t="str">
        <f>IFERROR(IF(SUMIFS(tblDaily[TransfersOut],tblDaily[EntryDate],DATE(2026,11,6),tblDaily[WardCode],"FAE")=0,"",SUMIFS(tblDaily[TransfersOut],tblDaily[EntryDate],DATE(2026,11,6),tblDaily[WardCode],"FAE")),"")</f>
        <v/>
      </c>
      <c r="H402" s="29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IFERROR(IF(SUMIFS(tblDaily[Admissions],tblDaily[EntryDate],DATE(2026,11,7),tblDaily[WardCode],"FAE")=0,"",SUMIFS(tblDaily[Admissions],tblDaily[EntryDate],DATE(2026,11,7),tblDaily[WardCode],"FAE")),"")</f>
        <v/>
      </c>
      <c r="C403" s="29" t="str">
        <f>IFERROR(IF(SUMIFS(tblDaily[Discharges],tblDaily[EntryDate],DATE(2026,11,7),tblDaily[WardCode],"FAE")=0,"",SUMIFS(tblDaily[Discharges],tblDaily[EntryDate],DATE(2026,11,7),tblDaily[WardCode],"FAE")),"")</f>
        <v/>
      </c>
      <c r="D403" s="29" t="str">
        <f>IFERROR(IF(SUMIFS(tblDaily[Deaths],tblDaily[EntryDate],DATE(2026,11,7),tblDaily[WardCode],"FAE")=0,"",SUMIFS(tblDaily[Deaths],tblDaily[EntryDate],DATE(2026,11,7),tblDaily[WardCode],"FAE")),"")</f>
        <v/>
      </c>
      <c r="E403" s="29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29" t="str">
        <f>IFERROR(IF(SUMIFS(tblDaily[TransfersIn],tblDaily[EntryDate],DATE(2026,11,7),tblDaily[WardCode],"FAE")=0,"",SUMIFS(tblDaily[TransfersIn],tblDaily[EntryDate],DATE(2026,11,7),tblDaily[WardCode],"FAE")),"")</f>
        <v/>
      </c>
      <c r="G403" s="29" t="str">
        <f>IFERROR(IF(SUMIFS(tblDaily[TransfersOut],tblDaily[EntryDate],DATE(2026,11,7),tblDaily[WardCode],"FAE")=0,"",SUMIFS(tblDaily[TransfersOut],tblDaily[EntryDate],DATE(2026,11,7),tblDaily[WardCode],"FAE")),"")</f>
        <v/>
      </c>
      <c r="H403" s="29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IFERROR(IF(SUMIFS(tblDaily[Admissions],tblDaily[EntryDate],DATE(2026,11,8),tblDaily[WardCode],"FAE")=0,"",SUMIFS(tblDaily[Admissions],tblDaily[EntryDate],DATE(2026,11,8),tblDaily[WardCode],"FAE")),"")</f>
        <v/>
      </c>
      <c r="C404" s="29" t="str">
        <f>IFERROR(IF(SUMIFS(tblDaily[Discharges],tblDaily[EntryDate],DATE(2026,11,8),tblDaily[WardCode],"FAE")=0,"",SUMIFS(tblDaily[Discharges],tblDaily[EntryDate],DATE(2026,11,8),tblDaily[WardCode],"FAE")),"")</f>
        <v/>
      </c>
      <c r="D404" s="29" t="str">
        <f>IFERROR(IF(SUMIFS(tblDaily[Deaths],tblDaily[EntryDate],DATE(2026,11,8),tblDaily[WardCode],"FAE")=0,"",SUMIFS(tblDaily[Deaths],tblDaily[EntryDate],DATE(2026,11,8),tblDaily[WardCode],"FAE")),"")</f>
        <v/>
      </c>
      <c r="E404" s="29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29" t="str">
        <f>IFERROR(IF(SUMIFS(tblDaily[TransfersIn],tblDaily[EntryDate],DATE(2026,11,8),tblDaily[WardCode],"FAE")=0,"",SUMIFS(tblDaily[TransfersIn],tblDaily[EntryDate],DATE(2026,11,8),tblDaily[WardCode],"FAE")),"")</f>
        <v/>
      </c>
      <c r="G404" s="29" t="str">
        <f>IFERROR(IF(SUMIFS(tblDaily[TransfersOut],tblDaily[EntryDate],DATE(2026,11,8),tblDaily[WardCode],"FAE")=0,"",SUMIFS(tblDaily[TransfersOut],tblDaily[EntryDate],DATE(2026,11,8),tblDaily[WardCode],"FAE")),"")</f>
        <v/>
      </c>
      <c r="H404" s="29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IFERROR(IF(SUMIFS(tblDaily[Admissions],tblDaily[EntryDate],DATE(2026,11,9),tblDaily[WardCode],"FAE")=0,"",SUMIFS(tblDaily[Admissions],tblDaily[EntryDate],DATE(2026,11,9),tblDaily[WardCode],"FAE")),"")</f>
        <v/>
      </c>
      <c r="C405" s="29" t="str">
        <f>IFERROR(IF(SUMIFS(tblDaily[Discharges],tblDaily[EntryDate],DATE(2026,11,9),tblDaily[WardCode],"FAE")=0,"",SUMIFS(tblDaily[Discharges],tblDaily[EntryDate],DATE(2026,11,9),tblDaily[WardCode],"FAE")),"")</f>
        <v/>
      </c>
      <c r="D405" s="29" t="str">
        <f>IFERROR(IF(SUMIFS(tblDaily[Deaths],tblDaily[EntryDate],DATE(2026,11,9),tblDaily[WardCode],"FAE")=0,"",SUMIFS(tblDaily[Deaths],tblDaily[EntryDate],DATE(2026,11,9),tblDaily[WardCode],"FAE")),"")</f>
        <v/>
      </c>
      <c r="E405" s="29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29" t="str">
        <f>IFERROR(IF(SUMIFS(tblDaily[TransfersIn],tblDaily[EntryDate],DATE(2026,11,9),tblDaily[WardCode],"FAE")=0,"",SUMIFS(tblDaily[TransfersIn],tblDaily[EntryDate],DATE(2026,11,9),tblDaily[WardCode],"FAE")),"")</f>
        <v/>
      </c>
      <c r="G405" s="29" t="str">
        <f>IFERROR(IF(SUMIFS(tblDaily[TransfersOut],tblDaily[EntryDate],DATE(2026,11,9),tblDaily[WardCode],"FAE")=0,"",SUMIFS(tblDaily[TransfersOut],tblDaily[EntryDate],DATE(2026,11,9),tblDaily[WardCode],"FAE")),"")</f>
        <v/>
      </c>
      <c r="H405" s="29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IFERROR(IF(SUMIFS(tblDaily[Admissions],tblDaily[EntryDate],DATE(2026,11,10),tblDaily[WardCode],"FAE")=0,"",SUMIFS(tblDaily[Admissions],tblDaily[EntryDate],DATE(2026,11,10),tblDaily[WardCode],"FAE")),"")</f>
        <v/>
      </c>
      <c r="C406" s="29" t="str">
        <f>IFERROR(IF(SUMIFS(tblDaily[Discharges],tblDaily[EntryDate],DATE(2026,11,10),tblDaily[WardCode],"FAE")=0,"",SUMIFS(tblDaily[Discharges],tblDaily[EntryDate],DATE(2026,11,10),tblDaily[WardCode],"FAE")),"")</f>
        <v/>
      </c>
      <c r="D406" s="29" t="str">
        <f>IFERROR(IF(SUMIFS(tblDaily[Deaths],tblDaily[EntryDate],DATE(2026,11,10),tblDaily[WardCode],"FAE")=0,"",SUMIFS(tblDaily[Deaths],tblDaily[EntryDate],DATE(2026,11,10),tblDaily[WardCode],"FAE")),"")</f>
        <v/>
      </c>
      <c r="E406" s="29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29" t="str">
        <f>IFERROR(IF(SUMIFS(tblDaily[TransfersIn],tblDaily[EntryDate],DATE(2026,11,10),tblDaily[WardCode],"FAE")=0,"",SUMIFS(tblDaily[TransfersIn],tblDaily[EntryDate],DATE(2026,11,10),tblDaily[WardCode],"FAE")),"")</f>
        <v/>
      </c>
      <c r="G406" s="29" t="str">
        <f>IFERROR(IF(SUMIFS(tblDaily[TransfersOut],tblDaily[EntryDate],DATE(2026,11,10),tblDaily[WardCode],"FAE")=0,"",SUMIFS(tblDaily[TransfersOut],tblDaily[EntryDate],DATE(2026,11,10),tblDaily[WardCode],"FAE")),"")</f>
        <v/>
      </c>
      <c r="H406" s="29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IFERROR(IF(SUMIFS(tblDaily[Admissions],tblDaily[EntryDate],DATE(2026,11,11),tblDaily[WardCode],"FAE")=0,"",SUMIFS(tblDaily[Admissions],tblDaily[EntryDate],DATE(2026,11,11),tblDaily[WardCode],"FAE")),"")</f>
        <v/>
      </c>
      <c r="C407" s="29" t="str">
        <f>IFERROR(IF(SUMIFS(tblDaily[Discharges],tblDaily[EntryDate],DATE(2026,11,11),tblDaily[WardCode],"FAE")=0,"",SUMIFS(tblDaily[Discharges],tblDaily[EntryDate],DATE(2026,11,11),tblDaily[WardCode],"FAE")),"")</f>
        <v/>
      </c>
      <c r="D407" s="29" t="str">
        <f>IFERROR(IF(SUMIFS(tblDaily[Deaths],tblDaily[EntryDate],DATE(2026,11,11),tblDaily[WardCode],"FAE")=0,"",SUMIFS(tblDaily[Deaths],tblDaily[EntryDate],DATE(2026,11,11),tblDaily[WardCode],"FAE")),"")</f>
        <v/>
      </c>
      <c r="E407" s="29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29" t="str">
        <f>IFERROR(IF(SUMIFS(tblDaily[TransfersIn],tblDaily[EntryDate],DATE(2026,11,11),tblDaily[WardCode],"FAE")=0,"",SUMIFS(tblDaily[TransfersIn],tblDaily[EntryDate],DATE(2026,11,11),tblDaily[WardCode],"FAE")),"")</f>
        <v/>
      </c>
      <c r="G407" s="29" t="str">
        <f>IFERROR(IF(SUMIFS(tblDaily[TransfersOut],tblDaily[EntryDate],DATE(2026,11,11),tblDaily[WardCode],"FAE")=0,"",SUMIFS(tblDaily[TransfersOut],tblDaily[EntryDate],DATE(2026,11,11),tblDaily[WardCode],"FAE")),"")</f>
        <v/>
      </c>
      <c r="H407" s="29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IFERROR(IF(SUMIFS(tblDaily[Admissions],tblDaily[EntryDate],DATE(2026,11,12),tblDaily[WardCode],"FAE")=0,"",SUMIFS(tblDaily[Admissions],tblDaily[EntryDate],DATE(2026,11,12),tblDaily[WardCode],"FAE")),"")</f>
        <v/>
      </c>
      <c r="C408" s="29" t="str">
        <f>IFERROR(IF(SUMIFS(tblDaily[Discharges],tblDaily[EntryDate],DATE(2026,11,12),tblDaily[WardCode],"FAE")=0,"",SUMIFS(tblDaily[Discharges],tblDaily[EntryDate],DATE(2026,11,12),tblDaily[WardCode],"FAE")),"")</f>
        <v/>
      </c>
      <c r="D408" s="29" t="str">
        <f>IFERROR(IF(SUMIFS(tblDaily[Deaths],tblDaily[EntryDate],DATE(2026,11,12),tblDaily[WardCode],"FAE")=0,"",SUMIFS(tblDaily[Deaths],tblDaily[EntryDate],DATE(2026,11,12),tblDaily[WardCode],"FAE")),"")</f>
        <v/>
      </c>
      <c r="E408" s="29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29" t="str">
        <f>IFERROR(IF(SUMIFS(tblDaily[TransfersIn],tblDaily[EntryDate],DATE(2026,11,12),tblDaily[WardCode],"FAE")=0,"",SUMIFS(tblDaily[TransfersIn],tblDaily[EntryDate],DATE(2026,11,12),tblDaily[WardCode],"FAE")),"")</f>
        <v/>
      </c>
      <c r="G408" s="29" t="str">
        <f>IFERROR(IF(SUMIFS(tblDaily[TransfersOut],tblDaily[EntryDate],DATE(2026,11,12),tblDaily[WardCode],"FAE")=0,"",SUMIFS(tblDaily[TransfersOut],tblDaily[EntryDate],DATE(2026,11,12),tblDaily[WardCode],"FAE")),"")</f>
        <v/>
      </c>
      <c r="H408" s="29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IFERROR(IF(SUMIFS(tblDaily[Admissions],tblDaily[EntryDate],DATE(2026,11,13),tblDaily[WardCode],"FAE")=0,"",SUMIFS(tblDaily[Admissions],tblDaily[EntryDate],DATE(2026,11,13),tblDaily[WardCode],"FAE")),"")</f>
        <v/>
      </c>
      <c r="C409" s="29" t="str">
        <f>IFERROR(IF(SUMIFS(tblDaily[Discharges],tblDaily[EntryDate],DATE(2026,11,13),tblDaily[WardCode],"FAE")=0,"",SUMIFS(tblDaily[Discharges],tblDaily[EntryDate],DATE(2026,11,13),tblDaily[WardCode],"FAE")),"")</f>
        <v/>
      </c>
      <c r="D409" s="29" t="str">
        <f>IFERROR(IF(SUMIFS(tblDaily[Deaths],tblDaily[EntryDate],DATE(2026,11,13),tblDaily[WardCode],"FAE")=0,"",SUMIFS(tblDaily[Deaths],tblDaily[EntryDate],DATE(2026,11,13),tblDaily[WardCode],"FAE")),"")</f>
        <v/>
      </c>
      <c r="E409" s="29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29" t="str">
        <f>IFERROR(IF(SUMIFS(tblDaily[TransfersIn],tblDaily[EntryDate],DATE(2026,11,13),tblDaily[WardCode],"FAE")=0,"",SUMIFS(tblDaily[TransfersIn],tblDaily[EntryDate],DATE(2026,11,13),tblDaily[WardCode],"FAE")),"")</f>
        <v/>
      </c>
      <c r="G409" s="29" t="str">
        <f>IFERROR(IF(SUMIFS(tblDaily[TransfersOut],tblDaily[EntryDate],DATE(2026,11,13),tblDaily[WardCode],"FAE")=0,"",SUMIFS(tblDaily[TransfersOut],tblDaily[EntryDate],DATE(2026,11,13),tblDaily[WardCode],"FAE")),"")</f>
        <v/>
      </c>
      <c r="H409" s="29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IFERROR(IF(SUMIFS(tblDaily[Admissions],tblDaily[EntryDate],DATE(2026,11,14),tblDaily[WardCode],"FAE")=0,"",SUMIFS(tblDaily[Admissions],tblDaily[EntryDate],DATE(2026,11,14),tblDaily[WardCode],"FAE")),"")</f>
        <v/>
      </c>
      <c r="C410" s="29" t="str">
        <f>IFERROR(IF(SUMIFS(tblDaily[Discharges],tblDaily[EntryDate],DATE(2026,11,14),tblDaily[WardCode],"FAE")=0,"",SUMIFS(tblDaily[Discharges],tblDaily[EntryDate],DATE(2026,11,14),tblDaily[WardCode],"FAE")),"")</f>
        <v/>
      </c>
      <c r="D410" s="29" t="str">
        <f>IFERROR(IF(SUMIFS(tblDaily[Deaths],tblDaily[EntryDate],DATE(2026,11,14),tblDaily[WardCode],"FAE")=0,"",SUMIFS(tblDaily[Deaths],tblDaily[EntryDate],DATE(2026,11,14),tblDaily[WardCode],"FAE")),"")</f>
        <v/>
      </c>
      <c r="E410" s="29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29" t="str">
        <f>IFERROR(IF(SUMIFS(tblDaily[TransfersIn],tblDaily[EntryDate],DATE(2026,11,14),tblDaily[WardCode],"FAE")=0,"",SUMIFS(tblDaily[TransfersIn],tblDaily[EntryDate],DATE(2026,11,14),tblDaily[WardCode],"FAE")),"")</f>
        <v/>
      </c>
      <c r="G410" s="29" t="str">
        <f>IFERROR(IF(SUMIFS(tblDaily[TransfersOut],tblDaily[EntryDate],DATE(2026,11,14),tblDaily[WardCode],"FAE")=0,"",SUMIFS(tblDaily[TransfersOut],tblDaily[EntryDate],DATE(2026,11,14),tblDaily[WardCode],"FAE")),"")</f>
        <v/>
      </c>
      <c r="H410" s="29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IFERROR(IF(SUMIFS(tblDaily[Admissions],tblDaily[EntryDate],DATE(2026,11,15),tblDaily[WardCode],"FAE")=0,"",SUMIFS(tblDaily[Admissions],tblDaily[EntryDate],DATE(2026,11,15),tblDaily[WardCode],"FAE")),"")</f>
        <v/>
      </c>
      <c r="C411" s="29" t="str">
        <f>IFERROR(IF(SUMIFS(tblDaily[Discharges],tblDaily[EntryDate],DATE(2026,11,15),tblDaily[WardCode],"FAE")=0,"",SUMIFS(tblDaily[Discharges],tblDaily[EntryDate],DATE(2026,11,15),tblDaily[WardCode],"FAE")),"")</f>
        <v/>
      </c>
      <c r="D411" s="29" t="str">
        <f>IFERROR(IF(SUMIFS(tblDaily[Deaths],tblDaily[EntryDate],DATE(2026,11,15),tblDaily[WardCode],"FAE")=0,"",SUMIFS(tblDaily[Deaths],tblDaily[EntryDate],DATE(2026,11,15),tblDaily[WardCode],"FAE")),"")</f>
        <v/>
      </c>
      <c r="E411" s="29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29" t="str">
        <f>IFERROR(IF(SUMIFS(tblDaily[TransfersIn],tblDaily[EntryDate],DATE(2026,11,15),tblDaily[WardCode],"FAE")=0,"",SUMIFS(tblDaily[TransfersIn],tblDaily[EntryDate],DATE(2026,11,15),tblDaily[WardCode],"FAE")),"")</f>
        <v/>
      </c>
      <c r="G411" s="29" t="str">
        <f>IFERROR(IF(SUMIFS(tblDaily[TransfersOut],tblDaily[EntryDate],DATE(2026,11,15),tblDaily[WardCode],"FAE")=0,"",SUMIFS(tblDaily[TransfersOut],tblDaily[EntryDate],DATE(2026,11,15),tblDaily[WardCode],"FAE")),"")</f>
        <v/>
      </c>
      <c r="H411" s="29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IFERROR(IF(SUMIFS(tblDaily[Admissions],tblDaily[EntryDate],DATE(2026,11,16),tblDaily[WardCode],"FAE")=0,"",SUMIFS(tblDaily[Admissions],tblDaily[EntryDate],DATE(2026,11,16),tblDaily[WardCode],"FAE")),"")</f>
        <v/>
      </c>
      <c r="C412" s="29" t="str">
        <f>IFERROR(IF(SUMIFS(tblDaily[Discharges],tblDaily[EntryDate],DATE(2026,11,16),tblDaily[WardCode],"FAE")=0,"",SUMIFS(tblDaily[Discharges],tblDaily[EntryDate],DATE(2026,11,16),tblDaily[WardCode],"FAE")),"")</f>
        <v/>
      </c>
      <c r="D412" s="29" t="str">
        <f>IFERROR(IF(SUMIFS(tblDaily[Deaths],tblDaily[EntryDate],DATE(2026,11,16),tblDaily[WardCode],"FAE")=0,"",SUMIFS(tblDaily[Deaths],tblDaily[EntryDate],DATE(2026,11,16),tblDaily[WardCode],"FAE")),"")</f>
        <v/>
      </c>
      <c r="E412" s="29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29" t="str">
        <f>IFERROR(IF(SUMIFS(tblDaily[TransfersIn],tblDaily[EntryDate],DATE(2026,11,16),tblDaily[WardCode],"FAE")=0,"",SUMIFS(tblDaily[TransfersIn],tblDaily[EntryDate],DATE(2026,11,16),tblDaily[WardCode],"FAE")),"")</f>
        <v/>
      </c>
      <c r="G412" s="29" t="str">
        <f>IFERROR(IF(SUMIFS(tblDaily[TransfersOut],tblDaily[EntryDate],DATE(2026,11,16),tblDaily[WardCode],"FAE")=0,"",SUMIFS(tblDaily[TransfersOut],tblDaily[EntryDate],DATE(2026,11,16),tblDaily[WardCode],"FAE")),"")</f>
        <v/>
      </c>
      <c r="H412" s="29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IFERROR(IF(SUMIFS(tblDaily[Admissions],tblDaily[EntryDate],DATE(2026,11,17),tblDaily[WardCode],"FAE")=0,"",SUMIFS(tblDaily[Admissions],tblDaily[EntryDate],DATE(2026,11,17),tblDaily[WardCode],"FAE")),"")</f>
        <v/>
      </c>
      <c r="C413" s="29" t="str">
        <f>IFERROR(IF(SUMIFS(tblDaily[Discharges],tblDaily[EntryDate],DATE(2026,11,17),tblDaily[WardCode],"FAE")=0,"",SUMIFS(tblDaily[Discharges],tblDaily[EntryDate],DATE(2026,11,17),tblDaily[WardCode],"FAE")),"")</f>
        <v/>
      </c>
      <c r="D413" s="29" t="str">
        <f>IFERROR(IF(SUMIFS(tblDaily[Deaths],tblDaily[EntryDate],DATE(2026,11,17),tblDaily[WardCode],"FAE")=0,"",SUMIFS(tblDaily[Deaths],tblDaily[EntryDate],DATE(2026,11,17),tblDaily[WardCode],"FAE")),"")</f>
        <v/>
      </c>
      <c r="E413" s="29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29" t="str">
        <f>IFERROR(IF(SUMIFS(tblDaily[TransfersIn],tblDaily[EntryDate],DATE(2026,11,17),tblDaily[WardCode],"FAE")=0,"",SUMIFS(tblDaily[TransfersIn],tblDaily[EntryDate],DATE(2026,11,17),tblDaily[WardCode],"FAE")),"")</f>
        <v/>
      </c>
      <c r="G413" s="29" t="str">
        <f>IFERROR(IF(SUMIFS(tblDaily[TransfersOut],tblDaily[EntryDate],DATE(2026,11,17),tblDaily[WardCode],"FAE")=0,"",SUMIFS(tblDaily[TransfersOut],tblDaily[EntryDate],DATE(2026,11,17),tblDaily[WardCode],"FAE")),"")</f>
        <v/>
      </c>
      <c r="H413" s="29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IFERROR(IF(SUMIFS(tblDaily[Admissions],tblDaily[EntryDate],DATE(2026,11,18),tblDaily[WardCode],"FAE")=0,"",SUMIFS(tblDaily[Admissions],tblDaily[EntryDate],DATE(2026,11,18),tblDaily[WardCode],"FAE")),"")</f>
        <v/>
      </c>
      <c r="C414" s="29" t="str">
        <f>IFERROR(IF(SUMIFS(tblDaily[Discharges],tblDaily[EntryDate],DATE(2026,11,18),tblDaily[WardCode],"FAE")=0,"",SUMIFS(tblDaily[Discharges],tblDaily[EntryDate],DATE(2026,11,18),tblDaily[WardCode],"FAE")),"")</f>
        <v/>
      </c>
      <c r="D414" s="29" t="str">
        <f>IFERROR(IF(SUMIFS(tblDaily[Deaths],tblDaily[EntryDate],DATE(2026,11,18),tblDaily[WardCode],"FAE")=0,"",SUMIFS(tblDaily[Deaths],tblDaily[EntryDate],DATE(2026,11,18),tblDaily[WardCode],"FAE")),"")</f>
        <v/>
      </c>
      <c r="E414" s="29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29" t="str">
        <f>IFERROR(IF(SUMIFS(tblDaily[TransfersIn],tblDaily[EntryDate],DATE(2026,11,18),tblDaily[WardCode],"FAE")=0,"",SUMIFS(tblDaily[TransfersIn],tblDaily[EntryDate],DATE(2026,11,18),tblDaily[WardCode],"FAE")),"")</f>
        <v/>
      </c>
      <c r="G414" s="29" t="str">
        <f>IFERROR(IF(SUMIFS(tblDaily[TransfersOut],tblDaily[EntryDate],DATE(2026,11,18),tblDaily[WardCode],"FAE")=0,"",SUMIFS(tblDaily[TransfersOut],tblDaily[EntryDate],DATE(2026,11,18),tblDaily[WardCode],"FAE")),"")</f>
        <v/>
      </c>
      <c r="H414" s="29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IFERROR(IF(SUMIFS(tblDaily[Admissions],tblDaily[EntryDate],DATE(2026,11,19),tblDaily[WardCode],"FAE")=0,"",SUMIFS(tblDaily[Admissions],tblDaily[EntryDate],DATE(2026,11,19),tblDaily[WardCode],"FAE")),"")</f>
        <v/>
      </c>
      <c r="C415" s="29" t="str">
        <f>IFERROR(IF(SUMIFS(tblDaily[Discharges],tblDaily[EntryDate],DATE(2026,11,19),tblDaily[WardCode],"FAE")=0,"",SUMIFS(tblDaily[Discharges],tblDaily[EntryDate],DATE(2026,11,19),tblDaily[WardCode],"FAE")),"")</f>
        <v/>
      </c>
      <c r="D415" s="29" t="str">
        <f>IFERROR(IF(SUMIFS(tblDaily[Deaths],tblDaily[EntryDate],DATE(2026,11,19),tblDaily[WardCode],"FAE")=0,"",SUMIFS(tblDaily[Deaths],tblDaily[EntryDate],DATE(2026,11,19),tblDaily[WardCode],"FAE")),"")</f>
        <v/>
      </c>
      <c r="E415" s="29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29" t="str">
        <f>IFERROR(IF(SUMIFS(tblDaily[TransfersIn],tblDaily[EntryDate],DATE(2026,11,19),tblDaily[WardCode],"FAE")=0,"",SUMIFS(tblDaily[TransfersIn],tblDaily[EntryDate],DATE(2026,11,19),tblDaily[WardCode],"FAE")),"")</f>
        <v/>
      </c>
      <c r="G415" s="29" t="str">
        <f>IFERROR(IF(SUMIFS(tblDaily[TransfersOut],tblDaily[EntryDate],DATE(2026,11,19),tblDaily[WardCode],"FAE")=0,"",SUMIFS(tblDaily[TransfersOut],tblDaily[EntryDate],DATE(2026,11,19),tblDaily[WardCode],"FAE")),"")</f>
        <v/>
      </c>
      <c r="H415" s="29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IFERROR(IF(SUMIFS(tblDaily[Admissions],tblDaily[EntryDate],DATE(2026,11,20),tblDaily[WardCode],"FAE")=0,"",SUMIFS(tblDaily[Admissions],tblDaily[EntryDate],DATE(2026,11,20),tblDaily[WardCode],"FAE")),"")</f>
        <v/>
      </c>
      <c r="C416" s="29" t="str">
        <f>IFERROR(IF(SUMIFS(tblDaily[Discharges],tblDaily[EntryDate],DATE(2026,11,20),tblDaily[WardCode],"FAE")=0,"",SUMIFS(tblDaily[Discharges],tblDaily[EntryDate],DATE(2026,11,20),tblDaily[WardCode],"FAE")),"")</f>
        <v/>
      </c>
      <c r="D416" s="29" t="str">
        <f>IFERROR(IF(SUMIFS(tblDaily[Deaths],tblDaily[EntryDate],DATE(2026,11,20),tblDaily[WardCode],"FAE")=0,"",SUMIFS(tblDaily[Deaths],tblDaily[EntryDate],DATE(2026,11,20),tblDaily[WardCode],"FAE")),"")</f>
        <v/>
      </c>
      <c r="E416" s="29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29" t="str">
        <f>IFERROR(IF(SUMIFS(tblDaily[TransfersIn],tblDaily[EntryDate],DATE(2026,11,20),tblDaily[WardCode],"FAE")=0,"",SUMIFS(tblDaily[TransfersIn],tblDaily[EntryDate],DATE(2026,11,20),tblDaily[WardCode],"FAE")),"")</f>
        <v/>
      </c>
      <c r="G416" s="29" t="str">
        <f>IFERROR(IF(SUMIFS(tblDaily[TransfersOut],tblDaily[EntryDate],DATE(2026,11,20),tblDaily[WardCode],"FAE")=0,"",SUMIFS(tblDaily[TransfersOut],tblDaily[EntryDate],DATE(2026,11,20),tblDaily[WardCode],"FAE")),"")</f>
        <v/>
      </c>
      <c r="H416" s="29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IFERROR(IF(SUMIFS(tblDaily[Admissions],tblDaily[EntryDate],DATE(2026,11,21),tblDaily[WardCode],"FAE")=0,"",SUMIFS(tblDaily[Admissions],tblDaily[EntryDate],DATE(2026,11,21),tblDaily[WardCode],"FAE")),"")</f>
        <v/>
      </c>
      <c r="C417" s="29" t="str">
        <f>IFERROR(IF(SUMIFS(tblDaily[Discharges],tblDaily[EntryDate],DATE(2026,11,21),tblDaily[WardCode],"FAE")=0,"",SUMIFS(tblDaily[Discharges],tblDaily[EntryDate],DATE(2026,11,21),tblDaily[WardCode],"FAE")),"")</f>
        <v/>
      </c>
      <c r="D417" s="29" t="str">
        <f>IFERROR(IF(SUMIFS(tblDaily[Deaths],tblDaily[EntryDate],DATE(2026,11,21),tblDaily[WardCode],"FAE")=0,"",SUMIFS(tblDaily[Deaths],tblDaily[EntryDate],DATE(2026,11,21),tblDaily[WardCode],"FAE")),"")</f>
        <v/>
      </c>
      <c r="E417" s="29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29" t="str">
        <f>IFERROR(IF(SUMIFS(tblDaily[TransfersIn],tblDaily[EntryDate],DATE(2026,11,21),tblDaily[WardCode],"FAE")=0,"",SUMIFS(tblDaily[TransfersIn],tblDaily[EntryDate],DATE(2026,11,21),tblDaily[WardCode],"FAE")),"")</f>
        <v/>
      </c>
      <c r="G417" s="29" t="str">
        <f>IFERROR(IF(SUMIFS(tblDaily[TransfersOut],tblDaily[EntryDate],DATE(2026,11,21),tblDaily[WardCode],"FAE")=0,"",SUMIFS(tblDaily[TransfersOut],tblDaily[EntryDate],DATE(2026,11,21),tblDaily[WardCode],"FAE")),"")</f>
        <v/>
      </c>
      <c r="H417" s="29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IFERROR(IF(SUMIFS(tblDaily[Admissions],tblDaily[EntryDate],DATE(2026,11,22),tblDaily[WardCode],"FAE")=0,"",SUMIFS(tblDaily[Admissions],tblDaily[EntryDate],DATE(2026,11,22),tblDaily[WardCode],"FAE")),"")</f>
        <v/>
      </c>
      <c r="C418" s="29" t="str">
        <f>IFERROR(IF(SUMIFS(tblDaily[Discharges],tblDaily[EntryDate],DATE(2026,11,22),tblDaily[WardCode],"FAE")=0,"",SUMIFS(tblDaily[Discharges],tblDaily[EntryDate],DATE(2026,11,22),tblDaily[WardCode],"FAE")),"")</f>
        <v/>
      </c>
      <c r="D418" s="29" t="str">
        <f>IFERROR(IF(SUMIFS(tblDaily[Deaths],tblDaily[EntryDate],DATE(2026,11,22),tblDaily[WardCode],"FAE")=0,"",SUMIFS(tblDaily[Deaths],tblDaily[EntryDate],DATE(2026,11,22),tblDaily[WardCode],"FAE")),"")</f>
        <v/>
      </c>
      <c r="E418" s="29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29" t="str">
        <f>IFERROR(IF(SUMIFS(tblDaily[TransfersIn],tblDaily[EntryDate],DATE(2026,11,22),tblDaily[WardCode],"FAE")=0,"",SUMIFS(tblDaily[TransfersIn],tblDaily[EntryDate],DATE(2026,11,22),tblDaily[WardCode],"FAE")),"")</f>
        <v/>
      </c>
      <c r="G418" s="29" t="str">
        <f>IFERROR(IF(SUMIFS(tblDaily[TransfersOut],tblDaily[EntryDate],DATE(2026,11,22),tblDaily[WardCode],"FAE")=0,"",SUMIFS(tblDaily[TransfersOut],tblDaily[EntryDate],DATE(2026,11,22),tblDaily[WardCode],"FAE")),"")</f>
        <v/>
      </c>
      <c r="H418" s="29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IFERROR(IF(SUMIFS(tblDaily[Admissions],tblDaily[EntryDate],DATE(2026,11,23),tblDaily[WardCode],"FAE")=0,"",SUMIFS(tblDaily[Admissions],tblDaily[EntryDate],DATE(2026,11,23),tblDaily[WardCode],"FAE")),"")</f>
        <v/>
      </c>
      <c r="C419" s="29" t="str">
        <f>IFERROR(IF(SUMIFS(tblDaily[Discharges],tblDaily[EntryDate],DATE(2026,11,23),tblDaily[WardCode],"FAE")=0,"",SUMIFS(tblDaily[Discharges],tblDaily[EntryDate],DATE(2026,11,23),tblDaily[WardCode],"FAE")),"")</f>
        <v/>
      </c>
      <c r="D419" s="29" t="str">
        <f>IFERROR(IF(SUMIFS(tblDaily[Deaths],tblDaily[EntryDate],DATE(2026,11,23),tblDaily[WardCode],"FAE")=0,"",SUMIFS(tblDaily[Deaths],tblDaily[EntryDate],DATE(2026,11,23),tblDaily[WardCode],"FAE")),"")</f>
        <v/>
      </c>
      <c r="E419" s="29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29" t="str">
        <f>IFERROR(IF(SUMIFS(tblDaily[TransfersIn],tblDaily[EntryDate],DATE(2026,11,23),tblDaily[WardCode],"FAE")=0,"",SUMIFS(tblDaily[TransfersIn],tblDaily[EntryDate],DATE(2026,11,23),tblDaily[WardCode],"FAE")),"")</f>
        <v/>
      </c>
      <c r="G419" s="29" t="str">
        <f>IFERROR(IF(SUMIFS(tblDaily[TransfersOut],tblDaily[EntryDate],DATE(2026,11,23),tblDaily[WardCode],"FAE")=0,"",SUMIFS(tblDaily[TransfersOut],tblDaily[EntryDate],DATE(2026,11,23),tblDaily[WardCode],"FAE")),"")</f>
        <v/>
      </c>
      <c r="H419" s="29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IFERROR(IF(SUMIFS(tblDaily[Admissions],tblDaily[EntryDate],DATE(2026,11,24),tblDaily[WardCode],"FAE")=0,"",SUMIFS(tblDaily[Admissions],tblDaily[EntryDate],DATE(2026,11,24),tblDaily[WardCode],"FAE")),"")</f>
        <v/>
      </c>
      <c r="C420" s="29" t="str">
        <f>IFERROR(IF(SUMIFS(tblDaily[Discharges],tblDaily[EntryDate],DATE(2026,11,24),tblDaily[WardCode],"FAE")=0,"",SUMIFS(tblDaily[Discharges],tblDaily[EntryDate],DATE(2026,11,24),tblDaily[WardCode],"FAE")),"")</f>
        <v/>
      </c>
      <c r="D420" s="29" t="str">
        <f>IFERROR(IF(SUMIFS(tblDaily[Deaths],tblDaily[EntryDate],DATE(2026,11,24),tblDaily[WardCode],"FAE")=0,"",SUMIFS(tblDaily[Deaths],tblDaily[EntryDate],DATE(2026,11,24),tblDaily[WardCode],"FAE")),"")</f>
        <v/>
      </c>
      <c r="E420" s="29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29" t="str">
        <f>IFERROR(IF(SUMIFS(tblDaily[TransfersIn],tblDaily[EntryDate],DATE(2026,11,24),tblDaily[WardCode],"FAE")=0,"",SUMIFS(tblDaily[TransfersIn],tblDaily[EntryDate],DATE(2026,11,24),tblDaily[WardCode],"FAE")),"")</f>
        <v/>
      </c>
      <c r="G420" s="29" t="str">
        <f>IFERROR(IF(SUMIFS(tblDaily[TransfersOut],tblDaily[EntryDate],DATE(2026,11,24),tblDaily[WardCode],"FAE")=0,"",SUMIFS(tblDaily[TransfersOut],tblDaily[EntryDate],DATE(2026,11,24),tblDaily[WardCode],"FAE")),"")</f>
        <v/>
      </c>
      <c r="H420" s="29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IFERROR(IF(SUMIFS(tblDaily[Admissions],tblDaily[EntryDate],DATE(2026,11,25),tblDaily[WardCode],"FAE")=0,"",SUMIFS(tblDaily[Admissions],tblDaily[EntryDate],DATE(2026,11,25),tblDaily[WardCode],"FAE")),"")</f>
        <v/>
      </c>
      <c r="C421" s="29" t="str">
        <f>IFERROR(IF(SUMIFS(tblDaily[Discharges],tblDaily[EntryDate],DATE(2026,11,25),tblDaily[WardCode],"FAE")=0,"",SUMIFS(tblDaily[Discharges],tblDaily[EntryDate],DATE(2026,11,25),tblDaily[WardCode],"FAE")),"")</f>
        <v/>
      </c>
      <c r="D421" s="29" t="str">
        <f>IFERROR(IF(SUMIFS(tblDaily[Deaths],tblDaily[EntryDate],DATE(2026,11,25),tblDaily[WardCode],"FAE")=0,"",SUMIFS(tblDaily[Deaths],tblDaily[EntryDate],DATE(2026,11,25),tblDaily[WardCode],"FAE")),"")</f>
        <v/>
      </c>
      <c r="E421" s="29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29" t="str">
        <f>IFERROR(IF(SUMIFS(tblDaily[TransfersIn],tblDaily[EntryDate],DATE(2026,11,25),tblDaily[WardCode],"FAE")=0,"",SUMIFS(tblDaily[TransfersIn],tblDaily[EntryDate],DATE(2026,11,25),tblDaily[WardCode],"FAE")),"")</f>
        <v/>
      </c>
      <c r="G421" s="29" t="str">
        <f>IFERROR(IF(SUMIFS(tblDaily[TransfersOut],tblDaily[EntryDate],DATE(2026,11,25),tblDaily[WardCode],"FAE")=0,"",SUMIFS(tblDaily[TransfersOut],tblDaily[EntryDate],DATE(2026,11,25),tblDaily[WardCode],"FAE")),"")</f>
        <v/>
      </c>
      <c r="H421" s="29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IFERROR(IF(SUMIFS(tblDaily[Admissions],tblDaily[EntryDate],DATE(2026,11,26),tblDaily[WardCode],"FAE")=0,"",SUMIFS(tblDaily[Admissions],tblDaily[EntryDate],DATE(2026,11,26),tblDaily[WardCode],"FAE")),"")</f>
        <v/>
      </c>
      <c r="C422" s="29" t="str">
        <f>IFERROR(IF(SUMIFS(tblDaily[Discharges],tblDaily[EntryDate],DATE(2026,11,26),tblDaily[WardCode],"FAE")=0,"",SUMIFS(tblDaily[Discharges],tblDaily[EntryDate],DATE(2026,11,26),tblDaily[WardCode],"FAE")),"")</f>
        <v/>
      </c>
      <c r="D422" s="29" t="str">
        <f>IFERROR(IF(SUMIFS(tblDaily[Deaths],tblDaily[EntryDate],DATE(2026,11,26),tblDaily[WardCode],"FAE")=0,"",SUMIFS(tblDaily[Deaths],tblDaily[EntryDate],DATE(2026,11,26),tblDaily[WardCode],"FAE")),"")</f>
        <v/>
      </c>
      <c r="E422" s="29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29" t="str">
        <f>IFERROR(IF(SUMIFS(tblDaily[TransfersIn],tblDaily[EntryDate],DATE(2026,11,26),tblDaily[WardCode],"FAE")=0,"",SUMIFS(tblDaily[TransfersIn],tblDaily[EntryDate],DATE(2026,11,26),tblDaily[WardCode],"FAE")),"")</f>
        <v/>
      </c>
      <c r="G422" s="29" t="str">
        <f>IFERROR(IF(SUMIFS(tblDaily[TransfersOut],tblDaily[EntryDate],DATE(2026,11,26),tblDaily[WardCode],"FAE")=0,"",SUMIFS(tblDaily[TransfersOut],tblDaily[EntryDate],DATE(2026,11,26),tblDaily[WardCode],"FAE")),"")</f>
        <v/>
      </c>
      <c r="H422" s="29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IFERROR(IF(SUMIFS(tblDaily[Admissions],tblDaily[EntryDate],DATE(2026,11,27),tblDaily[WardCode],"FAE")=0,"",SUMIFS(tblDaily[Admissions],tblDaily[EntryDate],DATE(2026,11,27),tblDaily[WardCode],"FAE")),"")</f>
        <v/>
      </c>
      <c r="C423" s="29" t="str">
        <f>IFERROR(IF(SUMIFS(tblDaily[Discharges],tblDaily[EntryDate],DATE(2026,11,27),tblDaily[WardCode],"FAE")=0,"",SUMIFS(tblDaily[Discharges],tblDaily[EntryDate],DATE(2026,11,27),tblDaily[WardCode],"FAE")),"")</f>
        <v/>
      </c>
      <c r="D423" s="29" t="str">
        <f>IFERROR(IF(SUMIFS(tblDaily[Deaths],tblDaily[EntryDate],DATE(2026,11,27),tblDaily[WardCode],"FAE")=0,"",SUMIFS(tblDaily[Deaths],tblDaily[EntryDate],DATE(2026,11,27),tblDaily[WardCode],"FAE")),"")</f>
        <v/>
      </c>
      <c r="E423" s="29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29" t="str">
        <f>IFERROR(IF(SUMIFS(tblDaily[TransfersIn],tblDaily[EntryDate],DATE(2026,11,27),tblDaily[WardCode],"FAE")=0,"",SUMIFS(tblDaily[TransfersIn],tblDaily[EntryDate],DATE(2026,11,27),tblDaily[WardCode],"FAE")),"")</f>
        <v/>
      </c>
      <c r="G423" s="29" t="str">
        <f>IFERROR(IF(SUMIFS(tblDaily[TransfersOut],tblDaily[EntryDate],DATE(2026,11,27),tblDaily[WardCode],"FAE")=0,"",SUMIFS(tblDaily[TransfersOut],tblDaily[EntryDate],DATE(2026,11,27),tblDaily[WardCode],"FAE")),"")</f>
        <v/>
      </c>
      <c r="H423" s="29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IFERROR(IF(SUMIFS(tblDaily[Admissions],tblDaily[EntryDate],DATE(2026,11,28),tblDaily[WardCode],"FAE")=0,"",SUMIFS(tblDaily[Admissions],tblDaily[EntryDate],DATE(2026,11,28),tblDaily[WardCode],"FAE")),"")</f>
        <v/>
      </c>
      <c r="C424" s="29" t="str">
        <f>IFERROR(IF(SUMIFS(tblDaily[Discharges],tblDaily[EntryDate],DATE(2026,11,28),tblDaily[WardCode],"FAE")=0,"",SUMIFS(tblDaily[Discharges],tblDaily[EntryDate],DATE(2026,11,28),tblDaily[WardCode],"FAE")),"")</f>
        <v/>
      </c>
      <c r="D424" s="29" t="str">
        <f>IFERROR(IF(SUMIFS(tblDaily[Deaths],tblDaily[EntryDate],DATE(2026,11,28),tblDaily[WardCode],"FAE")=0,"",SUMIFS(tblDaily[Deaths],tblDaily[EntryDate],DATE(2026,11,28),tblDaily[WardCode],"FAE")),"")</f>
        <v/>
      </c>
      <c r="E424" s="29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29" t="str">
        <f>IFERROR(IF(SUMIFS(tblDaily[TransfersIn],tblDaily[EntryDate],DATE(2026,11,28),tblDaily[WardCode],"FAE")=0,"",SUMIFS(tblDaily[TransfersIn],tblDaily[EntryDate],DATE(2026,11,28),tblDaily[WardCode],"FAE")),"")</f>
        <v/>
      </c>
      <c r="G424" s="29" t="str">
        <f>IFERROR(IF(SUMIFS(tblDaily[TransfersOut],tblDaily[EntryDate],DATE(2026,11,28),tblDaily[WardCode],"FAE")=0,"",SUMIFS(tblDaily[TransfersOut],tblDaily[EntryDate],DATE(2026,11,28),tblDaily[WardCode],"FAE")),"")</f>
        <v/>
      </c>
      <c r="H424" s="29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IFERROR(IF(SUMIFS(tblDaily[Admissions],tblDaily[EntryDate],DATE(2026,11,29),tblDaily[WardCode],"FAE")=0,"",SUMIFS(tblDaily[Admissions],tblDaily[EntryDate],DATE(2026,11,29),tblDaily[WardCode],"FAE")),"")</f>
        <v/>
      </c>
      <c r="C425" s="29" t="str">
        <f>IFERROR(IF(SUMIFS(tblDaily[Discharges],tblDaily[EntryDate],DATE(2026,11,29),tblDaily[WardCode],"FAE")=0,"",SUMIFS(tblDaily[Discharges],tblDaily[EntryDate],DATE(2026,11,29),tblDaily[WardCode],"FAE")),"")</f>
        <v/>
      </c>
      <c r="D425" s="29" t="str">
        <f>IFERROR(IF(SUMIFS(tblDaily[Deaths],tblDaily[EntryDate],DATE(2026,11,29),tblDaily[WardCode],"FAE")=0,"",SUMIFS(tblDaily[Deaths],tblDaily[EntryDate],DATE(2026,11,29),tblDaily[WardCode],"FAE")),"")</f>
        <v/>
      </c>
      <c r="E425" s="29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29" t="str">
        <f>IFERROR(IF(SUMIFS(tblDaily[TransfersIn],tblDaily[EntryDate],DATE(2026,11,29),tblDaily[WardCode],"FAE")=0,"",SUMIFS(tblDaily[TransfersIn],tblDaily[EntryDate],DATE(2026,11,29),tblDaily[WardCode],"FAE")),"")</f>
        <v/>
      </c>
      <c r="G425" s="29" t="str">
        <f>IFERROR(IF(SUMIFS(tblDaily[TransfersOut],tblDaily[EntryDate],DATE(2026,11,29),tblDaily[WardCode],"FAE")=0,"",SUMIFS(tblDaily[TransfersOut],tblDaily[EntryDate],DATE(2026,11,29),tblDaily[WardCode],"FAE")),"")</f>
        <v/>
      </c>
      <c r="H425" s="29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IFERROR(IF(SUMIFS(tblDaily[Admissions],tblDaily[EntryDate],DATE(2026,11,30),tblDaily[WardCode],"FAE")=0,"",SUMIFS(tblDaily[Admissions],tblDaily[EntryDate],DATE(2026,11,30),tblDaily[WardCode],"FAE")),"")</f>
        <v/>
      </c>
      <c r="C426" s="29" t="str">
        <f>IFERROR(IF(SUMIFS(tblDaily[Discharges],tblDaily[EntryDate],DATE(2026,11,30),tblDaily[WardCode],"FAE")=0,"",SUMIFS(tblDaily[Discharges],tblDaily[EntryDate],DATE(2026,11,30),tblDaily[WardCode],"FAE")),"")</f>
        <v/>
      </c>
      <c r="D426" s="29" t="str">
        <f>IFERROR(IF(SUMIFS(tblDaily[Deaths],tblDaily[EntryDate],DATE(2026,11,30),tblDaily[WardCode],"FAE")=0,"",SUMIFS(tblDaily[Deaths],tblDaily[EntryDate],DATE(2026,11,30),tblDaily[WardCode],"FAE")),"")</f>
        <v/>
      </c>
      <c r="E426" s="29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29" t="str">
        <f>IFERROR(IF(SUMIFS(tblDaily[TransfersIn],tblDaily[EntryDate],DATE(2026,11,30),tblDaily[WardCode],"FAE")=0,"",SUMIFS(tblDaily[TransfersIn],tblDaily[EntryDate],DATE(2026,11,30),tblDaily[WardCode],"FAE")),"")</f>
        <v/>
      </c>
      <c r="G426" s="29" t="str">
        <f>IFERROR(IF(SUMIFS(tblDaily[TransfersOut],tblDaily[EntryDate],DATE(2026,11,30),tblDaily[WardCode],"FAE")=0,"",SUMIFS(tblDaily[TransfersOut],tblDaily[EntryDate],DATE(2026,11,30),tblDaily[WardCode],"FAE")),"")</f>
        <v/>
      </c>
      <c r="H426" s="29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SUMIFS(tblDaily[Admissions],tblDaily[Month],11,tblDaily[WardCode],"FAE") - SUMIFS(tblDaily[DeathsUnder24Hrs],tblDaily[Month],11,tblDaily[WardCode],"FAE")</f>
        <v>0</v>
      </c>
      <c r="C428" s="30">
        <f>SUMIFS(tblDaily[Discharges],tblDaily[Month],11,tblDaily[WardCode],"FAE")</f>
        <v>0</v>
      </c>
      <c r="D428" s="30">
        <f>SUMIFS(tblDaily[Deaths],tblDaily[Month],11,tblDaily[WardCode],"FAE")</f>
        <v>0</v>
      </c>
      <c r="E428" s="30">
        <f>SUMIFS(tblDaily[DeathsUnder24Hrs],tblDaily[Month],11,tblDaily[WardCode],"FAE")</f>
        <v>0</v>
      </c>
      <c r="F428" s="30">
        <f>SUMIFS(tblDaily[TransfersIn],tblDaily[Month],11,tblDaily[WardCode],"FAE")</f>
        <v>0</v>
      </c>
      <c r="G428" s="30">
        <f>SUMIFS(tblDaily[TransfersOut],tblDaily[Month],11,tblDaily[WardCode],"FAE")</f>
        <v>0</v>
      </c>
      <c r="H428" s="30">
        <f>SUMIFS(tblDaily[Remaining],tblDaily[Month],11,tblDaily[WardCode],"FAE")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123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IFERROR(SUMIFS(tblDaily[Remaining],tblDaily[EntryDate],DATE(2026,11,30),tblDaily[WardCode],"FAE"),0)</f>
        <v>0</v>
      </c>
    </row>
    <row r="434" spans="1:8" x14ac:dyDescent="0.25">
      <c r="A434" s="24" t="s">
        <v>109</v>
      </c>
      <c r="H434" s="27">
        <f>IFERROR(INDEX(tblWardConfig[BedComplement],MATCH("FAE",tblWardConfig[WardCode],0)),0)</f>
        <v>10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IFERROR(IF(SUMIFS(tblDaily[Admissions],tblDaily[EntryDate],DATE(2026,12,1),tblDaily[WardCode],"FAE")=0,"",SUMIFS(tblDaily[Admissions],tblDaily[EntryDate],DATE(2026,12,1),tblDaily[WardCode],"FAE")),"")</f>
        <v/>
      </c>
      <c r="C436" s="29" t="str">
        <f>IFERROR(IF(SUMIFS(tblDaily[Discharges],tblDaily[EntryDate],DATE(2026,12,1),tblDaily[WardCode],"FAE")=0,"",SUMIFS(tblDaily[Discharges],tblDaily[EntryDate],DATE(2026,12,1),tblDaily[WardCode],"FAE")),"")</f>
        <v/>
      </c>
      <c r="D436" s="29" t="str">
        <f>IFERROR(IF(SUMIFS(tblDaily[Deaths],tblDaily[EntryDate],DATE(2026,12,1),tblDaily[WardCode],"FAE")=0,"",SUMIFS(tblDaily[Deaths],tblDaily[EntryDate],DATE(2026,12,1),tblDaily[WardCode],"FAE")),"")</f>
        <v/>
      </c>
      <c r="E436" s="29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29" t="str">
        <f>IFERROR(IF(SUMIFS(tblDaily[TransfersIn],tblDaily[EntryDate],DATE(2026,12,1),tblDaily[WardCode],"FAE")=0,"",SUMIFS(tblDaily[TransfersIn],tblDaily[EntryDate],DATE(2026,12,1),tblDaily[WardCode],"FAE")),"")</f>
        <v/>
      </c>
      <c r="G436" s="29" t="str">
        <f>IFERROR(IF(SUMIFS(tblDaily[TransfersOut],tblDaily[EntryDate],DATE(2026,12,1),tblDaily[WardCode],"FAE")=0,"",SUMIFS(tblDaily[TransfersOut],tblDaily[EntryDate],DATE(2026,12,1),tblDaily[WardCode],"FAE")),"")</f>
        <v/>
      </c>
      <c r="H436" s="29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IFERROR(IF(SUMIFS(tblDaily[Admissions],tblDaily[EntryDate],DATE(2026,12,2),tblDaily[WardCode],"FAE")=0,"",SUMIFS(tblDaily[Admissions],tblDaily[EntryDate],DATE(2026,12,2),tblDaily[WardCode],"FAE")),"")</f>
        <v/>
      </c>
      <c r="C437" s="29" t="str">
        <f>IFERROR(IF(SUMIFS(tblDaily[Discharges],tblDaily[EntryDate],DATE(2026,12,2),tblDaily[WardCode],"FAE")=0,"",SUMIFS(tblDaily[Discharges],tblDaily[EntryDate],DATE(2026,12,2),tblDaily[WardCode],"FAE")),"")</f>
        <v/>
      </c>
      <c r="D437" s="29" t="str">
        <f>IFERROR(IF(SUMIFS(tblDaily[Deaths],tblDaily[EntryDate],DATE(2026,12,2),tblDaily[WardCode],"FAE")=0,"",SUMIFS(tblDaily[Deaths],tblDaily[EntryDate],DATE(2026,12,2),tblDaily[WardCode],"FAE")),"")</f>
        <v/>
      </c>
      <c r="E437" s="29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29" t="str">
        <f>IFERROR(IF(SUMIFS(tblDaily[TransfersIn],tblDaily[EntryDate],DATE(2026,12,2),tblDaily[WardCode],"FAE")=0,"",SUMIFS(tblDaily[TransfersIn],tblDaily[EntryDate],DATE(2026,12,2),tblDaily[WardCode],"FAE")),"")</f>
        <v/>
      </c>
      <c r="G437" s="29" t="str">
        <f>IFERROR(IF(SUMIFS(tblDaily[TransfersOut],tblDaily[EntryDate],DATE(2026,12,2),tblDaily[WardCode],"FAE")=0,"",SUMIFS(tblDaily[TransfersOut],tblDaily[EntryDate],DATE(2026,12,2),tblDaily[WardCode],"FAE")),"")</f>
        <v/>
      </c>
      <c r="H437" s="29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IFERROR(IF(SUMIFS(tblDaily[Admissions],tblDaily[EntryDate],DATE(2026,12,3),tblDaily[WardCode],"FAE")=0,"",SUMIFS(tblDaily[Admissions],tblDaily[EntryDate],DATE(2026,12,3),tblDaily[WardCode],"FAE")),"")</f>
        <v/>
      </c>
      <c r="C438" s="29" t="str">
        <f>IFERROR(IF(SUMIFS(tblDaily[Discharges],tblDaily[EntryDate],DATE(2026,12,3),tblDaily[WardCode],"FAE")=0,"",SUMIFS(tblDaily[Discharges],tblDaily[EntryDate],DATE(2026,12,3),tblDaily[WardCode],"FAE")),"")</f>
        <v/>
      </c>
      <c r="D438" s="29" t="str">
        <f>IFERROR(IF(SUMIFS(tblDaily[Deaths],tblDaily[EntryDate],DATE(2026,12,3),tblDaily[WardCode],"FAE")=0,"",SUMIFS(tblDaily[Deaths],tblDaily[EntryDate],DATE(2026,12,3),tblDaily[WardCode],"FAE")),"")</f>
        <v/>
      </c>
      <c r="E438" s="29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29" t="str">
        <f>IFERROR(IF(SUMIFS(tblDaily[TransfersIn],tblDaily[EntryDate],DATE(2026,12,3),tblDaily[WardCode],"FAE")=0,"",SUMIFS(tblDaily[TransfersIn],tblDaily[EntryDate],DATE(2026,12,3),tblDaily[WardCode],"FAE")),"")</f>
        <v/>
      </c>
      <c r="G438" s="29" t="str">
        <f>IFERROR(IF(SUMIFS(tblDaily[TransfersOut],tblDaily[EntryDate],DATE(2026,12,3),tblDaily[WardCode],"FAE")=0,"",SUMIFS(tblDaily[TransfersOut],tblDaily[EntryDate],DATE(2026,12,3),tblDaily[WardCode],"FAE")),"")</f>
        <v/>
      </c>
      <c r="H438" s="29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IFERROR(IF(SUMIFS(tblDaily[Admissions],tblDaily[EntryDate],DATE(2026,12,4),tblDaily[WardCode],"FAE")=0,"",SUMIFS(tblDaily[Admissions],tblDaily[EntryDate],DATE(2026,12,4),tblDaily[WardCode],"FAE")),"")</f>
        <v/>
      </c>
      <c r="C439" s="29" t="str">
        <f>IFERROR(IF(SUMIFS(tblDaily[Discharges],tblDaily[EntryDate],DATE(2026,12,4),tblDaily[WardCode],"FAE")=0,"",SUMIFS(tblDaily[Discharges],tblDaily[EntryDate],DATE(2026,12,4),tblDaily[WardCode],"FAE")),"")</f>
        <v/>
      </c>
      <c r="D439" s="29" t="str">
        <f>IFERROR(IF(SUMIFS(tblDaily[Deaths],tblDaily[EntryDate],DATE(2026,12,4),tblDaily[WardCode],"FAE")=0,"",SUMIFS(tblDaily[Deaths],tblDaily[EntryDate],DATE(2026,12,4),tblDaily[WardCode],"FAE")),"")</f>
        <v/>
      </c>
      <c r="E439" s="29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29" t="str">
        <f>IFERROR(IF(SUMIFS(tblDaily[TransfersIn],tblDaily[EntryDate],DATE(2026,12,4),tblDaily[WardCode],"FAE")=0,"",SUMIFS(tblDaily[TransfersIn],tblDaily[EntryDate],DATE(2026,12,4),tblDaily[WardCode],"FAE")),"")</f>
        <v/>
      </c>
      <c r="G439" s="29" t="str">
        <f>IFERROR(IF(SUMIFS(tblDaily[TransfersOut],tblDaily[EntryDate],DATE(2026,12,4),tblDaily[WardCode],"FAE")=0,"",SUMIFS(tblDaily[TransfersOut],tblDaily[EntryDate],DATE(2026,12,4),tblDaily[WardCode],"FAE")),"")</f>
        <v/>
      </c>
      <c r="H439" s="29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IFERROR(IF(SUMIFS(tblDaily[Admissions],tblDaily[EntryDate],DATE(2026,12,5),tblDaily[WardCode],"FAE")=0,"",SUMIFS(tblDaily[Admissions],tblDaily[EntryDate],DATE(2026,12,5),tblDaily[WardCode],"FAE")),"")</f>
        <v/>
      </c>
      <c r="C440" s="29" t="str">
        <f>IFERROR(IF(SUMIFS(tblDaily[Discharges],tblDaily[EntryDate],DATE(2026,12,5),tblDaily[WardCode],"FAE")=0,"",SUMIFS(tblDaily[Discharges],tblDaily[EntryDate],DATE(2026,12,5),tblDaily[WardCode],"FAE")),"")</f>
        <v/>
      </c>
      <c r="D440" s="29" t="str">
        <f>IFERROR(IF(SUMIFS(tblDaily[Deaths],tblDaily[EntryDate],DATE(2026,12,5),tblDaily[WardCode],"FAE")=0,"",SUMIFS(tblDaily[Deaths],tblDaily[EntryDate],DATE(2026,12,5),tblDaily[WardCode],"FAE")),"")</f>
        <v/>
      </c>
      <c r="E440" s="29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29" t="str">
        <f>IFERROR(IF(SUMIFS(tblDaily[TransfersIn],tblDaily[EntryDate],DATE(2026,12,5),tblDaily[WardCode],"FAE")=0,"",SUMIFS(tblDaily[TransfersIn],tblDaily[EntryDate],DATE(2026,12,5),tblDaily[WardCode],"FAE")),"")</f>
        <v/>
      </c>
      <c r="G440" s="29" t="str">
        <f>IFERROR(IF(SUMIFS(tblDaily[TransfersOut],tblDaily[EntryDate],DATE(2026,12,5),tblDaily[WardCode],"FAE")=0,"",SUMIFS(tblDaily[TransfersOut],tblDaily[EntryDate],DATE(2026,12,5),tblDaily[WardCode],"FAE")),"")</f>
        <v/>
      </c>
      <c r="H440" s="29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IFERROR(IF(SUMIFS(tblDaily[Admissions],tblDaily[EntryDate],DATE(2026,12,6),tblDaily[WardCode],"FAE")=0,"",SUMIFS(tblDaily[Admissions],tblDaily[EntryDate],DATE(2026,12,6),tblDaily[WardCode],"FAE")),"")</f>
        <v/>
      </c>
      <c r="C441" s="29" t="str">
        <f>IFERROR(IF(SUMIFS(tblDaily[Discharges],tblDaily[EntryDate],DATE(2026,12,6),tblDaily[WardCode],"FAE")=0,"",SUMIFS(tblDaily[Discharges],tblDaily[EntryDate],DATE(2026,12,6),tblDaily[WardCode],"FAE")),"")</f>
        <v/>
      </c>
      <c r="D441" s="29" t="str">
        <f>IFERROR(IF(SUMIFS(tblDaily[Deaths],tblDaily[EntryDate],DATE(2026,12,6),tblDaily[WardCode],"FAE")=0,"",SUMIFS(tblDaily[Deaths],tblDaily[EntryDate],DATE(2026,12,6),tblDaily[WardCode],"FAE")),"")</f>
        <v/>
      </c>
      <c r="E441" s="29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29" t="str">
        <f>IFERROR(IF(SUMIFS(tblDaily[TransfersIn],tblDaily[EntryDate],DATE(2026,12,6),tblDaily[WardCode],"FAE")=0,"",SUMIFS(tblDaily[TransfersIn],tblDaily[EntryDate],DATE(2026,12,6),tblDaily[WardCode],"FAE")),"")</f>
        <v/>
      </c>
      <c r="G441" s="29" t="str">
        <f>IFERROR(IF(SUMIFS(tblDaily[TransfersOut],tblDaily[EntryDate],DATE(2026,12,6),tblDaily[WardCode],"FAE")=0,"",SUMIFS(tblDaily[TransfersOut],tblDaily[EntryDate],DATE(2026,12,6),tblDaily[WardCode],"FAE")),"")</f>
        <v/>
      </c>
      <c r="H441" s="29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IFERROR(IF(SUMIFS(tblDaily[Admissions],tblDaily[EntryDate],DATE(2026,12,7),tblDaily[WardCode],"FAE")=0,"",SUMIFS(tblDaily[Admissions],tblDaily[EntryDate],DATE(2026,12,7),tblDaily[WardCode],"FAE")),"")</f>
        <v/>
      </c>
      <c r="C442" s="29" t="str">
        <f>IFERROR(IF(SUMIFS(tblDaily[Discharges],tblDaily[EntryDate],DATE(2026,12,7),tblDaily[WardCode],"FAE")=0,"",SUMIFS(tblDaily[Discharges],tblDaily[EntryDate],DATE(2026,12,7),tblDaily[WardCode],"FAE")),"")</f>
        <v/>
      </c>
      <c r="D442" s="29" t="str">
        <f>IFERROR(IF(SUMIFS(tblDaily[Deaths],tblDaily[EntryDate],DATE(2026,12,7),tblDaily[WardCode],"FAE")=0,"",SUMIFS(tblDaily[Deaths],tblDaily[EntryDate],DATE(2026,12,7),tblDaily[WardCode],"FAE")),"")</f>
        <v/>
      </c>
      <c r="E442" s="29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29" t="str">
        <f>IFERROR(IF(SUMIFS(tblDaily[TransfersIn],tblDaily[EntryDate],DATE(2026,12,7),tblDaily[WardCode],"FAE")=0,"",SUMIFS(tblDaily[TransfersIn],tblDaily[EntryDate],DATE(2026,12,7),tblDaily[WardCode],"FAE")),"")</f>
        <v/>
      </c>
      <c r="G442" s="29" t="str">
        <f>IFERROR(IF(SUMIFS(tblDaily[TransfersOut],tblDaily[EntryDate],DATE(2026,12,7),tblDaily[WardCode],"FAE")=0,"",SUMIFS(tblDaily[TransfersOut],tblDaily[EntryDate],DATE(2026,12,7),tblDaily[WardCode],"FAE")),"")</f>
        <v/>
      </c>
      <c r="H442" s="29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IFERROR(IF(SUMIFS(tblDaily[Admissions],tblDaily[EntryDate],DATE(2026,12,8),tblDaily[WardCode],"FAE")=0,"",SUMIFS(tblDaily[Admissions],tblDaily[EntryDate],DATE(2026,12,8),tblDaily[WardCode],"FAE")),"")</f>
        <v/>
      </c>
      <c r="C443" s="29" t="str">
        <f>IFERROR(IF(SUMIFS(tblDaily[Discharges],tblDaily[EntryDate],DATE(2026,12,8),tblDaily[WardCode],"FAE")=0,"",SUMIFS(tblDaily[Discharges],tblDaily[EntryDate],DATE(2026,12,8),tblDaily[WardCode],"FAE")),"")</f>
        <v/>
      </c>
      <c r="D443" s="29" t="str">
        <f>IFERROR(IF(SUMIFS(tblDaily[Deaths],tblDaily[EntryDate],DATE(2026,12,8),tblDaily[WardCode],"FAE")=0,"",SUMIFS(tblDaily[Deaths],tblDaily[EntryDate],DATE(2026,12,8),tblDaily[WardCode],"FAE")),"")</f>
        <v/>
      </c>
      <c r="E443" s="29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29" t="str">
        <f>IFERROR(IF(SUMIFS(tblDaily[TransfersIn],tblDaily[EntryDate],DATE(2026,12,8),tblDaily[WardCode],"FAE")=0,"",SUMIFS(tblDaily[TransfersIn],tblDaily[EntryDate],DATE(2026,12,8),tblDaily[WardCode],"FAE")),"")</f>
        <v/>
      </c>
      <c r="G443" s="29" t="str">
        <f>IFERROR(IF(SUMIFS(tblDaily[TransfersOut],tblDaily[EntryDate],DATE(2026,12,8),tblDaily[WardCode],"FAE")=0,"",SUMIFS(tblDaily[TransfersOut],tblDaily[EntryDate],DATE(2026,12,8),tblDaily[WardCode],"FAE")),"")</f>
        <v/>
      </c>
      <c r="H443" s="29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IFERROR(IF(SUMIFS(tblDaily[Admissions],tblDaily[EntryDate],DATE(2026,12,9),tblDaily[WardCode],"FAE")=0,"",SUMIFS(tblDaily[Admissions],tblDaily[EntryDate],DATE(2026,12,9),tblDaily[WardCode],"FAE")),"")</f>
        <v/>
      </c>
      <c r="C444" s="29" t="str">
        <f>IFERROR(IF(SUMIFS(tblDaily[Discharges],tblDaily[EntryDate],DATE(2026,12,9),tblDaily[WardCode],"FAE")=0,"",SUMIFS(tblDaily[Discharges],tblDaily[EntryDate],DATE(2026,12,9),tblDaily[WardCode],"FAE")),"")</f>
        <v/>
      </c>
      <c r="D444" s="29" t="str">
        <f>IFERROR(IF(SUMIFS(tblDaily[Deaths],tblDaily[EntryDate],DATE(2026,12,9),tblDaily[WardCode],"FAE")=0,"",SUMIFS(tblDaily[Deaths],tblDaily[EntryDate],DATE(2026,12,9),tblDaily[WardCode],"FAE")),"")</f>
        <v/>
      </c>
      <c r="E444" s="29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29" t="str">
        <f>IFERROR(IF(SUMIFS(tblDaily[TransfersIn],tblDaily[EntryDate],DATE(2026,12,9),tblDaily[WardCode],"FAE")=0,"",SUMIFS(tblDaily[TransfersIn],tblDaily[EntryDate],DATE(2026,12,9),tblDaily[WardCode],"FAE")),"")</f>
        <v/>
      </c>
      <c r="G444" s="29" t="str">
        <f>IFERROR(IF(SUMIFS(tblDaily[TransfersOut],tblDaily[EntryDate],DATE(2026,12,9),tblDaily[WardCode],"FAE")=0,"",SUMIFS(tblDaily[TransfersOut],tblDaily[EntryDate],DATE(2026,12,9),tblDaily[WardCode],"FAE")),"")</f>
        <v/>
      </c>
      <c r="H444" s="29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IFERROR(IF(SUMIFS(tblDaily[Admissions],tblDaily[EntryDate],DATE(2026,12,10),tblDaily[WardCode],"FAE")=0,"",SUMIFS(tblDaily[Admissions],tblDaily[EntryDate],DATE(2026,12,10),tblDaily[WardCode],"FAE")),"")</f>
        <v/>
      </c>
      <c r="C445" s="29" t="str">
        <f>IFERROR(IF(SUMIFS(tblDaily[Discharges],tblDaily[EntryDate],DATE(2026,12,10),tblDaily[WardCode],"FAE")=0,"",SUMIFS(tblDaily[Discharges],tblDaily[EntryDate],DATE(2026,12,10),tblDaily[WardCode],"FAE")),"")</f>
        <v/>
      </c>
      <c r="D445" s="29" t="str">
        <f>IFERROR(IF(SUMIFS(tblDaily[Deaths],tblDaily[EntryDate],DATE(2026,12,10),tblDaily[WardCode],"FAE")=0,"",SUMIFS(tblDaily[Deaths],tblDaily[EntryDate],DATE(2026,12,10),tblDaily[WardCode],"FAE")),"")</f>
        <v/>
      </c>
      <c r="E445" s="29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29" t="str">
        <f>IFERROR(IF(SUMIFS(tblDaily[TransfersIn],tblDaily[EntryDate],DATE(2026,12,10),tblDaily[WardCode],"FAE")=0,"",SUMIFS(tblDaily[TransfersIn],tblDaily[EntryDate],DATE(2026,12,10),tblDaily[WardCode],"FAE")),"")</f>
        <v/>
      </c>
      <c r="G445" s="29" t="str">
        <f>IFERROR(IF(SUMIFS(tblDaily[TransfersOut],tblDaily[EntryDate],DATE(2026,12,10),tblDaily[WardCode],"FAE")=0,"",SUMIFS(tblDaily[TransfersOut],tblDaily[EntryDate],DATE(2026,12,10),tblDaily[WardCode],"FAE")),"")</f>
        <v/>
      </c>
      <c r="H445" s="29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IFERROR(IF(SUMIFS(tblDaily[Admissions],tblDaily[EntryDate],DATE(2026,12,11),tblDaily[WardCode],"FAE")=0,"",SUMIFS(tblDaily[Admissions],tblDaily[EntryDate],DATE(2026,12,11),tblDaily[WardCode],"FAE")),"")</f>
        <v/>
      </c>
      <c r="C446" s="29" t="str">
        <f>IFERROR(IF(SUMIFS(tblDaily[Discharges],tblDaily[EntryDate],DATE(2026,12,11),tblDaily[WardCode],"FAE")=0,"",SUMIFS(tblDaily[Discharges],tblDaily[EntryDate],DATE(2026,12,11),tblDaily[WardCode],"FAE")),"")</f>
        <v/>
      </c>
      <c r="D446" s="29" t="str">
        <f>IFERROR(IF(SUMIFS(tblDaily[Deaths],tblDaily[EntryDate],DATE(2026,12,11),tblDaily[WardCode],"FAE")=0,"",SUMIFS(tblDaily[Deaths],tblDaily[EntryDate],DATE(2026,12,11),tblDaily[WardCode],"FAE")),"")</f>
        <v/>
      </c>
      <c r="E446" s="29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29" t="str">
        <f>IFERROR(IF(SUMIFS(tblDaily[TransfersIn],tblDaily[EntryDate],DATE(2026,12,11),tblDaily[WardCode],"FAE")=0,"",SUMIFS(tblDaily[TransfersIn],tblDaily[EntryDate],DATE(2026,12,11),tblDaily[WardCode],"FAE")),"")</f>
        <v/>
      </c>
      <c r="G446" s="29" t="str">
        <f>IFERROR(IF(SUMIFS(tblDaily[TransfersOut],tblDaily[EntryDate],DATE(2026,12,11),tblDaily[WardCode],"FAE")=0,"",SUMIFS(tblDaily[TransfersOut],tblDaily[EntryDate],DATE(2026,12,11),tblDaily[WardCode],"FAE")),"")</f>
        <v/>
      </c>
      <c r="H446" s="29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IFERROR(IF(SUMIFS(tblDaily[Admissions],tblDaily[EntryDate],DATE(2026,12,12),tblDaily[WardCode],"FAE")=0,"",SUMIFS(tblDaily[Admissions],tblDaily[EntryDate],DATE(2026,12,12),tblDaily[WardCode],"FAE")),"")</f>
        <v/>
      </c>
      <c r="C447" s="29" t="str">
        <f>IFERROR(IF(SUMIFS(tblDaily[Discharges],tblDaily[EntryDate],DATE(2026,12,12),tblDaily[WardCode],"FAE")=0,"",SUMIFS(tblDaily[Discharges],tblDaily[EntryDate],DATE(2026,12,12),tblDaily[WardCode],"FAE")),"")</f>
        <v/>
      </c>
      <c r="D447" s="29" t="str">
        <f>IFERROR(IF(SUMIFS(tblDaily[Deaths],tblDaily[EntryDate],DATE(2026,12,12),tblDaily[WardCode],"FAE")=0,"",SUMIFS(tblDaily[Deaths],tblDaily[EntryDate],DATE(2026,12,12),tblDaily[WardCode],"FAE")),"")</f>
        <v/>
      </c>
      <c r="E447" s="29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29" t="str">
        <f>IFERROR(IF(SUMIFS(tblDaily[TransfersIn],tblDaily[EntryDate],DATE(2026,12,12),tblDaily[WardCode],"FAE")=0,"",SUMIFS(tblDaily[TransfersIn],tblDaily[EntryDate],DATE(2026,12,12),tblDaily[WardCode],"FAE")),"")</f>
        <v/>
      </c>
      <c r="G447" s="29" t="str">
        <f>IFERROR(IF(SUMIFS(tblDaily[TransfersOut],tblDaily[EntryDate],DATE(2026,12,12),tblDaily[WardCode],"FAE")=0,"",SUMIFS(tblDaily[TransfersOut],tblDaily[EntryDate],DATE(2026,12,12),tblDaily[WardCode],"FAE")),"")</f>
        <v/>
      </c>
      <c r="H447" s="29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IFERROR(IF(SUMIFS(tblDaily[Admissions],tblDaily[EntryDate],DATE(2026,12,13),tblDaily[WardCode],"FAE")=0,"",SUMIFS(tblDaily[Admissions],tblDaily[EntryDate],DATE(2026,12,13),tblDaily[WardCode],"FAE")),"")</f>
        <v/>
      </c>
      <c r="C448" s="29" t="str">
        <f>IFERROR(IF(SUMIFS(tblDaily[Discharges],tblDaily[EntryDate],DATE(2026,12,13),tblDaily[WardCode],"FAE")=0,"",SUMIFS(tblDaily[Discharges],tblDaily[EntryDate],DATE(2026,12,13),tblDaily[WardCode],"FAE")),"")</f>
        <v/>
      </c>
      <c r="D448" s="29" t="str">
        <f>IFERROR(IF(SUMIFS(tblDaily[Deaths],tblDaily[EntryDate],DATE(2026,12,13),tblDaily[WardCode],"FAE")=0,"",SUMIFS(tblDaily[Deaths],tblDaily[EntryDate],DATE(2026,12,13),tblDaily[WardCode],"FAE")),"")</f>
        <v/>
      </c>
      <c r="E448" s="29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29" t="str">
        <f>IFERROR(IF(SUMIFS(tblDaily[TransfersIn],tblDaily[EntryDate],DATE(2026,12,13),tblDaily[WardCode],"FAE")=0,"",SUMIFS(tblDaily[TransfersIn],tblDaily[EntryDate],DATE(2026,12,13),tblDaily[WardCode],"FAE")),"")</f>
        <v/>
      </c>
      <c r="G448" s="29" t="str">
        <f>IFERROR(IF(SUMIFS(tblDaily[TransfersOut],tblDaily[EntryDate],DATE(2026,12,13),tblDaily[WardCode],"FAE")=0,"",SUMIFS(tblDaily[TransfersOut],tblDaily[EntryDate],DATE(2026,12,13),tblDaily[WardCode],"FAE")),"")</f>
        <v/>
      </c>
      <c r="H448" s="29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IFERROR(IF(SUMIFS(tblDaily[Admissions],tblDaily[EntryDate],DATE(2026,12,14),tblDaily[WardCode],"FAE")=0,"",SUMIFS(tblDaily[Admissions],tblDaily[EntryDate],DATE(2026,12,14),tblDaily[WardCode],"FAE")),"")</f>
        <v/>
      </c>
      <c r="C449" s="29" t="str">
        <f>IFERROR(IF(SUMIFS(tblDaily[Discharges],tblDaily[EntryDate],DATE(2026,12,14),tblDaily[WardCode],"FAE")=0,"",SUMIFS(tblDaily[Discharges],tblDaily[EntryDate],DATE(2026,12,14),tblDaily[WardCode],"FAE")),"")</f>
        <v/>
      </c>
      <c r="D449" s="29" t="str">
        <f>IFERROR(IF(SUMIFS(tblDaily[Deaths],tblDaily[EntryDate],DATE(2026,12,14),tblDaily[WardCode],"FAE")=0,"",SUMIFS(tblDaily[Deaths],tblDaily[EntryDate],DATE(2026,12,14),tblDaily[WardCode],"FAE")),"")</f>
        <v/>
      </c>
      <c r="E449" s="29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29" t="str">
        <f>IFERROR(IF(SUMIFS(tblDaily[TransfersIn],tblDaily[EntryDate],DATE(2026,12,14),tblDaily[WardCode],"FAE")=0,"",SUMIFS(tblDaily[TransfersIn],tblDaily[EntryDate],DATE(2026,12,14),tblDaily[WardCode],"FAE")),"")</f>
        <v/>
      </c>
      <c r="G449" s="29" t="str">
        <f>IFERROR(IF(SUMIFS(tblDaily[TransfersOut],tblDaily[EntryDate],DATE(2026,12,14),tblDaily[WardCode],"FAE")=0,"",SUMIFS(tblDaily[TransfersOut],tblDaily[EntryDate],DATE(2026,12,14),tblDaily[WardCode],"FAE")),"")</f>
        <v/>
      </c>
      <c r="H449" s="29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IFERROR(IF(SUMIFS(tblDaily[Admissions],tblDaily[EntryDate],DATE(2026,12,15),tblDaily[WardCode],"FAE")=0,"",SUMIFS(tblDaily[Admissions],tblDaily[EntryDate],DATE(2026,12,15),tblDaily[WardCode],"FAE")),"")</f>
        <v/>
      </c>
      <c r="C450" s="29" t="str">
        <f>IFERROR(IF(SUMIFS(tblDaily[Discharges],tblDaily[EntryDate],DATE(2026,12,15),tblDaily[WardCode],"FAE")=0,"",SUMIFS(tblDaily[Discharges],tblDaily[EntryDate],DATE(2026,12,15),tblDaily[WardCode],"FAE")),"")</f>
        <v/>
      </c>
      <c r="D450" s="29" t="str">
        <f>IFERROR(IF(SUMIFS(tblDaily[Deaths],tblDaily[EntryDate],DATE(2026,12,15),tblDaily[WardCode],"FAE")=0,"",SUMIFS(tblDaily[Deaths],tblDaily[EntryDate],DATE(2026,12,15),tblDaily[WardCode],"FAE")),"")</f>
        <v/>
      </c>
      <c r="E450" s="29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29" t="str">
        <f>IFERROR(IF(SUMIFS(tblDaily[TransfersIn],tblDaily[EntryDate],DATE(2026,12,15),tblDaily[WardCode],"FAE")=0,"",SUMIFS(tblDaily[TransfersIn],tblDaily[EntryDate],DATE(2026,12,15),tblDaily[WardCode],"FAE")),"")</f>
        <v/>
      </c>
      <c r="G450" s="29" t="str">
        <f>IFERROR(IF(SUMIFS(tblDaily[TransfersOut],tblDaily[EntryDate],DATE(2026,12,15),tblDaily[WardCode],"FAE")=0,"",SUMIFS(tblDaily[TransfersOut],tblDaily[EntryDate],DATE(2026,12,15),tblDaily[WardCode],"FAE")),"")</f>
        <v/>
      </c>
      <c r="H450" s="29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IFERROR(IF(SUMIFS(tblDaily[Admissions],tblDaily[EntryDate],DATE(2026,12,16),tblDaily[WardCode],"FAE")=0,"",SUMIFS(tblDaily[Admissions],tblDaily[EntryDate],DATE(2026,12,16),tblDaily[WardCode],"FAE")),"")</f>
        <v/>
      </c>
      <c r="C451" s="29" t="str">
        <f>IFERROR(IF(SUMIFS(tblDaily[Discharges],tblDaily[EntryDate],DATE(2026,12,16),tblDaily[WardCode],"FAE")=0,"",SUMIFS(tblDaily[Discharges],tblDaily[EntryDate],DATE(2026,12,16),tblDaily[WardCode],"FAE")),"")</f>
        <v/>
      </c>
      <c r="D451" s="29" t="str">
        <f>IFERROR(IF(SUMIFS(tblDaily[Deaths],tblDaily[EntryDate],DATE(2026,12,16),tblDaily[WardCode],"FAE")=0,"",SUMIFS(tblDaily[Deaths],tblDaily[EntryDate],DATE(2026,12,16),tblDaily[WardCode],"FAE")),"")</f>
        <v/>
      </c>
      <c r="E451" s="29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29" t="str">
        <f>IFERROR(IF(SUMIFS(tblDaily[TransfersIn],tblDaily[EntryDate],DATE(2026,12,16),tblDaily[WardCode],"FAE")=0,"",SUMIFS(tblDaily[TransfersIn],tblDaily[EntryDate],DATE(2026,12,16),tblDaily[WardCode],"FAE")),"")</f>
        <v/>
      </c>
      <c r="G451" s="29" t="str">
        <f>IFERROR(IF(SUMIFS(tblDaily[TransfersOut],tblDaily[EntryDate],DATE(2026,12,16),tblDaily[WardCode],"FAE")=0,"",SUMIFS(tblDaily[TransfersOut],tblDaily[EntryDate],DATE(2026,12,16),tblDaily[WardCode],"FAE")),"")</f>
        <v/>
      </c>
      <c r="H451" s="29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IFERROR(IF(SUMIFS(tblDaily[Admissions],tblDaily[EntryDate],DATE(2026,12,17),tblDaily[WardCode],"FAE")=0,"",SUMIFS(tblDaily[Admissions],tblDaily[EntryDate],DATE(2026,12,17),tblDaily[WardCode],"FAE")),"")</f>
        <v/>
      </c>
      <c r="C452" s="29" t="str">
        <f>IFERROR(IF(SUMIFS(tblDaily[Discharges],tblDaily[EntryDate],DATE(2026,12,17),tblDaily[WardCode],"FAE")=0,"",SUMIFS(tblDaily[Discharges],tblDaily[EntryDate],DATE(2026,12,17),tblDaily[WardCode],"FAE")),"")</f>
        <v/>
      </c>
      <c r="D452" s="29" t="str">
        <f>IFERROR(IF(SUMIFS(tblDaily[Deaths],tblDaily[EntryDate],DATE(2026,12,17),tblDaily[WardCode],"FAE")=0,"",SUMIFS(tblDaily[Deaths],tblDaily[EntryDate],DATE(2026,12,17),tblDaily[WardCode],"FAE")),"")</f>
        <v/>
      </c>
      <c r="E452" s="29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29" t="str">
        <f>IFERROR(IF(SUMIFS(tblDaily[TransfersIn],tblDaily[EntryDate],DATE(2026,12,17),tblDaily[WardCode],"FAE")=0,"",SUMIFS(tblDaily[TransfersIn],tblDaily[EntryDate],DATE(2026,12,17),tblDaily[WardCode],"FAE")),"")</f>
        <v/>
      </c>
      <c r="G452" s="29" t="str">
        <f>IFERROR(IF(SUMIFS(tblDaily[TransfersOut],tblDaily[EntryDate],DATE(2026,12,17),tblDaily[WardCode],"FAE")=0,"",SUMIFS(tblDaily[TransfersOut],tblDaily[EntryDate],DATE(2026,12,17),tblDaily[WardCode],"FAE")),"")</f>
        <v/>
      </c>
      <c r="H452" s="29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IFERROR(IF(SUMIFS(tblDaily[Admissions],tblDaily[EntryDate],DATE(2026,12,18),tblDaily[WardCode],"FAE")=0,"",SUMIFS(tblDaily[Admissions],tblDaily[EntryDate],DATE(2026,12,18),tblDaily[WardCode],"FAE")),"")</f>
        <v/>
      </c>
      <c r="C453" s="29" t="str">
        <f>IFERROR(IF(SUMIFS(tblDaily[Discharges],tblDaily[EntryDate],DATE(2026,12,18),tblDaily[WardCode],"FAE")=0,"",SUMIFS(tblDaily[Discharges],tblDaily[EntryDate],DATE(2026,12,18),tblDaily[WardCode],"FAE")),"")</f>
        <v/>
      </c>
      <c r="D453" s="29" t="str">
        <f>IFERROR(IF(SUMIFS(tblDaily[Deaths],tblDaily[EntryDate],DATE(2026,12,18),tblDaily[WardCode],"FAE")=0,"",SUMIFS(tblDaily[Deaths],tblDaily[EntryDate],DATE(2026,12,18),tblDaily[WardCode],"FAE")),"")</f>
        <v/>
      </c>
      <c r="E453" s="29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29" t="str">
        <f>IFERROR(IF(SUMIFS(tblDaily[TransfersIn],tblDaily[EntryDate],DATE(2026,12,18),tblDaily[WardCode],"FAE")=0,"",SUMIFS(tblDaily[TransfersIn],tblDaily[EntryDate],DATE(2026,12,18),tblDaily[WardCode],"FAE")),"")</f>
        <v/>
      </c>
      <c r="G453" s="29" t="str">
        <f>IFERROR(IF(SUMIFS(tblDaily[TransfersOut],tblDaily[EntryDate],DATE(2026,12,18),tblDaily[WardCode],"FAE")=0,"",SUMIFS(tblDaily[TransfersOut],tblDaily[EntryDate],DATE(2026,12,18),tblDaily[WardCode],"FAE")),"")</f>
        <v/>
      </c>
      <c r="H453" s="29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IFERROR(IF(SUMIFS(tblDaily[Admissions],tblDaily[EntryDate],DATE(2026,12,19),tblDaily[WardCode],"FAE")=0,"",SUMIFS(tblDaily[Admissions],tblDaily[EntryDate],DATE(2026,12,19),tblDaily[WardCode],"FAE")),"")</f>
        <v/>
      </c>
      <c r="C454" s="29" t="str">
        <f>IFERROR(IF(SUMIFS(tblDaily[Discharges],tblDaily[EntryDate],DATE(2026,12,19),tblDaily[WardCode],"FAE")=0,"",SUMIFS(tblDaily[Discharges],tblDaily[EntryDate],DATE(2026,12,19),tblDaily[WardCode],"FAE")),"")</f>
        <v/>
      </c>
      <c r="D454" s="29" t="str">
        <f>IFERROR(IF(SUMIFS(tblDaily[Deaths],tblDaily[EntryDate],DATE(2026,12,19),tblDaily[WardCode],"FAE")=0,"",SUMIFS(tblDaily[Deaths],tblDaily[EntryDate],DATE(2026,12,19),tblDaily[WardCode],"FAE")),"")</f>
        <v/>
      </c>
      <c r="E454" s="29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29" t="str">
        <f>IFERROR(IF(SUMIFS(tblDaily[TransfersIn],tblDaily[EntryDate],DATE(2026,12,19),tblDaily[WardCode],"FAE")=0,"",SUMIFS(tblDaily[TransfersIn],tblDaily[EntryDate],DATE(2026,12,19),tblDaily[WardCode],"FAE")),"")</f>
        <v/>
      </c>
      <c r="G454" s="29" t="str">
        <f>IFERROR(IF(SUMIFS(tblDaily[TransfersOut],tblDaily[EntryDate],DATE(2026,12,19),tblDaily[WardCode],"FAE")=0,"",SUMIFS(tblDaily[TransfersOut],tblDaily[EntryDate],DATE(2026,12,19),tblDaily[WardCode],"FAE")),"")</f>
        <v/>
      </c>
      <c r="H454" s="29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IFERROR(IF(SUMIFS(tblDaily[Admissions],tblDaily[EntryDate],DATE(2026,12,20),tblDaily[WardCode],"FAE")=0,"",SUMIFS(tblDaily[Admissions],tblDaily[EntryDate],DATE(2026,12,20),tblDaily[WardCode],"FAE")),"")</f>
        <v/>
      </c>
      <c r="C455" s="29" t="str">
        <f>IFERROR(IF(SUMIFS(tblDaily[Discharges],tblDaily[EntryDate],DATE(2026,12,20),tblDaily[WardCode],"FAE")=0,"",SUMIFS(tblDaily[Discharges],tblDaily[EntryDate],DATE(2026,12,20),tblDaily[WardCode],"FAE")),"")</f>
        <v/>
      </c>
      <c r="D455" s="29" t="str">
        <f>IFERROR(IF(SUMIFS(tblDaily[Deaths],tblDaily[EntryDate],DATE(2026,12,20),tblDaily[WardCode],"FAE")=0,"",SUMIFS(tblDaily[Deaths],tblDaily[EntryDate],DATE(2026,12,20),tblDaily[WardCode],"FAE")),"")</f>
        <v/>
      </c>
      <c r="E455" s="29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29" t="str">
        <f>IFERROR(IF(SUMIFS(tblDaily[TransfersIn],tblDaily[EntryDate],DATE(2026,12,20),tblDaily[WardCode],"FAE")=0,"",SUMIFS(tblDaily[TransfersIn],tblDaily[EntryDate],DATE(2026,12,20),tblDaily[WardCode],"FAE")),"")</f>
        <v/>
      </c>
      <c r="G455" s="29" t="str">
        <f>IFERROR(IF(SUMIFS(tblDaily[TransfersOut],tblDaily[EntryDate],DATE(2026,12,20),tblDaily[WardCode],"FAE")=0,"",SUMIFS(tblDaily[TransfersOut],tblDaily[EntryDate],DATE(2026,12,20),tblDaily[WardCode],"FAE")),"")</f>
        <v/>
      </c>
      <c r="H455" s="29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IFERROR(IF(SUMIFS(tblDaily[Admissions],tblDaily[EntryDate],DATE(2026,12,21),tblDaily[WardCode],"FAE")=0,"",SUMIFS(tblDaily[Admissions],tblDaily[EntryDate],DATE(2026,12,21),tblDaily[WardCode],"FAE")),"")</f>
        <v/>
      </c>
      <c r="C456" s="29" t="str">
        <f>IFERROR(IF(SUMIFS(tblDaily[Discharges],tblDaily[EntryDate],DATE(2026,12,21),tblDaily[WardCode],"FAE")=0,"",SUMIFS(tblDaily[Discharges],tblDaily[EntryDate],DATE(2026,12,21),tblDaily[WardCode],"FAE")),"")</f>
        <v/>
      </c>
      <c r="D456" s="29" t="str">
        <f>IFERROR(IF(SUMIFS(tblDaily[Deaths],tblDaily[EntryDate],DATE(2026,12,21),tblDaily[WardCode],"FAE")=0,"",SUMIFS(tblDaily[Deaths],tblDaily[EntryDate],DATE(2026,12,21),tblDaily[WardCode],"FAE")),"")</f>
        <v/>
      </c>
      <c r="E456" s="29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29" t="str">
        <f>IFERROR(IF(SUMIFS(tblDaily[TransfersIn],tblDaily[EntryDate],DATE(2026,12,21),tblDaily[WardCode],"FAE")=0,"",SUMIFS(tblDaily[TransfersIn],tblDaily[EntryDate],DATE(2026,12,21),tblDaily[WardCode],"FAE")),"")</f>
        <v/>
      </c>
      <c r="G456" s="29" t="str">
        <f>IFERROR(IF(SUMIFS(tblDaily[TransfersOut],tblDaily[EntryDate],DATE(2026,12,21),tblDaily[WardCode],"FAE")=0,"",SUMIFS(tblDaily[TransfersOut],tblDaily[EntryDate],DATE(2026,12,21),tblDaily[WardCode],"FAE")),"")</f>
        <v/>
      </c>
      <c r="H456" s="29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IFERROR(IF(SUMIFS(tblDaily[Admissions],tblDaily[EntryDate],DATE(2026,12,22),tblDaily[WardCode],"FAE")=0,"",SUMIFS(tblDaily[Admissions],tblDaily[EntryDate],DATE(2026,12,22),tblDaily[WardCode],"FAE")),"")</f>
        <v/>
      </c>
      <c r="C457" s="29" t="str">
        <f>IFERROR(IF(SUMIFS(tblDaily[Discharges],tblDaily[EntryDate],DATE(2026,12,22),tblDaily[WardCode],"FAE")=0,"",SUMIFS(tblDaily[Discharges],tblDaily[EntryDate],DATE(2026,12,22),tblDaily[WardCode],"FAE")),"")</f>
        <v/>
      </c>
      <c r="D457" s="29" t="str">
        <f>IFERROR(IF(SUMIFS(tblDaily[Deaths],tblDaily[EntryDate],DATE(2026,12,22),tblDaily[WardCode],"FAE")=0,"",SUMIFS(tblDaily[Deaths],tblDaily[EntryDate],DATE(2026,12,22),tblDaily[WardCode],"FAE")),"")</f>
        <v/>
      </c>
      <c r="E457" s="29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29" t="str">
        <f>IFERROR(IF(SUMIFS(tblDaily[TransfersIn],tblDaily[EntryDate],DATE(2026,12,22),tblDaily[WardCode],"FAE")=0,"",SUMIFS(tblDaily[TransfersIn],tblDaily[EntryDate],DATE(2026,12,22),tblDaily[WardCode],"FAE")),"")</f>
        <v/>
      </c>
      <c r="G457" s="29" t="str">
        <f>IFERROR(IF(SUMIFS(tblDaily[TransfersOut],tblDaily[EntryDate],DATE(2026,12,22),tblDaily[WardCode],"FAE")=0,"",SUMIFS(tblDaily[TransfersOut],tblDaily[EntryDate],DATE(2026,12,22),tblDaily[WardCode],"FAE")),"")</f>
        <v/>
      </c>
      <c r="H457" s="29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IFERROR(IF(SUMIFS(tblDaily[Admissions],tblDaily[EntryDate],DATE(2026,12,23),tblDaily[WardCode],"FAE")=0,"",SUMIFS(tblDaily[Admissions],tblDaily[EntryDate],DATE(2026,12,23),tblDaily[WardCode],"FAE")),"")</f>
        <v/>
      </c>
      <c r="C458" s="29" t="str">
        <f>IFERROR(IF(SUMIFS(tblDaily[Discharges],tblDaily[EntryDate],DATE(2026,12,23),tblDaily[WardCode],"FAE")=0,"",SUMIFS(tblDaily[Discharges],tblDaily[EntryDate],DATE(2026,12,23),tblDaily[WardCode],"FAE")),"")</f>
        <v/>
      </c>
      <c r="D458" s="29" t="str">
        <f>IFERROR(IF(SUMIFS(tblDaily[Deaths],tblDaily[EntryDate],DATE(2026,12,23),tblDaily[WardCode],"FAE")=0,"",SUMIFS(tblDaily[Deaths],tblDaily[EntryDate],DATE(2026,12,23),tblDaily[WardCode],"FAE")),"")</f>
        <v/>
      </c>
      <c r="E458" s="29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29" t="str">
        <f>IFERROR(IF(SUMIFS(tblDaily[TransfersIn],tblDaily[EntryDate],DATE(2026,12,23),tblDaily[WardCode],"FAE")=0,"",SUMIFS(tblDaily[TransfersIn],tblDaily[EntryDate],DATE(2026,12,23),tblDaily[WardCode],"FAE")),"")</f>
        <v/>
      </c>
      <c r="G458" s="29" t="str">
        <f>IFERROR(IF(SUMIFS(tblDaily[TransfersOut],tblDaily[EntryDate],DATE(2026,12,23),tblDaily[WardCode],"FAE")=0,"",SUMIFS(tblDaily[TransfersOut],tblDaily[EntryDate],DATE(2026,12,23),tblDaily[WardCode],"FAE")),"")</f>
        <v/>
      </c>
      <c r="H458" s="29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IFERROR(IF(SUMIFS(tblDaily[Admissions],tblDaily[EntryDate],DATE(2026,12,24),tblDaily[WardCode],"FAE")=0,"",SUMIFS(tblDaily[Admissions],tblDaily[EntryDate],DATE(2026,12,24),tblDaily[WardCode],"FAE")),"")</f>
        <v/>
      </c>
      <c r="C459" s="29" t="str">
        <f>IFERROR(IF(SUMIFS(tblDaily[Discharges],tblDaily[EntryDate],DATE(2026,12,24),tblDaily[WardCode],"FAE")=0,"",SUMIFS(tblDaily[Discharges],tblDaily[EntryDate],DATE(2026,12,24),tblDaily[WardCode],"FAE")),"")</f>
        <v/>
      </c>
      <c r="D459" s="29" t="str">
        <f>IFERROR(IF(SUMIFS(tblDaily[Deaths],tblDaily[EntryDate],DATE(2026,12,24),tblDaily[WardCode],"FAE")=0,"",SUMIFS(tblDaily[Deaths],tblDaily[EntryDate],DATE(2026,12,24),tblDaily[WardCode],"FAE")),"")</f>
        <v/>
      </c>
      <c r="E459" s="29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29" t="str">
        <f>IFERROR(IF(SUMIFS(tblDaily[TransfersIn],tblDaily[EntryDate],DATE(2026,12,24),tblDaily[WardCode],"FAE")=0,"",SUMIFS(tblDaily[TransfersIn],tblDaily[EntryDate],DATE(2026,12,24),tblDaily[WardCode],"FAE")),"")</f>
        <v/>
      </c>
      <c r="G459" s="29" t="str">
        <f>IFERROR(IF(SUMIFS(tblDaily[TransfersOut],tblDaily[EntryDate],DATE(2026,12,24),tblDaily[WardCode],"FAE")=0,"",SUMIFS(tblDaily[TransfersOut],tblDaily[EntryDate],DATE(2026,12,24),tblDaily[WardCode],"FAE")),"")</f>
        <v/>
      </c>
      <c r="H459" s="29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IFERROR(IF(SUMIFS(tblDaily[Admissions],tblDaily[EntryDate],DATE(2026,12,25),tblDaily[WardCode],"FAE")=0,"",SUMIFS(tblDaily[Admissions],tblDaily[EntryDate],DATE(2026,12,25),tblDaily[WardCode],"FAE")),"")</f>
        <v/>
      </c>
      <c r="C460" s="29" t="str">
        <f>IFERROR(IF(SUMIFS(tblDaily[Discharges],tblDaily[EntryDate],DATE(2026,12,25),tblDaily[WardCode],"FAE")=0,"",SUMIFS(tblDaily[Discharges],tblDaily[EntryDate],DATE(2026,12,25),tblDaily[WardCode],"FAE")),"")</f>
        <v/>
      </c>
      <c r="D460" s="29" t="str">
        <f>IFERROR(IF(SUMIFS(tblDaily[Deaths],tblDaily[EntryDate],DATE(2026,12,25),tblDaily[WardCode],"FAE")=0,"",SUMIFS(tblDaily[Deaths],tblDaily[EntryDate],DATE(2026,12,25),tblDaily[WardCode],"FAE")),"")</f>
        <v/>
      </c>
      <c r="E460" s="29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29" t="str">
        <f>IFERROR(IF(SUMIFS(tblDaily[TransfersIn],tblDaily[EntryDate],DATE(2026,12,25),tblDaily[WardCode],"FAE")=0,"",SUMIFS(tblDaily[TransfersIn],tblDaily[EntryDate],DATE(2026,12,25),tblDaily[WardCode],"FAE")),"")</f>
        <v/>
      </c>
      <c r="G460" s="29" t="str">
        <f>IFERROR(IF(SUMIFS(tblDaily[TransfersOut],tblDaily[EntryDate],DATE(2026,12,25),tblDaily[WardCode],"FAE")=0,"",SUMIFS(tblDaily[TransfersOut],tblDaily[EntryDate],DATE(2026,12,25),tblDaily[WardCode],"FAE")),"")</f>
        <v/>
      </c>
      <c r="H460" s="29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IFERROR(IF(SUMIFS(tblDaily[Admissions],tblDaily[EntryDate],DATE(2026,12,26),tblDaily[WardCode],"FAE")=0,"",SUMIFS(tblDaily[Admissions],tblDaily[EntryDate],DATE(2026,12,26),tblDaily[WardCode],"FAE")),"")</f>
        <v/>
      </c>
      <c r="C461" s="29" t="str">
        <f>IFERROR(IF(SUMIFS(tblDaily[Discharges],tblDaily[EntryDate],DATE(2026,12,26),tblDaily[WardCode],"FAE")=0,"",SUMIFS(tblDaily[Discharges],tblDaily[EntryDate],DATE(2026,12,26),tblDaily[WardCode],"FAE")),"")</f>
        <v/>
      </c>
      <c r="D461" s="29" t="str">
        <f>IFERROR(IF(SUMIFS(tblDaily[Deaths],tblDaily[EntryDate],DATE(2026,12,26),tblDaily[WardCode],"FAE")=0,"",SUMIFS(tblDaily[Deaths],tblDaily[EntryDate],DATE(2026,12,26),tblDaily[WardCode],"FAE")),"")</f>
        <v/>
      </c>
      <c r="E461" s="29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29" t="str">
        <f>IFERROR(IF(SUMIFS(tblDaily[TransfersIn],tblDaily[EntryDate],DATE(2026,12,26),tblDaily[WardCode],"FAE")=0,"",SUMIFS(tblDaily[TransfersIn],tblDaily[EntryDate],DATE(2026,12,26),tblDaily[WardCode],"FAE")),"")</f>
        <v/>
      </c>
      <c r="G461" s="29" t="str">
        <f>IFERROR(IF(SUMIFS(tblDaily[TransfersOut],tblDaily[EntryDate],DATE(2026,12,26),tblDaily[WardCode],"FAE")=0,"",SUMIFS(tblDaily[TransfersOut],tblDaily[EntryDate],DATE(2026,12,26),tblDaily[WardCode],"FAE")),"")</f>
        <v/>
      </c>
      <c r="H461" s="29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IFERROR(IF(SUMIFS(tblDaily[Admissions],tblDaily[EntryDate],DATE(2026,12,27),tblDaily[WardCode],"FAE")=0,"",SUMIFS(tblDaily[Admissions],tblDaily[EntryDate],DATE(2026,12,27),tblDaily[WardCode],"FAE")),"")</f>
        <v/>
      </c>
      <c r="C462" s="29" t="str">
        <f>IFERROR(IF(SUMIFS(tblDaily[Discharges],tblDaily[EntryDate],DATE(2026,12,27),tblDaily[WardCode],"FAE")=0,"",SUMIFS(tblDaily[Discharges],tblDaily[EntryDate],DATE(2026,12,27),tblDaily[WardCode],"FAE")),"")</f>
        <v/>
      </c>
      <c r="D462" s="29" t="str">
        <f>IFERROR(IF(SUMIFS(tblDaily[Deaths],tblDaily[EntryDate],DATE(2026,12,27),tblDaily[WardCode],"FAE")=0,"",SUMIFS(tblDaily[Deaths],tblDaily[EntryDate],DATE(2026,12,27),tblDaily[WardCode],"FAE")),"")</f>
        <v/>
      </c>
      <c r="E462" s="29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29" t="str">
        <f>IFERROR(IF(SUMIFS(tblDaily[TransfersIn],tblDaily[EntryDate],DATE(2026,12,27),tblDaily[WardCode],"FAE")=0,"",SUMIFS(tblDaily[TransfersIn],tblDaily[EntryDate],DATE(2026,12,27),tblDaily[WardCode],"FAE")),"")</f>
        <v/>
      </c>
      <c r="G462" s="29" t="str">
        <f>IFERROR(IF(SUMIFS(tblDaily[TransfersOut],tblDaily[EntryDate],DATE(2026,12,27),tblDaily[WardCode],"FAE")=0,"",SUMIFS(tblDaily[TransfersOut],tblDaily[EntryDate],DATE(2026,12,27),tblDaily[WardCode],"FAE")),"")</f>
        <v/>
      </c>
      <c r="H462" s="29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IFERROR(IF(SUMIFS(tblDaily[Admissions],tblDaily[EntryDate],DATE(2026,12,28),tblDaily[WardCode],"FAE")=0,"",SUMIFS(tblDaily[Admissions],tblDaily[EntryDate],DATE(2026,12,28),tblDaily[WardCode],"FAE")),"")</f>
        <v/>
      </c>
      <c r="C463" s="29" t="str">
        <f>IFERROR(IF(SUMIFS(tblDaily[Discharges],tblDaily[EntryDate],DATE(2026,12,28),tblDaily[WardCode],"FAE")=0,"",SUMIFS(tblDaily[Discharges],tblDaily[EntryDate],DATE(2026,12,28),tblDaily[WardCode],"FAE")),"")</f>
        <v/>
      </c>
      <c r="D463" s="29" t="str">
        <f>IFERROR(IF(SUMIFS(tblDaily[Deaths],tblDaily[EntryDate],DATE(2026,12,28),tblDaily[WardCode],"FAE")=0,"",SUMIFS(tblDaily[Deaths],tblDaily[EntryDate],DATE(2026,12,28),tblDaily[WardCode],"FAE")),"")</f>
        <v/>
      </c>
      <c r="E463" s="29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29" t="str">
        <f>IFERROR(IF(SUMIFS(tblDaily[TransfersIn],tblDaily[EntryDate],DATE(2026,12,28),tblDaily[WardCode],"FAE")=0,"",SUMIFS(tblDaily[TransfersIn],tblDaily[EntryDate],DATE(2026,12,28),tblDaily[WardCode],"FAE")),"")</f>
        <v/>
      </c>
      <c r="G463" s="29" t="str">
        <f>IFERROR(IF(SUMIFS(tblDaily[TransfersOut],tblDaily[EntryDate],DATE(2026,12,28),tblDaily[WardCode],"FAE")=0,"",SUMIFS(tblDaily[TransfersOut],tblDaily[EntryDate],DATE(2026,12,28),tblDaily[WardCode],"FAE")),"")</f>
        <v/>
      </c>
      <c r="H463" s="29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IFERROR(IF(SUMIFS(tblDaily[Admissions],tblDaily[EntryDate],DATE(2026,12,29),tblDaily[WardCode],"FAE")=0,"",SUMIFS(tblDaily[Admissions],tblDaily[EntryDate],DATE(2026,12,29),tblDaily[WardCode],"FAE")),"")</f>
        <v/>
      </c>
      <c r="C464" s="29" t="str">
        <f>IFERROR(IF(SUMIFS(tblDaily[Discharges],tblDaily[EntryDate],DATE(2026,12,29),tblDaily[WardCode],"FAE")=0,"",SUMIFS(tblDaily[Discharges],tblDaily[EntryDate],DATE(2026,12,29),tblDaily[WardCode],"FAE")),"")</f>
        <v/>
      </c>
      <c r="D464" s="29" t="str">
        <f>IFERROR(IF(SUMIFS(tblDaily[Deaths],tblDaily[EntryDate],DATE(2026,12,29),tblDaily[WardCode],"FAE")=0,"",SUMIFS(tblDaily[Deaths],tblDaily[EntryDate],DATE(2026,12,29),tblDaily[WardCode],"FAE")),"")</f>
        <v/>
      </c>
      <c r="E464" s="29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29" t="str">
        <f>IFERROR(IF(SUMIFS(tblDaily[TransfersIn],tblDaily[EntryDate],DATE(2026,12,29),tblDaily[WardCode],"FAE")=0,"",SUMIFS(tblDaily[TransfersIn],tblDaily[EntryDate],DATE(2026,12,29),tblDaily[WardCode],"FAE")),"")</f>
        <v/>
      </c>
      <c r="G464" s="29" t="str">
        <f>IFERROR(IF(SUMIFS(tblDaily[TransfersOut],tblDaily[EntryDate],DATE(2026,12,29),tblDaily[WardCode],"FAE")=0,"",SUMIFS(tblDaily[TransfersOut],tblDaily[EntryDate],DATE(2026,12,29),tblDaily[WardCode],"FAE")),"")</f>
        <v/>
      </c>
      <c r="H464" s="29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IFERROR(IF(SUMIFS(tblDaily[Admissions],tblDaily[EntryDate],DATE(2026,12,30),tblDaily[WardCode],"FAE")=0,"",SUMIFS(tblDaily[Admissions],tblDaily[EntryDate],DATE(2026,12,30),tblDaily[WardCode],"FAE")),"")</f>
        <v/>
      </c>
      <c r="C465" s="29" t="str">
        <f>IFERROR(IF(SUMIFS(tblDaily[Discharges],tblDaily[EntryDate],DATE(2026,12,30),tblDaily[WardCode],"FAE")=0,"",SUMIFS(tblDaily[Discharges],tblDaily[EntryDate],DATE(2026,12,30),tblDaily[WardCode],"FAE")),"")</f>
        <v/>
      </c>
      <c r="D465" s="29" t="str">
        <f>IFERROR(IF(SUMIFS(tblDaily[Deaths],tblDaily[EntryDate],DATE(2026,12,30),tblDaily[WardCode],"FAE")=0,"",SUMIFS(tblDaily[Deaths],tblDaily[EntryDate],DATE(2026,12,30),tblDaily[WardCode],"FAE")),"")</f>
        <v/>
      </c>
      <c r="E465" s="29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29" t="str">
        <f>IFERROR(IF(SUMIFS(tblDaily[TransfersIn],tblDaily[EntryDate],DATE(2026,12,30),tblDaily[WardCode],"FAE")=0,"",SUMIFS(tblDaily[TransfersIn],tblDaily[EntryDate],DATE(2026,12,30),tblDaily[WardCode],"FAE")),"")</f>
        <v/>
      </c>
      <c r="G465" s="29" t="str">
        <f>IFERROR(IF(SUMIFS(tblDaily[TransfersOut],tblDaily[EntryDate],DATE(2026,12,30),tblDaily[WardCode],"FAE")=0,"",SUMIFS(tblDaily[TransfersOut],tblDaily[EntryDate],DATE(2026,12,30),tblDaily[WardCode],"FAE")),"")</f>
        <v/>
      </c>
      <c r="H465" s="29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IFERROR(IF(SUMIFS(tblDaily[Admissions],tblDaily[EntryDate],DATE(2026,12,31),tblDaily[WardCode],"FAE")=0,"",SUMIFS(tblDaily[Admissions],tblDaily[EntryDate],DATE(2026,12,31),tblDaily[WardCode],"FAE")),"")</f>
        <v/>
      </c>
      <c r="C466" s="29" t="str">
        <f>IFERROR(IF(SUMIFS(tblDaily[Discharges],tblDaily[EntryDate],DATE(2026,12,31),tblDaily[WardCode],"FAE")=0,"",SUMIFS(tblDaily[Discharges],tblDaily[EntryDate],DATE(2026,12,31),tblDaily[WardCode],"FAE")),"")</f>
        <v/>
      </c>
      <c r="D466" s="29" t="str">
        <f>IFERROR(IF(SUMIFS(tblDaily[Deaths],tblDaily[EntryDate],DATE(2026,12,31),tblDaily[WardCode],"FAE")=0,"",SUMIFS(tblDaily[Deaths],tblDaily[EntryDate],DATE(2026,12,31),tblDaily[WardCode],"FAE")),"")</f>
        <v/>
      </c>
      <c r="E466" s="29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29" t="str">
        <f>IFERROR(IF(SUMIFS(tblDaily[TransfersIn],tblDaily[EntryDate],DATE(2026,12,31),tblDaily[WardCode],"FAE")=0,"",SUMIFS(tblDaily[TransfersIn],tblDaily[EntryDate],DATE(2026,12,31),tblDaily[WardCode],"FAE")),"")</f>
        <v/>
      </c>
      <c r="G466" s="29" t="str">
        <f>IFERROR(IF(SUMIFS(tblDaily[TransfersOut],tblDaily[EntryDate],DATE(2026,12,31),tblDaily[WardCode],"FAE")=0,"",SUMIFS(tblDaily[TransfersOut],tblDaily[EntryDate],DATE(2026,12,31),tblDaily[WardCode],"FAE")),"")</f>
        <v/>
      </c>
      <c r="H466" s="29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30" t="s">
        <v>115</v>
      </c>
      <c r="B467" s="30">
        <f>SUMIFS(tblDaily[Admissions],tblDaily[Month],12,tblDaily[WardCode],"FAE") - SUMIFS(tblDaily[DeathsUnder24Hrs],tblDaily[Month],12,tblDaily[WardCode],"FAE")</f>
        <v>0</v>
      </c>
      <c r="C467" s="30">
        <f>SUMIFS(tblDaily[Discharges],tblDaily[Month],12,tblDaily[WardCode],"FAE")</f>
        <v>0</v>
      </c>
      <c r="D467" s="30">
        <f>SUMIFS(tblDaily[Deaths],tblDaily[Month],12,tblDaily[WardCode],"FAE")</f>
        <v>0</v>
      </c>
      <c r="E467" s="30">
        <f>SUMIFS(tblDaily[DeathsUnder24Hrs],tblDaily[Month],12,tblDaily[WardCode],"FAE")</f>
        <v>0</v>
      </c>
      <c r="F467" s="30">
        <f>SUMIFS(tblDaily[TransfersIn],tblDaily[Month],12,tblDaily[WardCode],"FAE")</f>
        <v>0</v>
      </c>
      <c r="G467" s="30">
        <f>SUMIFS(tblDaily[TransfersOut],tblDaily[Month],12,tblDaily[WardCode],"FAE")</f>
        <v>0</v>
      </c>
      <c r="H467" s="30">
        <f>SUMIFS(tblDaily[Remaining],tblDaily[Month],12,tblDaily[WardCode],"FAE")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000000"/>
    <pageSetUpPr fitToPage="1"/>
  </sheetPr>
  <dimension ref="A1:H467"/>
  <sheetViews>
    <sheetView topLeftCell="A7" workbookViewId="0">
      <selection sqref="A1:G1"/>
    </sheetView>
  </sheetViews>
  <sheetFormatPr defaultRowHeight="15" x14ac:dyDescent="0.25"/>
  <cols>
    <col min="1" max="1" width="8" style="16" customWidth="1"/>
    <col min="2" max="3" width="12" style="16" customWidth="1"/>
    <col min="4" max="5" width="10" style="16" customWidth="1"/>
    <col min="6" max="7" width="12" style="16" customWidth="1"/>
    <col min="8" max="8" width="16" style="16" customWidth="1"/>
    <col min="9" max="16384" width="9.140625" style="16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104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105</v>
      </c>
      <c r="E3" s="25" t="s">
        <v>124</v>
      </c>
      <c r="F3" s="24" t="s">
        <v>107</v>
      </c>
      <c r="G3" s="25" t="s">
        <v>63</v>
      </c>
    </row>
    <row r="4" spans="1:8" x14ac:dyDescent="0.25">
      <c r="A4" s="24" t="s">
        <v>108</v>
      </c>
      <c r="H4" s="26">
        <f>IFERROR(INDEX(tblWardConfig[PrevYearRemaining],MATCH("ICU",tblWardConfig[WardCode],0)),0)</f>
        <v>0</v>
      </c>
    </row>
    <row r="5" spans="1:8" x14ac:dyDescent="0.25">
      <c r="A5" s="24" t="s">
        <v>109</v>
      </c>
      <c r="H5" s="27">
        <f>IFERROR(INDEX(tblWardConfig[BedComplement],MATCH("ICU",tblWardConfig[WardCode],0)),0)</f>
        <v>4</v>
      </c>
    </row>
    <row r="6" spans="1:8" ht="38.25" x14ac:dyDescent="0.25">
      <c r="A6" s="28" t="s">
        <v>110</v>
      </c>
      <c r="B6" s="28" t="s">
        <v>77</v>
      </c>
      <c r="C6" s="28" t="s">
        <v>78</v>
      </c>
      <c r="D6" s="28" t="s">
        <v>79</v>
      </c>
      <c r="E6" s="28" t="s">
        <v>111</v>
      </c>
      <c r="F6" s="28" t="s">
        <v>112</v>
      </c>
      <c r="G6" s="28" t="s">
        <v>113</v>
      </c>
      <c r="H6" s="28" t="s">
        <v>114</v>
      </c>
    </row>
    <row r="7" spans="1:8" x14ac:dyDescent="0.25">
      <c r="A7" s="29">
        <v>1</v>
      </c>
      <c r="B7" s="29" t="str">
        <f>IFERROR(IF(SUMIFS(tblDaily[Admissions],tblDaily[EntryDate],DATE(2026,1,1),tblDaily[WardCode],"ICU")=0,"",SUMIFS(tblDaily[Admissions],tblDaily[EntryDate],DATE(2026,1,1),tblDaily[WardCode],"ICU")),"")</f>
        <v/>
      </c>
      <c r="C7" s="29" t="str">
        <f>IFERROR(IF(SUMIFS(tblDaily[Discharges],tblDaily[EntryDate],DATE(2026,1,1),tblDaily[WardCode],"ICU")=0,"",SUMIFS(tblDaily[Discharges],tblDaily[EntryDate],DATE(2026,1,1),tblDaily[WardCode],"ICU")),"")</f>
        <v/>
      </c>
      <c r="D7" s="29" t="str">
        <f>IFERROR(IF(SUMIFS(tblDaily[Deaths],tblDaily[EntryDate],DATE(2026,1,1),tblDaily[WardCode],"ICU")=0,"",SUMIFS(tblDaily[Deaths],tblDaily[EntryDate],DATE(2026,1,1),tblDaily[WardCode],"ICU")),"")</f>
        <v/>
      </c>
      <c r="E7" s="29" t="str">
        <f>IFERROR(IF(SUMIFS(tblDaily[DeathsUnder24Hrs],tblDaily[EntryDate],DATE(2026,1,1),tblDaily[WardCode],"ICU")=0,"",SUMIFS(tblDaily[DeathsUnder24Hrs],tblDaily[EntryDate],DATE(2026,1,1),tblDaily[WardCode],"ICU")),"")</f>
        <v/>
      </c>
      <c r="F7" s="29" t="str">
        <f>IFERROR(IF(SUMIFS(tblDaily[TransfersIn],tblDaily[EntryDate],DATE(2026,1,1),tblDaily[WardCode],"ICU")=0,"",SUMIFS(tblDaily[TransfersIn],tblDaily[EntryDate],DATE(2026,1,1),tblDaily[WardCode],"ICU")),"")</f>
        <v/>
      </c>
      <c r="G7" s="29" t="str">
        <f>IFERROR(IF(SUMIFS(tblDaily[TransfersOut],tblDaily[EntryDate],DATE(2026,1,1),tblDaily[WardCode],"ICU")=0,"",SUMIFS(tblDaily[TransfersOut],tblDaily[EntryDate],DATE(2026,1,1),tblDaily[WardCode],"ICU")),"")</f>
        <v/>
      </c>
      <c r="H7" s="29" t="str">
        <f>IFERROR(IF(SUMIFS(tblDaily[Remaining],tblDaily[EntryDate],DATE(2026,1,1),tblDaily[WardCode],"ICU")=0,"",SUMIFS(tblDaily[Remaining],tblDaily[EntryDate],DATE(2026,1,1),tblDaily[WardCode],"ICU")),"")</f>
        <v/>
      </c>
    </row>
    <row r="8" spans="1:8" x14ac:dyDescent="0.25">
      <c r="A8" s="29">
        <v>2</v>
      </c>
      <c r="B8" s="29" t="str">
        <f>IFERROR(IF(SUMIFS(tblDaily[Admissions],tblDaily[EntryDate],DATE(2026,1,2),tblDaily[WardCode],"ICU")=0,"",SUMIFS(tblDaily[Admissions],tblDaily[EntryDate],DATE(2026,1,2),tblDaily[WardCode],"ICU")),"")</f>
        <v/>
      </c>
      <c r="C8" s="29" t="str">
        <f>IFERROR(IF(SUMIFS(tblDaily[Discharges],tblDaily[EntryDate],DATE(2026,1,2),tblDaily[WardCode],"ICU")=0,"",SUMIFS(tblDaily[Discharges],tblDaily[EntryDate],DATE(2026,1,2),tblDaily[WardCode],"ICU")),"")</f>
        <v/>
      </c>
      <c r="D8" s="29" t="str">
        <f>IFERROR(IF(SUMIFS(tblDaily[Deaths],tblDaily[EntryDate],DATE(2026,1,2),tblDaily[WardCode],"ICU")=0,"",SUMIFS(tblDaily[Deaths],tblDaily[EntryDate],DATE(2026,1,2),tblDaily[WardCode],"ICU")),"")</f>
        <v/>
      </c>
      <c r="E8" s="29" t="str">
        <f>IFERROR(IF(SUMIFS(tblDaily[DeathsUnder24Hrs],tblDaily[EntryDate],DATE(2026,1,2),tblDaily[WardCode],"ICU")=0,"",SUMIFS(tblDaily[DeathsUnder24Hrs],tblDaily[EntryDate],DATE(2026,1,2),tblDaily[WardCode],"ICU")),"")</f>
        <v/>
      </c>
      <c r="F8" s="29" t="str">
        <f>IFERROR(IF(SUMIFS(tblDaily[TransfersIn],tblDaily[EntryDate],DATE(2026,1,2),tblDaily[WardCode],"ICU")=0,"",SUMIFS(tblDaily[TransfersIn],tblDaily[EntryDate],DATE(2026,1,2),tblDaily[WardCode],"ICU")),"")</f>
        <v/>
      </c>
      <c r="G8" s="29" t="str">
        <f>IFERROR(IF(SUMIFS(tblDaily[TransfersOut],tblDaily[EntryDate],DATE(2026,1,2),tblDaily[WardCode],"ICU")=0,"",SUMIFS(tblDaily[TransfersOut],tblDaily[EntryDate],DATE(2026,1,2),tblDaily[WardCode],"ICU")),"")</f>
        <v/>
      </c>
      <c r="H8" s="29" t="str">
        <f>IFERROR(IF(SUMIFS(tblDaily[Remaining],tblDaily[EntryDate],DATE(2026,1,2),tblDaily[WardCode],"ICU")=0,"",SUMIFS(tblDaily[Remaining],tblDaily[EntryDate],DATE(2026,1,2),tblDaily[WardCode],"ICU")),"")</f>
        <v/>
      </c>
    </row>
    <row r="9" spans="1:8" x14ac:dyDescent="0.25">
      <c r="A9" s="29">
        <v>3</v>
      </c>
      <c r="B9" s="29" t="str">
        <f>IFERROR(IF(SUMIFS(tblDaily[Admissions],tblDaily[EntryDate],DATE(2026,1,3),tblDaily[WardCode],"ICU")=0,"",SUMIFS(tblDaily[Admissions],tblDaily[EntryDate],DATE(2026,1,3),tblDaily[WardCode],"ICU")),"")</f>
        <v/>
      </c>
      <c r="C9" s="29" t="str">
        <f>IFERROR(IF(SUMIFS(tblDaily[Discharges],tblDaily[EntryDate],DATE(2026,1,3),tblDaily[WardCode],"ICU")=0,"",SUMIFS(tblDaily[Discharges],tblDaily[EntryDate],DATE(2026,1,3),tblDaily[WardCode],"ICU")),"")</f>
        <v/>
      </c>
      <c r="D9" s="29" t="str">
        <f>IFERROR(IF(SUMIFS(tblDaily[Deaths],tblDaily[EntryDate],DATE(2026,1,3),tblDaily[WardCode],"ICU")=0,"",SUMIFS(tblDaily[Deaths],tblDaily[EntryDate],DATE(2026,1,3),tblDaily[WardCode],"ICU")),"")</f>
        <v/>
      </c>
      <c r="E9" s="29" t="str">
        <f>IFERROR(IF(SUMIFS(tblDaily[DeathsUnder24Hrs],tblDaily[EntryDate],DATE(2026,1,3),tblDaily[WardCode],"ICU")=0,"",SUMIFS(tblDaily[DeathsUnder24Hrs],tblDaily[EntryDate],DATE(2026,1,3),tblDaily[WardCode],"ICU")),"")</f>
        <v/>
      </c>
      <c r="F9" s="29" t="str">
        <f>IFERROR(IF(SUMIFS(tblDaily[TransfersIn],tblDaily[EntryDate],DATE(2026,1,3),tblDaily[WardCode],"ICU")=0,"",SUMIFS(tblDaily[TransfersIn],tblDaily[EntryDate],DATE(2026,1,3),tblDaily[WardCode],"ICU")),"")</f>
        <v/>
      </c>
      <c r="G9" s="29" t="str">
        <f>IFERROR(IF(SUMIFS(tblDaily[TransfersOut],tblDaily[EntryDate],DATE(2026,1,3),tblDaily[WardCode],"ICU")=0,"",SUMIFS(tblDaily[TransfersOut],tblDaily[EntryDate],DATE(2026,1,3),tblDaily[WardCode],"ICU")),"")</f>
        <v/>
      </c>
      <c r="H9" s="29" t="str">
        <f>IFERROR(IF(SUMIFS(tblDaily[Remaining],tblDaily[EntryDate],DATE(2026,1,3),tblDaily[WardCode],"ICU")=0,"",SUMIFS(tblDaily[Remaining],tblDaily[EntryDate],DATE(2026,1,3),tblDaily[WardCode],"ICU")),"")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IFERROR(IF(SUMIFS(tblDaily[Admissions],tblDaily[EntryDate],DATE(2026,1,4),tblDaily[WardCode],"ICU")=0,"",SUMIFS(tblDaily[Admissions],tblDaily[EntryDate],DATE(2026,1,4),tblDaily[WardCode],"ICU")),"")</f>
        <v/>
      </c>
      <c r="C10" s="29" t="str">
        <f>IFERROR(IF(SUMIFS(tblDaily[Discharges],tblDaily[EntryDate],DATE(2026,1,4),tblDaily[WardCode],"ICU")=0,"",SUMIFS(tblDaily[Discharges],tblDaily[EntryDate],DATE(2026,1,4),tblDaily[WardCode],"ICU")),"")</f>
        <v/>
      </c>
      <c r="D10" s="29" t="str">
        <f>IFERROR(IF(SUMIFS(tblDaily[Deaths],tblDaily[EntryDate],DATE(2026,1,4),tblDaily[WardCode],"ICU")=0,"",SUMIFS(tblDaily[Deaths],tblDaily[EntryDate],DATE(2026,1,4),tblDaily[WardCode],"ICU")),"")</f>
        <v/>
      </c>
      <c r="E10" s="29" t="str">
        <f>IFERROR(IF(SUMIFS(tblDaily[DeathsUnder24Hrs],tblDaily[EntryDate],DATE(2026,1,4),tblDaily[WardCode],"ICU")=0,"",SUMIFS(tblDaily[DeathsUnder24Hrs],tblDaily[EntryDate],DATE(2026,1,4),tblDaily[WardCode],"ICU")),"")</f>
        <v/>
      </c>
      <c r="F10" s="29" t="str">
        <f>IFERROR(IF(SUMIFS(tblDaily[TransfersIn],tblDaily[EntryDate],DATE(2026,1,4),tblDaily[WardCode],"ICU")=0,"",SUMIFS(tblDaily[TransfersIn],tblDaily[EntryDate],DATE(2026,1,4),tblDaily[WardCode],"ICU")),"")</f>
        <v/>
      </c>
      <c r="G10" s="29" t="str">
        <f>IFERROR(IF(SUMIFS(tblDaily[TransfersOut],tblDaily[EntryDate],DATE(2026,1,4),tblDaily[WardCode],"ICU")=0,"",SUMIFS(tblDaily[TransfersOut],tblDaily[EntryDate],DATE(2026,1,4),tblDaily[WardCode],"ICU")),"")</f>
        <v/>
      </c>
      <c r="H10" s="29" t="str">
        <f>IFERROR(IF(SUMIFS(tblDaily[Remaining],tblDaily[EntryDate],DATE(2026,1,4),tblDaily[WardCode],"ICU")=0,"",SUMIFS(tblDaily[Remaining],tblDaily[EntryDate],DATE(2026,1,4),tblDaily[WardCode],"ICU")),"")</f>
        <v/>
      </c>
    </row>
    <row r="11" spans="1:8" x14ac:dyDescent="0.25">
      <c r="A11" s="29">
        <v>5</v>
      </c>
      <c r="B11" s="29" t="str">
        <f>IFERROR(IF(SUMIFS(tblDaily[Admissions],tblDaily[EntryDate],DATE(2026,1,5),tblDaily[WardCode],"ICU")=0,"",SUMIFS(tblDaily[Admissions],tblDaily[EntryDate],DATE(2026,1,5),tblDaily[WardCode],"ICU")),"")</f>
        <v/>
      </c>
      <c r="C11" s="29" t="str">
        <f>IFERROR(IF(SUMIFS(tblDaily[Discharges],tblDaily[EntryDate],DATE(2026,1,5),tblDaily[WardCode],"ICU")=0,"",SUMIFS(tblDaily[Discharges],tblDaily[EntryDate],DATE(2026,1,5),tblDaily[WardCode],"ICU")),"")</f>
        <v/>
      </c>
      <c r="D11" s="29" t="str">
        <f>IFERROR(IF(SUMIFS(tblDaily[Deaths],tblDaily[EntryDate],DATE(2026,1,5),tblDaily[WardCode],"ICU")=0,"",SUMIFS(tblDaily[Deaths],tblDaily[EntryDate],DATE(2026,1,5),tblDaily[WardCode],"ICU")),"")</f>
        <v/>
      </c>
      <c r="E11" s="29" t="str">
        <f>IFERROR(IF(SUMIFS(tblDaily[DeathsUnder24Hrs],tblDaily[EntryDate],DATE(2026,1,5),tblDaily[WardCode],"ICU")=0,"",SUMIFS(tblDaily[DeathsUnder24Hrs],tblDaily[EntryDate],DATE(2026,1,5),tblDaily[WardCode],"ICU")),"")</f>
        <v/>
      </c>
      <c r="F11" s="29" t="str">
        <f>IFERROR(IF(SUMIFS(tblDaily[TransfersIn],tblDaily[EntryDate],DATE(2026,1,5),tblDaily[WardCode],"ICU")=0,"",SUMIFS(tblDaily[TransfersIn],tblDaily[EntryDate],DATE(2026,1,5),tblDaily[WardCode],"ICU")),"")</f>
        <v/>
      </c>
      <c r="G11" s="29" t="str">
        <f>IFERROR(IF(SUMIFS(tblDaily[TransfersOut],tblDaily[EntryDate],DATE(2026,1,5),tblDaily[WardCode],"ICU")=0,"",SUMIFS(tblDaily[TransfersOut],tblDaily[EntryDate],DATE(2026,1,5),tblDaily[WardCode],"ICU")),"")</f>
        <v/>
      </c>
      <c r="H11" s="29" t="str">
        <f>IFERROR(IF(SUMIFS(tblDaily[Remaining],tblDaily[EntryDate],DATE(2026,1,5),tblDaily[WardCode],"ICU")=0,"",SUMIFS(tblDaily[Remaining],tblDaily[EntryDate],DATE(2026,1,5),tblDaily[WardCode],"ICU")),"")</f>
        <v/>
      </c>
    </row>
    <row r="12" spans="1:8" x14ac:dyDescent="0.25">
      <c r="A12" s="29">
        <v>6</v>
      </c>
      <c r="B12" s="29" t="str">
        <f>IFERROR(IF(SUMIFS(tblDaily[Admissions],tblDaily[EntryDate],DATE(2026,1,6),tblDaily[WardCode],"ICU")=0,"",SUMIFS(tblDaily[Admissions],tblDaily[EntryDate],DATE(2026,1,6),tblDaily[WardCode],"ICU")),"")</f>
        <v/>
      </c>
      <c r="C12" s="29" t="str">
        <f>IFERROR(IF(SUMIFS(tblDaily[Discharges],tblDaily[EntryDate],DATE(2026,1,6),tblDaily[WardCode],"ICU")=0,"",SUMIFS(tblDaily[Discharges],tblDaily[EntryDate],DATE(2026,1,6),tblDaily[WardCode],"ICU")),"")</f>
        <v/>
      </c>
      <c r="D12" s="29" t="str">
        <f>IFERROR(IF(SUMIFS(tblDaily[Deaths],tblDaily[EntryDate],DATE(2026,1,6),tblDaily[WardCode],"ICU")=0,"",SUMIFS(tblDaily[Deaths],tblDaily[EntryDate],DATE(2026,1,6),tblDaily[WardCode],"ICU")),"")</f>
        <v/>
      </c>
      <c r="E12" s="29" t="str">
        <f>IFERROR(IF(SUMIFS(tblDaily[DeathsUnder24Hrs],tblDaily[EntryDate],DATE(2026,1,6),tblDaily[WardCode],"ICU")=0,"",SUMIFS(tblDaily[DeathsUnder24Hrs],tblDaily[EntryDate],DATE(2026,1,6),tblDaily[WardCode],"ICU")),"")</f>
        <v/>
      </c>
      <c r="F12" s="29" t="str">
        <f>IFERROR(IF(SUMIFS(tblDaily[TransfersIn],tblDaily[EntryDate],DATE(2026,1,6),tblDaily[WardCode],"ICU")=0,"",SUMIFS(tblDaily[TransfersIn],tblDaily[EntryDate],DATE(2026,1,6),tblDaily[WardCode],"ICU")),"")</f>
        <v/>
      </c>
      <c r="G12" s="29" t="str">
        <f>IFERROR(IF(SUMIFS(tblDaily[TransfersOut],tblDaily[EntryDate],DATE(2026,1,6),tblDaily[WardCode],"ICU")=0,"",SUMIFS(tblDaily[TransfersOut],tblDaily[EntryDate],DATE(2026,1,6),tblDaily[WardCode],"ICU")),"")</f>
        <v/>
      </c>
      <c r="H12" s="29" t="str">
        <f>IFERROR(IF(SUMIFS(tblDaily[Remaining],tblDaily[EntryDate],DATE(2026,1,6),tblDaily[WardCode],"ICU")=0,"",SUMIFS(tblDaily[Remaining],tblDaily[EntryDate],DATE(2026,1,6),tblDaily[WardCode],"ICU")),"")</f>
        <v/>
      </c>
    </row>
    <row r="13" spans="1:8" x14ac:dyDescent="0.25">
      <c r="A13" s="29">
        <v>7</v>
      </c>
      <c r="B13" s="29" t="str">
        <f>IFERROR(IF(SUMIFS(tblDaily[Admissions],tblDaily[EntryDate],DATE(2026,1,7),tblDaily[WardCode],"ICU")=0,"",SUMIFS(tblDaily[Admissions],tblDaily[EntryDate],DATE(2026,1,7),tblDaily[WardCode],"ICU")),"")</f>
        <v/>
      </c>
      <c r="C13" s="29" t="str">
        <f>IFERROR(IF(SUMIFS(tblDaily[Discharges],tblDaily[EntryDate],DATE(2026,1,7),tblDaily[WardCode],"ICU")=0,"",SUMIFS(tblDaily[Discharges],tblDaily[EntryDate],DATE(2026,1,7),tblDaily[WardCode],"ICU")),"")</f>
        <v/>
      </c>
      <c r="D13" s="29" t="str">
        <f>IFERROR(IF(SUMIFS(tblDaily[Deaths],tblDaily[EntryDate],DATE(2026,1,7),tblDaily[WardCode],"ICU")=0,"",SUMIFS(tblDaily[Deaths],tblDaily[EntryDate],DATE(2026,1,7),tblDaily[WardCode],"ICU")),"")</f>
        <v/>
      </c>
      <c r="E13" s="29" t="str">
        <f>IFERROR(IF(SUMIFS(tblDaily[DeathsUnder24Hrs],tblDaily[EntryDate],DATE(2026,1,7),tblDaily[WardCode],"ICU")=0,"",SUMIFS(tblDaily[DeathsUnder24Hrs],tblDaily[EntryDate],DATE(2026,1,7),tblDaily[WardCode],"ICU")),"")</f>
        <v/>
      </c>
      <c r="F13" s="29" t="str">
        <f>IFERROR(IF(SUMIFS(tblDaily[TransfersIn],tblDaily[EntryDate],DATE(2026,1,7),tblDaily[WardCode],"ICU")=0,"",SUMIFS(tblDaily[TransfersIn],tblDaily[EntryDate],DATE(2026,1,7),tblDaily[WardCode],"ICU")),"")</f>
        <v/>
      </c>
      <c r="G13" s="29" t="str">
        <f>IFERROR(IF(SUMIFS(tblDaily[TransfersOut],tblDaily[EntryDate],DATE(2026,1,7),tblDaily[WardCode],"ICU")=0,"",SUMIFS(tblDaily[TransfersOut],tblDaily[EntryDate],DATE(2026,1,7),tblDaily[WardCode],"ICU")),"")</f>
        <v/>
      </c>
      <c r="H13" s="29" t="str">
        <f>IFERROR(IF(SUMIFS(tblDaily[Remaining],tblDaily[EntryDate],DATE(2026,1,7),tblDaily[WardCode],"ICU")=0,"",SUMIFS(tblDaily[Remaining],tblDaily[EntryDate],DATE(2026,1,7),tblDaily[WardCode],"ICU")),"")</f>
        <v/>
      </c>
    </row>
    <row r="14" spans="1:8" x14ac:dyDescent="0.25">
      <c r="A14" s="29">
        <v>8</v>
      </c>
      <c r="B14" s="29" t="str">
        <f>IFERROR(IF(SUMIFS(tblDaily[Admissions],tblDaily[EntryDate],DATE(2026,1,8),tblDaily[WardCode],"ICU")=0,"",SUMIFS(tblDaily[Admissions],tblDaily[EntryDate],DATE(2026,1,8),tblDaily[WardCode],"ICU")),"")</f>
        <v/>
      </c>
      <c r="C14" s="29" t="str">
        <f>IFERROR(IF(SUMIFS(tblDaily[Discharges],tblDaily[EntryDate],DATE(2026,1,8),tblDaily[WardCode],"ICU")=0,"",SUMIFS(tblDaily[Discharges],tblDaily[EntryDate],DATE(2026,1,8),tblDaily[WardCode],"ICU")),"")</f>
        <v/>
      </c>
      <c r="D14" s="29" t="str">
        <f>IFERROR(IF(SUMIFS(tblDaily[Deaths],tblDaily[EntryDate],DATE(2026,1,8),tblDaily[WardCode],"ICU")=0,"",SUMIFS(tblDaily[Deaths],tblDaily[EntryDate],DATE(2026,1,8),tblDaily[WardCode],"ICU")),"")</f>
        <v/>
      </c>
      <c r="E14" s="29" t="str">
        <f>IFERROR(IF(SUMIFS(tblDaily[DeathsUnder24Hrs],tblDaily[EntryDate],DATE(2026,1,8),tblDaily[WardCode],"ICU")=0,"",SUMIFS(tblDaily[DeathsUnder24Hrs],tblDaily[EntryDate],DATE(2026,1,8),tblDaily[WardCode],"ICU")),"")</f>
        <v/>
      </c>
      <c r="F14" s="29" t="str">
        <f>IFERROR(IF(SUMIFS(tblDaily[TransfersIn],tblDaily[EntryDate],DATE(2026,1,8),tblDaily[WardCode],"ICU")=0,"",SUMIFS(tblDaily[TransfersIn],tblDaily[EntryDate],DATE(2026,1,8),tblDaily[WardCode],"ICU")),"")</f>
        <v/>
      </c>
      <c r="G14" s="29" t="str">
        <f>IFERROR(IF(SUMIFS(tblDaily[TransfersOut],tblDaily[EntryDate],DATE(2026,1,8),tblDaily[WardCode],"ICU")=0,"",SUMIFS(tblDaily[TransfersOut],tblDaily[EntryDate],DATE(2026,1,8),tblDaily[WardCode],"ICU")),"")</f>
        <v/>
      </c>
      <c r="H14" s="29" t="str">
        <f>IFERROR(IF(SUMIFS(tblDaily[Remaining],tblDaily[EntryDate],DATE(2026,1,8),tblDaily[WardCode],"ICU")=0,"",SUMIFS(tblDaily[Remaining],tblDaily[EntryDate],DATE(2026,1,8),tblDaily[WardCode],"ICU")),"")</f>
        <v/>
      </c>
    </row>
    <row r="15" spans="1:8" x14ac:dyDescent="0.25">
      <c r="A15" s="29">
        <v>9</v>
      </c>
      <c r="B15" s="29" t="str">
        <f>IFERROR(IF(SUMIFS(tblDaily[Admissions],tblDaily[EntryDate],DATE(2026,1,9),tblDaily[WardCode],"ICU")=0,"",SUMIFS(tblDaily[Admissions],tblDaily[EntryDate],DATE(2026,1,9),tblDaily[WardCode],"ICU")),"")</f>
        <v/>
      </c>
      <c r="C15" s="29" t="str">
        <f>IFERROR(IF(SUMIFS(tblDaily[Discharges],tblDaily[EntryDate],DATE(2026,1,9),tblDaily[WardCode],"ICU")=0,"",SUMIFS(tblDaily[Discharges],tblDaily[EntryDate],DATE(2026,1,9),tblDaily[WardCode],"ICU")),"")</f>
        <v/>
      </c>
      <c r="D15" s="29" t="str">
        <f>IFERROR(IF(SUMIFS(tblDaily[Deaths],tblDaily[EntryDate],DATE(2026,1,9),tblDaily[WardCode],"ICU")=0,"",SUMIFS(tblDaily[Deaths],tblDaily[EntryDate],DATE(2026,1,9),tblDaily[WardCode],"ICU")),"")</f>
        <v/>
      </c>
      <c r="E15" s="29" t="str">
        <f>IFERROR(IF(SUMIFS(tblDaily[DeathsUnder24Hrs],tblDaily[EntryDate],DATE(2026,1,9),tblDaily[WardCode],"ICU")=0,"",SUMIFS(tblDaily[DeathsUnder24Hrs],tblDaily[EntryDate],DATE(2026,1,9),tblDaily[WardCode],"ICU")),"")</f>
        <v/>
      </c>
      <c r="F15" s="29" t="str">
        <f>IFERROR(IF(SUMIFS(tblDaily[TransfersIn],tblDaily[EntryDate],DATE(2026,1,9),tblDaily[WardCode],"ICU")=0,"",SUMIFS(tblDaily[TransfersIn],tblDaily[EntryDate],DATE(2026,1,9),tblDaily[WardCode],"ICU")),"")</f>
        <v/>
      </c>
      <c r="G15" s="29" t="str">
        <f>IFERROR(IF(SUMIFS(tblDaily[TransfersOut],tblDaily[EntryDate],DATE(2026,1,9),tblDaily[WardCode],"ICU")=0,"",SUMIFS(tblDaily[TransfersOut],tblDaily[EntryDate],DATE(2026,1,9),tblDaily[WardCode],"ICU")),"")</f>
        <v/>
      </c>
      <c r="H15" s="29" t="str">
        <f>IFERROR(IF(SUMIFS(tblDaily[Remaining],tblDaily[EntryDate],DATE(2026,1,9),tblDaily[WardCode],"ICU")=0,"",SUMIFS(tblDaily[Remaining],tblDaily[EntryDate],DATE(2026,1,9),tblDaily[WardCode],"ICU")),"")</f>
        <v/>
      </c>
    </row>
    <row r="16" spans="1:8" x14ac:dyDescent="0.25">
      <c r="A16" s="29">
        <v>10</v>
      </c>
      <c r="B16" s="29" t="str">
        <f>IFERROR(IF(SUMIFS(tblDaily[Admissions],tblDaily[EntryDate],DATE(2026,1,10),tblDaily[WardCode],"ICU")=0,"",SUMIFS(tblDaily[Admissions],tblDaily[EntryDate],DATE(2026,1,10),tblDaily[WardCode],"ICU")),"")</f>
        <v/>
      </c>
      <c r="C16" s="29" t="str">
        <f>IFERROR(IF(SUMIFS(tblDaily[Discharges],tblDaily[EntryDate],DATE(2026,1,10),tblDaily[WardCode],"ICU")=0,"",SUMIFS(tblDaily[Discharges],tblDaily[EntryDate],DATE(2026,1,10),tblDaily[WardCode],"ICU")),"")</f>
        <v/>
      </c>
      <c r="D16" s="29" t="str">
        <f>IFERROR(IF(SUMIFS(tblDaily[Deaths],tblDaily[EntryDate],DATE(2026,1,10),tblDaily[WardCode],"ICU")=0,"",SUMIFS(tblDaily[Deaths],tblDaily[EntryDate],DATE(2026,1,10),tblDaily[WardCode],"ICU")),"")</f>
        <v/>
      </c>
      <c r="E16" s="29" t="str">
        <f>IFERROR(IF(SUMIFS(tblDaily[DeathsUnder24Hrs],tblDaily[EntryDate],DATE(2026,1,10),tblDaily[WardCode],"ICU")=0,"",SUMIFS(tblDaily[DeathsUnder24Hrs],tblDaily[EntryDate],DATE(2026,1,10),tblDaily[WardCode],"ICU")),"")</f>
        <v/>
      </c>
      <c r="F16" s="29" t="str">
        <f>IFERROR(IF(SUMIFS(tblDaily[TransfersIn],tblDaily[EntryDate],DATE(2026,1,10),tblDaily[WardCode],"ICU")=0,"",SUMIFS(tblDaily[TransfersIn],tblDaily[EntryDate],DATE(2026,1,10),tblDaily[WardCode],"ICU")),"")</f>
        <v/>
      </c>
      <c r="G16" s="29" t="str">
        <f>IFERROR(IF(SUMIFS(tblDaily[TransfersOut],tblDaily[EntryDate],DATE(2026,1,10),tblDaily[WardCode],"ICU")=0,"",SUMIFS(tblDaily[TransfersOut],tblDaily[EntryDate],DATE(2026,1,10),tblDaily[WardCode],"ICU")),"")</f>
        <v/>
      </c>
      <c r="H16" s="29" t="str">
        <f>IFERROR(IF(SUMIFS(tblDaily[Remaining],tblDaily[EntryDate],DATE(2026,1,10),tblDaily[WardCode],"ICU")=0,"",SUMIFS(tblDaily[Remaining],tblDaily[EntryDate],DATE(2026,1,10),tblDaily[WardCode],"ICU")),"")</f>
        <v/>
      </c>
    </row>
    <row r="17" spans="1:8" x14ac:dyDescent="0.25">
      <c r="A17" s="29">
        <v>11</v>
      </c>
      <c r="B17" s="29" t="str">
        <f>IFERROR(IF(SUMIFS(tblDaily[Admissions],tblDaily[EntryDate],DATE(2026,1,11),tblDaily[WardCode],"ICU")=0,"",SUMIFS(tblDaily[Admissions],tblDaily[EntryDate],DATE(2026,1,11),tblDaily[WardCode],"ICU")),"")</f>
        <v/>
      </c>
      <c r="C17" s="29" t="str">
        <f>IFERROR(IF(SUMIFS(tblDaily[Discharges],tblDaily[EntryDate],DATE(2026,1,11),tblDaily[WardCode],"ICU")=0,"",SUMIFS(tblDaily[Discharges],tblDaily[EntryDate],DATE(2026,1,11),tblDaily[WardCode],"ICU")),"")</f>
        <v/>
      </c>
      <c r="D17" s="29" t="str">
        <f>IFERROR(IF(SUMIFS(tblDaily[Deaths],tblDaily[EntryDate],DATE(2026,1,11),tblDaily[WardCode],"ICU")=0,"",SUMIFS(tblDaily[Deaths],tblDaily[EntryDate],DATE(2026,1,11),tblDaily[WardCode],"ICU")),"")</f>
        <v/>
      </c>
      <c r="E17" s="29" t="str">
        <f>IFERROR(IF(SUMIFS(tblDaily[DeathsUnder24Hrs],tblDaily[EntryDate],DATE(2026,1,11),tblDaily[WardCode],"ICU")=0,"",SUMIFS(tblDaily[DeathsUnder24Hrs],tblDaily[EntryDate],DATE(2026,1,11),tblDaily[WardCode],"ICU")),"")</f>
        <v/>
      </c>
      <c r="F17" s="29" t="str">
        <f>IFERROR(IF(SUMIFS(tblDaily[TransfersIn],tblDaily[EntryDate],DATE(2026,1,11),tblDaily[WardCode],"ICU")=0,"",SUMIFS(tblDaily[TransfersIn],tblDaily[EntryDate],DATE(2026,1,11),tblDaily[WardCode],"ICU")),"")</f>
        <v/>
      </c>
      <c r="G17" s="29" t="str">
        <f>IFERROR(IF(SUMIFS(tblDaily[TransfersOut],tblDaily[EntryDate],DATE(2026,1,11),tblDaily[WardCode],"ICU")=0,"",SUMIFS(tblDaily[TransfersOut],tblDaily[EntryDate],DATE(2026,1,11),tblDaily[WardCode],"ICU")),"")</f>
        <v/>
      </c>
      <c r="H17" s="29" t="str">
        <f>IFERROR(IF(SUMIFS(tblDaily[Remaining],tblDaily[EntryDate],DATE(2026,1,11),tblDaily[WardCode],"ICU")=0,"",SUMIFS(tblDaily[Remaining],tblDaily[EntryDate],DATE(2026,1,11),tblDaily[WardCode],"ICU")),"")</f>
        <v/>
      </c>
    </row>
    <row r="18" spans="1:8" x14ac:dyDescent="0.25">
      <c r="A18" s="29">
        <v>12</v>
      </c>
      <c r="B18" s="29" t="str">
        <f>IFERROR(IF(SUMIFS(tblDaily[Admissions],tblDaily[EntryDate],DATE(2026,1,12),tblDaily[WardCode],"ICU")=0,"",SUMIFS(tblDaily[Admissions],tblDaily[EntryDate],DATE(2026,1,12),tblDaily[WardCode],"ICU")),"")</f>
        <v/>
      </c>
      <c r="C18" s="29" t="str">
        <f>IFERROR(IF(SUMIFS(tblDaily[Discharges],tblDaily[EntryDate],DATE(2026,1,12),tblDaily[WardCode],"ICU")=0,"",SUMIFS(tblDaily[Discharges],tblDaily[EntryDate],DATE(2026,1,12),tblDaily[WardCode],"ICU")),"")</f>
        <v/>
      </c>
      <c r="D18" s="29" t="str">
        <f>IFERROR(IF(SUMIFS(tblDaily[Deaths],tblDaily[EntryDate],DATE(2026,1,12),tblDaily[WardCode],"ICU")=0,"",SUMIFS(tblDaily[Deaths],tblDaily[EntryDate],DATE(2026,1,12),tblDaily[WardCode],"ICU")),"")</f>
        <v/>
      </c>
      <c r="E18" s="29" t="str">
        <f>IFERROR(IF(SUMIFS(tblDaily[DeathsUnder24Hrs],tblDaily[EntryDate],DATE(2026,1,12),tblDaily[WardCode],"ICU")=0,"",SUMIFS(tblDaily[DeathsUnder24Hrs],tblDaily[EntryDate],DATE(2026,1,12),tblDaily[WardCode],"ICU")),"")</f>
        <v/>
      </c>
      <c r="F18" s="29" t="str">
        <f>IFERROR(IF(SUMIFS(tblDaily[TransfersIn],tblDaily[EntryDate],DATE(2026,1,12),tblDaily[WardCode],"ICU")=0,"",SUMIFS(tblDaily[TransfersIn],tblDaily[EntryDate],DATE(2026,1,12),tblDaily[WardCode],"ICU")),"")</f>
        <v/>
      </c>
      <c r="G18" s="29" t="str">
        <f>IFERROR(IF(SUMIFS(tblDaily[TransfersOut],tblDaily[EntryDate],DATE(2026,1,12),tblDaily[WardCode],"ICU")=0,"",SUMIFS(tblDaily[TransfersOut],tblDaily[EntryDate],DATE(2026,1,12),tblDaily[WardCode],"ICU")),"")</f>
        <v/>
      </c>
      <c r="H18" s="29" t="str">
        <f>IFERROR(IF(SUMIFS(tblDaily[Remaining],tblDaily[EntryDate],DATE(2026,1,12),tblDaily[WardCode],"ICU")=0,"",SUMIFS(tblDaily[Remaining],tblDaily[EntryDate],DATE(2026,1,12),tblDaily[WardCode],"ICU")),"")</f>
        <v/>
      </c>
    </row>
    <row r="19" spans="1:8" x14ac:dyDescent="0.25">
      <c r="A19" s="29">
        <v>13</v>
      </c>
      <c r="B19" s="29" t="str">
        <f>IFERROR(IF(SUMIFS(tblDaily[Admissions],tblDaily[EntryDate],DATE(2026,1,13),tblDaily[WardCode],"ICU")=0,"",SUMIFS(tblDaily[Admissions],tblDaily[EntryDate],DATE(2026,1,13),tblDaily[WardCode],"ICU")),"")</f>
        <v/>
      </c>
      <c r="C19" s="29" t="str">
        <f>IFERROR(IF(SUMIFS(tblDaily[Discharges],tblDaily[EntryDate],DATE(2026,1,13),tblDaily[WardCode],"ICU")=0,"",SUMIFS(tblDaily[Discharges],tblDaily[EntryDate],DATE(2026,1,13),tblDaily[WardCode],"ICU")),"")</f>
        <v/>
      </c>
      <c r="D19" s="29" t="str">
        <f>IFERROR(IF(SUMIFS(tblDaily[Deaths],tblDaily[EntryDate],DATE(2026,1,13),tblDaily[WardCode],"ICU")=0,"",SUMIFS(tblDaily[Deaths],tblDaily[EntryDate],DATE(2026,1,13),tblDaily[WardCode],"ICU")),"")</f>
        <v/>
      </c>
      <c r="E19" s="29" t="str">
        <f>IFERROR(IF(SUMIFS(tblDaily[DeathsUnder24Hrs],tblDaily[EntryDate],DATE(2026,1,13),tblDaily[WardCode],"ICU")=0,"",SUMIFS(tblDaily[DeathsUnder24Hrs],tblDaily[EntryDate],DATE(2026,1,13),tblDaily[WardCode],"ICU")),"")</f>
        <v/>
      </c>
      <c r="F19" s="29" t="str">
        <f>IFERROR(IF(SUMIFS(tblDaily[TransfersIn],tblDaily[EntryDate],DATE(2026,1,13),tblDaily[WardCode],"ICU")=0,"",SUMIFS(tblDaily[TransfersIn],tblDaily[EntryDate],DATE(2026,1,13),tblDaily[WardCode],"ICU")),"")</f>
        <v/>
      </c>
      <c r="G19" s="29" t="str">
        <f>IFERROR(IF(SUMIFS(tblDaily[TransfersOut],tblDaily[EntryDate],DATE(2026,1,13),tblDaily[WardCode],"ICU")=0,"",SUMIFS(tblDaily[TransfersOut],tblDaily[EntryDate],DATE(2026,1,13),tblDaily[WardCode],"ICU")),"")</f>
        <v/>
      </c>
      <c r="H19" s="29" t="str">
        <f>IFERROR(IF(SUMIFS(tblDaily[Remaining],tblDaily[EntryDate],DATE(2026,1,13),tblDaily[WardCode],"ICU")=0,"",SUMIFS(tblDaily[Remaining],tblDaily[EntryDate],DATE(2026,1,13),tblDaily[WardCode],"ICU")),"")</f>
        <v/>
      </c>
    </row>
    <row r="20" spans="1:8" x14ac:dyDescent="0.25">
      <c r="A20" s="29">
        <v>14</v>
      </c>
      <c r="B20" s="29" t="str">
        <f>IFERROR(IF(SUMIFS(tblDaily[Admissions],tblDaily[EntryDate],DATE(2026,1,14),tblDaily[WardCode],"ICU")=0,"",SUMIFS(tblDaily[Admissions],tblDaily[EntryDate],DATE(2026,1,14),tblDaily[WardCode],"ICU")),"")</f>
        <v/>
      </c>
      <c r="C20" s="29" t="str">
        <f>IFERROR(IF(SUMIFS(tblDaily[Discharges],tblDaily[EntryDate],DATE(2026,1,14),tblDaily[WardCode],"ICU")=0,"",SUMIFS(tblDaily[Discharges],tblDaily[EntryDate],DATE(2026,1,14),tblDaily[WardCode],"ICU")),"")</f>
        <v/>
      </c>
      <c r="D20" s="29" t="str">
        <f>IFERROR(IF(SUMIFS(tblDaily[Deaths],tblDaily[EntryDate],DATE(2026,1,14),tblDaily[WardCode],"ICU")=0,"",SUMIFS(tblDaily[Deaths],tblDaily[EntryDate],DATE(2026,1,14),tblDaily[WardCode],"ICU")),"")</f>
        <v/>
      </c>
      <c r="E20" s="29" t="str">
        <f>IFERROR(IF(SUMIFS(tblDaily[DeathsUnder24Hrs],tblDaily[EntryDate],DATE(2026,1,14),tblDaily[WardCode],"ICU")=0,"",SUMIFS(tblDaily[DeathsUnder24Hrs],tblDaily[EntryDate],DATE(2026,1,14),tblDaily[WardCode],"ICU")),"")</f>
        <v/>
      </c>
      <c r="F20" s="29" t="str">
        <f>IFERROR(IF(SUMIFS(tblDaily[TransfersIn],tblDaily[EntryDate],DATE(2026,1,14),tblDaily[WardCode],"ICU")=0,"",SUMIFS(tblDaily[TransfersIn],tblDaily[EntryDate],DATE(2026,1,14),tblDaily[WardCode],"ICU")),"")</f>
        <v/>
      </c>
      <c r="G20" s="29" t="str">
        <f>IFERROR(IF(SUMIFS(tblDaily[TransfersOut],tblDaily[EntryDate],DATE(2026,1,14),tblDaily[WardCode],"ICU")=0,"",SUMIFS(tblDaily[TransfersOut],tblDaily[EntryDate],DATE(2026,1,14),tblDaily[WardCode],"ICU")),"")</f>
        <v/>
      </c>
      <c r="H20" s="29" t="str">
        <f>IFERROR(IF(SUMIFS(tblDaily[Remaining],tblDaily[EntryDate],DATE(2026,1,14),tblDaily[WardCode],"ICU")=0,"",SUMIFS(tblDaily[Remaining],tblDaily[EntryDate],DATE(2026,1,14),tblDaily[WardCode],"ICU")),"")</f>
        <v/>
      </c>
    </row>
    <row r="21" spans="1:8" x14ac:dyDescent="0.25">
      <c r="A21" s="29">
        <v>15</v>
      </c>
      <c r="B21" s="29" t="str">
        <f>IFERROR(IF(SUMIFS(tblDaily[Admissions],tblDaily[EntryDate],DATE(2026,1,15),tblDaily[WardCode],"ICU")=0,"",SUMIFS(tblDaily[Admissions],tblDaily[EntryDate],DATE(2026,1,15),tblDaily[WardCode],"ICU")),"")</f>
        <v/>
      </c>
      <c r="C21" s="29" t="str">
        <f>IFERROR(IF(SUMIFS(tblDaily[Discharges],tblDaily[EntryDate],DATE(2026,1,15),tblDaily[WardCode],"ICU")=0,"",SUMIFS(tblDaily[Discharges],tblDaily[EntryDate],DATE(2026,1,15),tblDaily[WardCode],"ICU")),"")</f>
        <v/>
      </c>
      <c r="D21" s="29" t="str">
        <f>IFERROR(IF(SUMIFS(tblDaily[Deaths],tblDaily[EntryDate],DATE(2026,1,15),tblDaily[WardCode],"ICU")=0,"",SUMIFS(tblDaily[Deaths],tblDaily[EntryDate],DATE(2026,1,15),tblDaily[WardCode],"ICU")),"")</f>
        <v/>
      </c>
      <c r="E21" s="29" t="str">
        <f>IFERROR(IF(SUMIFS(tblDaily[DeathsUnder24Hrs],tblDaily[EntryDate],DATE(2026,1,15),tblDaily[WardCode],"ICU")=0,"",SUMIFS(tblDaily[DeathsUnder24Hrs],tblDaily[EntryDate],DATE(2026,1,15),tblDaily[WardCode],"ICU")),"")</f>
        <v/>
      </c>
      <c r="F21" s="29" t="str">
        <f>IFERROR(IF(SUMIFS(tblDaily[TransfersIn],tblDaily[EntryDate],DATE(2026,1,15),tblDaily[WardCode],"ICU")=0,"",SUMIFS(tblDaily[TransfersIn],tblDaily[EntryDate],DATE(2026,1,15),tblDaily[WardCode],"ICU")),"")</f>
        <v/>
      </c>
      <c r="G21" s="29" t="str">
        <f>IFERROR(IF(SUMIFS(tblDaily[TransfersOut],tblDaily[EntryDate],DATE(2026,1,15),tblDaily[WardCode],"ICU")=0,"",SUMIFS(tblDaily[TransfersOut],tblDaily[EntryDate],DATE(2026,1,15),tblDaily[WardCode],"ICU")),"")</f>
        <v/>
      </c>
      <c r="H21" s="29" t="str">
        <f>IFERROR(IF(SUMIFS(tblDaily[Remaining],tblDaily[EntryDate],DATE(2026,1,15),tblDaily[WardCode],"ICU")=0,"",SUMIFS(tblDaily[Remaining],tblDaily[EntryDate],DATE(2026,1,15),tblDaily[WardCode],"ICU")),"")</f>
        <v/>
      </c>
    </row>
    <row r="22" spans="1:8" x14ac:dyDescent="0.25">
      <c r="A22" s="29">
        <v>16</v>
      </c>
      <c r="B22" s="29" t="str">
        <f>IFERROR(IF(SUMIFS(tblDaily[Admissions],tblDaily[EntryDate],DATE(2026,1,16),tblDaily[WardCode],"ICU")=0,"",SUMIFS(tblDaily[Admissions],tblDaily[EntryDate],DATE(2026,1,16),tblDaily[WardCode],"ICU")),"")</f>
        <v/>
      </c>
      <c r="C22" s="29" t="str">
        <f>IFERROR(IF(SUMIFS(tblDaily[Discharges],tblDaily[EntryDate],DATE(2026,1,16),tblDaily[WardCode],"ICU")=0,"",SUMIFS(tblDaily[Discharges],tblDaily[EntryDate],DATE(2026,1,16),tblDaily[WardCode],"ICU")),"")</f>
        <v/>
      </c>
      <c r="D22" s="29" t="str">
        <f>IFERROR(IF(SUMIFS(tblDaily[Deaths],tblDaily[EntryDate],DATE(2026,1,16),tblDaily[WardCode],"ICU")=0,"",SUMIFS(tblDaily[Deaths],tblDaily[EntryDate],DATE(2026,1,16),tblDaily[WardCode],"ICU")),"")</f>
        <v/>
      </c>
      <c r="E22" s="29" t="str">
        <f>IFERROR(IF(SUMIFS(tblDaily[DeathsUnder24Hrs],tblDaily[EntryDate],DATE(2026,1,16),tblDaily[WardCode],"ICU")=0,"",SUMIFS(tblDaily[DeathsUnder24Hrs],tblDaily[EntryDate],DATE(2026,1,16),tblDaily[WardCode],"ICU")),"")</f>
        <v/>
      </c>
      <c r="F22" s="29" t="str">
        <f>IFERROR(IF(SUMIFS(tblDaily[TransfersIn],tblDaily[EntryDate],DATE(2026,1,16),tblDaily[WardCode],"ICU")=0,"",SUMIFS(tblDaily[TransfersIn],tblDaily[EntryDate],DATE(2026,1,16),tblDaily[WardCode],"ICU")),"")</f>
        <v/>
      </c>
      <c r="G22" s="29" t="str">
        <f>IFERROR(IF(SUMIFS(tblDaily[TransfersOut],tblDaily[EntryDate],DATE(2026,1,16),tblDaily[WardCode],"ICU")=0,"",SUMIFS(tblDaily[TransfersOut],tblDaily[EntryDate],DATE(2026,1,16),tblDaily[WardCode],"ICU")),"")</f>
        <v/>
      </c>
      <c r="H22" s="29" t="str">
        <f>IFERROR(IF(SUMIFS(tblDaily[Remaining],tblDaily[EntryDate],DATE(2026,1,16),tblDaily[WardCode],"ICU")=0,"",SUMIFS(tblDaily[Remaining],tblDaily[EntryDate],DATE(2026,1,16),tblDaily[WardCode],"ICU")),"")</f>
        <v/>
      </c>
    </row>
    <row r="23" spans="1:8" x14ac:dyDescent="0.25">
      <c r="A23" s="29">
        <v>17</v>
      </c>
      <c r="B23" s="29" t="str">
        <f>IFERROR(IF(SUMIFS(tblDaily[Admissions],tblDaily[EntryDate],DATE(2026,1,17),tblDaily[WardCode],"ICU")=0,"",SUMIFS(tblDaily[Admissions],tblDaily[EntryDate],DATE(2026,1,17),tblDaily[WardCode],"ICU")),"")</f>
        <v/>
      </c>
      <c r="C23" s="29" t="str">
        <f>IFERROR(IF(SUMIFS(tblDaily[Discharges],tblDaily[EntryDate],DATE(2026,1,17),tblDaily[WardCode],"ICU")=0,"",SUMIFS(tblDaily[Discharges],tblDaily[EntryDate],DATE(2026,1,17),tblDaily[WardCode],"ICU")),"")</f>
        <v/>
      </c>
      <c r="D23" s="29" t="str">
        <f>IFERROR(IF(SUMIFS(tblDaily[Deaths],tblDaily[EntryDate],DATE(2026,1,17),tblDaily[WardCode],"ICU")=0,"",SUMIFS(tblDaily[Deaths],tblDaily[EntryDate],DATE(2026,1,17),tblDaily[WardCode],"ICU")),"")</f>
        <v/>
      </c>
      <c r="E23" s="29" t="str">
        <f>IFERROR(IF(SUMIFS(tblDaily[DeathsUnder24Hrs],tblDaily[EntryDate],DATE(2026,1,17),tblDaily[WardCode],"ICU")=0,"",SUMIFS(tblDaily[DeathsUnder24Hrs],tblDaily[EntryDate],DATE(2026,1,17),tblDaily[WardCode],"ICU")),"")</f>
        <v/>
      </c>
      <c r="F23" s="29" t="str">
        <f>IFERROR(IF(SUMIFS(tblDaily[TransfersIn],tblDaily[EntryDate],DATE(2026,1,17),tblDaily[WardCode],"ICU")=0,"",SUMIFS(tblDaily[TransfersIn],tblDaily[EntryDate],DATE(2026,1,17),tblDaily[WardCode],"ICU")),"")</f>
        <v/>
      </c>
      <c r="G23" s="29" t="str">
        <f>IFERROR(IF(SUMIFS(tblDaily[TransfersOut],tblDaily[EntryDate],DATE(2026,1,17),tblDaily[WardCode],"ICU")=0,"",SUMIFS(tblDaily[TransfersOut],tblDaily[EntryDate],DATE(2026,1,17),tblDaily[WardCode],"ICU")),"")</f>
        <v/>
      </c>
      <c r="H23" s="29" t="str">
        <f>IFERROR(IF(SUMIFS(tblDaily[Remaining],tblDaily[EntryDate],DATE(2026,1,17),tblDaily[WardCode],"ICU")=0,"",SUMIFS(tblDaily[Remaining],tblDaily[EntryDate],DATE(2026,1,17),tblDaily[WardCode],"ICU")),"")</f>
        <v/>
      </c>
    </row>
    <row r="24" spans="1:8" x14ac:dyDescent="0.25">
      <c r="A24" s="29">
        <v>18</v>
      </c>
      <c r="B24" s="29" t="str">
        <f>IFERROR(IF(SUMIFS(tblDaily[Admissions],tblDaily[EntryDate],DATE(2026,1,18),tblDaily[WardCode],"ICU")=0,"",SUMIFS(tblDaily[Admissions],tblDaily[EntryDate],DATE(2026,1,18),tblDaily[WardCode],"ICU")),"")</f>
        <v/>
      </c>
      <c r="C24" s="29" t="str">
        <f>IFERROR(IF(SUMIFS(tblDaily[Discharges],tblDaily[EntryDate],DATE(2026,1,18),tblDaily[WardCode],"ICU")=0,"",SUMIFS(tblDaily[Discharges],tblDaily[EntryDate],DATE(2026,1,18),tblDaily[WardCode],"ICU")),"")</f>
        <v/>
      </c>
      <c r="D24" s="29" t="str">
        <f>IFERROR(IF(SUMIFS(tblDaily[Deaths],tblDaily[EntryDate],DATE(2026,1,18),tblDaily[WardCode],"ICU")=0,"",SUMIFS(tblDaily[Deaths],tblDaily[EntryDate],DATE(2026,1,18),tblDaily[WardCode],"ICU")),"")</f>
        <v/>
      </c>
      <c r="E24" s="29" t="str">
        <f>IFERROR(IF(SUMIFS(tblDaily[DeathsUnder24Hrs],tblDaily[EntryDate],DATE(2026,1,18),tblDaily[WardCode],"ICU")=0,"",SUMIFS(tblDaily[DeathsUnder24Hrs],tblDaily[EntryDate],DATE(2026,1,18),tblDaily[WardCode],"ICU")),"")</f>
        <v/>
      </c>
      <c r="F24" s="29" t="str">
        <f>IFERROR(IF(SUMIFS(tblDaily[TransfersIn],tblDaily[EntryDate],DATE(2026,1,18),tblDaily[WardCode],"ICU")=0,"",SUMIFS(tblDaily[TransfersIn],tblDaily[EntryDate],DATE(2026,1,18),tblDaily[WardCode],"ICU")),"")</f>
        <v/>
      </c>
      <c r="G24" s="29" t="str">
        <f>IFERROR(IF(SUMIFS(tblDaily[TransfersOut],tblDaily[EntryDate],DATE(2026,1,18),tblDaily[WardCode],"ICU")=0,"",SUMIFS(tblDaily[TransfersOut],tblDaily[EntryDate],DATE(2026,1,18),tblDaily[WardCode],"ICU")),"")</f>
        <v/>
      </c>
      <c r="H24" s="29" t="str">
        <f>IFERROR(IF(SUMIFS(tblDaily[Remaining],tblDaily[EntryDate],DATE(2026,1,18),tblDaily[WardCode],"ICU")=0,"",SUMIFS(tblDaily[Remaining],tblDaily[EntryDate],DATE(2026,1,18),tblDaily[WardCode],"ICU")),"")</f>
        <v/>
      </c>
    </row>
    <row r="25" spans="1:8" x14ac:dyDescent="0.25">
      <c r="A25" s="29">
        <v>19</v>
      </c>
      <c r="B25" s="29" t="str">
        <f>IFERROR(IF(SUMIFS(tblDaily[Admissions],tblDaily[EntryDate],DATE(2026,1,19),tblDaily[WardCode],"ICU")=0,"",SUMIFS(tblDaily[Admissions],tblDaily[EntryDate],DATE(2026,1,19),tblDaily[WardCode],"ICU")),"")</f>
        <v/>
      </c>
      <c r="C25" s="29" t="str">
        <f>IFERROR(IF(SUMIFS(tblDaily[Discharges],tblDaily[EntryDate],DATE(2026,1,19),tblDaily[WardCode],"ICU")=0,"",SUMIFS(tblDaily[Discharges],tblDaily[EntryDate],DATE(2026,1,19),tblDaily[WardCode],"ICU")),"")</f>
        <v/>
      </c>
      <c r="D25" s="29" t="str">
        <f>IFERROR(IF(SUMIFS(tblDaily[Deaths],tblDaily[EntryDate],DATE(2026,1,19),tblDaily[WardCode],"ICU")=0,"",SUMIFS(tblDaily[Deaths],tblDaily[EntryDate],DATE(2026,1,19),tblDaily[WardCode],"ICU")),"")</f>
        <v/>
      </c>
      <c r="E25" s="29" t="str">
        <f>IFERROR(IF(SUMIFS(tblDaily[DeathsUnder24Hrs],tblDaily[EntryDate],DATE(2026,1,19),tblDaily[WardCode],"ICU")=0,"",SUMIFS(tblDaily[DeathsUnder24Hrs],tblDaily[EntryDate],DATE(2026,1,19),tblDaily[WardCode],"ICU")),"")</f>
        <v/>
      </c>
      <c r="F25" s="29" t="str">
        <f>IFERROR(IF(SUMIFS(tblDaily[TransfersIn],tblDaily[EntryDate],DATE(2026,1,19),tblDaily[WardCode],"ICU")=0,"",SUMIFS(tblDaily[TransfersIn],tblDaily[EntryDate],DATE(2026,1,19),tblDaily[WardCode],"ICU")),"")</f>
        <v/>
      </c>
      <c r="G25" s="29" t="str">
        <f>IFERROR(IF(SUMIFS(tblDaily[TransfersOut],tblDaily[EntryDate],DATE(2026,1,19),tblDaily[WardCode],"ICU")=0,"",SUMIFS(tblDaily[TransfersOut],tblDaily[EntryDate],DATE(2026,1,19),tblDaily[WardCode],"ICU")),"")</f>
        <v/>
      </c>
      <c r="H25" s="29" t="str">
        <f>IFERROR(IF(SUMIFS(tblDaily[Remaining],tblDaily[EntryDate],DATE(2026,1,19),tblDaily[WardCode],"ICU")=0,"",SUMIFS(tblDaily[Remaining],tblDaily[EntryDate],DATE(2026,1,19),tblDaily[WardCode],"ICU")),"")</f>
        <v/>
      </c>
    </row>
    <row r="26" spans="1:8" x14ac:dyDescent="0.25">
      <c r="A26" s="29">
        <v>20</v>
      </c>
      <c r="B26" s="29" t="str">
        <f>IFERROR(IF(SUMIFS(tblDaily[Admissions],tblDaily[EntryDate],DATE(2026,1,20),tblDaily[WardCode],"ICU")=0,"",SUMIFS(tblDaily[Admissions],tblDaily[EntryDate],DATE(2026,1,20),tblDaily[WardCode],"ICU")),"")</f>
        <v/>
      </c>
      <c r="C26" s="29" t="str">
        <f>IFERROR(IF(SUMIFS(tblDaily[Discharges],tblDaily[EntryDate],DATE(2026,1,20),tblDaily[WardCode],"ICU")=0,"",SUMIFS(tblDaily[Discharges],tblDaily[EntryDate],DATE(2026,1,20),tblDaily[WardCode],"ICU")),"")</f>
        <v/>
      </c>
      <c r="D26" s="29" t="str">
        <f>IFERROR(IF(SUMIFS(tblDaily[Deaths],tblDaily[EntryDate],DATE(2026,1,20),tblDaily[WardCode],"ICU")=0,"",SUMIFS(tblDaily[Deaths],tblDaily[EntryDate],DATE(2026,1,20),tblDaily[WardCode],"ICU")),"")</f>
        <v/>
      </c>
      <c r="E26" s="29" t="str">
        <f>IFERROR(IF(SUMIFS(tblDaily[DeathsUnder24Hrs],tblDaily[EntryDate],DATE(2026,1,20),tblDaily[WardCode],"ICU")=0,"",SUMIFS(tblDaily[DeathsUnder24Hrs],tblDaily[EntryDate],DATE(2026,1,20),tblDaily[WardCode],"ICU")),"")</f>
        <v/>
      </c>
      <c r="F26" s="29" t="str">
        <f>IFERROR(IF(SUMIFS(tblDaily[TransfersIn],tblDaily[EntryDate],DATE(2026,1,20),tblDaily[WardCode],"ICU")=0,"",SUMIFS(tblDaily[TransfersIn],tblDaily[EntryDate],DATE(2026,1,20),tblDaily[WardCode],"ICU")),"")</f>
        <v/>
      </c>
      <c r="G26" s="29" t="str">
        <f>IFERROR(IF(SUMIFS(tblDaily[TransfersOut],tblDaily[EntryDate],DATE(2026,1,20),tblDaily[WardCode],"ICU")=0,"",SUMIFS(tblDaily[TransfersOut],tblDaily[EntryDate],DATE(2026,1,20),tblDaily[WardCode],"ICU")),"")</f>
        <v/>
      </c>
      <c r="H26" s="29" t="str">
        <f>IFERROR(IF(SUMIFS(tblDaily[Remaining],tblDaily[EntryDate],DATE(2026,1,20),tblDaily[WardCode],"ICU")=0,"",SUMIFS(tblDaily[Remaining],tblDaily[EntryDate],DATE(2026,1,20),tblDaily[WardCode],"ICU")),"")</f>
        <v/>
      </c>
    </row>
    <row r="27" spans="1:8" x14ac:dyDescent="0.25">
      <c r="A27" s="29">
        <v>21</v>
      </c>
      <c r="B27" s="29" t="str">
        <f>IFERROR(IF(SUMIFS(tblDaily[Admissions],tblDaily[EntryDate],DATE(2026,1,21),tblDaily[WardCode],"ICU")=0,"",SUMIFS(tblDaily[Admissions],tblDaily[EntryDate],DATE(2026,1,21),tblDaily[WardCode],"ICU")),"")</f>
        <v/>
      </c>
      <c r="C27" s="29" t="str">
        <f>IFERROR(IF(SUMIFS(tblDaily[Discharges],tblDaily[EntryDate],DATE(2026,1,21),tblDaily[WardCode],"ICU")=0,"",SUMIFS(tblDaily[Discharges],tblDaily[EntryDate],DATE(2026,1,21),tblDaily[WardCode],"ICU")),"")</f>
        <v/>
      </c>
      <c r="D27" s="29" t="str">
        <f>IFERROR(IF(SUMIFS(tblDaily[Deaths],tblDaily[EntryDate],DATE(2026,1,21),tblDaily[WardCode],"ICU")=0,"",SUMIFS(tblDaily[Deaths],tblDaily[EntryDate],DATE(2026,1,21),tblDaily[WardCode],"ICU")),"")</f>
        <v/>
      </c>
      <c r="E27" s="29" t="str">
        <f>IFERROR(IF(SUMIFS(tblDaily[DeathsUnder24Hrs],tblDaily[EntryDate],DATE(2026,1,21),tblDaily[WardCode],"ICU")=0,"",SUMIFS(tblDaily[DeathsUnder24Hrs],tblDaily[EntryDate],DATE(2026,1,21),tblDaily[WardCode],"ICU")),"")</f>
        <v/>
      </c>
      <c r="F27" s="29" t="str">
        <f>IFERROR(IF(SUMIFS(tblDaily[TransfersIn],tblDaily[EntryDate],DATE(2026,1,21),tblDaily[WardCode],"ICU")=0,"",SUMIFS(tblDaily[TransfersIn],tblDaily[EntryDate],DATE(2026,1,21),tblDaily[WardCode],"ICU")),"")</f>
        <v/>
      </c>
      <c r="G27" s="29" t="str">
        <f>IFERROR(IF(SUMIFS(tblDaily[TransfersOut],tblDaily[EntryDate],DATE(2026,1,21),tblDaily[WardCode],"ICU")=0,"",SUMIFS(tblDaily[TransfersOut],tblDaily[EntryDate],DATE(2026,1,21),tblDaily[WardCode],"ICU")),"")</f>
        <v/>
      </c>
      <c r="H27" s="29" t="str">
        <f>IFERROR(IF(SUMIFS(tblDaily[Remaining],tblDaily[EntryDate],DATE(2026,1,21),tblDaily[WardCode],"ICU")=0,"",SUMIFS(tblDaily[Remaining],tblDaily[EntryDate],DATE(2026,1,21),tblDaily[WardCode],"ICU")),"")</f>
        <v/>
      </c>
    </row>
    <row r="28" spans="1:8" x14ac:dyDescent="0.25">
      <c r="A28" s="29">
        <v>22</v>
      </c>
      <c r="B28" s="29" t="str">
        <f>IFERROR(IF(SUMIFS(tblDaily[Admissions],tblDaily[EntryDate],DATE(2026,1,22),tblDaily[WardCode],"ICU")=0,"",SUMIFS(tblDaily[Admissions],tblDaily[EntryDate],DATE(2026,1,22),tblDaily[WardCode],"ICU")),"")</f>
        <v/>
      </c>
      <c r="C28" s="29" t="str">
        <f>IFERROR(IF(SUMIFS(tblDaily[Discharges],tblDaily[EntryDate],DATE(2026,1,22),tblDaily[WardCode],"ICU")=0,"",SUMIFS(tblDaily[Discharges],tblDaily[EntryDate],DATE(2026,1,22),tblDaily[WardCode],"ICU")),"")</f>
        <v/>
      </c>
      <c r="D28" s="29" t="str">
        <f>IFERROR(IF(SUMIFS(tblDaily[Deaths],tblDaily[EntryDate],DATE(2026,1,22),tblDaily[WardCode],"ICU")=0,"",SUMIFS(tblDaily[Deaths],tblDaily[EntryDate],DATE(2026,1,22),tblDaily[WardCode],"ICU")),"")</f>
        <v/>
      </c>
      <c r="E28" s="29" t="str">
        <f>IFERROR(IF(SUMIFS(tblDaily[DeathsUnder24Hrs],tblDaily[EntryDate],DATE(2026,1,22),tblDaily[WardCode],"ICU")=0,"",SUMIFS(tblDaily[DeathsUnder24Hrs],tblDaily[EntryDate],DATE(2026,1,22),tblDaily[WardCode],"ICU")),"")</f>
        <v/>
      </c>
      <c r="F28" s="29" t="str">
        <f>IFERROR(IF(SUMIFS(tblDaily[TransfersIn],tblDaily[EntryDate],DATE(2026,1,22),tblDaily[WardCode],"ICU")=0,"",SUMIFS(tblDaily[TransfersIn],tblDaily[EntryDate],DATE(2026,1,22),tblDaily[WardCode],"ICU")),"")</f>
        <v/>
      </c>
      <c r="G28" s="29" t="str">
        <f>IFERROR(IF(SUMIFS(tblDaily[TransfersOut],tblDaily[EntryDate],DATE(2026,1,22),tblDaily[WardCode],"ICU")=0,"",SUMIFS(tblDaily[TransfersOut],tblDaily[EntryDate],DATE(2026,1,22),tblDaily[WardCode],"ICU")),"")</f>
        <v/>
      </c>
      <c r="H28" s="29" t="str">
        <f>IFERROR(IF(SUMIFS(tblDaily[Remaining],tblDaily[EntryDate],DATE(2026,1,22),tblDaily[WardCode],"ICU")=0,"",SUMIFS(tblDaily[Remaining],tblDaily[EntryDate],DATE(2026,1,22),tblDaily[WardCode],"ICU")),"")</f>
        <v/>
      </c>
    </row>
    <row r="29" spans="1:8" x14ac:dyDescent="0.25">
      <c r="A29" s="29">
        <v>23</v>
      </c>
      <c r="B29" s="29" t="str">
        <f>IFERROR(IF(SUMIFS(tblDaily[Admissions],tblDaily[EntryDate],DATE(2026,1,23),tblDaily[WardCode],"ICU")=0,"",SUMIFS(tblDaily[Admissions],tblDaily[EntryDate],DATE(2026,1,23),tblDaily[WardCode],"ICU")),"")</f>
        <v/>
      </c>
      <c r="C29" s="29" t="str">
        <f>IFERROR(IF(SUMIFS(tblDaily[Discharges],tblDaily[EntryDate],DATE(2026,1,23),tblDaily[WardCode],"ICU")=0,"",SUMIFS(tblDaily[Discharges],tblDaily[EntryDate],DATE(2026,1,23),tblDaily[WardCode],"ICU")),"")</f>
        <v/>
      </c>
      <c r="D29" s="29" t="str">
        <f>IFERROR(IF(SUMIFS(tblDaily[Deaths],tblDaily[EntryDate],DATE(2026,1,23),tblDaily[WardCode],"ICU")=0,"",SUMIFS(tblDaily[Deaths],tblDaily[EntryDate],DATE(2026,1,23),tblDaily[WardCode],"ICU")),"")</f>
        <v/>
      </c>
      <c r="E29" s="29" t="str">
        <f>IFERROR(IF(SUMIFS(tblDaily[DeathsUnder24Hrs],tblDaily[EntryDate],DATE(2026,1,23),tblDaily[WardCode],"ICU")=0,"",SUMIFS(tblDaily[DeathsUnder24Hrs],tblDaily[EntryDate],DATE(2026,1,23),tblDaily[WardCode],"ICU")),"")</f>
        <v/>
      </c>
      <c r="F29" s="29" t="str">
        <f>IFERROR(IF(SUMIFS(tblDaily[TransfersIn],tblDaily[EntryDate],DATE(2026,1,23),tblDaily[WardCode],"ICU")=0,"",SUMIFS(tblDaily[TransfersIn],tblDaily[EntryDate],DATE(2026,1,23),tblDaily[WardCode],"ICU")),"")</f>
        <v/>
      </c>
      <c r="G29" s="29" t="str">
        <f>IFERROR(IF(SUMIFS(tblDaily[TransfersOut],tblDaily[EntryDate],DATE(2026,1,23),tblDaily[WardCode],"ICU")=0,"",SUMIFS(tblDaily[TransfersOut],tblDaily[EntryDate],DATE(2026,1,23),tblDaily[WardCode],"ICU")),"")</f>
        <v/>
      </c>
      <c r="H29" s="29" t="str">
        <f>IFERROR(IF(SUMIFS(tblDaily[Remaining],tblDaily[EntryDate],DATE(2026,1,23),tblDaily[WardCode],"ICU")=0,"",SUMIFS(tblDaily[Remaining],tblDaily[EntryDate],DATE(2026,1,23),tblDaily[WardCode],"ICU")),"")</f>
        <v/>
      </c>
    </row>
    <row r="30" spans="1:8" x14ac:dyDescent="0.25">
      <c r="A30" s="29">
        <v>24</v>
      </c>
      <c r="B30" s="29" t="str">
        <f>IFERROR(IF(SUMIFS(tblDaily[Admissions],tblDaily[EntryDate],DATE(2026,1,24),tblDaily[WardCode],"ICU")=0,"",SUMIFS(tblDaily[Admissions],tblDaily[EntryDate],DATE(2026,1,24),tblDaily[WardCode],"ICU")),"")</f>
        <v/>
      </c>
      <c r="C30" s="29" t="str">
        <f>IFERROR(IF(SUMIFS(tblDaily[Discharges],tblDaily[EntryDate],DATE(2026,1,24),tblDaily[WardCode],"ICU")=0,"",SUMIFS(tblDaily[Discharges],tblDaily[EntryDate],DATE(2026,1,24),tblDaily[WardCode],"ICU")),"")</f>
        <v/>
      </c>
      <c r="D30" s="29" t="str">
        <f>IFERROR(IF(SUMIFS(tblDaily[Deaths],tblDaily[EntryDate],DATE(2026,1,24),tblDaily[WardCode],"ICU")=0,"",SUMIFS(tblDaily[Deaths],tblDaily[EntryDate],DATE(2026,1,24),tblDaily[WardCode],"ICU")),"")</f>
        <v/>
      </c>
      <c r="E30" s="29" t="str">
        <f>IFERROR(IF(SUMIFS(tblDaily[DeathsUnder24Hrs],tblDaily[EntryDate],DATE(2026,1,24),tblDaily[WardCode],"ICU")=0,"",SUMIFS(tblDaily[DeathsUnder24Hrs],tblDaily[EntryDate],DATE(2026,1,24),tblDaily[WardCode],"ICU")),"")</f>
        <v/>
      </c>
      <c r="F30" s="29" t="str">
        <f>IFERROR(IF(SUMIFS(tblDaily[TransfersIn],tblDaily[EntryDate],DATE(2026,1,24),tblDaily[WardCode],"ICU")=0,"",SUMIFS(tblDaily[TransfersIn],tblDaily[EntryDate],DATE(2026,1,24),tblDaily[WardCode],"ICU")),"")</f>
        <v/>
      </c>
      <c r="G30" s="29" t="str">
        <f>IFERROR(IF(SUMIFS(tblDaily[TransfersOut],tblDaily[EntryDate],DATE(2026,1,24),tblDaily[WardCode],"ICU")=0,"",SUMIFS(tblDaily[TransfersOut],tblDaily[EntryDate],DATE(2026,1,24),tblDaily[WardCode],"ICU")),"")</f>
        <v/>
      </c>
      <c r="H30" s="29" t="str">
        <f>IFERROR(IF(SUMIFS(tblDaily[Remaining],tblDaily[EntryDate],DATE(2026,1,24),tblDaily[WardCode],"ICU")=0,"",SUMIFS(tblDaily[Remaining],tblDaily[EntryDate],DATE(2026,1,24),tblDaily[WardCode],"ICU")),"")</f>
        <v/>
      </c>
    </row>
    <row r="31" spans="1:8" x14ac:dyDescent="0.25">
      <c r="A31" s="29">
        <v>25</v>
      </c>
      <c r="B31" s="29" t="str">
        <f>IFERROR(IF(SUMIFS(tblDaily[Admissions],tblDaily[EntryDate],DATE(2026,1,25),tblDaily[WardCode],"ICU")=0,"",SUMIFS(tblDaily[Admissions],tblDaily[EntryDate],DATE(2026,1,25),tblDaily[WardCode],"ICU")),"")</f>
        <v/>
      </c>
      <c r="C31" s="29" t="str">
        <f>IFERROR(IF(SUMIFS(tblDaily[Discharges],tblDaily[EntryDate],DATE(2026,1,25),tblDaily[WardCode],"ICU")=0,"",SUMIFS(tblDaily[Discharges],tblDaily[EntryDate],DATE(2026,1,25),tblDaily[WardCode],"ICU")),"")</f>
        <v/>
      </c>
      <c r="D31" s="29" t="str">
        <f>IFERROR(IF(SUMIFS(tblDaily[Deaths],tblDaily[EntryDate],DATE(2026,1,25),tblDaily[WardCode],"ICU")=0,"",SUMIFS(tblDaily[Deaths],tblDaily[EntryDate],DATE(2026,1,25),tblDaily[WardCode],"ICU")),"")</f>
        <v/>
      </c>
      <c r="E31" s="29" t="str">
        <f>IFERROR(IF(SUMIFS(tblDaily[DeathsUnder24Hrs],tblDaily[EntryDate],DATE(2026,1,25),tblDaily[WardCode],"ICU")=0,"",SUMIFS(tblDaily[DeathsUnder24Hrs],tblDaily[EntryDate],DATE(2026,1,25),tblDaily[WardCode],"ICU")),"")</f>
        <v/>
      </c>
      <c r="F31" s="29" t="str">
        <f>IFERROR(IF(SUMIFS(tblDaily[TransfersIn],tblDaily[EntryDate],DATE(2026,1,25),tblDaily[WardCode],"ICU")=0,"",SUMIFS(tblDaily[TransfersIn],tblDaily[EntryDate],DATE(2026,1,25),tblDaily[WardCode],"ICU")),"")</f>
        <v/>
      </c>
      <c r="G31" s="29" t="str">
        <f>IFERROR(IF(SUMIFS(tblDaily[TransfersOut],tblDaily[EntryDate],DATE(2026,1,25),tblDaily[WardCode],"ICU")=0,"",SUMIFS(tblDaily[TransfersOut],tblDaily[EntryDate],DATE(2026,1,25),tblDaily[WardCode],"ICU")),"")</f>
        <v/>
      </c>
      <c r="H31" s="29" t="str">
        <f>IFERROR(IF(SUMIFS(tblDaily[Remaining],tblDaily[EntryDate],DATE(2026,1,25),tblDaily[WardCode],"ICU")=0,"",SUMIFS(tblDaily[Remaining],tblDaily[EntryDate],DATE(2026,1,25),tblDaily[WardCode],"ICU")),"")</f>
        <v/>
      </c>
    </row>
    <row r="32" spans="1:8" x14ac:dyDescent="0.25">
      <c r="A32" s="29">
        <v>26</v>
      </c>
      <c r="B32" s="29" t="str">
        <f>IFERROR(IF(SUMIFS(tblDaily[Admissions],tblDaily[EntryDate],DATE(2026,1,26),tblDaily[WardCode],"ICU")=0,"",SUMIFS(tblDaily[Admissions],tblDaily[EntryDate],DATE(2026,1,26),tblDaily[WardCode],"ICU")),"")</f>
        <v/>
      </c>
      <c r="C32" s="29" t="str">
        <f>IFERROR(IF(SUMIFS(tblDaily[Discharges],tblDaily[EntryDate],DATE(2026,1,26),tblDaily[WardCode],"ICU")=0,"",SUMIFS(tblDaily[Discharges],tblDaily[EntryDate],DATE(2026,1,26),tblDaily[WardCode],"ICU")),"")</f>
        <v/>
      </c>
      <c r="D32" s="29" t="str">
        <f>IFERROR(IF(SUMIFS(tblDaily[Deaths],tblDaily[EntryDate],DATE(2026,1,26),tblDaily[WardCode],"ICU")=0,"",SUMIFS(tblDaily[Deaths],tblDaily[EntryDate],DATE(2026,1,26),tblDaily[WardCode],"ICU")),"")</f>
        <v/>
      </c>
      <c r="E32" s="29" t="str">
        <f>IFERROR(IF(SUMIFS(tblDaily[DeathsUnder24Hrs],tblDaily[EntryDate],DATE(2026,1,26),tblDaily[WardCode],"ICU")=0,"",SUMIFS(tblDaily[DeathsUnder24Hrs],tblDaily[EntryDate],DATE(2026,1,26),tblDaily[WardCode],"ICU")),"")</f>
        <v/>
      </c>
      <c r="F32" s="29" t="str">
        <f>IFERROR(IF(SUMIFS(tblDaily[TransfersIn],tblDaily[EntryDate],DATE(2026,1,26),tblDaily[WardCode],"ICU")=0,"",SUMIFS(tblDaily[TransfersIn],tblDaily[EntryDate],DATE(2026,1,26),tblDaily[WardCode],"ICU")),"")</f>
        <v/>
      </c>
      <c r="G32" s="29" t="str">
        <f>IFERROR(IF(SUMIFS(tblDaily[TransfersOut],tblDaily[EntryDate],DATE(2026,1,26),tblDaily[WardCode],"ICU")=0,"",SUMIFS(tblDaily[TransfersOut],tblDaily[EntryDate],DATE(2026,1,26),tblDaily[WardCode],"ICU")),"")</f>
        <v/>
      </c>
      <c r="H32" s="29" t="str">
        <f>IFERROR(IF(SUMIFS(tblDaily[Remaining],tblDaily[EntryDate],DATE(2026,1,26),tblDaily[WardCode],"ICU")=0,"",SUMIFS(tblDaily[Remaining],tblDaily[EntryDate],DATE(2026,1,26),tblDaily[WardCode],"ICU")),"")</f>
        <v/>
      </c>
    </row>
    <row r="33" spans="1:8" x14ac:dyDescent="0.25">
      <c r="A33" s="29">
        <v>27</v>
      </c>
      <c r="B33" s="29" t="str">
        <f>IFERROR(IF(SUMIFS(tblDaily[Admissions],tblDaily[EntryDate],DATE(2026,1,27),tblDaily[WardCode],"ICU")=0,"",SUMIFS(tblDaily[Admissions],tblDaily[EntryDate],DATE(2026,1,27),tblDaily[WardCode],"ICU")),"")</f>
        <v/>
      </c>
      <c r="C33" s="29" t="str">
        <f>IFERROR(IF(SUMIFS(tblDaily[Discharges],tblDaily[EntryDate],DATE(2026,1,27),tblDaily[WardCode],"ICU")=0,"",SUMIFS(tblDaily[Discharges],tblDaily[EntryDate],DATE(2026,1,27),tblDaily[WardCode],"ICU")),"")</f>
        <v/>
      </c>
      <c r="D33" s="29" t="str">
        <f>IFERROR(IF(SUMIFS(tblDaily[Deaths],tblDaily[EntryDate],DATE(2026,1,27),tblDaily[WardCode],"ICU")=0,"",SUMIFS(tblDaily[Deaths],tblDaily[EntryDate],DATE(2026,1,27),tblDaily[WardCode],"ICU")),"")</f>
        <v/>
      </c>
      <c r="E33" s="29" t="str">
        <f>IFERROR(IF(SUMIFS(tblDaily[DeathsUnder24Hrs],tblDaily[EntryDate],DATE(2026,1,27),tblDaily[WardCode],"ICU")=0,"",SUMIFS(tblDaily[DeathsUnder24Hrs],tblDaily[EntryDate],DATE(2026,1,27),tblDaily[WardCode],"ICU")),"")</f>
        <v/>
      </c>
      <c r="F33" s="29" t="str">
        <f>IFERROR(IF(SUMIFS(tblDaily[TransfersIn],tblDaily[EntryDate],DATE(2026,1,27),tblDaily[WardCode],"ICU")=0,"",SUMIFS(tblDaily[TransfersIn],tblDaily[EntryDate],DATE(2026,1,27),tblDaily[WardCode],"ICU")),"")</f>
        <v/>
      </c>
      <c r="G33" s="29" t="str">
        <f>IFERROR(IF(SUMIFS(tblDaily[TransfersOut],tblDaily[EntryDate],DATE(2026,1,27),tblDaily[WardCode],"ICU")=0,"",SUMIFS(tblDaily[TransfersOut],tblDaily[EntryDate],DATE(2026,1,27),tblDaily[WardCode],"ICU")),"")</f>
        <v/>
      </c>
      <c r="H33" s="29" t="str">
        <f>IFERROR(IF(SUMIFS(tblDaily[Remaining],tblDaily[EntryDate],DATE(2026,1,27),tblDaily[WardCode],"ICU")=0,"",SUMIFS(tblDaily[Remaining],tblDaily[EntryDate],DATE(2026,1,27),tblDaily[WardCode],"ICU")),"")</f>
        <v/>
      </c>
    </row>
    <row r="34" spans="1:8" x14ac:dyDescent="0.25">
      <c r="A34" s="29">
        <v>28</v>
      </c>
      <c r="B34" s="29" t="str">
        <f>IFERROR(IF(SUMIFS(tblDaily[Admissions],tblDaily[EntryDate],DATE(2026,1,28),tblDaily[WardCode],"ICU")=0,"",SUMIFS(tblDaily[Admissions],tblDaily[EntryDate],DATE(2026,1,28),tblDaily[WardCode],"ICU")),"")</f>
        <v/>
      </c>
      <c r="C34" s="29" t="str">
        <f>IFERROR(IF(SUMIFS(tblDaily[Discharges],tblDaily[EntryDate],DATE(2026,1,28),tblDaily[WardCode],"ICU")=0,"",SUMIFS(tblDaily[Discharges],tblDaily[EntryDate],DATE(2026,1,28),tblDaily[WardCode],"ICU")),"")</f>
        <v/>
      </c>
      <c r="D34" s="29" t="str">
        <f>IFERROR(IF(SUMIFS(tblDaily[Deaths],tblDaily[EntryDate],DATE(2026,1,28),tblDaily[WardCode],"ICU")=0,"",SUMIFS(tblDaily[Deaths],tblDaily[EntryDate],DATE(2026,1,28),tblDaily[WardCode],"ICU")),"")</f>
        <v/>
      </c>
      <c r="E34" s="29" t="str">
        <f>IFERROR(IF(SUMIFS(tblDaily[DeathsUnder24Hrs],tblDaily[EntryDate],DATE(2026,1,28),tblDaily[WardCode],"ICU")=0,"",SUMIFS(tblDaily[DeathsUnder24Hrs],tblDaily[EntryDate],DATE(2026,1,28),tblDaily[WardCode],"ICU")),"")</f>
        <v/>
      </c>
      <c r="F34" s="29" t="str">
        <f>IFERROR(IF(SUMIFS(tblDaily[TransfersIn],tblDaily[EntryDate],DATE(2026,1,28),tblDaily[WardCode],"ICU")=0,"",SUMIFS(tblDaily[TransfersIn],tblDaily[EntryDate],DATE(2026,1,28),tblDaily[WardCode],"ICU")),"")</f>
        <v/>
      </c>
      <c r="G34" s="29" t="str">
        <f>IFERROR(IF(SUMIFS(tblDaily[TransfersOut],tblDaily[EntryDate],DATE(2026,1,28),tblDaily[WardCode],"ICU")=0,"",SUMIFS(tblDaily[TransfersOut],tblDaily[EntryDate],DATE(2026,1,28),tblDaily[WardCode],"ICU")),"")</f>
        <v/>
      </c>
      <c r="H34" s="29" t="str">
        <f>IFERROR(IF(SUMIFS(tblDaily[Remaining],tblDaily[EntryDate],DATE(2026,1,28),tblDaily[WardCode],"ICU")=0,"",SUMIFS(tblDaily[Remaining],tblDaily[EntryDate],DATE(2026,1,28),tblDaily[WardCode],"ICU")),"")</f>
        <v/>
      </c>
    </row>
    <row r="35" spans="1:8" x14ac:dyDescent="0.25">
      <c r="A35" s="29">
        <v>29</v>
      </c>
      <c r="B35" s="29" t="str">
        <f>IFERROR(IF(SUMIFS(tblDaily[Admissions],tblDaily[EntryDate],DATE(2026,1,29),tblDaily[WardCode],"ICU")=0,"",SUMIFS(tblDaily[Admissions],tblDaily[EntryDate],DATE(2026,1,29),tblDaily[WardCode],"ICU")),"")</f>
        <v/>
      </c>
      <c r="C35" s="29" t="str">
        <f>IFERROR(IF(SUMIFS(tblDaily[Discharges],tblDaily[EntryDate],DATE(2026,1,29),tblDaily[WardCode],"ICU")=0,"",SUMIFS(tblDaily[Discharges],tblDaily[EntryDate],DATE(2026,1,29),tblDaily[WardCode],"ICU")),"")</f>
        <v/>
      </c>
      <c r="D35" s="29" t="str">
        <f>IFERROR(IF(SUMIFS(tblDaily[Deaths],tblDaily[EntryDate],DATE(2026,1,29),tblDaily[WardCode],"ICU")=0,"",SUMIFS(tblDaily[Deaths],tblDaily[EntryDate],DATE(2026,1,29),tblDaily[WardCode],"ICU")),"")</f>
        <v/>
      </c>
      <c r="E35" s="29" t="str">
        <f>IFERROR(IF(SUMIFS(tblDaily[DeathsUnder24Hrs],tblDaily[EntryDate],DATE(2026,1,29),tblDaily[WardCode],"ICU")=0,"",SUMIFS(tblDaily[DeathsUnder24Hrs],tblDaily[EntryDate],DATE(2026,1,29),tblDaily[WardCode],"ICU")),"")</f>
        <v/>
      </c>
      <c r="F35" s="29" t="str">
        <f>IFERROR(IF(SUMIFS(tblDaily[TransfersIn],tblDaily[EntryDate],DATE(2026,1,29),tblDaily[WardCode],"ICU")=0,"",SUMIFS(tblDaily[TransfersIn],tblDaily[EntryDate],DATE(2026,1,29),tblDaily[WardCode],"ICU")),"")</f>
        <v/>
      </c>
      <c r="G35" s="29" t="str">
        <f>IFERROR(IF(SUMIFS(tblDaily[TransfersOut],tblDaily[EntryDate],DATE(2026,1,29),tblDaily[WardCode],"ICU")=0,"",SUMIFS(tblDaily[TransfersOut],tblDaily[EntryDate],DATE(2026,1,29),tblDaily[WardCode],"ICU")),"")</f>
        <v/>
      </c>
      <c r="H35" s="29" t="str">
        <f>IFERROR(IF(SUMIFS(tblDaily[Remaining],tblDaily[EntryDate],DATE(2026,1,29),tblDaily[WardCode],"ICU")=0,"",SUMIFS(tblDaily[Remaining],tblDaily[EntryDate],DATE(2026,1,29),tblDaily[WardCode],"ICU")),"")</f>
        <v/>
      </c>
    </row>
    <row r="36" spans="1:8" x14ac:dyDescent="0.25">
      <c r="A36" s="29">
        <v>30</v>
      </c>
      <c r="B36" s="29" t="str">
        <f>IFERROR(IF(SUMIFS(tblDaily[Admissions],tblDaily[EntryDate],DATE(2026,1,30),tblDaily[WardCode],"ICU")=0,"",SUMIFS(tblDaily[Admissions],tblDaily[EntryDate],DATE(2026,1,30),tblDaily[WardCode],"ICU")),"")</f>
        <v/>
      </c>
      <c r="C36" s="29" t="str">
        <f>IFERROR(IF(SUMIFS(tblDaily[Discharges],tblDaily[EntryDate],DATE(2026,1,30),tblDaily[WardCode],"ICU")=0,"",SUMIFS(tblDaily[Discharges],tblDaily[EntryDate],DATE(2026,1,30),tblDaily[WardCode],"ICU")),"")</f>
        <v/>
      </c>
      <c r="D36" s="29" t="str">
        <f>IFERROR(IF(SUMIFS(tblDaily[Deaths],tblDaily[EntryDate],DATE(2026,1,30),tblDaily[WardCode],"ICU")=0,"",SUMIFS(tblDaily[Deaths],tblDaily[EntryDate],DATE(2026,1,30),tblDaily[WardCode],"ICU")),"")</f>
        <v/>
      </c>
      <c r="E36" s="29" t="str">
        <f>IFERROR(IF(SUMIFS(tblDaily[DeathsUnder24Hrs],tblDaily[EntryDate],DATE(2026,1,30),tblDaily[WardCode],"ICU")=0,"",SUMIFS(tblDaily[DeathsUnder24Hrs],tblDaily[EntryDate],DATE(2026,1,30),tblDaily[WardCode],"ICU")),"")</f>
        <v/>
      </c>
      <c r="F36" s="29" t="str">
        <f>IFERROR(IF(SUMIFS(tblDaily[TransfersIn],tblDaily[EntryDate],DATE(2026,1,30),tblDaily[WardCode],"ICU")=0,"",SUMIFS(tblDaily[TransfersIn],tblDaily[EntryDate],DATE(2026,1,30),tblDaily[WardCode],"ICU")),"")</f>
        <v/>
      </c>
      <c r="G36" s="29" t="str">
        <f>IFERROR(IF(SUMIFS(tblDaily[TransfersOut],tblDaily[EntryDate],DATE(2026,1,30),tblDaily[WardCode],"ICU")=0,"",SUMIFS(tblDaily[TransfersOut],tblDaily[EntryDate],DATE(2026,1,30),tblDaily[WardCode],"ICU")),"")</f>
        <v/>
      </c>
      <c r="H36" s="29" t="str">
        <f>IFERROR(IF(SUMIFS(tblDaily[Remaining],tblDaily[EntryDate],DATE(2026,1,30),tblDaily[WardCode],"ICU")=0,"",SUMIFS(tblDaily[Remaining],tblDaily[EntryDate],DATE(2026,1,30),tblDaily[WardCode],"ICU")),"")</f>
        <v/>
      </c>
    </row>
    <row r="37" spans="1:8" x14ac:dyDescent="0.25">
      <c r="A37" s="29">
        <v>31</v>
      </c>
      <c r="B37" s="29" t="str">
        <f>IFERROR(IF(SUMIFS(tblDaily[Admissions],tblDaily[EntryDate],DATE(2026,1,31),tblDaily[WardCode],"ICU")=0,"",SUMIFS(tblDaily[Admissions],tblDaily[EntryDate],DATE(2026,1,31),tblDaily[WardCode],"ICU")),"")</f>
        <v/>
      </c>
      <c r="C37" s="29" t="str">
        <f>IFERROR(IF(SUMIFS(tblDaily[Discharges],tblDaily[EntryDate],DATE(2026,1,31),tblDaily[WardCode],"ICU")=0,"",SUMIFS(tblDaily[Discharges],tblDaily[EntryDate],DATE(2026,1,31),tblDaily[WardCode],"ICU")),"")</f>
        <v/>
      </c>
      <c r="D37" s="29" t="str">
        <f>IFERROR(IF(SUMIFS(tblDaily[Deaths],tblDaily[EntryDate],DATE(2026,1,31),tblDaily[WardCode],"ICU")=0,"",SUMIFS(tblDaily[Deaths],tblDaily[EntryDate],DATE(2026,1,31),tblDaily[WardCode],"ICU")),"")</f>
        <v/>
      </c>
      <c r="E37" s="29" t="str">
        <f>IFERROR(IF(SUMIFS(tblDaily[DeathsUnder24Hrs],tblDaily[EntryDate],DATE(2026,1,31),tblDaily[WardCode],"ICU")=0,"",SUMIFS(tblDaily[DeathsUnder24Hrs],tblDaily[EntryDate],DATE(2026,1,31),tblDaily[WardCode],"ICU")),"")</f>
        <v/>
      </c>
      <c r="F37" s="29" t="str">
        <f>IFERROR(IF(SUMIFS(tblDaily[TransfersIn],tblDaily[EntryDate],DATE(2026,1,31),tblDaily[WardCode],"ICU")=0,"",SUMIFS(tblDaily[TransfersIn],tblDaily[EntryDate],DATE(2026,1,31),tblDaily[WardCode],"ICU")),"")</f>
        <v/>
      </c>
      <c r="G37" s="29" t="str">
        <f>IFERROR(IF(SUMIFS(tblDaily[TransfersOut],tblDaily[EntryDate],DATE(2026,1,31),tblDaily[WardCode],"ICU")=0,"",SUMIFS(tblDaily[TransfersOut],tblDaily[EntryDate],DATE(2026,1,31),tblDaily[WardCode],"ICU")),"")</f>
        <v/>
      </c>
      <c r="H37" s="29" t="str">
        <f>IFERROR(IF(SUMIFS(tblDaily[Remaining],tblDaily[EntryDate],DATE(2026,1,31),tblDaily[WardCode],"ICU")=0,"",SUMIFS(tblDaily[Remaining],tblDaily[EntryDate],DATE(2026,1,31),tblDaily[WardCode],"ICU")),"")</f>
        <v/>
      </c>
    </row>
    <row r="38" spans="1:8" x14ac:dyDescent="0.25">
      <c r="A38" s="30" t="s">
        <v>115</v>
      </c>
      <c r="B38" s="30">
        <f>SUMIFS(tblDaily[Admissions],tblDaily[Month],1,tblDaily[WardCode],"ICU") - SUMIFS(tblDaily[DeathsUnder24Hrs],tblDaily[Month],1,tblDaily[WardCode],"ICU")</f>
        <v>0</v>
      </c>
      <c r="C38" s="30">
        <f>SUMIFS(tblDaily[Discharges],tblDaily[Month],1,tblDaily[WardCode],"ICU")</f>
        <v>0</v>
      </c>
      <c r="D38" s="30">
        <f>SUMIFS(tblDaily[Deaths],tblDaily[Month],1,tblDaily[WardCode],"ICU")</f>
        <v>0</v>
      </c>
      <c r="E38" s="30">
        <f>SUMIFS(tblDaily[DeathsUnder24Hrs],tblDaily[Month],1,tblDaily[WardCode],"ICU")</f>
        <v>0</v>
      </c>
      <c r="F38" s="30">
        <f>SUMIFS(tblDaily[TransfersIn],tblDaily[Month],1,tblDaily[WardCode],"ICU")</f>
        <v>0</v>
      </c>
      <c r="G38" s="30">
        <f>SUMIFS(tblDaily[TransfersOut],tblDaily[Month],1,tblDaily[WardCode],"ICU")</f>
        <v>0</v>
      </c>
      <c r="H38" s="30">
        <f>SUMIFS(tblDaily[Remaining],tblDaily[Month],1,tblDaily[WardCode],"ICU")</f>
        <v>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104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105</v>
      </c>
      <c r="E42" s="25" t="s">
        <v>124</v>
      </c>
      <c r="F42" s="24" t="s">
        <v>107</v>
      </c>
      <c r="G42" s="25" t="s">
        <v>64</v>
      </c>
    </row>
    <row r="43" spans="1:8" x14ac:dyDescent="0.25">
      <c r="A43" s="24" t="s">
        <v>108</v>
      </c>
      <c r="H43" s="26">
        <f>IFERROR(SUMIFS(tblDaily[Remaining],tblDaily[EntryDate],DATE(2026,1,31),tblDaily[WardCode],"ICU"),0)</f>
        <v>0</v>
      </c>
    </row>
    <row r="44" spans="1:8" x14ac:dyDescent="0.25">
      <c r="A44" s="24" t="s">
        <v>109</v>
      </c>
      <c r="H44" s="27">
        <f>IFERROR(INDEX(tblWardConfig[BedComplement],MATCH("ICU",tblWardConfig[WardCode],0)),0)</f>
        <v>4</v>
      </c>
    </row>
    <row r="45" spans="1:8" ht="38.25" x14ac:dyDescent="0.25">
      <c r="A45" s="28" t="s">
        <v>110</v>
      </c>
      <c r="B45" s="28" t="s">
        <v>77</v>
      </c>
      <c r="C45" s="28" t="s">
        <v>78</v>
      </c>
      <c r="D45" s="28" t="s">
        <v>79</v>
      </c>
      <c r="E45" s="28" t="s">
        <v>111</v>
      </c>
      <c r="F45" s="28" t="s">
        <v>112</v>
      </c>
      <c r="G45" s="28" t="s">
        <v>113</v>
      </c>
      <c r="H45" s="28" t="s">
        <v>114</v>
      </c>
    </row>
    <row r="46" spans="1:8" x14ac:dyDescent="0.25">
      <c r="A46" s="29">
        <v>1</v>
      </c>
      <c r="B46" s="29" t="str">
        <f>IFERROR(IF(SUMIFS(tblDaily[Admissions],tblDaily[EntryDate],DATE(2026,2,1),tblDaily[WardCode],"ICU")=0,"",SUMIFS(tblDaily[Admissions],tblDaily[EntryDate],DATE(2026,2,1),tblDaily[WardCode],"ICU")),"")</f>
        <v/>
      </c>
      <c r="C46" s="29" t="str">
        <f>IFERROR(IF(SUMIFS(tblDaily[Discharges],tblDaily[EntryDate],DATE(2026,2,1),tblDaily[WardCode],"ICU")=0,"",SUMIFS(tblDaily[Discharges],tblDaily[EntryDate],DATE(2026,2,1),tblDaily[WardCode],"ICU")),"")</f>
        <v/>
      </c>
      <c r="D46" s="29" t="str">
        <f>IFERROR(IF(SUMIFS(tblDaily[Deaths],tblDaily[EntryDate],DATE(2026,2,1),tblDaily[WardCode],"ICU")=0,"",SUMIFS(tblDaily[Deaths],tblDaily[EntryDate],DATE(2026,2,1),tblDaily[WardCode],"ICU")),"")</f>
        <v/>
      </c>
      <c r="E46" s="29" t="str">
        <f>IFERROR(IF(SUMIFS(tblDaily[DeathsUnder24Hrs],tblDaily[EntryDate],DATE(2026,2,1),tblDaily[WardCode],"ICU")=0,"",SUMIFS(tblDaily[DeathsUnder24Hrs],tblDaily[EntryDate],DATE(2026,2,1),tblDaily[WardCode],"ICU")),"")</f>
        <v/>
      </c>
      <c r="F46" s="29" t="str">
        <f>IFERROR(IF(SUMIFS(tblDaily[TransfersIn],tblDaily[EntryDate],DATE(2026,2,1),tblDaily[WardCode],"ICU")=0,"",SUMIFS(tblDaily[TransfersIn],tblDaily[EntryDate],DATE(2026,2,1),tblDaily[WardCode],"ICU")),"")</f>
        <v/>
      </c>
      <c r="G46" s="29" t="str">
        <f>IFERROR(IF(SUMIFS(tblDaily[TransfersOut],tblDaily[EntryDate],DATE(2026,2,1),tblDaily[WardCode],"ICU")=0,"",SUMIFS(tblDaily[TransfersOut],tblDaily[EntryDate],DATE(2026,2,1),tblDaily[WardCode],"ICU")),"")</f>
        <v/>
      </c>
      <c r="H46" s="29" t="str">
        <f>IFERROR(IF(SUMIFS(tblDaily[Remaining],tblDaily[EntryDate],DATE(2026,2,1),tblDaily[WardCode],"ICU")=0,"",SUMIFS(tblDaily[Remaining],tblDaily[EntryDate],DATE(2026,2,1),tblDaily[WardCode],"ICU")),"")</f>
        <v/>
      </c>
    </row>
    <row r="47" spans="1:8" x14ac:dyDescent="0.25">
      <c r="A47" s="29">
        <v>2</v>
      </c>
      <c r="B47" s="29" t="str">
        <f>IFERROR(IF(SUMIFS(tblDaily[Admissions],tblDaily[EntryDate],DATE(2026,2,2),tblDaily[WardCode],"ICU")=0,"",SUMIFS(tblDaily[Admissions],tblDaily[EntryDate],DATE(2026,2,2),tblDaily[WardCode],"ICU")),"")</f>
        <v/>
      </c>
      <c r="C47" s="29" t="str">
        <f>IFERROR(IF(SUMIFS(tblDaily[Discharges],tblDaily[EntryDate],DATE(2026,2,2),tblDaily[WardCode],"ICU")=0,"",SUMIFS(tblDaily[Discharges],tblDaily[EntryDate],DATE(2026,2,2),tblDaily[WardCode],"ICU")),"")</f>
        <v/>
      </c>
      <c r="D47" s="29" t="str">
        <f>IFERROR(IF(SUMIFS(tblDaily[Deaths],tblDaily[EntryDate],DATE(2026,2,2),tblDaily[WardCode],"ICU")=0,"",SUMIFS(tblDaily[Deaths],tblDaily[EntryDate],DATE(2026,2,2),tblDaily[WardCode],"ICU")),"")</f>
        <v/>
      </c>
      <c r="E47" s="29" t="str">
        <f>IFERROR(IF(SUMIFS(tblDaily[DeathsUnder24Hrs],tblDaily[EntryDate],DATE(2026,2,2),tblDaily[WardCode],"ICU")=0,"",SUMIFS(tblDaily[DeathsUnder24Hrs],tblDaily[EntryDate],DATE(2026,2,2),tblDaily[WardCode],"ICU")),"")</f>
        <v/>
      </c>
      <c r="F47" s="29" t="str">
        <f>IFERROR(IF(SUMIFS(tblDaily[TransfersIn],tblDaily[EntryDate],DATE(2026,2,2),tblDaily[WardCode],"ICU")=0,"",SUMIFS(tblDaily[TransfersIn],tblDaily[EntryDate],DATE(2026,2,2),tblDaily[WardCode],"ICU")),"")</f>
        <v/>
      </c>
      <c r="G47" s="29" t="str">
        <f>IFERROR(IF(SUMIFS(tblDaily[TransfersOut],tblDaily[EntryDate],DATE(2026,2,2),tblDaily[WardCode],"ICU")=0,"",SUMIFS(tblDaily[TransfersOut],tblDaily[EntryDate],DATE(2026,2,2),tblDaily[WardCode],"ICU")),"")</f>
        <v/>
      </c>
      <c r="H47" s="29" t="str">
        <f>IFERROR(IF(SUMIFS(tblDaily[Remaining],tblDaily[EntryDate],DATE(2026,2,2),tblDaily[WardCode],"ICU")=0,"",SUMIFS(tblDaily[Remaining],tblDaily[EntryDate],DATE(2026,2,2),tblDaily[WardCode],"ICU")),"")</f>
        <v/>
      </c>
    </row>
    <row r="48" spans="1:8" x14ac:dyDescent="0.25">
      <c r="A48" s="29">
        <v>3</v>
      </c>
      <c r="B48" s="29" t="str">
        <f>IFERROR(IF(SUMIFS(tblDaily[Admissions],tblDaily[EntryDate],DATE(2026,2,3),tblDaily[WardCode],"ICU")=0,"",SUMIFS(tblDaily[Admissions],tblDaily[EntryDate],DATE(2026,2,3),tblDaily[WardCode],"ICU")),"")</f>
        <v/>
      </c>
      <c r="C48" s="29" t="str">
        <f>IFERROR(IF(SUMIFS(tblDaily[Discharges],tblDaily[EntryDate],DATE(2026,2,3),tblDaily[WardCode],"ICU")=0,"",SUMIFS(tblDaily[Discharges],tblDaily[EntryDate],DATE(2026,2,3),tblDaily[WardCode],"ICU")),"")</f>
        <v/>
      </c>
      <c r="D48" s="29" t="str">
        <f>IFERROR(IF(SUMIFS(tblDaily[Deaths],tblDaily[EntryDate],DATE(2026,2,3),tblDaily[WardCode],"ICU")=0,"",SUMIFS(tblDaily[Deaths],tblDaily[EntryDate],DATE(2026,2,3),tblDaily[WardCode],"ICU")),"")</f>
        <v/>
      </c>
      <c r="E48" s="29" t="str">
        <f>IFERROR(IF(SUMIFS(tblDaily[DeathsUnder24Hrs],tblDaily[EntryDate],DATE(2026,2,3),tblDaily[WardCode],"ICU")=0,"",SUMIFS(tblDaily[DeathsUnder24Hrs],tblDaily[EntryDate],DATE(2026,2,3),tblDaily[WardCode],"ICU")),"")</f>
        <v/>
      </c>
      <c r="F48" s="29" t="str">
        <f>IFERROR(IF(SUMIFS(tblDaily[TransfersIn],tblDaily[EntryDate],DATE(2026,2,3),tblDaily[WardCode],"ICU")=0,"",SUMIFS(tblDaily[TransfersIn],tblDaily[EntryDate],DATE(2026,2,3),tblDaily[WardCode],"ICU")),"")</f>
        <v/>
      </c>
      <c r="G48" s="29" t="str">
        <f>IFERROR(IF(SUMIFS(tblDaily[TransfersOut],tblDaily[EntryDate],DATE(2026,2,3),tblDaily[WardCode],"ICU")=0,"",SUMIFS(tblDaily[TransfersOut],tblDaily[EntryDate],DATE(2026,2,3),tblDaily[WardCode],"ICU")),"")</f>
        <v/>
      </c>
      <c r="H48" s="29" t="str">
        <f>IFERROR(IF(SUMIFS(tblDaily[Remaining],tblDaily[EntryDate],DATE(2026,2,3),tblDaily[WardCode],"ICU")=0,"",SUMIFS(tblDaily[Remaining],tblDaily[EntryDate],DATE(2026,2,3),tblDaily[WardCode],"ICU")),"")</f>
        <v/>
      </c>
    </row>
    <row r="49" spans="1:8" x14ac:dyDescent="0.25">
      <c r="A49" s="29">
        <v>4</v>
      </c>
      <c r="B49" s="29" t="str">
        <f>IFERROR(IF(SUMIFS(tblDaily[Admissions],tblDaily[EntryDate],DATE(2026,2,4),tblDaily[WardCode],"ICU")=0,"",SUMIFS(tblDaily[Admissions],tblDaily[EntryDate],DATE(2026,2,4),tblDaily[WardCode],"ICU")),"")</f>
        <v/>
      </c>
      <c r="C49" s="29" t="str">
        <f>IFERROR(IF(SUMIFS(tblDaily[Discharges],tblDaily[EntryDate],DATE(2026,2,4),tblDaily[WardCode],"ICU")=0,"",SUMIFS(tblDaily[Discharges],tblDaily[EntryDate],DATE(2026,2,4),tblDaily[WardCode],"ICU")),"")</f>
        <v/>
      </c>
      <c r="D49" s="29" t="str">
        <f>IFERROR(IF(SUMIFS(tblDaily[Deaths],tblDaily[EntryDate],DATE(2026,2,4),tblDaily[WardCode],"ICU")=0,"",SUMIFS(tblDaily[Deaths],tblDaily[EntryDate],DATE(2026,2,4),tblDaily[WardCode],"ICU")),"")</f>
        <v/>
      </c>
      <c r="E49" s="29" t="str">
        <f>IFERROR(IF(SUMIFS(tblDaily[DeathsUnder24Hrs],tblDaily[EntryDate],DATE(2026,2,4),tblDaily[WardCode],"ICU")=0,"",SUMIFS(tblDaily[DeathsUnder24Hrs],tblDaily[EntryDate],DATE(2026,2,4),tblDaily[WardCode],"ICU")),"")</f>
        <v/>
      </c>
      <c r="F49" s="29" t="str">
        <f>IFERROR(IF(SUMIFS(tblDaily[TransfersIn],tblDaily[EntryDate],DATE(2026,2,4),tblDaily[WardCode],"ICU")=0,"",SUMIFS(tblDaily[TransfersIn],tblDaily[EntryDate],DATE(2026,2,4),tblDaily[WardCode],"ICU")),"")</f>
        <v/>
      </c>
      <c r="G49" s="29" t="str">
        <f>IFERROR(IF(SUMIFS(tblDaily[TransfersOut],tblDaily[EntryDate],DATE(2026,2,4),tblDaily[WardCode],"ICU")=0,"",SUMIFS(tblDaily[TransfersOut],tblDaily[EntryDate],DATE(2026,2,4),tblDaily[WardCode],"ICU")),"")</f>
        <v/>
      </c>
      <c r="H49" s="29" t="str">
        <f>IFERROR(IF(SUMIFS(tblDaily[Remaining],tblDaily[EntryDate],DATE(2026,2,4),tblDaily[WardCode],"ICU")=0,"",SUMIFS(tblDaily[Remaining],tblDaily[EntryDate],DATE(2026,2,4),tblDaily[WardCode],"ICU")),"")</f>
        <v/>
      </c>
    </row>
    <row r="50" spans="1:8" x14ac:dyDescent="0.25">
      <c r="A50" s="29">
        <v>5</v>
      </c>
      <c r="B50" s="29" t="str">
        <f>IFERROR(IF(SUMIFS(tblDaily[Admissions],tblDaily[EntryDate],DATE(2026,2,5),tblDaily[WardCode],"ICU")=0,"",SUMIFS(tblDaily[Admissions],tblDaily[EntryDate],DATE(2026,2,5),tblDaily[WardCode],"ICU")),"")</f>
        <v/>
      </c>
      <c r="C50" s="29" t="str">
        <f>IFERROR(IF(SUMIFS(tblDaily[Discharges],tblDaily[EntryDate],DATE(2026,2,5),tblDaily[WardCode],"ICU")=0,"",SUMIFS(tblDaily[Discharges],tblDaily[EntryDate],DATE(2026,2,5),tblDaily[WardCode],"ICU")),"")</f>
        <v/>
      </c>
      <c r="D50" s="29" t="str">
        <f>IFERROR(IF(SUMIFS(tblDaily[Deaths],tblDaily[EntryDate],DATE(2026,2,5),tblDaily[WardCode],"ICU")=0,"",SUMIFS(tblDaily[Deaths],tblDaily[EntryDate],DATE(2026,2,5),tblDaily[WardCode],"ICU")),"")</f>
        <v/>
      </c>
      <c r="E50" s="29" t="str">
        <f>IFERROR(IF(SUMIFS(tblDaily[DeathsUnder24Hrs],tblDaily[EntryDate],DATE(2026,2,5),tblDaily[WardCode],"ICU")=0,"",SUMIFS(tblDaily[DeathsUnder24Hrs],tblDaily[EntryDate],DATE(2026,2,5),tblDaily[WardCode],"ICU")),"")</f>
        <v/>
      </c>
      <c r="F50" s="29" t="str">
        <f>IFERROR(IF(SUMIFS(tblDaily[TransfersIn],tblDaily[EntryDate],DATE(2026,2,5),tblDaily[WardCode],"ICU")=0,"",SUMIFS(tblDaily[TransfersIn],tblDaily[EntryDate],DATE(2026,2,5),tblDaily[WardCode],"ICU")),"")</f>
        <v/>
      </c>
      <c r="G50" s="29" t="str">
        <f>IFERROR(IF(SUMIFS(tblDaily[TransfersOut],tblDaily[EntryDate],DATE(2026,2,5),tblDaily[WardCode],"ICU")=0,"",SUMIFS(tblDaily[TransfersOut],tblDaily[EntryDate],DATE(2026,2,5),tblDaily[WardCode],"ICU")),"")</f>
        <v/>
      </c>
      <c r="H50" s="29" t="str">
        <f>IFERROR(IF(SUMIFS(tblDaily[Remaining],tblDaily[EntryDate],DATE(2026,2,5),tblDaily[WardCode],"ICU")=0,"",SUMIFS(tblDaily[Remaining],tblDaily[EntryDate],DATE(2026,2,5),tblDaily[WardCode],"ICU")),"")</f>
        <v/>
      </c>
    </row>
    <row r="51" spans="1:8" x14ac:dyDescent="0.25">
      <c r="A51" s="29">
        <v>6</v>
      </c>
      <c r="B51" s="29" t="str">
        <f>IFERROR(IF(SUMIFS(tblDaily[Admissions],tblDaily[EntryDate],DATE(2026,2,6),tblDaily[WardCode],"ICU")=0,"",SUMIFS(tblDaily[Admissions],tblDaily[EntryDate],DATE(2026,2,6),tblDaily[WardCode],"ICU")),"")</f>
        <v/>
      </c>
      <c r="C51" s="29" t="str">
        <f>IFERROR(IF(SUMIFS(tblDaily[Discharges],tblDaily[EntryDate],DATE(2026,2,6),tblDaily[WardCode],"ICU")=0,"",SUMIFS(tblDaily[Discharges],tblDaily[EntryDate],DATE(2026,2,6),tblDaily[WardCode],"ICU")),"")</f>
        <v/>
      </c>
      <c r="D51" s="29" t="str">
        <f>IFERROR(IF(SUMIFS(tblDaily[Deaths],tblDaily[EntryDate],DATE(2026,2,6),tblDaily[WardCode],"ICU")=0,"",SUMIFS(tblDaily[Deaths],tblDaily[EntryDate],DATE(2026,2,6),tblDaily[WardCode],"ICU")),"")</f>
        <v/>
      </c>
      <c r="E51" s="29" t="str">
        <f>IFERROR(IF(SUMIFS(tblDaily[DeathsUnder24Hrs],tblDaily[EntryDate],DATE(2026,2,6),tblDaily[WardCode],"ICU")=0,"",SUMIFS(tblDaily[DeathsUnder24Hrs],tblDaily[EntryDate],DATE(2026,2,6),tblDaily[WardCode],"ICU")),"")</f>
        <v/>
      </c>
      <c r="F51" s="29" t="str">
        <f>IFERROR(IF(SUMIFS(tblDaily[TransfersIn],tblDaily[EntryDate],DATE(2026,2,6),tblDaily[WardCode],"ICU")=0,"",SUMIFS(tblDaily[TransfersIn],tblDaily[EntryDate],DATE(2026,2,6),tblDaily[WardCode],"ICU")),"")</f>
        <v/>
      </c>
      <c r="G51" s="29" t="str">
        <f>IFERROR(IF(SUMIFS(tblDaily[TransfersOut],tblDaily[EntryDate],DATE(2026,2,6),tblDaily[WardCode],"ICU")=0,"",SUMIFS(tblDaily[TransfersOut],tblDaily[EntryDate],DATE(2026,2,6),tblDaily[WardCode],"ICU")),"")</f>
        <v/>
      </c>
      <c r="H51" s="29" t="str">
        <f>IFERROR(IF(SUMIFS(tblDaily[Remaining],tblDaily[EntryDate],DATE(2026,2,6),tblDaily[WardCode],"ICU")=0,"",SUMIFS(tblDaily[Remaining],tblDaily[EntryDate],DATE(2026,2,6),tblDaily[WardCode],"ICU")),"")</f>
        <v/>
      </c>
    </row>
    <row r="52" spans="1:8" x14ac:dyDescent="0.25">
      <c r="A52" s="29">
        <v>7</v>
      </c>
      <c r="B52" s="29" t="str">
        <f>IFERROR(IF(SUMIFS(tblDaily[Admissions],tblDaily[EntryDate],DATE(2026,2,7),tblDaily[WardCode],"ICU")=0,"",SUMIFS(tblDaily[Admissions],tblDaily[EntryDate],DATE(2026,2,7),tblDaily[WardCode],"ICU")),"")</f>
        <v/>
      </c>
      <c r="C52" s="29" t="str">
        <f>IFERROR(IF(SUMIFS(tblDaily[Discharges],tblDaily[EntryDate],DATE(2026,2,7),tblDaily[WardCode],"ICU")=0,"",SUMIFS(tblDaily[Discharges],tblDaily[EntryDate],DATE(2026,2,7),tblDaily[WardCode],"ICU")),"")</f>
        <v/>
      </c>
      <c r="D52" s="29" t="str">
        <f>IFERROR(IF(SUMIFS(tblDaily[Deaths],tblDaily[EntryDate],DATE(2026,2,7),tblDaily[WardCode],"ICU")=0,"",SUMIFS(tblDaily[Deaths],tblDaily[EntryDate],DATE(2026,2,7),tblDaily[WardCode],"ICU")),"")</f>
        <v/>
      </c>
      <c r="E52" s="29" t="str">
        <f>IFERROR(IF(SUMIFS(tblDaily[DeathsUnder24Hrs],tblDaily[EntryDate],DATE(2026,2,7),tblDaily[WardCode],"ICU")=0,"",SUMIFS(tblDaily[DeathsUnder24Hrs],tblDaily[EntryDate],DATE(2026,2,7),tblDaily[WardCode],"ICU")),"")</f>
        <v/>
      </c>
      <c r="F52" s="29" t="str">
        <f>IFERROR(IF(SUMIFS(tblDaily[TransfersIn],tblDaily[EntryDate],DATE(2026,2,7),tblDaily[WardCode],"ICU")=0,"",SUMIFS(tblDaily[TransfersIn],tblDaily[EntryDate],DATE(2026,2,7),tblDaily[WardCode],"ICU")),"")</f>
        <v/>
      </c>
      <c r="G52" s="29" t="str">
        <f>IFERROR(IF(SUMIFS(tblDaily[TransfersOut],tblDaily[EntryDate],DATE(2026,2,7),tblDaily[WardCode],"ICU")=0,"",SUMIFS(tblDaily[TransfersOut],tblDaily[EntryDate],DATE(2026,2,7),tblDaily[WardCode],"ICU")),"")</f>
        <v/>
      </c>
      <c r="H52" s="29" t="str">
        <f>IFERROR(IF(SUMIFS(tblDaily[Remaining],tblDaily[EntryDate],DATE(2026,2,7),tblDaily[WardCode],"ICU")=0,"",SUMIFS(tblDaily[Remaining],tblDaily[EntryDate],DATE(2026,2,7),tblDaily[WardCode],"ICU")),"")</f>
        <v/>
      </c>
    </row>
    <row r="53" spans="1:8" x14ac:dyDescent="0.25">
      <c r="A53" s="29">
        <v>8</v>
      </c>
      <c r="B53" s="29" t="str">
        <f>IFERROR(IF(SUMIFS(tblDaily[Admissions],tblDaily[EntryDate],DATE(2026,2,8),tblDaily[WardCode],"ICU")=0,"",SUMIFS(tblDaily[Admissions],tblDaily[EntryDate],DATE(2026,2,8),tblDaily[WardCode],"ICU")),"")</f>
        <v/>
      </c>
      <c r="C53" s="29" t="str">
        <f>IFERROR(IF(SUMIFS(tblDaily[Discharges],tblDaily[EntryDate],DATE(2026,2,8),tblDaily[WardCode],"ICU")=0,"",SUMIFS(tblDaily[Discharges],tblDaily[EntryDate],DATE(2026,2,8),tblDaily[WardCode],"ICU")),"")</f>
        <v/>
      </c>
      <c r="D53" s="29" t="str">
        <f>IFERROR(IF(SUMIFS(tblDaily[Deaths],tblDaily[EntryDate],DATE(2026,2,8),tblDaily[WardCode],"ICU")=0,"",SUMIFS(tblDaily[Deaths],tblDaily[EntryDate],DATE(2026,2,8),tblDaily[WardCode],"ICU")),"")</f>
        <v/>
      </c>
      <c r="E53" s="29" t="str">
        <f>IFERROR(IF(SUMIFS(tblDaily[DeathsUnder24Hrs],tblDaily[EntryDate],DATE(2026,2,8),tblDaily[WardCode],"ICU")=0,"",SUMIFS(tblDaily[DeathsUnder24Hrs],tblDaily[EntryDate],DATE(2026,2,8),tblDaily[WardCode],"ICU")),"")</f>
        <v/>
      </c>
      <c r="F53" s="29" t="str">
        <f>IFERROR(IF(SUMIFS(tblDaily[TransfersIn],tblDaily[EntryDate],DATE(2026,2,8),tblDaily[WardCode],"ICU")=0,"",SUMIFS(tblDaily[TransfersIn],tblDaily[EntryDate],DATE(2026,2,8),tblDaily[WardCode],"ICU")),"")</f>
        <v/>
      </c>
      <c r="G53" s="29" t="str">
        <f>IFERROR(IF(SUMIFS(tblDaily[TransfersOut],tblDaily[EntryDate],DATE(2026,2,8),tblDaily[WardCode],"ICU")=0,"",SUMIFS(tblDaily[TransfersOut],tblDaily[EntryDate],DATE(2026,2,8),tblDaily[WardCode],"ICU")),"")</f>
        <v/>
      </c>
      <c r="H53" s="29" t="str">
        <f>IFERROR(IF(SUMIFS(tblDaily[Remaining],tblDaily[EntryDate],DATE(2026,2,8),tblDaily[WardCode],"ICU")=0,"",SUMIFS(tblDaily[Remaining],tblDaily[EntryDate],DATE(2026,2,8),tblDaily[WardCode],"ICU")),"")</f>
        <v/>
      </c>
    </row>
    <row r="54" spans="1:8" x14ac:dyDescent="0.25">
      <c r="A54" s="29">
        <v>9</v>
      </c>
      <c r="B54" s="29" t="str">
        <f>IFERROR(IF(SUMIFS(tblDaily[Admissions],tblDaily[EntryDate],DATE(2026,2,9),tblDaily[WardCode],"ICU")=0,"",SUMIFS(tblDaily[Admissions],tblDaily[EntryDate],DATE(2026,2,9),tblDaily[WardCode],"ICU")),"")</f>
        <v/>
      </c>
      <c r="C54" s="29" t="str">
        <f>IFERROR(IF(SUMIFS(tblDaily[Discharges],tblDaily[EntryDate],DATE(2026,2,9),tblDaily[WardCode],"ICU")=0,"",SUMIFS(tblDaily[Discharges],tblDaily[EntryDate],DATE(2026,2,9),tblDaily[WardCode],"ICU")),"")</f>
        <v/>
      </c>
      <c r="D54" s="29" t="str">
        <f>IFERROR(IF(SUMIFS(tblDaily[Deaths],tblDaily[EntryDate],DATE(2026,2,9),tblDaily[WardCode],"ICU")=0,"",SUMIFS(tblDaily[Deaths],tblDaily[EntryDate],DATE(2026,2,9),tblDaily[WardCode],"ICU")),"")</f>
        <v/>
      </c>
      <c r="E54" s="29" t="str">
        <f>IFERROR(IF(SUMIFS(tblDaily[DeathsUnder24Hrs],tblDaily[EntryDate],DATE(2026,2,9),tblDaily[WardCode],"ICU")=0,"",SUMIFS(tblDaily[DeathsUnder24Hrs],tblDaily[EntryDate],DATE(2026,2,9),tblDaily[WardCode],"ICU")),"")</f>
        <v/>
      </c>
      <c r="F54" s="29" t="str">
        <f>IFERROR(IF(SUMIFS(tblDaily[TransfersIn],tblDaily[EntryDate],DATE(2026,2,9),tblDaily[WardCode],"ICU")=0,"",SUMIFS(tblDaily[TransfersIn],tblDaily[EntryDate],DATE(2026,2,9),tblDaily[WardCode],"ICU")),"")</f>
        <v/>
      </c>
      <c r="G54" s="29" t="str">
        <f>IFERROR(IF(SUMIFS(tblDaily[TransfersOut],tblDaily[EntryDate],DATE(2026,2,9),tblDaily[WardCode],"ICU")=0,"",SUMIFS(tblDaily[TransfersOut],tblDaily[EntryDate],DATE(2026,2,9),tblDaily[WardCode],"ICU")),"")</f>
        <v/>
      </c>
      <c r="H54" s="29" t="str">
        <f>IFERROR(IF(SUMIFS(tblDaily[Remaining],tblDaily[EntryDate],DATE(2026,2,9),tblDaily[WardCode],"ICU")=0,"",SUMIFS(tblDaily[Remaining],tblDaily[EntryDate],DATE(2026,2,9),tblDaily[WardCode],"ICU")),"")</f>
        <v/>
      </c>
    </row>
    <row r="55" spans="1:8" x14ac:dyDescent="0.25">
      <c r="A55" s="29">
        <v>10</v>
      </c>
      <c r="B55" s="29" t="str">
        <f>IFERROR(IF(SUMIFS(tblDaily[Admissions],tblDaily[EntryDate],DATE(2026,2,10),tblDaily[WardCode],"ICU")=0,"",SUMIFS(tblDaily[Admissions],tblDaily[EntryDate],DATE(2026,2,10),tblDaily[WardCode],"ICU")),"")</f>
        <v/>
      </c>
      <c r="C55" s="29" t="str">
        <f>IFERROR(IF(SUMIFS(tblDaily[Discharges],tblDaily[EntryDate],DATE(2026,2,10),tblDaily[WardCode],"ICU")=0,"",SUMIFS(tblDaily[Discharges],tblDaily[EntryDate],DATE(2026,2,10),tblDaily[WardCode],"ICU")),"")</f>
        <v/>
      </c>
      <c r="D55" s="29" t="str">
        <f>IFERROR(IF(SUMIFS(tblDaily[Deaths],tblDaily[EntryDate],DATE(2026,2,10),tblDaily[WardCode],"ICU")=0,"",SUMIFS(tblDaily[Deaths],tblDaily[EntryDate],DATE(2026,2,10),tblDaily[WardCode],"ICU")),"")</f>
        <v/>
      </c>
      <c r="E55" s="29" t="str">
        <f>IFERROR(IF(SUMIFS(tblDaily[DeathsUnder24Hrs],tblDaily[EntryDate],DATE(2026,2,10),tblDaily[WardCode],"ICU")=0,"",SUMIFS(tblDaily[DeathsUnder24Hrs],tblDaily[EntryDate],DATE(2026,2,10),tblDaily[WardCode],"ICU")),"")</f>
        <v/>
      </c>
      <c r="F55" s="29" t="str">
        <f>IFERROR(IF(SUMIFS(tblDaily[TransfersIn],tblDaily[EntryDate],DATE(2026,2,10),tblDaily[WardCode],"ICU")=0,"",SUMIFS(tblDaily[TransfersIn],tblDaily[EntryDate],DATE(2026,2,10),tblDaily[WardCode],"ICU")),"")</f>
        <v/>
      </c>
      <c r="G55" s="29" t="str">
        <f>IFERROR(IF(SUMIFS(tblDaily[TransfersOut],tblDaily[EntryDate],DATE(2026,2,10),tblDaily[WardCode],"ICU")=0,"",SUMIFS(tblDaily[TransfersOut],tblDaily[EntryDate],DATE(2026,2,10),tblDaily[WardCode],"ICU")),"")</f>
        <v/>
      </c>
      <c r="H55" s="29" t="str">
        <f>IFERROR(IF(SUMIFS(tblDaily[Remaining],tblDaily[EntryDate],DATE(2026,2,10),tblDaily[WardCode],"ICU")=0,"",SUMIFS(tblDaily[Remaining],tblDaily[EntryDate],DATE(2026,2,10),tblDaily[WardCode],"ICU")),"")</f>
        <v/>
      </c>
    </row>
    <row r="56" spans="1:8" x14ac:dyDescent="0.25">
      <c r="A56" s="29">
        <v>11</v>
      </c>
      <c r="B56" s="29" t="str">
        <f>IFERROR(IF(SUMIFS(tblDaily[Admissions],tblDaily[EntryDate],DATE(2026,2,11),tblDaily[WardCode],"ICU")=0,"",SUMIFS(tblDaily[Admissions],tblDaily[EntryDate],DATE(2026,2,11),tblDaily[WardCode],"ICU")),"")</f>
        <v/>
      </c>
      <c r="C56" s="29" t="str">
        <f>IFERROR(IF(SUMIFS(tblDaily[Discharges],tblDaily[EntryDate],DATE(2026,2,11),tblDaily[WardCode],"ICU")=0,"",SUMIFS(tblDaily[Discharges],tblDaily[EntryDate],DATE(2026,2,11),tblDaily[WardCode],"ICU")),"")</f>
        <v/>
      </c>
      <c r="D56" s="29" t="str">
        <f>IFERROR(IF(SUMIFS(tblDaily[Deaths],tblDaily[EntryDate],DATE(2026,2,11),tblDaily[WardCode],"ICU")=0,"",SUMIFS(tblDaily[Deaths],tblDaily[EntryDate],DATE(2026,2,11),tblDaily[WardCode],"ICU")),"")</f>
        <v/>
      </c>
      <c r="E56" s="29" t="str">
        <f>IFERROR(IF(SUMIFS(tblDaily[DeathsUnder24Hrs],tblDaily[EntryDate],DATE(2026,2,11),tblDaily[WardCode],"ICU")=0,"",SUMIFS(tblDaily[DeathsUnder24Hrs],tblDaily[EntryDate],DATE(2026,2,11),tblDaily[WardCode],"ICU")),"")</f>
        <v/>
      </c>
      <c r="F56" s="29" t="str">
        <f>IFERROR(IF(SUMIFS(tblDaily[TransfersIn],tblDaily[EntryDate],DATE(2026,2,11),tblDaily[WardCode],"ICU")=0,"",SUMIFS(tblDaily[TransfersIn],tblDaily[EntryDate],DATE(2026,2,11),tblDaily[WardCode],"ICU")),"")</f>
        <v/>
      </c>
      <c r="G56" s="29" t="str">
        <f>IFERROR(IF(SUMIFS(tblDaily[TransfersOut],tblDaily[EntryDate],DATE(2026,2,11),tblDaily[WardCode],"ICU")=0,"",SUMIFS(tblDaily[TransfersOut],tblDaily[EntryDate],DATE(2026,2,11),tblDaily[WardCode],"ICU")),"")</f>
        <v/>
      </c>
      <c r="H56" s="29" t="str">
        <f>IFERROR(IF(SUMIFS(tblDaily[Remaining],tblDaily[EntryDate],DATE(2026,2,11),tblDaily[WardCode],"ICU")=0,"",SUMIFS(tblDaily[Remaining],tblDaily[EntryDate],DATE(2026,2,11),tblDaily[WardCode],"ICU")),"")</f>
        <v/>
      </c>
    </row>
    <row r="57" spans="1:8" x14ac:dyDescent="0.25">
      <c r="A57" s="29">
        <v>12</v>
      </c>
      <c r="B57" s="29" t="str">
        <f>IFERROR(IF(SUMIFS(tblDaily[Admissions],tblDaily[EntryDate],DATE(2026,2,12),tblDaily[WardCode],"ICU")=0,"",SUMIFS(tblDaily[Admissions],tblDaily[EntryDate],DATE(2026,2,12),tblDaily[WardCode],"ICU")),"")</f>
        <v/>
      </c>
      <c r="C57" s="29" t="str">
        <f>IFERROR(IF(SUMIFS(tblDaily[Discharges],tblDaily[EntryDate],DATE(2026,2,12),tblDaily[WardCode],"ICU")=0,"",SUMIFS(tblDaily[Discharges],tblDaily[EntryDate],DATE(2026,2,12),tblDaily[WardCode],"ICU")),"")</f>
        <v/>
      </c>
      <c r="D57" s="29" t="str">
        <f>IFERROR(IF(SUMIFS(tblDaily[Deaths],tblDaily[EntryDate],DATE(2026,2,12),tblDaily[WardCode],"ICU")=0,"",SUMIFS(tblDaily[Deaths],tblDaily[EntryDate],DATE(2026,2,12),tblDaily[WardCode],"ICU")),"")</f>
        <v/>
      </c>
      <c r="E57" s="29" t="str">
        <f>IFERROR(IF(SUMIFS(tblDaily[DeathsUnder24Hrs],tblDaily[EntryDate],DATE(2026,2,12),tblDaily[WardCode],"ICU")=0,"",SUMIFS(tblDaily[DeathsUnder24Hrs],tblDaily[EntryDate],DATE(2026,2,12),tblDaily[WardCode],"ICU")),"")</f>
        <v/>
      </c>
      <c r="F57" s="29" t="str">
        <f>IFERROR(IF(SUMIFS(tblDaily[TransfersIn],tblDaily[EntryDate],DATE(2026,2,12),tblDaily[WardCode],"ICU")=0,"",SUMIFS(tblDaily[TransfersIn],tblDaily[EntryDate],DATE(2026,2,12),tblDaily[WardCode],"ICU")),"")</f>
        <v/>
      </c>
      <c r="G57" s="29" t="str">
        <f>IFERROR(IF(SUMIFS(tblDaily[TransfersOut],tblDaily[EntryDate],DATE(2026,2,12),tblDaily[WardCode],"ICU")=0,"",SUMIFS(tblDaily[TransfersOut],tblDaily[EntryDate],DATE(2026,2,12),tblDaily[WardCode],"ICU")),"")</f>
        <v/>
      </c>
      <c r="H57" s="29" t="str">
        <f>IFERROR(IF(SUMIFS(tblDaily[Remaining],tblDaily[EntryDate],DATE(2026,2,12),tblDaily[WardCode],"ICU")=0,"",SUMIFS(tblDaily[Remaining],tblDaily[EntryDate],DATE(2026,2,12),tblDaily[WardCode],"ICU")),"")</f>
        <v/>
      </c>
    </row>
    <row r="58" spans="1:8" x14ac:dyDescent="0.25">
      <c r="A58" s="29">
        <v>13</v>
      </c>
      <c r="B58" s="29" t="str">
        <f>IFERROR(IF(SUMIFS(tblDaily[Admissions],tblDaily[EntryDate],DATE(2026,2,13),tblDaily[WardCode],"ICU")=0,"",SUMIFS(tblDaily[Admissions],tblDaily[EntryDate],DATE(2026,2,13),tblDaily[WardCode],"ICU")),"")</f>
        <v/>
      </c>
      <c r="C58" s="29" t="str">
        <f>IFERROR(IF(SUMIFS(tblDaily[Discharges],tblDaily[EntryDate],DATE(2026,2,13),tblDaily[WardCode],"ICU")=0,"",SUMIFS(tblDaily[Discharges],tblDaily[EntryDate],DATE(2026,2,13),tblDaily[WardCode],"ICU")),"")</f>
        <v/>
      </c>
      <c r="D58" s="29" t="str">
        <f>IFERROR(IF(SUMIFS(tblDaily[Deaths],tblDaily[EntryDate],DATE(2026,2,13),tblDaily[WardCode],"ICU")=0,"",SUMIFS(tblDaily[Deaths],tblDaily[EntryDate],DATE(2026,2,13),tblDaily[WardCode],"ICU")),"")</f>
        <v/>
      </c>
      <c r="E58" s="29" t="str">
        <f>IFERROR(IF(SUMIFS(tblDaily[DeathsUnder24Hrs],tblDaily[EntryDate],DATE(2026,2,13),tblDaily[WardCode],"ICU")=0,"",SUMIFS(tblDaily[DeathsUnder24Hrs],tblDaily[EntryDate],DATE(2026,2,13),tblDaily[WardCode],"ICU")),"")</f>
        <v/>
      </c>
      <c r="F58" s="29" t="str">
        <f>IFERROR(IF(SUMIFS(tblDaily[TransfersIn],tblDaily[EntryDate],DATE(2026,2,13),tblDaily[WardCode],"ICU")=0,"",SUMIFS(tblDaily[TransfersIn],tblDaily[EntryDate],DATE(2026,2,13),tblDaily[WardCode],"ICU")),"")</f>
        <v/>
      </c>
      <c r="G58" s="29" t="str">
        <f>IFERROR(IF(SUMIFS(tblDaily[TransfersOut],tblDaily[EntryDate],DATE(2026,2,13),tblDaily[WardCode],"ICU")=0,"",SUMIFS(tblDaily[TransfersOut],tblDaily[EntryDate],DATE(2026,2,13),tblDaily[WardCode],"ICU")),"")</f>
        <v/>
      </c>
      <c r="H58" s="29" t="str">
        <f>IFERROR(IF(SUMIFS(tblDaily[Remaining],tblDaily[EntryDate],DATE(2026,2,13),tblDaily[WardCode],"ICU")=0,"",SUMIFS(tblDaily[Remaining],tblDaily[EntryDate],DATE(2026,2,13),tblDaily[WardCode],"ICU")),"")</f>
        <v/>
      </c>
    </row>
    <row r="59" spans="1:8" x14ac:dyDescent="0.25">
      <c r="A59" s="29">
        <v>14</v>
      </c>
      <c r="B59" s="29" t="str">
        <f>IFERROR(IF(SUMIFS(tblDaily[Admissions],tblDaily[EntryDate],DATE(2026,2,14),tblDaily[WardCode],"ICU")=0,"",SUMIFS(tblDaily[Admissions],tblDaily[EntryDate],DATE(2026,2,14),tblDaily[WardCode],"ICU")),"")</f>
        <v/>
      </c>
      <c r="C59" s="29" t="str">
        <f>IFERROR(IF(SUMIFS(tblDaily[Discharges],tblDaily[EntryDate],DATE(2026,2,14),tblDaily[WardCode],"ICU")=0,"",SUMIFS(tblDaily[Discharges],tblDaily[EntryDate],DATE(2026,2,14),tblDaily[WardCode],"ICU")),"")</f>
        <v/>
      </c>
      <c r="D59" s="29" t="str">
        <f>IFERROR(IF(SUMIFS(tblDaily[Deaths],tblDaily[EntryDate],DATE(2026,2,14),tblDaily[WardCode],"ICU")=0,"",SUMIFS(tblDaily[Deaths],tblDaily[EntryDate],DATE(2026,2,14),tblDaily[WardCode],"ICU")),"")</f>
        <v/>
      </c>
      <c r="E59" s="29" t="str">
        <f>IFERROR(IF(SUMIFS(tblDaily[DeathsUnder24Hrs],tblDaily[EntryDate],DATE(2026,2,14),tblDaily[WardCode],"ICU")=0,"",SUMIFS(tblDaily[DeathsUnder24Hrs],tblDaily[EntryDate],DATE(2026,2,14),tblDaily[WardCode],"ICU")),"")</f>
        <v/>
      </c>
      <c r="F59" s="29" t="str">
        <f>IFERROR(IF(SUMIFS(tblDaily[TransfersIn],tblDaily[EntryDate],DATE(2026,2,14),tblDaily[WardCode],"ICU")=0,"",SUMIFS(tblDaily[TransfersIn],tblDaily[EntryDate],DATE(2026,2,14),tblDaily[WardCode],"ICU")),"")</f>
        <v/>
      </c>
      <c r="G59" s="29" t="str">
        <f>IFERROR(IF(SUMIFS(tblDaily[TransfersOut],tblDaily[EntryDate],DATE(2026,2,14),tblDaily[WardCode],"ICU")=0,"",SUMIFS(tblDaily[TransfersOut],tblDaily[EntryDate],DATE(2026,2,14),tblDaily[WardCode],"ICU")),"")</f>
        <v/>
      </c>
      <c r="H59" s="29" t="str">
        <f>IFERROR(IF(SUMIFS(tblDaily[Remaining],tblDaily[EntryDate],DATE(2026,2,14),tblDaily[WardCode],"ICU")=0,"",SUMIFS(tblDaily[Remaining],tblDaily[EntryDate],DATE(2026,2,14),tblDaily[WardCode],"ICU")),"")</f>
        <v/>
      </c>
    </row>
    <row r="60" spans="1:8" x14ac:dyDescent="0.25">
      <c r="A60" s="29">
        <v>15</v>
      </c>
      <c r="B60" s="29" t="str">
        <f>IFERROR(IF(SUMIFS(tblDaily[Admissions],tblDaily[EntryDate],DATE(2026,2,15),tblDaily[WardCode],"ICU")=0,"",SUMIFS(tblDaily[Admissions],tblDaily[EntryDate],DATE(2026,2,15),tblDaily[WardCode],"ICU")),"")</f>
        <v/>
      </c>
      <c r="C60" s="29" t="str">
        <f>IFERROR(IF(SUMIFS(tblDaily[Discharges],tblDaily[EntryDate],DATE(2026,2,15),tblDaily[WardCode],"ICU")=0,"",SUMIFS(tblDaily[Discharges],tblDaily[EntryDate],DATE(2026,2,15),tblDaily[WardCode],"ICU")),"")</f>
        <v/>
      </c>
      <c r="D60" s="29" t="str">
        <f>IFERROR(IF(SUMIFS(tblDaily[Deaths],tblDaily[EntryDate],DATE(2026,2,15),tblDaily[WardCode],"ICU")=0,"",SUMIFS(tblDaily[Deaths],tblDaily[EntryDate],DATE(2026,2,15),tblDaily[WardCode],"ICU")),"")</f>
        <v/>
      </c>
      <c r="E60" s="29" t="str">
        <f>IFERROR(IF(SUMIFS(tblDaily[DeathsUnder24Hrs],tblDaily[EntryDate],DATE(2026,2,15),tblDaily[WardCode],"ICU")=0,"",SUMIFS(tblDaily[DeathsUnder24Hrs],tblDaily[EntryDate],DATE(2026,2,15),tblDaily[WardCode],"ICU")),"")</f>
        <v/>
      </c>
      <c r="F60" s="29" t="str">
        <f>IFERROR(IF(SUMIFS(tblDaily[TransfersIn],tblDaily[EntryDate],DATE(2026,2,15),tblDaily[WardCode],"ICU")=0,"",SUMIFS(tblDaily[TransfersIn],tblDaily[EntryDate],DATE(2026,2,15),tblDaily[WardCode],"ICU")),"")</f>
        <v/>
      </c>
      <c r="G60" s="29" t="str">
        <f>IFERROR(IF(SUMIFS(tblDaily[TransfersOut],tblDaily[EntryDate],DATE(2026,2,15),tblDaily[WardCode],"ICU")=0,"",SUMIFS(tblDaily[TransfersOut],tblDaily[EntryDate],DATE(2026,2,15),tblDaily[WardCode],"ICU")),"")</f>
        <v/>
      </c>
      <c r="H60" s="29" t="str">
        <f>IFERROR(IF(SUMIFS(tblDaily[Remaining],tblDaily[EntryDate],DATE(2026,2,15),tblDaily[WardCode],"ICU")=0,"",SUMIFS(tblDaily[Remaining],tblDaily[EntryDate],DATE(2026,2,15),tblDaily[WardCode],"ICU")),"")</f>
        <v/>
      </c>
    </row>
    <row r="61" spans="1:8" x14ac:dyDescent="0.25">
      <c r="A61" s="29">
        <v>16</v>
      </c>
      <c r="B61" s="29" t="str">
        <f>IFERROR(IF(SUMIFS(tblDaily[Admissions],tblDaily[EntryDate],DATE(2026,2,16),tblDaily[WardCode],"ICU")=0,"",SUMIFS(tblDaily[Admissions],tblDaily[EntryDate],DATE(2026,2,16),tblDaily[WardCode],"ICU")),"")</f>
        <v/>
      </c>
      <c r="C61" s="29" t="str">
        <f>IFERROR(IF(SUMIFS(tblDaily[Discharges],tblDaily[EntryDate],DATE(2026,2,16),tblDaily[WardCode],"ICU")=0,"",SUMIFS(tblDaily[Discharges],tblDaily[EntryDate],DATE(2026,2,16),tblDaily[WardCode],"ICU")),"")</f>
        <v/>
      </c>
      <c r="D61" s="29" t="str">
        <f>IFERROR(IF(SUMIFS(tblDaily[Deaths],tblDaily[EntryDate],DATE(2026,2,16),tblDaily[WardCode],"ICU")=0,"",SUMIFS(tblDaily[Deaths],tblDaily[EntryDate],DATE(2026,2,16),tblDaily[WardCode],"ICU")),"")</f>
        <v/>
      </c>
      <c r="E61" s="29" t="str">
        <f>IFERROR(IF(SUMIFS(tblDaily[DeathsUnder24Hrs],tblDaily[EntryDate],DATE(2026,2,16),tblDaily[WardCode],"ICU")=0,"",SUMIFS(tblDaily[DeathsUnder24Hrs],tblDaily[EntryDate],DATE(2026,2,16),tblDaily[WardCode],"ICU")),"")</f>
        <v/>
      </c>
      <c r="F61" s="29" t="str">
        <f>IFERROR(IF(SUMIFS(tblDaily[TransfersIn],tblDaily[EntryDate],DATE(2026,2,16),tblDaily[WardCode],"ICU")=0,"",SUMIFS(tblDaily[TransfersIn],tblDaily[EntryDate],DATE(2026,2,16),tblDaily[WardCode],"ICU")),"")</f>
        <v/>
      </c>
      <c r="G61" s="29" t="str">
        <f>IFERROR(IF(SUMIFS(tblDaily[TransfersOut],tblDaily[EntryDate],DATE(2026,2,16),tblDaily[WardCode],"ICU")=0,"",SUMIFS(tblDaily[TransfersOut],tblDaily[EntryDate],DATE(2026,2,16),tblDaily[WardCode],"ICU")),"")</f>
        <v/>
      </c>
      <c r="H61" s="29" t="str">
        <f>IFERROR(IF(SUMIFS(tblDaily[Remaining],tblDaily[EntryDate],DATE(2026,2,16),tblDaily[WardCode],"ICU")=0,"",SUMIFS(tblDaily[Remaining],tblDaily[EntryDate],DATE(2026,2,16),tblDaily[WardCode],"ICU")),"")</f>
        <v/>
      </c>
    </row>
    <row r="62" spans="1:8" x14ac:dyDescent="0.25">
      <c r="A62" s="29">
        <v>17</v>
      </c>
      <c r="B62" s="29" t="str">
        <f>IFERROR(IF(SUMIFS(tblDaily[Admissions],tblDaily[EntryDate],DATE(2026,2,17),tblDaily[WardCode],"ICU")=0,"",SUMIFS(tblDaily[Admissions],tblDaily[EntryDate],DATE(2026,2,17),tblDaily[WardCode],"ICU")),"")</f>
        <v/>
      </c>
      <c r="C62" s="29" t="str">
        <f>IFERROR(IF(SUMIFS(tblDaily[Discharges],tblDaily[EntryDate],DATE(2026,2,17),tblDaily[WardCode],"ICU")=0,"",SUMIFS(tblDaily[Discharges],tblDaily[EntryDate],DATE(2026,2,17),tblDaily[WardCode],"ICU")),"")</f>
        <v/>
      </c>
      <c r="D62" s="29" t="str">
        <f>IFERROR(IF(SUMIFS(tblDaily[Deaths],tblDaily[EntryDate],DATE(2026,2,17),tblDaily[WardCode],"ICU")=0,"",SUMIFS(tblDaily[Deaths],tblDaily[EntryDate],DATE(2026,2,17),tblDaily[WardCode],"ICU")),"")</f>
        <v/>
      </c>
      <c r="E62" s="29" t="str">
        <f>IFERROR(IF(SUMIFS(tblDaily[DeathsUnder24Hrs],tblDaily[EntryDate],DATE(2026,2,17),tblDaily[WardCode],"ICU")=0,"",SUMIFS(tblDaily[DeathsUnder24Hrs],tblDaily[EntryDate],DATE(2026,2,17),tblDaily[WardCode],"ICU")),"")</f>
        <v/>
      </c>
      <c r="F62" s="29" t="str">
        <f>IFERROR(IF(SUMIFS(tblDaily[TransfersIn],tblDaily[EntryDate],DATE(2026,2,17),tblDaily[WardCode],"ICU")=0,"",SUMIFS(tblDaily[TransfersIn],tblDaily[EntryDate],DATE(2026,2,17),tblDaily[WardCode],"ICU")),"")</f>
        <v/>
      </c>
      <c r="G62" s="29" t="str">
        <f>IFERROR(IF(SUMIFS(tblDaily[TransfersOut],tblDaily[EntryDate],DATE(2026,2,17),tblDaily[WardCode],"ICU")=0,"",SUMIFS(tblDaily[TransfersOut],tblDaily[EntryDate],DATE(2026,2,17),tblDaily[WardCode],"ICU")),"")</f>
        <v/>
      </c>
      <c r="H62" s="29" t="str">
        <f>IFERROR(IF(SUMIFS(tblDaily[Remaining],tblDaily[EntryDate],DATE(2026,2,17),tblDaily[WardCode],"ICU")=0,"",SUMIFS(tblDaily[Remaining],tblDaily[EntryDate],DATE(2026,2,17),tblDaily[WardCode],"ICU")),"")</f>
        <v/>
      </c>
    </row>
    <row r="63" spans="1:8" x14ac:dyDescent="0.25">
      <c r="A63" s="29">
        <v>18</v>
      </c>
      <c r="B63" s="29" t="str">
        <f>IFERROR(IF(SUMIFS(tblDaily[Admissions],tblDaily[EntryDate],DATE(2026,2,18),tblDaily[WardCode],"ICU")=0,"",SUMIFS(tblDaily[Admissions],tblDaily[EntryDate],DATE(2026,2,18),tblDaily[WardCode],"ICU")),"")</f>
        <v/>
      </c>
      <c r="C63" s="29" t="str">
        <f>IFERROR(IF(SUMIFS(tblDaily[Discharges],tblDaily[EntryDate],DATE(2026,2,18),tblDaily[WardCode],"ICU")=0,"",SUMIFS(tblDaily[Discharges],tblDaily[EntryDate],DATE(2026,2,18),tblDaily[WardCode],"ICU")),"")</f>
        <v/>
      </c>
      <c r="D63" s="29" t="str">
        <f>IFERROR(IF(SUMIFS(tblDaily[Deaths],tblDaily[EntryDate],DATE(2026,2,18),tblDaily[WardCode],"ICU")=0,"",SUMIFS(tblDaily[Deaths],tblDaily[EntryDate],DATE(2026,2,18),tblDaily[WardCode],"ICU")),"")</f>
        <v/>
      </c>
      <c r="E63" s="29" t="str">
        <f>IFERROR(IF(SUMIFS(tblDaily[DeathsUnder24Hrs],tblDaily[EntryDate],DATE(2026,2,18),tblDaily[WardCode],"ICU")=0,"",SUMIFS(tblDaily[DeathsUnder24Hrs],tblDaily[EntryDate],DATE(2026,2,18),tblDaily[WardCode],"ICU")),"")</f>
        <v/>
      </c>
      <c r="F63" s="29" t="str">
        <f>IFERROR(IF(SUMIFS(tblDaily[TransfersIn],tblDaily[EntryDate],DATE(2026,2,18),tblDaily[WardCode],"ICU")=0,"",SUMIFS(tblDaily[TransfersIn],tblDaily[EntryDate],DATE(2026,2,18),tblDaily[WardCode],"ICU")),"")</f>
        <v/>
      </c>
      <c r="G63" s="29" t="str">
        <f>IFERROR(IF(SUMIFS(tblDaily[TransfersOut],tblDaily[EntryDate],DATE(2026,2,18),tblDaily[WardCode],"ICU")=0,"",SUMIFS(tblDaily[TransfersOut],tblDaily[EntryDate],DATE(2026,2,18),tblDaily[WardCode],"ICU")),"")</f>
        <v/>
      </c>
      <c r="H63" s="29" t="str">
        <f>IFERROR(IF(SUMIFS(tblDaily[Remaining],tblDaily[EntryDate],DATE(2026,2,18),tblDaily[WardCode],"ICU")=0,"",SUMIFS(tblDaily[Remaining],tblDaily[EntryDate],DATE(2026,2,18),tblDaily[WardCode],"ICU")),"")</f>
        <v/>
      </c>
    </row>
    <row r="64" spans="1:8" x14ac:dyDescent="0.25">
      <c r="A64" s="29">
        <v>19</v>
      </c>
      <c r="B64" s="29" t="str">
        <f>IFERROR(IF(SUMIFS(tblDaily[Admissions],tblDaily[EntryDate],DATE(2026,2,19),tblDaily[WardCode],"ICU")=0,"",SUMIFS(tblDaily[Admissions],tblDaily[EntryDate],DATE(2026,2,19),tblDaily[WardCode],"ICU")),"")</f>
        <v/>
      </c>
      <c r="C64" s="29" t="str">
        <f>IFERROR(IF(SUMIFS(tblDaily[Discharges],tblDaily[EntryDate],DATE(2026,2,19),tblDaily[WardCode],"ICU")=0,"",SUMIFS(tblDaily[Discharges],tblDaily[EntryDate],DATE(2026,2,19),tblDaily[WardCode],"ICU")),"")</f>
        <v/>
      </c>
      <c r="D64" s="29" t="str">
        <f>IFERROR(IF(SUMIFS(tblDaily[Deaths],tblDaily[EntryDate],DATE(2026,2,19),tblDaily[WardCode],"ICU")=0,"",SUMIFS(tblDaily[Deaths],tblDaily[EntryDate],DATE(2026,2,19),tblDaily[WardCode],"ICU")),"")</f>
        <v/>
      </c>
      <c r="E64" s="29" t="str">
        <f>IFERROR(IF(SUMIFS(tblDaily[DeathsUnder24Hrs],tblDaily[EntryDate],DATE(2026,2,19),tblDaily[WardCode],"ICU")=0,"",SUMIFS(tblDaily[DeathsUnder24Hrs],tblDaily[EntryDate],DATE(2026,2,19),tblDaily[WardCode],"ICU")),"")</f>
        <v/>
      </c>
      <c r="F64" s="29" t="str">
        <f>IFERROR(IF(SUMIFS(tblDaily[TransfersIn],tblDaily[EntryDate],DATE(2026,2,19),tblDaily[WardCode],"ICU")=0,"",SUMIFS(tblDaily[TransfersIn],tblDaily[EntryDate],DATE(2026,2,19),tblDaily[WardCode],"ICU")),"")</f>
        <v/>
      </c>
      <c r="G64" s="29" t="str">
        <f>IFERROR(IF(SUMIFS(tblDaily[TransfersOut],tblDaily[EntryDate],DATE(2026,2,19),tblDaily[WardCode],"ICU")=0,"",SUMIFS(tblDaily[TransfersOut],tblDaily[EntryDate],DATE(2026,2,19),tblDaily[WardCode],"ICU")),"")</f>
        <v/>
      </c>
      <c r="H64" s="29" t="str">
        <f>IFERROR(IF(SUMIFS(tblDaily[Remaining],tblDaily[EntryDate],DATE(2026,2,19),tblDaily[WardCode],"ICU")=0,"",SUMIFS(tblDaily[Remaining],tblDaily[EntryDate],DATE(2026,2,19),tblDaily[WardCode],"ICU")),"")</f>
        <v/>
      </c>
    </row>
    <row r="65" spans="1:8" x14ac:dyDescent="0.25">
      <c r="A65" s="29">
        <v>20</v>
      </c>
      <c r="B65" s="29" t="str">
        <f>IFERROR(IF(SUMIFS(tblDaily[Admissions],tblDaily[EntryDate],DATE(2026,2,20),tblDaily[WardCode],"ICU")=0,"",SUMIFS(tblDaily[Admissions],tblDaily[EntryDate],DATE(2026,2,20),tblDaily[WardCode],"ICU")),"")</f>
        <v/>
      </c>
      <c r="C65" s="29" t="str">
        <f>IFERROR(IF(SUMIFS(tblDaily[Discharges],tblDaily[EntryDate],DATE(2026,2,20),tblDaily[WardCode],"ICU")=0,"",SUMIFS(tblDaily[Discharges],tblDaily[EntryDate],DATE(2026,2,20),tblDaily[WardCode],"ICU")),"")</f>
        <v/>
      </c>
      <c r="D65" s="29" t="str">
        <f>IFERROR(IF(SUMIFS(tblDaily[Deaths],tblDaily[EntryDate],DATE(2026,2,20),tblDaily[WardCode],"ICU")=0,"",SUMIFS(tblDaily[Deaths],tblDaily[EntryDate],DATE(2026,2,20),tblDaily[WardCode],"ICU")),"")</f>
        <v/>
      </c>
      <c r="E65" s="29" t="str">
        <f>IFERROR(IF(SUMIFS(tblDaily[DeathsUnder24Hrs],tblDaily[EntryDate],DATE(2026,2,20),tblDaily[WardCode],"ICU")=0,"",SUMIFS(tblDaily[DeathsUnder24Hrs],tblDaily[EntryDate],DATE(2026,2,20),tblDaily[WardCode],"ICU")),"")</f>
        <v/>
      </c>
      <c r="F65" s="29" t="str">
        <f>IFERROR(IF(SUMIFS(tblDaily[TransfersIn],tblDaily[EntryDate],DATE(2026,2,20),tblDaily[WardCode],"ICU")=0,"",SUMIFS(tblDaily[TransfersIn],tblDaily[EntryDate],DATE(2026,2,20),tblDaily[WardCode],"ICU")),"")</f>
        <v/>
      </c>
      <c r="G65" s="29" t="str">
        <f>IFERROR(IF(SUMIFS(tblDaily[TransfersOut],tblDaily[EntryDate],DATE(2026,2,20),tblDaily[WardCode],"ICU")=0,"",SUMIFS(tblDaily[TransfersOut],tblDaily[EntryDate],DATE(2026,2,20),tblDaily[WardCode],"ICU")),"")</f>
        <v/>
      </c>
      <c r="H65" s="29" t="str">
        <f>IFERROR(IF(SUMIFS(tblDaily[Remaining],tblDaily[EntryDate],DATE(2026,2,20),tblDaily[WardCode],"ICU")=0,"",SUMIFS(tblDaily[Remaining],tblDaily[EntryDate],DATE(2026,2,20),tblDaily[WardCode],"ICU")),"")</f>
        <v/>
      </c>
    </row>
    <row r="66" spans="1:8" x14ac:dyDescent="0.25">
      <c r="A66" s="29">
        <v>21</v>
      </c>
      <c r="B66" s="29" t="str">
        <f>IFERROR(IF(SUMIFS(tblDaily[Admissions],tblDaily[EntryDate],DATE(2026,2,21),tblDaily[WardCode],"ICU")=0,"",SUMIFS(tblDaily[Admissions],tblDaily[EntryDate],DATE(2026,2,21),tblDaily[WardCode],"ICU")),"")</f>
        <v/>
      </c>
      <c r="C66" s="29" t="str">
        <f>IFERROR(IF(SUMIFS(tblDaily[Discharges],tblDaily[EntryDate],DATE(2026,2,21),tblDaily[WardCode],"ICU")=0,"",SUMIFS(tblDaily[Discharges],tblDaily[EntryDate],DATE(2026,2,21),tblDaily[WardCode],"ICU")),"")</f>
        <v/>
      </c>
      <c r="D66" s="29" t="str">
        <f>IFERROR(IF(SUMIFS(tblDaily[Deaths],tblDaily[EntryDate],DATE(2026,2,21),tblDaily[WardCode],"ICU")=0,"",SUMIFS(tblDaily[Deaths],tblDaily[EntryDate],DATE(2026,2,21),tblDaily[WardCode],"ICU")),"")</f>
        <v/>
      </c>
      <c r="E66" s="29" t="str">
        <f>IFERROR(IF(SUMIFS(tblDaily[DeathsUnder24Hrs],tblDaily[EntryDate],DATE(2026,2,21),tblDaily[WardCode],"ICU")=0,"",SUMIFS(tblDaily[DeathsUnder24Hrs],tblDaily[EntryDate],DATE(2026,2,21),tblDaily[WardCode],"ICU")),"")</f>
        <v/>
      </c>
      <c r="F66" s="29" t="str">
        <f>IFERROR(IF(SUMIFS(tblDaily[TransfersIn],tblDaily[EntryDate],DATE(2026,2,21),tblDaily[WardCode],"ICU")=0,"",SUMIFS(tblDaily[TransfersIn],tblDaily[EntryDate],DATE(2026,2,21),tblDaily[WardCode],"ICU")),"")</f>
        <v/>
      </c>
      <c r="G66" s="29" t="str">
        <f>IFERROR(IF(SUMIFS(tblDaily[TransfersOut],tblDaily[EntryDate],DATE(2026,2,21),tblDaily[WardCode],"ICU")=0,"",SUMIFS(tblDaily[TransfersOut],tblDaily[EntryDate],DATE(2026,2,21),tblDaily[WardCode],"ICU")),"")</f>
        <v/>
      </c>
      <c r="H66" s="29" t="str">
        <f>IFERROR(IF(SUMIFS(tblDaily[Remaining],tblDaily[EntryDate],DATE(2026,2,21),tblDaily[WardCode],"ICU")=0,"",SUMIFS(tblDaily[Remaining],tblDaily[EntryDate],DATE(2026,2,21),tblDaily[WardCode],"ICU")),"")</f>
        <v/>
      </c>
    </row>
    <row r="67" spans="1:8" x14ac:dyDescent="0.25">
      <c r="A67" s="29">
        <v>22</v>
      </c>
      <c r="B67" s="29" t="str">
        <f>IFERROR(IF(SUMIFS(tblDaily[Admissions],tblDaily[EntryDate],DATE(2026,2,22),tblDaily[WardCode],"ICU")=0,"",SUMIFS(tblDaily[Admissions],tblDaily[EntryDate],DATE(2026,2,22),tblDaily[WardCode],"ICU")),"")</f>
        <v/>
      </c>
      <c r="C67" s="29" t="str">
        <f>IFERROR(IF(SUMIFS(tblDaily[Discharges],tblDaily[EntryDate],DATE(2026,2,22),tblDaily[WardCode],"ICU")=0,"",SUMIFS(tblDaily[Discharges],tblDaily[EntryDate],DATE(2026,2,22),tblDaily[WardCode],"ICU")),"")</f>
        <v/>
      </c>
      <c r="D67" s="29" t="str">
        <f>IFERROR(IF(SUMIFS(tblDaily[Deaths],tblDaily[EntryDate],DATE(2026,2,22),tblDaily[WardCode],"ICU")=0,"",SUMIFS(tblDaily[Deaths],tblDaily[EntryDate],DATE(2026,2,22),tblDaily[WardCode],"ICU")),"")</f>
        <v/>
      </c>
      <c r="E67" s="29" t="str">
        <f>IFERROR(IF(SUMIFS(tblDaily[DeathsUnder24Hrs],tblDaily[EntryDate],DATE(2026,2,22),tblDaily[WardCode],"ICU")=0,"",SUMIFS(tblDaily[DeathsUnder24Hrs],tblDaily[EntryDate],DATE(2026,2,22),tblDaily[WardCode],"ICU")),"")</f>
        <v/>
      </c>
      <c r="F67" s="29" t="str">
        <f>IFERROR(IF(SUMIFS(tblDaily[TransfersIn],tblDaily[EntryDate],DATE(2026,2,22),tblDaily[WardCode],"ICU")=0,"",SUMIFS(tblDaily[TransfersIn],tblDaily[EntryDate],DATE(2026,2,22),tblDaily[WardCode],"ICU")),"")</f>
        <v/>
      </c>
      <c r="G67" s="29" t="str">
        <f>IFERROR(IF(SUMIFS(tblDaily[TransfersOut],tblDaily[EntryDate],DATE(2026,2,22),tblDaily[WardCode],"ICU")=0,"",SUMIFS(tblDaily[TransfersOut],tblDaily[EntryDate],DATE(2026,2,22),tblDaily[WardCode],"ICU")),"")</f>
        <v/>
      </c>
      <c r="H67" s="29" t="str">
        <f>IFERROR(IF(SUMIFS(tblDaily[Remaining],tblDaily[EntryDate],DATE(2026,2,22),tblDaily[WardCode],"ICU")=0,"",SUMIFS(tblDaily[Remaining],tblDaily[EntryDate],DATE(2026,2,22),tblDaily[WardCode],"ICU")),"")</f>
        <v/>
      </c>
    </row>
    <row r="68" spans="1:8" x14ac:dyDescent="0.25">
      <c r="A68" s="29">
        <v>23</v>
      </c>
      <c r="B68" s="29" t="str">
        <f>IFERROR(IF(SUMIFS(tblDaily[Admissions],tblDaily[EntryDate],DATE(2026,2,23),tblDaily[WardCode],"ICU")=0,"",SUMIFS(tblDaily[Admissions],tblDaily[EntryDate],DATE(2026,2,23),tblDaily[WardCode],"ICU")),"")</f>
        <v/>
      </c>
      <c r="C68" s="29" t="str">
        <f>IFERROR(IF(SUMIFS(tblDaily[Discharges],tblDaily[EntryDate],DATE(2026,2,23),tblDaily[WardCode],"ICU")=0,"",SUMIFS(tblDaily[Discharges],tblDaily[EntryDate],DATE(2026,2,23),tblDaily[WardCode],"ICU")),"")</f>
        <v/>
      </c>
      <c r="D68" s="29" t="str">
        <f>IFERROR(IF(SUMIFS(tblDaily[Deaths],tblDaily[EntryDate],DATE(2026,2,23),tblDaily[WardCode],"ICU")=0,"",SUMIFS(tblDaily[Deaths],tblDaily[EntryDate],DATE(2026,2,23),tblDaily[WardCode],"ICU")),"")</f>
        <v/>
      </c>
      <c r="E68" s="29" t="str">
        <f>IFERROR(IF(SUMIFS(tblDaily[DeathsUnder24Hrs],tblDaily[EntryDate],DATE(2026,2,23),tblDaily[WardCode],"ICU")=0,"",SUMIFS(tblDaily[DeathsUnder24Hrs],tblDaily[EntryDate],DATE(2026,2,23),tblDaily[WardCode],"ICU")),"")</f>
        <v/>
      </c>
      <c r="F68" s="29" t="str">
        <f>IFERROR(IF(SUMIFS(tblDaily[TransfersIn],tblDaily[EntryDate],DATE(2026,2,23),tblDaily[WardCode],"ICU")=0,"",SUMIFS(tblDaily[TransfersIn],tblDaily[EntryDate],DATE(2026,2,23),tblDaily[WardCode],"ICU")),"")</f>
        <v/>
      </c>
      <c r="G68" s="29" t="str">
        <f>IFERROR(IF(SUMIFS(tblDaily[TransfersOut],tblDaily[EntryDate],DATE(2026,2,23),tblDaily[WardCode],"ICU")=0,"",SUMIFS(tblDaily[TransfersOut],tblDaily[EntryDate],DATE(2026,2,23),tblDaily[WardCode],"ICU")),"")</f>
        <v/>
      </c>
      <c r="H68" s="29" t="str">
        <f>IFERROR(IF(SUMIFS(tblDaily[Remaining],tblDaily[EntryDate],DATE(2026,2,23),tblDaily[WardCode],"ICU")=0,"",SUMIFS(tblDaily[Remaining],tblDaily[EntryDate],DATE(2026,2,23),tblDaily[WardCode],"ICU")),"")</f>
        <v/>
      </c>
    </row>
    <row r="69" spans="1:8" x14ac:dyDescent="0.25">
      <c r="A69" s="29">
        <v>24</v>
      </c>
      <c r="B69" s="29" t="str">
        <f>IFERROR(IF(SUMIFS(tblDaily[Admissions],tblDaily[EntryDate],DATE(2026,2,24),tblDaily[WardCode],"ICU")=0,"",SUMIFS(tblDaily[Admissions],tblDaily[EntryDate],DATE(2026,2,24),tblDaily[WardCode],"ICU")),"")</f>
        <v/>
      </c>
      <c r="C69" s="29" t="str">
        <f>IFERROR(IF(SUMIFS(tblDaily[Discharges],tblDaily[EntryDate],DATE(2026,2,24),tblDaily[WardCode],"ICU")=0,"",SUMIFS(tblDaily[Discharges],tblDaily[EntryDate],DATE(2026,2,24),tblDaily[WardCode],"ICU")),"")</f>
        <v/>
      </c>
      <c r="D69" s="29" t="str">
        <f>IFERROR(IF(SUMIFS(tblDaily[Deaths],tblDaily[EntryDate],DATE(2026,2,24),tblDaily[WardCode],"ICU")=0,"",SUMIFS(tblDaily[Deaths],tblDaily[EntryDate],DATE(2026,2,24),tblDaily[WardCode],"ICU")),"")</f>
        <v/>
      </c>
      <c r="E69" s="29" t="str">
        <f>IFERROR(IF(SUMIFS(tblDaily[DeathsUnder24Hrs],tblDaily[EntryDate],DATE(2026,2,24),tblDaily[WardCode],"ICU")=0,"",SUMIFS(tblDaily[DeathsUnder24Hrs],tblDaily[EntryDate],DATE(2026,2,24),tblDaily[WardCode],"ICU")),"")</f>
        <v/>
      </c>
      <c r="F69" s="29" t="str">
        <f>IFERROR(IF(SUMIFS(tblDaily[TransfersIn],tblDaily[EntryDate],DATE(2026,2,24),tblDaily[WardCode],"ICU")=0,"",SUMIFS(tblDaily[TransfersIn],tblDaily[EntryDate],DATE(2026,2,24),tblDaily[WardCode],"ICU")),"")</f>
        <v/>
      </c>
      <c r="G69" s="29" t="str">
        <f>IFERROR(IF(SUMIFS(tblDaily[TransfersOut],tblDaily[EntryDate],DATE(2026,2,24),tblDaily[WardCode],"ICU")=0,"",SUMIFS(tblDaily[TransfersOut],tblDaily[EntryDate],DATE(2026,2,24),tblDaily[WardCode],"ICU")),"")</f>
        <v/>
      </c>
      <c r="H69" s="29" t="str">
        <f>IFERROR(IF(SUMIFS(tblDaily[Remaining],tblDaily[EntryDate],DATE(2026,2,24),tblDaily[WardCode],"ICU")=0,"",SUMIFS(tblDaily[Remaining],tblDaily[EntryDate],DATE(2026,2,24),tblDaily[WardCode],"ICU")),"")</f>
        <v/>
      </c>
    </row>
    <row r="70" spans="1:8" x14ac:dyDescent="0.25">
      <c r="A70" s="29">
        <v>25</v>
      </c>
      <c r="B70" s="29" t="str">
        <f>IFERROR(IF(SUMIFS(tblDaily[Admissions],tblDaily[EntryDate],DATE(2026,2,25),tblDaily[WardCode],"ICU")=0,"",SUMIFS(tblDaily[Admissions],tblDaily[EntryDate],DATE(2026,2,25),tblDaily[WardCode],"ICU")),"")</f>
        <v/>
      </c>
      <c r="C70" s="29" t="str">
        <f>IFERROR(IF(SUMIFS(tblDaily[Discharges],tblDaily[EntryDate],DATE(2026,2,25),tblDaily[WardCode],"ICU")=0,"",SUMIFS(tblDaily[Discharges],tblDaily[EntryDate],DATE(2026,2,25),tblDaily[WardCode],"ICU")),"")</f>
        <v/>
      </c>
      <c r="D70" s="29" t="str">
        <f>IFERROR(IF(SUMIFS(tblDaily[Deaths],tblDaily[EntryDate],DATE(2026,2,25),tblDaily[WardCode],"ICU")=0,"",SUMIFS(tblDaily[Deaths],tblDaily[EntryDate],DATE(2026,2,25),tblDaily[WardCode],"ICU")),"")</f>
        <v/>
      </c>
      <c r="E70" s="29" t="str">
        <f>IFERROR(IF(SUMIFS(tblDaily[DeathsUnder24Hrs],tblDaily[EntryDate],DATE(2026,2,25),tblDaily[WardCode],"ICU")=0,"",SUMIFS(tblDaily[DeathsUnder24Hrs],tblDaily[EntryDate],DATE(2026,2,25),tblDaily[WardCode],"ICU")),"")</f>
        <v/>
      </c>
      <c r="F70" s="29" t="str">
        <f>IFERROR(IF(SUMIFS(tblDaily[TransfersIn],tblDaily[EntryDate],DATE(2026,2,25),tblDaily[WardCode],"ICU")=0,"",SUMIFS(tblDaily[TransfersIn],tblDaily[EntryDate],DATE(2026,2,25),tblDaily[WardCode],"ICU")),"")</f>
        <v/>
      </c>
      <c r="G70" s="29" t="str">
        <f>IFERROR(IF(SUMIFS(tblDaily[TransfersOut],tblDaily[EntryDate],DATE(2026,2,25),tblDaily[WardCode],"ICU")=0,"",SUMIFS(tblDaily[TransfersOut],tblDaily[EntryDate],DATE(2026,2,25),tblDaily[WardCode],"ICU")),"")</f>
        <v/>
      </c>
      <c r="H70" s="29" t="str">
        <f>IFERROR(IF(SUMIFS(tblDaily[Remaining],tblDaily[EntryDate],DATE(2026,2,25),tblDaily[WardCode],"ICU")=0,"",SUMIFS(tblDaily[Remaining],tblDaily[EntryDate],DATE(2026,2,25),tblDaily[WardCode],"ICU")),"")</f>
        <v/>
      </c>
    </row>
    <row r="71" spans="1:8" x14ac:dyDescent="0.25">
      <c r="A71" s="29">
        <v>26</v>
      </c>
      <c r="B71" s="29" t="str">
        <f>IFERROR(IF(SUMIFS(tblDaily[Admissions],tblDaily[EntryDate],DATE(2026,2,26),tblDaily[WardCode],"ICU")=0,"",SUMIFS(tblDaily[Admissions],tblDaily[EntryDate],DATE(2026,2,26),tblDaily[WardCode],"ICU")),"")</f>
        <v/>
      </c>
      <c r="C71" s="29" t="str">
        <f>IFERROR(IF(SUMIFS(tblDaily[Discharges],tblDaily[EntryDate],DATE(2026,2,26),tblDaily[WardCode],"ICU")=0,"",SUMIFS(tblDaily[Discharges],tblDaily[EntryDate],DATE(2026,2,26),tblDaily[WardCode],"ICU")),"")</f>
        <v/>
      </c>
      <c r="D71" s="29" t="str">
        <f>IFERROR(IF(SUMIFS(tblDaily[Deaths],tblDaily[EntryDate],DATE(2026,2,26),tblDaily[WardCode],"ICU")=0,"",SUMIFS(tblDaily[Deaths],tblDaily[EntryDate],DATE(2026,2,26),tblDaily[WardCode],"ICU")),"")</f>
        <v/>
      </c>
      <c r="E71" s="29" t="str">
        <f>IFERROR(IF(SUMIFS(tblDaily[DeathsUnder24Hrs],tblDaily[EntryDate],DATE(2026,2,26),tblDaily[WardCode],"ICU")=0,"",SUMIFS(tblDaily[DeathsUnder24Hrs],tblDaily[EntryDate],DATE(2026,2,26),tblDaily[WardCode],"ICU")),"")</f>
        <v/>
      </c>
      <c r="F71" s="29" t="str">
        <f>IFERROR(IF(SUMIFS(tblDaily[TransfersIn],tblDaily[EntryDate],DATE(2026,2,26),tblDaily[WardCode],"ICU")=0,"",SUMIFS(tblDaily[TransfersIn],tblDaily[EntryDate],DATE(2026,2,26),tblDaily[WardCode],"ICU")),"")</f>
        <v/>
      </c>
      <c r="G71" s="29" t="str">
        <f>IFERROR(IF(SUMIFS(tblDaily[TransfersOut],tblDaily[EntryDate],DATE(2026,2,26),tblDaily[WardCode],"ICU")=0,"",SUMIFS(tblDaily[TransfersOut],tblDaily[EntryDate],DATE(2026,2,26),tblDaily[WardCode],"ICU")),"")</f>
        <v/>
      </c>
      <c r="H71" s="29" t="str">
        <f>IFERROR(IF(SUMIFS(tblDaily[Remaining],tblDaily[EntryDate],DATE(2026,2,26),tblDaily[WardCode],"ICU")=0,"",SUMIFS(tblDaily[Remaining],tblDaily[EntryDate],DATE(2026,2,26),tblDaily[WardCode],"ICU")),"")</f>
        <v/>
      </c>
    </row>
    <row r="72" spans="1:8" x14ac:dyDescent="0.25">
      <c r="A72" s="29">
        <v>27</v>
      </c>
      <c r="B72" s="29" t="str">
        <f>IFERROR(IF(SUMIFS(tblDaily[Admissions],tblDaily[EntryDate],DATE(2026,2,27),tblDaily[WardCode],"ICU")=0,"",SUMIFS(tblDaily[Admissions],tblDaily[EntryDate],DATE(2026,2,27),tblDaily[WardCode],"ICU")),"")</f>
        <v/>
      </c>
      <c r="C72" s="29" t="str">
        <f>IFERROR(IF(SUMIFS(tblDaily[Discharges],tblDaily[EntryDate],DATE(2026,2,27),tblDaily[WardCode],"ICU")=0,"",SUMIFS(tblDaily[Discharges],tblDaily[EntryDate],DATE(2026,2,27),tblDaily[WardCode],"ICU")),"")</f>
        <v/>
      </c>
      <c r="D72" s="29" t="str">
        <f>IFERROR(IF(SUMIFS(tblDaily[Deaths],tblDaily[EntryDate],DATE(2026,2,27),tblDaily[WardCode],"ICU")=0,"",SUMIFS(tblDaily[Deaths],tblDaily[EntryDate],DATE(2026,2,27),tblDaily[WardCode],"ICU")),"")</f>
        <v/>
      </c>
      <c r="E72" s="29" t="str">
        <f>IFERROR(IF(SUMIFS(tblDaily[DeathsUnder24Hrs],tblDaily[EntryDate],DATE(2026,2,27),tblDaily[WardCode],"ICU")=0,"",SUMIFS(tblDaily[DeathsUnder24Hrs],tblDaily[EntryDate],DATE(2026,2,27),tblDaily[WardCode],"ICU")),"")</f>
        <v/>
      </c>
      <c r="F72" s="29" t="str">
        <f>IFERROR(IF(SUMIFS(tblDaily[TransfersIn],tblDaily[EntryDate],DATE(2026,2,27),tblDaily[WardCode],"ICU")=0,"",SUMIFS(tblDaily[TransfersIn],tblDaily[EntryDate],DATE(2026,2,27),tblDaily[WardCode],"ICU")),"")</f>
        <v/>
      </c>
      <c r="G72" s="29" t="str">
        <f>IFERROR(IF(SUMIFS(tblDaily[TransfersOut],tblDaily[EntryDate],DATE(2026,2,27),tblDaily[WardCode],"ICU")=0,"",SUMIFS(tblDaily[TransfersOut],tblDaily[EntryDate],DATE(2026,2,27),tblDaily[WardCode],"ICU")),"")</f>
        <v/>
      </c>
      <c r="H72" s="29" t="str">
        <f>IFERROR(IF(SUMIFS(tblDaily[Remaining],tblDaily[EntryDate],DATE(2026,2,27),tblDaily[WardCode],"ICU")=0,"",SUMIFS(tblDaily[Remaining],tblDaily[EntryDate],DATE(2026,2,27),tblDaily[WardCode],"ICU")),"")</f>
        <v/>
      </c>
    </row>
    <row r="73" spans="1:8" x14ac:dyDescent="0.25">
      <c r="A73" s="29">
        <v>28</v>
      </c>
      <c r="B73" s="29" t="str">
        <f>IFERROR(IF(SUMIFS(tblDaily[Admissions],tblDaily[EntryDate],DATE(2026,2,28),tblDaily[WardCode],"ICU")=0,"",SUMIFS(tblDaily[Admissions],tblDaily[EntryDate],DATE(2026,2,28),tblDaily[WardCode],"ICU")),"")</f>
        <v/>
      </c>
      <c r="C73" s="29" t="str">
        <f>IFERROR(IF(SUMIFS(tblDaily[Discharges],tblDaily[EntryDate],DATE(2026,2,28),tblDaily[WardCode],"ICU")=0,"",SUMIFS(tblDaily[Discharges],tblDaily[EntryDate],DATE(2026,2,28),tblDaily[WardCode],"ICU")),"")</f>
        <v/>
      </c>
      <c r="D73" s="29" t="str">
        <f>IFERROR(IF(SUMIFS(tblDaily[Deaths],tblDaily[EntryDate],DATE(2026,2,28),tblDaily[WardCode],"ICU")=0,"",SUMIFS(tblDaily[Deaths],tblDaily[EntryDate],DATE(2026,2,28),tblDaily[WardCode],"ICU")),"")</f>
        <v/>
      </c>
      <c r="E73" s="29" t="str">
        <f>IFERROR(IF(SUMIFS(tblDaily[DeathsUnder24Hrs],tblDaily[EntryDate],DATE(2026,2,28),tblDaily[WardCode],"ICU")=0,"",SUMIFS(tblDaily[DeathsUnder24Hrs],tblDaily[EntryDate],DATE(2026,2,28),tblDaily[WardCode],"ICU")),"")</f>
        <v/>
      </c>
      <c r="F73" s="29" t="str">
        <f>IFERROR(IF(SUMIFS(tblDaily[TransfersIn],tblDaily[EntryDate],DATE(2026,2,28),tblDaily[WardCode],"ICU")=0,"",SUMIFS(tblDaily[TransfersIn],tblDaily[EntryDate],DATE(2026,2,28),tblDaily[WardCode],"ICU")),"")</f>
        <v/>
      </c>
      <c r="G73" s="29" t="str">
        <f>IFERROR(IF(SUMIFS(tblDaily[TransfersOut],tblDaily[EntryDate],DATE(2026,2,28),tblDaily[WardCode],"ICU")=0,"",SUMIFS(tblDaily[TransfersOut],tblDaily[EntryDate],DATE(2026,2,28),tblDaily[WardCode],"ICU")),"")</f>
        <v/>
      </c>
      <c r="H73" s="29" t="str">
        <f>IFERROR(IF(SUMIFS(tblDaily[Remaining],tblDaily[EntryDate],DATE(2026,2,28),tblDaily[WardCode],"ICU")=0,"",SUMIFS(tblDaily[Remaining],tblDaily[EntryDate],DATE(2026,2,28),tblDaily[WardCode],"ICU")),"")</f>
        <v/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115</v>
      </c>
      <c r="B77" s="30">
        <f>SUMIFS(tblDaily[Admissions],tblDaily[Month],2,tblDaily[WardCode],"ICU") - SUMIFS(tblDaily[DeathsUnder24Hrs],tblDaily[Month],2,tblDaily[WardCode],"ICU")</f>
        <v>0</v>
      </c>
      <c r="C77" s="30">
        <f>SUMIFS(tblDaily[Discharges],tblDaily[Month],2,tblDaily[WardCode],"ICU")</f>
        <v>0</v>
      </c>
      <c r="D77" s="30">
        <f>SUMIFS(tblDaily[Deaths],tblDaily[Month],2,tblDaily[WardCode],"ICU")</f>
        <v>0</v>
      </c>
      <c r="E77" s="30">
        <f>SUMIFS(tblDaily[DeathsUnder24Hrs],tblDaily[Month],2,tblDaily[WardCode],"ICU")</f>
        <v>0</v>
      </c>
      <c r="F77" s="30">
        <f>SUMIFS(tblDaily[TransfersIn],tblDaily[Month],2,tblDaily[WardCode],"ICU")</f>
        <v>0</v>
      </c>
      <c r="G77" s="30">
        <f>SUMIFS(tblDaily[TransfersOut],tblDaily[Month],2,tblDaily[WardCode],"ICU")</f>
        <v>0</v>
      </c>
      <c r="H77" s="30">
        <f>SUMIFS(tblDaily[Remaining],tblDaily[Month],2,tblDaily[WardCode],"ICU")</f>
        <v>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104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105</v>
      </c>
      <c r="E81" s="25" t="s">
        <v>124</v>
      </c>
      <c r="F81" s="24" t="s">
        <v>107</v>
      </c>
      <c r="G81" s="25" t="s">
        <v>65</v>
      </c>
    </row>
    <row r="82" spans="1:8" x14ac:dyDescent="0.25">
      <c r="A82" s="24" t="s">
        <v>108</v>
      </c>
      <c r="H82" s="26">
        <f>IFERROR(SUMIFS(tblDaily[Remaining],tblDaily[EntryDate],DATE(2026,2,28),tblDaily[WardCode],"ICU"),0)</f>
        <v>0</v>
      </c>
    </row>
    <row r="83" spans="1:8" x14ac:dyDescent="0.25">
      <c r="A83" s="24" t="s">
        <v>109</v>
      </c>
      <c r="H83" s="27">
        <f>IFERROR(INDEX(tblWardConfig[BedComplement],MATCH("ICU",tblWardConfig[WardCode],0)),0)</f>
        <v>4</v>
      </c>
    </row>
    <row r="84" spans="1:8" ht="38.25" x14ac:dyDescent="0.25">
      <c r="A84" s="28" t="s">
        <v>110</v>
      </c>
      <c r="B84" s="28" t="s">
        <v>77</v>
      </c>
      <c r="C84" s="28" t="s">
        <v>78</v>
      </c>
      <c r="D84" s="28" t="s">
        <v>79</v>
      </c>
      <c r="E84" s="28" t="s">
        <v>111</v>
      </c>
      <c r="F84" s="28" t="s">
        <v>112</v>
      </c>
      <c r="G84" s="28" t="s">
        <v>113</v>
      </c>
      <c r="H84" s="28" t="s">
        <v>114</v>
      </c>
    </row>
    <row r="85" spans="1:8" x14ac:dyDescent="0.25">
      <c r="A85" s="29">
        <v>1</v>
      </c>
      <c r="B85" s="29" t="str">
        <f>IFERROR(IF(SUMIFS(tblDaily[Admissions],tblDaily[EntryDate],DATE(2026,3,1),tblDaily[WardCode],"ICU")=0,"",SUMIFS(tblDaily[Admissions],tblDaily[EntryDate],DATE(2026,3,1),tblDaily[WardCode],"ICU")),"")</f>
        <v/>
      </c>
      <c r="C85" s="29" t="str">
        <f>IFERROR(IF(SUMIFS(tblDaily[Discharges],tblDaily[EntryDate],DATE(2026,3,1),tblDaily[WardCode],"ICU")=0,"",SUMIFS(tblDaily[Discharges],tblDaily[EntryDate],DATE(2026,3,1),tblDaily[WardCode],"ICU")),"")</f>
        <v/>
      </c>
      <c r="D85" s="29" t="str">
        <f>IFERROR(IF(SUMIFS(tblDaily[Deaths],tblDaily[EntryDate],DATE(2026,3,1),tblDaily[WardCode],"ICU")=0,"",SUMIFS(tblDaily[Deaths],tblDaily[EntryDate],DATE(2026,3,1),tblDaily[WardCode],"ICU")),"")</f>
        <v/>
      </c>
      <c r="E85" s="29" t="str">
        <f>IFERROR(IF(SUMIFS(tblDaily[DeathsUnder24Hrs],tblDaily[EntryDate],DATE(2026,3,1),tblDaily[WardCode],"ICU")=0,"",SUMIFS(tblDaily[DeathsUnder24Hrs],tblDaily[EntryDate],DATE(2026,3,1),tblDaily[WardCode],"ICU")),"")</f>
        <v/>
      </c>
      <c r="F85" s="29" t="str">
        <f>IFERROR(IF(SUMIFS(tblDaily[TransfersIn],tblDaily[EntryDate],DATE(2026,3,1),tblDaily[WardCode],"ICU")=0,"",SUMIFS(tblDaily[TransfersIn],tblDaily[EntryDate],DATE(2026,3,1),tblDaily[WardCode],"ICU")),"")</f>
        <v/>
      </c>
      <c r="G85" s="29" t="str">
        <f>IFERROR(IF(SUMIFS(tblDaily[TransfersOut],tblDaily[EntryDate],DATE(2026,3,1),tblDaily[WardCode],"ICU")=0,"",SUMIFS(tblDaily[TransfersOut],tblDaily[EntryDate],DATE(2026,3,1),tblDaily[WardCode],"ICU")),"")</f>
        <v/>
      </c>
      <c r="H85" s="29" t="str">
        <f>IFERROR(IF(SUMIFS(tblDaily[Remaining],tblDaily[EntryDate],DATE(2026,3,1),tblDaily[WardCode],"ICU")=0,"",SUMIFS(tblDaily[Remaining],tblDaily[EntryDate],DATE(2026,3,1),tblDaily[WardCode],"ICU")),"")</f>
        <v/>
      </c>
    </row>
    <row r="86" spans="1:8" x14ac:dyDescent="0.25">
      <c r="A86" s="29">
        <v>2</v>
      </c>
      <c r="B86" s="29" t="str">
        <f>IFERROR(IF(SUMIFS(tblDaily[Admissions],tblDaily[EntryDate],DATE(2026,3,2),tblDaily[WardCode],"ICU")=0,"",SUMIFS(tblDaily[Admissions],tblDaily[EntryDate],DATE(2026,3,2),tblDaily[WardCode],"ICU")),"")</f>
        <v/>
      </c>
      <c r="C86" s="29" t="str">
        <f>IFERROR(IF(SUMIFS(tblDaily[Discharges],tblDaily[EntryDate],DATE(2026,3,2),tblDaily[WardCode],"ICU")=0,"",SUMIFS(tblDaily[Discharges],tblDaily[EntryDate],DATE(2026,3,2),tblDaily[WardCode],"ICU")),"")</f>
        <v/>
      </c>
      <c r="D86" s="29" t="str">
        <f>IFERROR(IF(SUMIFS(tblDaily[Deaths],tblDaily[EntryDate],DATE(2026,3,2),tblDaily[WardCode],"ICU")=0,"",SUMIFS(tblDaily[Deaths],tblDaily[EntryDate],DATE(2026,3,2),tblDaily[WardCode],"ICU")),"")</f>
        <v/>
      </c>
      <c r="E86" s="29" t="str">
        <f>IFERROR(IF(SUMIFS(tblDaily[DeathsUnder24Hrs],tblDaily[EntryDate],DATE(2026,3,2),tblDaily[WardCode],"ICU")=0,"",SUMIFS(tblDaily[DeathsUnder24Hrs],tblDaily[EntryDate],DATE(2026,3,2),tblDaily[WardCode],"ICU")),"")</f>
        <v/>
      </c>
      <c r="F86" s="29" t="str">
        <f>IFERROR(IF(SUMIFS(tblDaily[TransfersIn],tblDaily[EntryDate],DATE(2026,3,2),tblDaily[WardCode],"ICU")=0,"",SUMIFS(tblDaily[TransfersIn],tblDaily[EntryDate],DATE(2026,3,2),tblDaily[WardCode],"ICU")),"")</f>
        <v/>
      </c>
      <c r="G86" s="29" t="str">
        <f>IFERROR(IF(SUMIFS(tblDaily[TransfersOut],tblDaily[EntryDate],DATE(2026,3,2),tblDaily[WardCode],"ICU")=0,"",SUMIFS(tblDaily[TransfersOut],tblDaily[EntryDate],DATE(2026,3,2),tblDaily[WardCode],"ICU")),"")</f>
        <v/>
      </c>
      <c r="H86" s="29" t="str">
        <f>IFERROR(IF(SUMIFS(tblDaily[Remaining],tblDaily[EntryDate],DATE(2026,3,2),tblDaily[WardCode],"ICU")=0,"",SUMIFS(tblDaily[Remaining],tblDaily[EntryDate],DATE(2026,3,2),tblDaily[WardCode],"ICU")),"")</f>
        <v/>
      </c>
    </row>
    <row r="87" spans="1:8" x14ac:dyDescent="0.25">
      <c r="A87" s="29">
        <v>3</v>
      </c>
      <c r="B87" s="29" t="str">
        <f>IFERROR(IF(SUMIFS(tblDaily[Admissions],tblDaily[EntryDate],DATE(2026,3,3),tblDaily[WardCode],"ICU")=0,"",SUMIFS(tblDaily[Admissions],tblDaily[EntryDate],DATE(2026,3,3),tblDaily[WardCode],"ICU")),"")</f>
        <v/>
      </c>
      <c r="C87" s="29" t="str">
        <f>IFERROR(IF(SUMIFS(tblDaily[Discharges],tblDaily[EntryDate],DATE(2026,3,3),tblDaily[WardCode],"ICU")=0,"",SUMIFS(tblDaily[Discharges],tblDaily[EntryDate],DATE(2026,3,3),tblDaily[WardCode],"ICU")),"")</f>
        <v/>
      </c>
      <c r="D87" s="29" t="str">
        <f>IFERROR(IF(SUMIFS(tblDaily[Deaths],tblDaily[EntryDate],DATE(2026,3,3),tblDaily[WardCode],"ICU")=0,"",SUMIFS(tblDaily[Deaths],tblDaily[EntryDate],DATE(2026,3,3),tblDaily[WardCode],"ICU")),"")</f>
        <v/>
      </c>
      <c r="E87" s="29" t="str">
        <f>IFERROR(IF(SUMIFS(tblDaily[DeathsUnder24Hrs],tblDaily[EntryDate],DATE(2026,3,3),tblDaily[WardCode],"ICU")=0,"",SUMIFS(tblDaily[DeathsUnder24Hrs],tblDaily[EntryDate],DATE(2026,3,3),tblDaily[WardCode],"ICU")),"")</f>
        <v/>
      </c>
      <c r="F87" s="29" t="str">
        <f>IFERROR(IF(SUMIFS(tblDaily[TransfersIn],tblDaily[EntryDate],DATE(2026,3,3),tblDaily[WardCode],"ICU")=0,"",SUMIFS(tblDaily[TransfersIn],tblDaily[EntryDate],DATE(2026,3,3),tblDaily[WardCode],"ICU")),"")</f>
        <v/>
      </c>
      <c r="G87" s="29" t="str">
        <f>IFERROR(IF(SUMIFS(tblDaily[TransfersOut],tblDaily[EntryDate],DATE(2026,3,3),tblDaily[WardCode],"ICU")=0,"",SUMIFS(tblDaily[TransfersOut],tblDaily[EntryDate],DATE(2026,3,3),tblDaily[WardCode],"ICU")),"")</f>
        <v/>
      </c>
      <c r="H87" s="29" t="str">
        <f>IFERROR(IF(SUMIFS(tblDaily[Remaining],tblDaily[EntryDate],DATE(2026,3,3),tblDaily[WardCode],"ICU")=0,"",SUMIFS(tblDaily[Remaining],tblDaily[EntryDate],DATE(2026,3,3),tblDaily[WardCode],"ICU")),"")</f>
        <v/>
      </c>
    </row>
    <row r="88" spans="1:8" x14ac:dyDescent="0.25">
      <c r="A88" s="29">
        <v>4</v>
      </c>
      <c r="B88" s="29" t="str">
        <f>IFERROR(IF(SUMIFS(tblDaily[Admissions],tblDaily[EntryDate],DATE(2026,3,4),tblDaily[WardCode],"ICU")=0,"",SUMIFS(tblDaily[Admissions],tblDaily[EntryDate],DATE(2026,3,4),tblDaily[WardCode],"ICU")),"")</f>
        <v/>
      </c>
      <c r="C88" s="29" t="str">
        <f>IFERROR(IF(SUMIFS(tblDaily[Discharges],tblDaily[EntryDate],DATE(2026,3,4),tblDaily[WardCode],"ICU")=0,"",SUMIFS(tblDaily[Discharges],tblDaily[EntryDate],DATE(2026,3,4),tblDaily[WardCode],"ICU")),"")</f>
        <v/>
      </c>
      <c r="D88" s="29" t="str">
        <f>IFERROR(IF(SUMIFS(tblDaily[Deaths],tblDaily[EntryDate],DATE(2026,3,4),tblDaily[WardCode],"ICU")=0,"",SUMIFS(tblDaily[Deaths],tblDaily[EntryDate],DATE(2026,3,4),tblDaily[WardCode],"ICU")),"")</f>
        <v/>
      </c>
      <c r="E88" s="29" t="str">
        <f>IFERROR(IF(SUMIFS(tblDaily[DeathsUnder24Hrs],tblDaily[EntryDate],DATE(2026,3,4),tblDaily[WardCode],"ICU")=0,"",SUMIFS(tblDaily[DeathsUnder24Hrs],tblDaily[EntryDate],DATE(2026,3,4),tblDaily[WardCode],"ICU")),"")</f>
        <v/>
      </c>
      <c r="F88" s="29" t="str">
        <f>IFERROR(IF(SUMIFS(tblDaily[TransfersIn],tblDaily[EntryDate],DATE(2026,3,4),tblDaily[WardCode],"ICU")=0,"",SUMIFS(tblDaily[TransfersIn],tblDaily[EntryDate],DATE(2026,3,4),tblDaily[WardCode],"ICU")),"")</f>
        <v/>
      </c>
      <c r="G88" s="29" t="str">
        <f>IFERROR(IF(SUMIFS(tblDaily[TransfersOut],tblDaily[EntryDate],DATE(2026,3,4),tblDaily[WardCode],"ICU")=0,"",SUMIFS(tblDaily[TransfersOut],tblDaily[EntryDate],DATE(2026,3,4),tblDaily[WardCode],"ICU")),"")</f>
        <v/>
      </c>
      <c r="H88" s="29" t="str">
        <f>IFERROR(IF(SUMIFS(tblDaily[Remaining],tblDaily[EntryDate],DATE(2026,3,4),tblDaily[WardCode],"ICU")=0,"",SUMIFS(tblDaily[Remaining],tblDaily[EntryDate],DATE(2026,3,4),tblDaily[WardCode],"ICU")),"")</f>
        <v/>
      </c>
    </row>
    <row r="89" spans="1:8" x14ac:dyDescent="0.25">
      <c r="A89" s="29">
        <v>5</v>
      </c>
      <c r="B89" s="29" t="str">
        <f>IFERROR(IF(SUMIFS(tblDaily[Admissions],tblDaily[EntryDate],DATE(2026,3,5),tblDaily[WardCode],"ICU")=0,"",SUMIFS(tblDaily[Admissions],tblDaily[EntryDate],DATE(2026,3,5),tblDaily[WardCode],"ICU")),"")</f>
        <v/>
      </c>
      <c r="C89" s="29" t="str">
        <f>IFERROR(IF(SUMIFS(tblDaily[Discharges],tblDaily[EntryDate],DATE(2026,3,5),tblDaily[WardCode],"ICU")=0,"",SUMIFS(tblDaily[Discharges],tblDaily[EntryDate],DATE(2026,3,5),tblDaily[WardCode],"ICU")),"")</f>
        <v/>
      </c>
      <c r="D89" s="29" t="str">
        <f>IFERROR(IF(SUMIFS(tblDaily[Deaths],tblDaily[EntryDate],DATE(2026,3,5),tblDaily[WardCode],"ICU")=0,"",SUMIFS(tblDaily[Deaths],tblDaily[EntryDate],DATE(2026,3,5),tblDaily[WardCode],"ICU")),"")</f>
        <v/>
      </c>
      <c r="E89" s="29" t="str">
        <f>IFERROR(IF(SUMIFS(tblDaily[DeathsUnder24Hrs],tblDaily[EntryDate],DATE(2026,3,5),tblDaily[WardCode],"ICU")=0,"",SUMIFS(tblDaily[DeathsUnder24Hrs],tblDaily[EntryDate],DATE(2026,3,5),tblDaily[WardCode],"ICU")),"")</f>
        <v/>
      </c>
      <c r="F89" s="29" t="str">
        <f>IFERROR(IF(SUMIFS(tblDaily[TransfersIn],tblDaily[EntryDate],DATE(2026,3,5),tblDaily[WardCode],"ICU")=0,"",SUMIFS(tblDaily[TransfersIn],tblDaily[EntryDate],DATE(2026,3,5),tblDaily[WardCode],"ICU")),"")</f>
        <v/>
      </c>
      <c r="G89" s="29" t="str">
        <f>IFERROR(IF(SUMIFS(tblDaily[TransfersOut],tblDaily[EntryDate],DATE(2026,3,5),tblDaily[WardCode],"ICU")=0,"",SUMIFS(tblDaily[TransfersOut],tblDaily[EntryDate],DATE(2026,3,5),tblDaily[WardCode],"ICU")),"")</f>
        <v/>
      </c>
      <c r="H89" s="29" t="str">
        <f>IFERROR(IF(SUMIFS(tblDaily[Remaining],tblDaily[EntryDate],DATE(2026,3,5),tblDaily[WardCode],"ICU")=0,"",SUMIFS(tblDaily[Remaining],tblDaily[EntryDate],DATE(2026,3,5),tblDaily[WardCode],"ICU")),"")</f>
        <v/>
      </c>
    </row>
    <row r="90" spans="1:8" x14ac:dyDescent="0.25">
      <c r="A90" s="29">
        <v>6</v>
      </c>
      <c r="B90" s="29" t="str">
        <f>IFERROR(IF(SUMIFS(tblDaily[Admissions],tblDaily[EntryDate],DATE(2026,3,6),tblDaily[WardCode],"ICU")=0,"",SUMIFS(tblDaily[Admissions],tblDaily[EntryDate],DATE(2026,3,6),tblDaily[WardCode],"ICU")),"")</f>
        <v/>
      </c>
      <c r="C90" s="29" t="str">
        <f>IFERROR(IF(SUMIFS(tblDaily[Discharges],tblDaily[EntryDate],DATE(2026,3,6),tblDaily[WardCode],"ICU")=0,"",SUMIFS(tblDaily[Discharges],tblDaily[EntryDate],DATE(2026,3,6),tblDaily[WardCode],"ICU")),"")</f>
        <v/>
      </c>
      <c r="D90" s="29" t="str">
        <f>IFERROR(IF(SUMIFS(tblDaily[Deaths],tblDaily[EntryDate],DATE(2026,3,6),tblDaily[WardCode],"ICU")=0,"",SUMIFS(tblDaily[Deaths],tblDaily[EntryDate],DATE(2026,3,6),tblDaily[WardCode],"ICU")),"")</f>
        <v/>
      </c>
      <c r="E90" s="29" t="str">
        <f>IFERROR(IF(SUMIFS(tblDaily[DeathsUnder24Hrs],tblDaily[EntryDate],DATE(2026,3,6),tblDaily[WardCode],"ICU")=0,"",SUMIFS(tblDaily[DeathsUnder24Hrs],tblDaily[EntryDate],DATE(2026,3,6),tblDaily[WardCode],"ICU")),"")</f>
        <v/>
      </c>
      <c r="F90" s="29" t="str">
        <f>IFERROR(IF(SUMIFS(tblDaily[TransfersIn],tblDaily[EntryDate],DATE(2026,3,6),tblDaily[WardCode],"ICU")=0,"",SUMIFS(tblDaily[TransfersIn],tblDaily[EntryDate],DATE(2026,3,6),tblDaily[WardCode],"ICU")),"")</f>
        <v/>
      </c>
      <c r="G90" s="29" t="str">
        <f>IFERROR(IF(SUMIFS(tblDaily[TransfersOut],tblDaily[EntryDate],DATE(2026,3,6),tblDaily[WardCode],"ICU")=0,"",SUMIFS(tblDaily[TransfersOut],tblDaily[EntryDate],DATE(2026,3,6),tblDaily[WardCode],"ICU")),"")</f>
        <v/>
      </c>
      <c r="H90" s="29" t="str">
        <f>IFERROR(IF(SUMIFS(tblDaily[Remaining],tblDaily[EntryDate],DATE(2026,3,6),tblDaily[WardCode],"ICU")=0,"",SUMIFS(tblDaily[Remaining],tblDaily[EntryDate],DATE(2026,3,6),tblDaily[WardCode],"ICU")),"")</f>
        <v/>
      </c>
    </row>
    <row r="91" spans="1:8" x14ac:dyDescent="0.25">
      <c r="A91" s="29">
        <v>7</v>
      </c>
      <c r="B91" s="29" t="str">
        <f>IFERROR(IF(SUMIFS(tblDaily[Admissions],tblDaily[EntryDate],DATE(2026,3,7),tblDaily[WardCode],"ICU")=0,"",SUMIFS(tblDaily[Admissions],tblDaily[EntryDate],DATE(2026,3,7),tblDaily[WardCode],"ICU")),"")</f>
        <v/>
      </c>
      <c r="C91" s="29" t="str">
        <f>IFERROR(IF(SUMIFS(tblDaily[Discharges],tblDaily[EntryDate],DATE(2026,3,7),tblDaily[WardCode],"ICU")=0,"",SUMIFS(tblDaily[Discharges],tblDaily[EntryDate],DATE(2026,3,7),tblDaily[WardCode],"ICU")),"")</f>
        <v/>
      </c>
      <c r="D91" s="29" t="str">
        <f>IFERROR(IF(SUMIFS(tblDaily[Deaths],tblDaily[EntryDate],DATE(2026,3,7),tblDaily[WardCode],"ICU")=0,"",SUMIFS(tblDaily[Deaths],tblDaily[EntryDate],DATE(2026,3,7),tblDaily[WardCode],"ICU")),"")</f>
        <v/>
      </c>
      <c r="E91" s="29" t="str">
        <f>IFERROR(IF(SUMIFS(tblDaily[DeathsUnder24Hrs],tblDaily[EntryDate],DATE(2026,3,7),tblDaily[WardCode],"ICU")=0,"",SUMIFS(tblDaily[DeathsUnder24Hrs],tblDaily[EntryDate],DATE(2026,3,7),tblDaily[WardCode],"ICU")),"")</f>
        <v/>
      </c>
      <c r="F91" s="29" t="str">
        <f>IFERROR(IF(SUMIFS(tblDaily[TransfersIn],tblDaily[EntryDate],DATE(2026,3,7),tblDaily[WardCode],"ICU")=0,"",SUMIFS(tblDaily[TransfersIn],tblDaily[EntryDate],DATE(2026,3,7),tblDaily[WardCode],"ICU")),"")</f>
        <v/>
      </c>
      <c r="G91" s="29" t="str">
        <f>IFERROR(IF(SUMIFS(tblDaily[TransfersOut],tblDaily[EntryDate],DATE(2026,3,7),tblDaily[WardCode],"ICU")=0,"",SUMIFS(tblDaily[TransfersOut],tblDaily[EntryDate],DATE(2026,3,7),tblDaily[WardCode],"ICU")),"")</f>
        <v/>
      </c>
      <c r="H91" s="29" t="str">
        <f>IFERROR(IF(SUMIFS(tblDaily[Remaining],tblDaily[EntryDate],DATE(2026,3,7),tblDaily[WardCode],"ICU")=0,"",SUMIFS(tblDaily[Remaining],tblDaily[EntryDate],DATE(2026,3,7),tblDaily[WardCode],"ICU")),"")</f>
        <v/>
      </c>
    </row>
    <row r="92" spans="1:8" x14ac:dyDescent="0.25">
      <c r="A92" s="29">
        <v>8</v>
      </c>
      <c r="B92" s="29" t="str">
        <f>IFERROR(IF(SUMIFS(tblDaily[Admissions],tblDaily[EntryDate],DATE(2026,3,8),tblDaily[WardCode],"ICU")=0,"",SUMIFS(tblDaily[Admissions],tblDaily[EntryDate],DATE(2026,3,8),tblDaily[WardCode],"ICU")),"")</f>
        <v/>
      </c>
      <c r="C92" s="29" t="str">
        <f>IFERROR(IF(SUMIFS(tblDaily[Discharges],tblDaily[EntryDate],DATE(2026,3,8),tblDaily[WardCode],"ICU")=0,"",SUMIFS(tblDaily[Discharges],tblDaily[EntryDate],DATE(2026,3,8),tblDaily[WardCode],"ICU")),"")</f>
        <v/>
      </c>
      <c r="D92" s="29" t="str">
        <f>IFERROR(IF(SUMIFS(tblDaily[Deaths],tblDaily[EntryDate],DATE(2026,3,8),tblDaily[WardCode],"ICU")=0,"",SUMIFS(tblDaily[Deaths],tblDaily[EntryDate],DATE(2026,3,8),tblDaily[WardCode],"ICU")),"")</f>
        <v/>
      </c>
      <c r="E92" s="29" t="str">
        <f>IFERROR(IF(SUMIFS(tblDaily[DeathsUnder24Hrs],tblDaily[EntryDate],DATE(2026,3,8),tblDaily[WardCode],"ICU")=0,"",SUMIFS(tblDaily[DeathsUnder24Hrs],tblDaily[EntryDate],DATE(2026,3,8),tblDaily[WardCode],"ICU")),"")</f>
        <v/>
      </c>
      <c r="F92" s="29" t="str">
        <f>IFERROR(IF(SUMIFS(tblDaily[TransfersIn],tblDaily[EntryDate],DATE(2026,3,8),tblDaily[WardCode],"ICU")=0,"",SUMIFS(tblDaily[TransfersIn],tblDaily[EntryDate],DATE(2026,3,8),tblDaily[WardCode],"ICU")),"")</f>
        <v/>
      </c>
      <c r="G92" s="29" t="str">
        <f>IFERROR(IF(SUMIFS(tblDaily[TransfersOut],tblDaily[EntryDate],DATE(2026,3,8),tblDaily[WardCode],"ICU")=0,"",SUMIFS(tblDaily[TransfersOut],tblDaily[EntryDate],DATE(2026,3,8),tblDaily[WardCode],"ICU")),"")</f>
        <v/>
      </c>
      <c r="H92" s="29" t="str">
        <f>IFERROR(IF(SUMIFS(tblDaily[Remaining],tblDaily[EntryDate],DATE(2026,3,8),tblDaily[WardCode],"ICU")=0,"",SUMIFS(tblDaily[Remaining],tblDaily[EntryDate],DATE(2026,3,8),tblDaily[WardCode],"ICU")),"")</f>
        <v/>
      </c>
    </row>
    <row r="93" spans="1:8" x14ac:dyDescent="0.25">
      <c r="A93" s="29">
        <v>9</v>
      </c>
      <c r="B93" s="29" t="str">
        <f>IFERROR(IF(SUMIFS(tblDaily[Admissions],tblDaily[EntryDate],DATE(2026,3,9),tblDaily[WardCode],"ICU")=0,"",SUMIFS(tblDaily[Admissions],tblDaily[EntryDate],DATE(2026,3,9),tblDaily[WardCode],"ICU")),"")</f>
        <v/>
      </c>
      <c r="C93" s="29" t="str">
        <f>IFERROR(IF(SUMIFS(tblDaily[Discharges],tblDaily[EntryDate],DATE(2026,3,9),tblDaily[WardCode],"ICU")=0,"",SUMIFS(tblDaily[Discharges],tblDaily[EntryDate],DATE(2026,3,9),tblDaily[WardCode],"ICU")),"")</f>
        <v/>
      </c>
      <c r="D93" s="29" t="str">
        <f>IFERROR(IF(SUMIFS(tblDaily[Deaths],tblDaily[EntryDate],DATE(2026,3,9),tblDaily[WardCode],"ICU")=0,"",SUMIFS(tblDaily[Deaths],tblDaily[EntryDate],DATE(2026,3,9),tblDaily[WardCode],"ICU")),"")</f>
        <v/>
      </c>
      <c r="E93" s="29" t="str">
        <f>IFERROR(IF(SUMIFS(tblDaily[DeathsUnder24Hrs],tblDaily[EntryDate],DATE(2026,3,9),tblDaily[WardCode],"ICU")=0,"",SUMIFS(tblDaily[DeathsUnder24Hrs],tblDaily[EntryDate],DATE(2026,3,9),tblDaily[WardCode],"ICU")),"")</f>
        <v/>
      </c>
      <c r="F93" s="29" t="str">
        <f>IFERROR(IF(SUMIFS(tblDaily[TransfersIn],tblDaily[EntryDate],DATE(2026,3,9),tblDaily[WardCode],"ICU")=0,"",SUMIFS(tblDaily[TransfersIn],tblDaily[EntryDate],DATE(2026,3,9),tblDaily[WardCode],"ICU")),"")</f>
        <v/>
      </c>
      <c r="G93" s="29" t="str">
        <f>IFERROR(IF(SUMIFS(tblDaily[TransfersOut],tblDaily[EntryDate],DATE(2026,3,9),tblDaily[WardCode],"ICU")=0,"",SUMIFS(tblDaily[TransfersOut],tblDaily[EntryDate],DATE(2026,3,9),tblDaily[WardCode],"ICU")),"")</f>
        <v/>
      </c>
      <c r="H93" s="29" t="str">
        <f>IFERROR(IF(SUMIFS(tblDaily[Remaining],tblDaily[EntryDate],DATE(2026,3,9),tblDaily[WardCode],"ICU")=0,"",SUMIFS(tblDaily[Remaining],tblDaily[EntryDate],DATE(2026,3,9),tblDaily[WardCode],"ICU")),"")</f>
        <v/>
      </c>
    </row>
    <row r="94" spans="1:8" x14ac:dyDescent="0.25">
      <c r="A94" s="29">
        <v>10</v>
      </c>
      <c r="B94" s="29" t="str">
        <f>IFERROR(IF(SUMIFS(tblDaily[Admissions],tblDaily[EntryDate],DATE(2026,3,10),tblDaily[WardCode],"ICU")=0,"",SUMIFS(tblDaily[Admissions],tblDaily[EntryDate],DATE(2026,3,10),tblDaily[WardCode],"ICU")),"")</f>
        <v/>
      </c>
      <c r="C94" s="29" t="str">
        <f>IFERROR(IF(SUMIFS(tblDaily[Discharges],tblDaily[EntryDate],DATE(2026,3,10),tblDaily[WardCode],"ICU")=0,"",SUMIFS(tblDaily[Discharges],tblDaily[EntryDate],DATE(2026,3,10),tblDaily[WardCode],"ICU")),"")</f>
        <v/>
      </c>
      <c r="D94" s="29" t="str">
        <f>IFERROR(IF(SUMIFS(tblDaily[Deaths],tblDaily[EntryDate],DATE(2026,3,10),tblDaily[WardCode],"ICU")=0,"",SUMIFS(tblDaily[Deaths],tblDaily[EntryDate],DATE(2026,3,10),tblDaily[WardCode],"ICU")),"")</f>
        <v/>
      </c>
      <c r="E94" s="29" t="str">
        <f>IFERROR(IF(SUMIFS(tblDaily[DeathsUnder24Hrs],tblDaily[EntryDate],DATE(2026,3,10),tblDaily[WardCode],"ICU")=0,"",SUMIFS(tblDaily[DeathsUnder24Hrs],tblDaily[EntryDate],DATE(2026,3,10),tblDaily[WardCode],"ICU")),"")</f>
        <v/>
      </c>
      <c r="F94" s="29" t="str">
        <f>IFERROR(IF(SUMIFS(tblDaily[TransfersIn],tblDaily[EntryDate],DATE(2026,3,10),tblDaily[WardCode],"ICU")=0,"",SUMIFS(tblDaily[TransfersIn],tblDaily[EntryDate],DATE(2026,3,10),tblDaily[WardCode],"ICU")),"")</f>
        <v/>
      </c>
      <c r="G94" s="29" t="str">
        <f>IFERROR(IF(SUMIFS(tblDaily[TransfersOut],tblDaily[EntryDate],DATE(2026,3,10),tblDaily[WardCode],"ICU")=0,"",SUMIFS(tblDaily[TransfersOut],tblDaily[EntryDate],DATE(2026,3,10),tblDaily[WardCode],"ICU")),"")</f>
        <v/>
      </c>
      <c r="H94" s="29" t="str">
        <f>IFERROR(IF(SUMIFS(tblDaily[Remaining],tblDaily[EntryDate],DATE(2026,3,10),tblDaily[WardCode],"ICU")=0,"",SUMIFS(tblDaily[Remaining],tblDaily[EntryDate],DATE(2026,3,10),tblDaily[WardCode],"ICU")),"")</f>
        <v/>
      </c>
    </row>
    <row r="95" spans="1:8" x14ac:dyDescent="0.25">
      <c r="A95" s="29">
        <v>11</v>
      </c>
      <c r="B95" s="29" t="str">
        <f>IFERROR(IF(SUMIFS(tblDaily[Admissions],tblDaily[EntryDate],DATE(2026,3,11),tblDaily[WardCode],"ICU")=0,"",SUMIFS(tblDaily[Admissions],tblDaily[EntryDate],DATE(2026,3,11),tblDaily[WardCode],"ICU")),"")</f>
        <v/>
      </c>
      <c r="C95" s="29" t="str">
        <f>IFERROR(IF(SUMIFS(tblDaily[Discharges],tblDaily[EntryDate],DATE(2026,3,11),tblDaily[WardCode],"ICU")=0,"",SUMIFS(tblDaily[Discharges],tblDaily[EntryDate],DATE(2026,3,11),tblDaily[WardCode],"ICU")),"")</f>
        <v/>
      </c>
      <c r="D95" s="29" t="str">
        <f>IFERROR(IF(SUMIFS(tblDaily[Deaths],tblDaily[EntryDate],DATE(2026,3,11),tblDaily[WardCode],"ICU")=0,"",SUMIFS(tblDaily[Deaths],tblDaily[EntryDate],DATE(2026,3,11),tblDaily[WardCode],"ICU")),"")</f>
        <v/>
      </c>
      <c r="E95" s="29" t="str">
        <f>IFERROR(IF(SUMIFS(tblDaily[DeathsUnder24Hrs],tblDaily[EntryDate],DATE(2026,3,11),tblDaily[WardCode],"ICU")=0,"",SUMIFS(tblDaily[DeathsUnder24Hrs],tblDaily[EntryDate],DATE(2026,3,11),tblDaily[WardCode],"ICU")),"")</f>
        <v/>
      </c>
      <c r="F95" s="29" t="str">
        <f>IFERROR(IF(SUMIFS(tblDaily[TransfersIn],tblDaily[EntryDate],DATE(2026,3,11),tblDaily[WardCode],"ICU")=0,"",SUMIFS(tblDaily[TransfersIn],tblDaily[EntryDate],DATE(2026,3,11),tblDaily[WardCode],"ICU")),"")</f>
        <v/>
      </c>
      <c r="G95" s="29" t="str">
        <f>IFERROR(IF(SUMIFS(tblDaily[TransfersOut],tblDaily[EntryDate],DATE(2026,3,11),tblDaily[WardCode],"ICU")=0,"",SUMIFS(tblDaily[TransfersOut],tblDaily[EntryDate],DATE(2026,3,11),tblDaily[WardCode],"ICU")),"")</f>
        <v/>
      </c>
      <c r="H95" s="29" t="str">
        <f>IFERROR(IF(SUMIFS(tblDaily[Remaining],tblDaily[EntryDate],DATE(2026,3,11),tblDaily[WardCode],"ICU")=0,"",SUMIFS(tblDaily[Remaining],tblDaily[EntryDate],DATE(2026,3,11),tblDaily[WardCode],"ICU")),"")</f>
        <v/>
      </c>
    </row>
    <row r="96" spans="1:8" x14ac:dyDescent="0.25">
      <c r="A96" s="29">
        <v>12</v>
      </c>
      <c r="B96" s="29" t="str">
        <f>IFERROR(IF(SUMIFS(tblDaily[Admissions],tblDaily[EntryDate],DATE(2026,3,12),tblDaily[WardCode],"ICU")=0,"",SUMIFS(tblDaily[Admissions],tblDaily[EntryDate],DATE(2026,3,12),tblDaily[WardCode],"ICU")),"")</f>
        <v/>
      </c>
      <c r="C96" s="29" t="str">
        <f>IFERROR(IF(SUMIFS(tblDaily[Discharges],tblDaily[EntryDate],DATE(2026,3,12),tblDaily[WardCode],"ICU")=0,"",SUMIFS(tblDaily[Discharges],tblDaily[EntryDate],DATE(2026,3,12),tblDaily[WardCode],"ICU")),"")</f>
        <v/>
      </c>
      <c r="D96" s="29" t="str">
        <f>IFERROR(IF(SUMIFS(tblDaily[Deaths],tblDaily[EntryDate],DATE(2026,3,12),tblDaily[WardCode],"ICU")=0,"",SUMIFS(tblDaily[Deaths],tblDaily[EntryDate],DATE(2026,3,12),tblDaily[WardCode],"ICU")),"")</f>
        <v/>
      </c>
      <c r="E96" s="29" t="str">
        <f>IFERROR(IF(SUMIFS(tblDaily[DeathsUnder24Hrs],tblDaily[EntryDate],DATE(2026,3,12),tblDaily[WardCode],"ICU")=0,"",SUMIFS(tblDaily[DeathsUnder24Hrs],tblDaily[EntryDate],DATE(2026,3,12),tblDaily[WardCode],"ICU")),"")</f>
        <v/>
      </c>
      <c r="F96" s="29" t="str">
        <f>IFERROR(IF(SUMIFS(tblDaily[TransfersIn],tblDaily[EntryDate],DATE(2026,3,12),tblDaily[WardCode],"ICU")=0,"",SUMIFS(tblDaily[TransfersIn],tblDaily[EntryDate],DATE(2026,3,12),tblDaily[WardCode],"ICU")),"")</f>
        <v/>
      </c>
      <c r="G96" s="29" t="str">
        <f>IFERROR(IF(SUMIFS(tblDaily[TransfersOut],tblDaily[EntryDate],DATE(2026,3,12),tblDaily[WardCode],"ICU")=0,"",SUMIFS(tblDaily[TransfersOut],tblDaily[EntryDate],DATE(2026,3,12),tblDaily[WardCode],"ICU")),"")</f>
        <v/>
      </c>
      <c r="H96" s="29" t="str">
        <f>IFERROR(IF(SUMIFS(tblDaily[Remaining],tblDaily[EntryDate],DATE(2026,3,12),tblDaily[WardCode],"ICU")=0,"",SUMIFS(tblDaily[Remaining],tblDaily[EntryDate],DATE(2026,3,12),tblDaily[WardCode],"ICU")),"")</f>
        <v/>
      </c>
    </row>
    <row r="97" spans="1:8" x14ac:dyDescent="0.25">
      <c r="A97" s="29">
        <v>13</v>
      </c>
      <c r="B97" s="29" t="str">
        <f>IFERROR(IF(SUMIFS(tblDaily[Admissions],tblDaily[EntryDate],DATE(2026,3,13),tblDaily[WardCode],"ICU")=0,"",SUMIFS(tblDaily[Admissions],tblDaily[EntryDate],DATE(2026,3,13),tblDaily[WardCode],"ICU")),"")</f>
        <v/>
      </c>
      <c r="C97" s="29" t="str">
        <f>IFERROR(IF(SUMIFS(tblDaily[Discharges],tblDaily[EntryDate],DATE(2026,3,13),tblDaily[WardCode],"ICU")=0,"",SUMIFS(tblDaily[Discharges],tblDaily[EntryDate],DATE(2026,3,13),tblDaily[WardCode],"ICU")),"")</f>
        <v/>
      </c>
      <c r="D97" s="29" t="str">
        <f>IFERROR(IF(SUMIFS(tblDaily[Deaths],tblDaily[EntryDate],DATE(2026,3,13),tblDaily[WardCode],"ICU")=0,"",SUMIFS(tblDaily[Deaths],tblDaily[EntryDate],DATE(2026,3,13),tblDaily[WardCode],"ICU")),"")</f>
        <v/>
      </c>
      <c r="E97" s="29" t="str">
        <f>IFERROR(IF(SUMIFS(tblDaily[DeathsUnder24Hrs],tblDaily[EntryDate],DATE(2026,3,13),tblDaily[WardCode],"ICU")=0,"",SUMIFS(tblDaily[DeathsUnder24Hrs],tblDaily[EntryDate],DATE(2026,3,13),tblDaily[WardCode],"ICU")),"")</f>
        <v/>
      </c>
      <c r="F97" s="29" t="str">
        <f>IFERROR(IF(SUMIFS(tblDaily[TransfersIn],tblDaily[EntryDate],DATE(2026,3,13),tblDaily[WardCode],"ICU")=0,"",SUMIFS(tblDaily[TransfersIn],tblDaily[EntryDate],DATE(2026,3,13),tblDaily[WardCode],"ICU")),"")</f>
        <v/>
      </c>
      <c r="G97" s="29" t="str">
        <f>IFERROR(IF(SUMIFS(tblDaily[TransfersOut],tblDaily[EntryDate],DATE(2026,3,13),tblDaily[WardCode],"ICU")=0,"",SUMIFS(tblDaily[TransfersOut],tblDaily[EntryDate],DATE(2026,3,13),tblDaily[WardCode],"ICU")),"")</f>
        <v/>
      </c>
      <c r="H97" s="29" t="str">
        <f>IFERROR(IF(SUMIFS(tblDaily[Remaining],tblDaily[EntryDate],DATE(2026,3,13),tblDaily[WardCode],"ICU")=0,"",SUMIFS(tblDaily[Remaining],tblDaily[EntryDate],DATE(2026,3,13),tblDaily[WardCode],"ICU")),"")</f>
        <v/>
      </c>
    </row>
    <row r="98" spans="1:8" x14ac:dyDescent="0.25">
      <c r="A98" s="29">
        <v>14</v>
      </c>
      <c r="B98" s="29" t="str">
        <f>IFERROR(IF(SUMIFS(tblDaily[Admissions],tblDaily[EntryDate],DATE(2026,3,14),tblDaily[WardCode],"ICU")=0,"",SUMIFS(tblDaily[Admissions],tblDaily[EntryDate],DATE(2026,3,14),tblDaily[WardCode],"ICU")),"")</f>
        <v/>
      </c>
      <c r="C98" s="29" t="str">
        <f>IFERROR(IF(SUMIFS(tblDaily[Discharges],tblDaily[EntryDate],DATE(2026,3,14),tblDaily[WardCode],"ICU")=0,"",SUMIFS(tblDaily[Discharges],tblDaily[EntryDate],DATE(2026,3,14),tblDaily[WardCode],"ICU")),"")</f>
        <v/>
      </c>
      <c r="D98" s="29" t="str">
        <f>IFERROR(IF(SUMIFS(tblDaily[Deaths],tblDaily[EntryDate],DATE(2026,3,14),tblDaily[WardCode],"ICU")=0,"",SUMIFS(tblDaily[Deaths],tblDaily[EntryDate],DATE(2026,3,14),tblDaily[WardCode],"ICU")),"")</f>
        <v/>
      </c>
      <c r="E98" s="29" t="str">
        <f>IFERROR(IF(SUMIFS(tblDaily[DeathsUnder24Hrs],tblDaily[EntryDate],DATE(2026,3,14),tblDaily[WardCode],"ICU")=0,"",SUMIFS(tblDaily[DeathsUnder24Hrs],tblDaily[EntryDate],DATE(2026,3,14),tblDaily[WardCode],"ICU")),"")</f>
        <v/>
      </c>
      <c r="F98" s="29" t="str">
        <f>IFERROR(IF(SUMIFS(tblDaily[TransfersIn],tblDaily[EntryDate],DATE(2026,3,14),tblDaily[WardCode],"ICU")=0,"",SUMIFS(tblDaily[TransfersIn],tblDaily[EntryDate],DATE(2026,3,14),tblDaily[WardCode],"ICU")),"")</f>
        <v/>
      </c>
      <c r="G98" s="29" t="str">
        <f>IFERROR(IF(SUMIFS(tblDaily[TransfersOut],tblDaily[EntryDate],DATE(2026,3,14),tblDaily[WardCode],"ICU")=0,"",SUMIFS(tblDaily[TransfersOut],tblDaily[EntryDate],DATE(2026,3,14),tblDaily[WardCode],"ICU")),"")</f>
        <v/>
      </c>
      <c r="H98" s="29" t="str">
        <f>IFERROR(IF(SUMIFS(tblDaily[Remaining],tblDaily[EntryDate],DATE(2026,3,14),tblDaily[WardCode],"ICU")=0,"",SUMIFS(tblDaily[Remaining],tblDaily[EntryDate],DATE(2026,3,14),tblDaily[WardCode],"ICU")),"")</f>
        <v/>
      </c>
    </row>
    <row r="99" spans="1:8" x14ac:dyDescent="0.25">
      <c r="A99" s="29">
        <v>15</v>
      </c>
      <c r="B99" s="29" t="str">
        <f>IFERROR(IF(SUMIFS(tblDaily[Admissions],tblDaily[EntryDate],DATE(2026,3,15),tblDaily[WardCode],"ICU")=0,"",SUMIFS(tblDaily[Admissions],tblDaily[EntryDate],DATE(2026,3,15),tblDaily[WardCode],"ICU")),"")</f>
        <v/>
      </c>
      <c r="C99" s="29" t="str">
        <f>IFERROR(IF(SUMIFS(tblDaily[Discharges],tblDaily[EntryDate],DATE(2026,3,15),tblDaily[WardCode],"ICU")=0,"",SUMIFS(tblDaily[Discharges],tblDaily[EntryDate],DATE(2026,3,15),tblDaily[WardCode],"ICU")),"")</f>
        <v/>
      </c>
      <c r="D99" s="29" t="str">
        <f>IFERROR(IF(SUMIFS(tblDaily[Deaths],tblDaily[EntryDate],DATE(2026,3,15),tblDaily[WardCode],"ICU")=0,"",SUMIFS(tblDaily[Deaths],tblDaily[EntryDate],DATE(2026,3,15),tblDaily[WardCode],"ICU")),"")</f>
        <v/>
      </c>
      <c r="E99" s="29" t="str">
        <f>IFERROR(IF(SUMIFS(tblDaily[DeathsUnder24Hrs],tblDaily[EntryDate],DATE(2026,3,15),tblDaily[WardCode],"ICU")=0,"",SUMIFS(tblDaily[DeathsUnder24Hrs],tblDaily[EntryDate],DATE(2026,3,15),tblDaily[WardCode],"ICU")),"")</f>
        <v/>
      </c>
      <c r="F99" s="29" t="str">
        <f>IFERROR(IF(SUMIFS(tblDaily[TransfersIn],tblDaily[EntryDate],DATE(2026,3,15),tblDaily[WardCode],"ICU")=0,"",SUMIFS(tblDaily[TransfersIn],tblDaily[EntryDate],DATE(2026,3,15),tblDaily[WardCode],"ICU")),"")</f>
        <v/>
      </c>
      <c r="G99" s="29" t="str">
        <f>IFERROR(IF(SUMIFS(tblDaily[TransfersOut],tblDaily[EntryDate],DATE(2026,3,15),tblDaily[WardCode],"ICU")=0,"",SUMIFS(tblDaily[TransfersOut],tblDaily[EntryDate],DATE(2026,3,15),tblDaily[WardCode],"ICU")),"")</f>
        <v/>
      </c>
      <c r="H99" s="29" t="str">
        <f>IFERROR(IF(SUMIFS(tblDaily[Remaining],tblDaily[EntryDate],DATE(2026,3,15),tblDaily[WardCode],"ICU")=0,"",SUMIFS(tblDaily[Remaining],tblDaily[EntryDate],DATE(2026,3,15),tblDaily[WardCode],"ICU")),"")</f>
        <v/>
      </c>
    </row>
    <row r="100" spans="1:8" x14ac:dyDescent="0.25">
      <c r="A100" s="29">
        <v>16</v>
      </c>
      <c r="B100" s="29" t="str">
        <f>IFERROR(IF(SUMIFS(tblDaily[Admissions],tblDaily[EntryDate],DATE(2026,3,16),tblDaily[WardCode],"ICU")=0,"",SUMIFS(tblDaily[Admissions],tblDaily[EntryDate],DATE(2026,3,16),tblDaily[WardCode],"ICU")),"")</f>
        <v/>
      </c>
      <c r="C100" s="29" t="str">
        <f>IFERROR(IF(SUMIFS(tblDaily[Discharges],tblDaily[EntryDate],DATE(2026,3,16),tblDaily[WardCode],"ICU")=0,"",SUMIFS(tblDaily[Discharges],tblDaily[EntryDate],DATE(2026,3,16),tblDaily[WardCode],"ICU")),"")</f>
        <v/>
      </c>
      <c r="D100" s="29" t="str">
        <f>IFERROR(IF(SUMIFS(tblDaily[Deaths],tblDaily[EntryDate],DATE(2026,3,16),tblDaily[WardCode],"ICU")=0,"",SUMIFS(tblDaily[Deaths],tblDaily[EntryDate],DATE(2026,3,16),tblDaily[WardCode],"ICU")),"")</f>
        <v/>
      </c>
      <c r="E100" s="29" t="str">
        <f>IFERROR(IF(SUMIFS(tblDaily[DeathsUnder24Hrs],tblDaily[EntryDate],DATE(2026,3,16),tblDaily[WardCode],"ICU")=0,"",SUMIFS(tblDaily[DeathsUnder24Hrs],tblDaily[EntryDate],DATE(2026,3,16),tblDaily[WardCode],"ICU")),"")</f>
        <v/>
      </c>
      <c r="F100" s="29" t="str">
        <f>IFERROR(IF(SUMIFS(tblDaily[TransfersIn],tblDaily[EntryDate],DATE(2026,3,16),tblDaily[WardCode],"ICU")=0,"",SUMIFS(tblDaily[TransfersIn],tblDaily[EntryDate],DATE(2026,3,16),tblDaily[WardCode],"ICU")),"")</f>
        <v/>
      </c>
      <c r="G100" s="29" t="str">
        <f>IFERROR(IF(SUMIFS(tblDaily[TransfersOut],tblDaily[EntryDate],DATE(2026,3,16),tblDaily[WardCode],"ICU")=0,"",SUMIFS(tblDaily[TransfersOut],tblDaily[EntryDate],DATE(2026,3,16),tblDaily[WardCode],"ICU")),"")</f>
        <v/>
      </c>
      <c r="H100" s="29" t="str">
        <f>IFERROR(IF(SUMIFS(tblDaily[Remaining],tblDaily[EntryDate],DATE(2026,3,16),tblDaily[WardCode],"ICU")=0,"",SUMIFS(tblDaily[Remaining],tblDaily[EntryDate],DATE(2026,3,16),tblDaily[WardCode],"ICU")),"")</f>
        <v/>
      </c>
    </row>
    <row r="101" spans="1:8" x14ac:dyDescent="0.25">
      <c r="A101" s="29">
        <v>17</v>
      </c>
      <c r="B101" s="29" t="str">
        <f>IFERROR(IF(SUMIFS(tblDaily[Admissions],tblDaily[EntryDate],DATE(2026,3,17),tblDaily[WardCode],"ICU")=0,"",SUMIFS(tblDaily[Admissions],tblDaily[EntryDate],DATE(2026,3,17),tblDaily[WardCode],"ICU")),"")</f>
        <v/>
      </c>
      <c r="C101" s="29" t="str">
        <f>IFERROR(IF(SUMIFS(tblDaily[Discharges],tblDaily[EntryDate],DATE(2026,3,17),tblDaily[WardCode],"ICU")=0,"",SUMIFS(tblDaily[Discharges],tblDaily[EntryDate],DATE(2026,3,17),tblDaily[WardCode],"ICU")),"")</f>
        <v/>
      </c>
      <c r="D101" s="29" t="str">
        <f>IFERROR(IF(SUMIFS(tblDaily[Deaths],tblDaily[EntryDate],DATE(2026,3,17),tblDaily[WardCode],"ICU")=0,"",SUMIFS(tblDaily[Deaths],tblDaily[EntryDate],DATE(2026,3,17),tblDaily[WardCode],"ICU")),"")</f>
        <v/>
      </c>
      <c r="E101" s="29" t="str">
        <f>IFERROR(IF(SUMIFS(tblDaily[DeathsUnder24Hrs],tblDaily[EntryDate],DATE(2026,3,17),tblDaily[WardCode],"ICU")=0,"",SUMIFS(tblDaily[DeathsUnder24Hrs],tblDaily[EntryDate],DATE(2026,3,17),tblDaily[WardCode],"ICU")),"")</f>
        <v/>
      </c>
      <c r="F101" s="29" t="str">
        <f>IFERROR(IF(SUMIFS(tblDaily[TransfersIn],tblDaily[EntryDate],DATE(2026,3,17),tblDaily[WardCode],"ICU")=0,"",SUMIFS(tblDaily[TransfersIn],tblDaily[EntryDate],DATE(2026,3,17),tblDaily[WardCode],"ICU")),"")</f>
        <v/>
      </c>
      <c r="G101" s="29" t="str">
        <f>IFERROR(IF(SUMIFS(tblDaily[TransfersOut],tblDaily[EntryDate],DATE(2026,3,17),tblDaily[WardCode],"ICU")=0,"",SUMIFS(tblDaily[TransfersOut],tblDaily[EntryDate],DATE(2026,3,17),tblDaily[WardCode],"ICU")),"")</f>
        <v/>
      </c>
      <c r="H101" s="29" t="str">
        <f>IFERROR(IF(SUMIFS(tblDaily[Remaining],tblDaily[EntryDate],DATE(2026,3,17),tblDaily[WardCode],"ICU")=0,"",SUMIFS(tblDaily[Remaining],tblDaily[EntryDate],DATE(2026,3,17),tblDaily[WardCode],"ICU")),"")</f>
        <v/>
      </c>
    </row>
    <row r="102" spans="1:8" x14ac:dyDescent="0.25">
      <c r="A102" s="29">
        <v>18</v>
      </c>
      <c r="B102" s="29" t="str">
        <f>IFERROR(IF(SUMIFS(tblDaily[Admissions],tblDaily[EntryDate],DATE(2026,3,18),tblDaily[WardCode],"ICU")=0,"",SUMIFS(tblDaily[Admissions],tblDaily[EntryDate],DATE(2026,3,18),tblDaily[WardCode],"ICU")),"")</f>
        <v/>
      </c>
      <c r="C102" s="29" t="str">
        <f>IFERROR(IF(SUMIFS(tblDaily[Discharges],tblDaily[EntryDate],DATE(2026,3,18),tblDaily[WardCode],"ICU")=0,"",SUMIFS(tblDaily[Discharges],tblDaily[EntryDate],DATE(2026,3,18),tblDaily[WardCode],"ICU")),"")</f>
        <v/>
      </c>
      <c r="D102" s="29" t="str">
        <f>IFERROR(IF(SUMIFS(tblDaily[Deaths],tblDaily[EntryDate],DATE(2026,3,18),tblDaily[WardCode],"ICU")=0,"",SUMIFS(tblDaily[Deaths],tblDaily[EntryDate],DATE(2026,3,18),tblDaily[WardCode],"ICU")),"")</f>
        <v/>
      </c>
      <c r="E102" s="29" t="str">
        <f>IFERROR(IF(SUMIFS(tblDaily[DeathsUnder24Hrs],tblDaily[EntryDate],DATE(2026,3,18),tblDaily[WardCode],"ICU")=0,"",SUMIFS(tblDaily[DeathsUnder24Hrs],tblDaily[EntryDate],DATE(2026,3,18),tblDaily[WardCode],"ICU")),"")</f>
        <v/>
      </c>
      <c r="F102" s="29" t="str">
        <f>IFERROR(IF(SUMIFS(tblDaily[TransfersIn],tblDaily[EntryDate],DATE(2026,3,18),tblDaily[WardCode],"ICU")=0,"",SUMIFS(tblDaily[TransfersIn],tblDaily[EntryDate],DATE(2026,3,18),tblDaily[WardCode],"ICU")),"")</f>
        <v/>
      </c>
      <c r="G102" s="29" t="str">
        <f>IFERROR(IF(SUMIFS(tblDaily[TransfersOut],tblDaily[EntryDate],DATE(2026,3,18),tblDaily[WardCode],"ICU")=0,"",SUMIFS(tblDaily[TransfersOut],tblDaily[EntryDate],DATE(2026,3,18),tblDaily[WardCode],"ICU")),"")</f>
        <v/>
      </c>
      <c r="H102" s="29" t="str">
        <f>IFERROR(IF(SUMIFS(tblDaily[Remaining],tblDaily[EntryDate],DATE(2026,3,18),tblDaily[WardCode],"ICU")=0,"",SUMIFS(tblDaily[Remaining],tblDaily[EntryDate],DATE(2026,3,18),tblDaily[WardCode],"ICU")),"")</f>
        <v/>
      </c>
    </row>
    <row r="103" spans="1:8" x14ac:dyDescent="0.25">
      <c r="A103" s="29">
        <v>19</v>
      </c>
      <c r="B103" s="29" t="str">
        <f>IFERROR(IF(SUMIFS(tblDaily[Admissions],tblDaily[EntryDate],DATE(2026,3,19),tblDaily[WardCode],"ICU")=0,"",SUMIFS(tblDaily[Admissions],tblDaily[EntryDate],DATE(2026,3,19),tblDaily[WardCode],"ICU")),"")</f>
        <v/>
      </c>
      <c r="C103" s="29" t="str">
        <f>IFERROR(IF(SUMIFS(tblDaily[Discharges],tblDaily[EntryDate],DATE(2026,3,19),tblDaily[WardCode],"ICU")=0,"",SUMIFS(tblDaily[Discharges],tblDaily[EntryDate],DATE(2026,3,19),tblDaily[WardCode],"ICU")),"")</f>
        <v/>
      </c>
      <c r="D103" s="29" t="str">
        <f>IFERROR(IF(SUMIFS(tblDaily[Deaths],tblDaily[EntryDate],DATE(2026,3,19),tblDaily[WardCode],"ICU")=0,"",SUMIFS(tblDaily[Deaths],tblDaily[EntryDate],DATE(2026,3,19),tblDaily[WardCode],"ICU")),"")</f>
        <v/>
      </c>
      <c r="E103" s="29" t="str">
        <f>IFERROR(IF(SUMIFS(tblDaily[DeathsUnder24Hrs],tblDaily[EntryDate],DATE(2026,3,19),tblDaily[WardCode],"ICU")=0,"",SUMIFS(tblDaily[DeathsUnder24Hrs],tblDaily[EntryDate],DATE(2026,3,19),tblDaily[WardCode],"ICU")),"")</f>
        <v/>
      </c>
      <c r="F103" s="29" t="str">
        <f>IFERROR(IF(SUMIFS(tblDaily[TransfersIn],tblDaily[EntryDate],DATE(2026,3,19),tblDaily[WardCode],"ICU")=0,"",SUMIFS(tblDaily[TransfersIn],tblDaily[EntryDate],DATE(2026,3,19),tblDaily[WardCode],"ICU")),"")</f>
        <v/>
      </c>
      <c r="G103" s="29" t="str">
        <f>IFERROR(IF(SUMIFS(tblDaily[TransfersOut],tblDaily[EntryDate],DATE(2026,3,19),tblDaily[WardCode],"ICU")=0,"",SUMIFS(tblDaily[TransfersOut],tblDaily[EntryDate],DATE(2026,3,19),tblDaily[WardCode],"ICU")),"")</f>
        <v/>
      </c>
      <c r="H103" s="29" t="str">
        <f>IFERROR(IF(SUMIFS(tblDaily[Remaining],tblDaily[EntryDate],DATE(2026,3,19),tblDaily[WardCode],"ICU")=0,"",SUMIFS(tblDaily[Remaining],tblDaily[EntryDate],DATE(2026,3,19),tblDaily[WardCode],"ICU")),"")</f>
        <v/>
      </c>
    </row>
    <row r="104" spans="1:8" x14ac:dyDescent="0.25">
      <c r="A104" s="29">
        <v>20</v>
      </c>
      <c r="B104" s="29" t="str">
        <f>IFERROR(IF(SUMIFS(tblDaily[Admissions],tblDaily[EntryDate],DATE(2026,3,20),tblDaily[WardCode],"ICU")=0,"",SUMIFS(tblDaily[Admissions],tblDaily[EntryDate],DATE(2026,3,20),tblDaily[WardCode],"ICU")),"")</f>
        <v/>
      </c>
      <c r="C104" s="29" t="str">
        <f>IFERROR(IF(SUMIFS(tblDaily[Discharges],tblDaily[EntryDate],DATE(2026,3,20),tblDaily[WardCode],"ICU")=0,"",SUMIFS(tblDaily[Discharges],tblDaily[EntryDate],DATE(2026,3,20),tblDaily[WardCode],"ICU")),"")</f>
        <v/>
      </c>
      <c r="D104" s="29" t="str">
        <f>IFERROR(IF(SUMIFS(tblDaily[Deaths],tblDaily[EntryDate],DATE(2026,3,20),tblDaily[WardCode],"ICU")=0,"",SUMIFS(tblDaily[Deaths],tblDaily[EntryDate],DATE(2026,3,20),tblDaily[WardCode],"ICU")),"")</f>
        <v/>
      </c>
      <c r="E104" s="29" t="str">
        <f>IFERROR(IF(SUMIFS(tblDaily[DeathsUnder24Hrs],tblDaily[EntryDate],DATE(2026,3,20),tblDaily[WardCode],"ICU")=0,"",SUMIFS(tblDaily[DeathsUnder24Hrs],tblDaily[EntryDate],DATE(2026,3,20),tblDaily[WardCode],"ICU")),"")</f>
        <v/>
      </c>
      <c r="F104" s="29" t="str">
        <f>IFERROR(IF(SUMIFS(tblDaily[TransfersIn],tblDaily[EntryDate],DATE(2026,3,20),tblDaily[WardCode],"ICU")=0,"",SUMIFS(tblDaily[TransfersIn],tblDaily[EntryDate],DATE(2026,3,20),tblDaily[WardCode],"ICU")),"")</f>
        <v/>
      </c>
      <c r="G104" s="29" t="str">
        <f>IFERROR(IF(SUMIFS(tblDaily[TransfersOut],tblDaily[EntryDate],DATE(2026,3,20),tblDaily[WardCode],"ICU")=0,"",SUMIFS(tblDaily[TransfersOut],tblDaily[EntryDate],DATE(2026,3,20),tblDaily[WardCode],"ICU")),"")</f>
        <v/>
      </c>
      <c r="H104" s="29" t="str">
        <f>IFERROR(IF(SUMIFS(tblDaily[Remaining],tblDaily[EntryDate],DATE(2026,3,20),tblDaily[WardCode],"ICU")=0,"",SUMIFS(tblDaily[Remaining],tblDaily[EntryDate],DATE(2026,3,20),tblDaily[WardCode],"ICU")),"")</f>
        <v/>
      </c>
    </row>
    <row r="105" spans="1:8" x14ac:dyDescent="0.25">
      <c r="A105" s="29">
        <v>21</v>
      </c>
      <c r="B105" s="29" t="str">
        <f>IFERROR(IF(SUMIFS(tblDaily[Admissions],tblDaily[EntryDate],DATE(2026,3,21),tblDaily[WardCode],"ICU")=0,"",SUMIFS(tblDaily[Admissions],tblDaily[EntryDate],DATE(2026,3,21),tblDaily[WardCode],"ICU")),"")</f>
        <v/>
      </c>
      <c r="C105" s="29" t="str">
        <f>IFERROR(IF(SUMIFS(tblDaily[Discharges],tblDaily[EntryDate],DATE(2026,3,21),tblDaily[WardCode],"ICU")=0,"",SUMIFS(tblDaily[Discharges],tblDaily[EntryDate],DATE(2026,3,21),tblDaily[WardCode],"ICU")),"")</f>
        <v/>
      </c>
      <c r="D105" s="29" t="str">
        <f>IFERROR(IF(SUMIFS(tblDaily[Deaths],tblDaily[EntryDate],DATE(2026,3,21),tblDaily[WardCode],"ICU")=0,"",SUMIFS(tblDaily[Deaths],tblDaily[EntryDate],DATE(2026,3,21),tblDaily[WardCode],"ICU")),"")</f>
        <v/>
      </c>
      <c r="E105" s="29" t="str">
        <f>IFERROR(IF(SUMIFS(tblDaily[DeathsUnder24Hrs],tblDaily[EntryDate],DATE(2026,3,21),tblDaily[WardCode],"ICU")=0,"",SUMIFS(tblDaily[DeathsUnder24Hrs],tblDaily[EntryDate],DATE(2026,3,21),tblDaily[WardCode],"ICU")),"")</f>
        <v/>
      </c>
      <c r="F105" s="29" t="str">
        <f>IFERROR(IF(SUMIFS(tblDaily[TransfersIn],tblDaily[EntryDate],DATE(2026,3,21),tblDaily[WardCode],"ICU")=0,"",SUMIFS(tblDaily[TransfersIn],tblDaily[EntryDate],DATE(2026,3,21),tblDaily[WardCode],"ICU")),"")</f>
        <v/>
      </c>
      <c r="G105" s="29" t="str">
        <f>IFERROR(IF(SUMIFS(tblDaily[TransfersOut],tblDaily[EntryDate],DATE(2026,3,21),tblDaily[WardCode],"ICU")=0,"",SUMIFS(tblDaily[TransfersOut],tblDaily[EntryDate],DATE(2026,3,21),tblDaily[WardCode],"ICU")),"")</f>
        <v/>
      </c>
      <c r="H105" s="29" t="str">
        <f>IFERROR(IF(SUMIFS(tblDaily[Remaining],tblDaily[EntryDate],DATE(2026,3,21),tblDaily[WardCode],"ICU")=0,"",SUMIFS(tblDaily[Remaining],tblDaily[EntryDate],DATE(2026,3,21),tblDaily[WardCode],"ICU")),"")</f>
        <v/>
      </c>
    </row>
    <row r="106" spans="1:8" x14ac:dyDescent="0.25">
      <c r="A106" s="29">
        <v>22</v>
      </c>
      <c r="B106" s="29" t="str">
        <f>IFERROR(IF(SUMIFS(tblDaily[Admissions],tblDaily[EntryDate],DATE(2026,3,22),tblDaily[WardCode],"ICU")=0,"",SUMIFS(tblDaily[Admissions],tblDaily[EntryDate],DATE(2026,3,22),tblDaily[WardCode],"ICU")),"")</f>
        <v/>
      </c>
      <c r="C106" s="29" t="str">
        <f>IFERROR(IF(SUMIFS(tblDaily[Discharges],tblDaily[EntryDate],DATE(2026,3,22),tblDaily[WardCode],"ICU")=0,"",SUMIFS(tblDaily[Discharges],tblDaily[EntryDate],DATE(2026,3,22),tblDaily[WardCode],"ICU")),"")</f>
        <v/>
      </c>
      <c r="D106" s="29" t="str">
        <f>IFERROR(IF(SUMIFS(tblDaily[Deaths],tblDaily[EntryDate],DATE(2026,3,22),tblDaily[WardCode],"ICU")=0,"",SUMIFS(tblDaily[Deaths],tblDaily[EntryDate],DATE(2026,3,22),tblDaily[WardCode],"ICU")),"")</f>
        <v/>
      </c>
      <c r="E106" s="29" t="str">
        <f>IFERROR(IF(SUMIFS(tblDaily[DeathsUnder24Hrs],tblDaily[EntryDate],DATE(2026,3,22),tblDaily[WardCode],"ICU")=0,"",SUMIFS(tblDaily[DeathsUnder24Hrs],tblDaily[EntryDate],DATE(2026,3,22),tblDaily[WardCode],"ICU")),"")</f>
        <v/>
      </c>
      <c r="F106" s="29" t="str">
        <f>IFERROR(IF(SUMIFS(tblDaily[TransfersIn],tblDaily[EntryDate],DATE(2026,3,22),tblDaily[WardCode],"ICU")=0,"",SUMIFS(tblDaily[TransfersIn],tblDaily[EntryDate],DATE(2026,3,22),tblDaily[WardCode],"ICU")),"")</f>
        <v/>
      </c>
      <c r="G106" s="29" t="str">
        <f>IFERROR(IF(SUMIFS(tblDaily[TransfersOut],tblDaily[EntryDate],DATE(2026,3,22),tblDaily[WardCode],"ICU")=0,"",SUMIFS(tblDaily[TransfersOut],tblDaily[EntryDate],DATE(2026,3,22),tblDaily[WardCode],"ICU")),"")</f>
        <v/>
      </c>
      <c r="H106" s="29" t="str">
        <f>IFERROR(IF(SUMIFS(tblDaily[Remaining],tblDaily[EntryDate],DATE(2026,3,22),tblDaily[WardCode],"ICU")=0,"",SUMIFS(tblDaily[Remaining],tblDaily[EntryDate],DATE(2026,3,22),tblDaily[WardCode],"ICU")),"")</f>
        <v/>
      </c>
    </row>
    <row r="107" spans="1:8" x14ac:dyDescent="0.25">
      <c r="A107" s="29">
        <v>23</v>
      </c>
      <c r="B107" s="29" t="str">
        <f>IFERROR(IF(SUMIFS(tblDaily[Admissions],tblDaily[EntryDate],DATE(2026,3,23),tblDaily[WardCode],"ICU")=0,"",SUMIFS(tblDaily[Admissions],tblDaily[EntryDate],DATE(2026,3,23),tblDaily[WardCode],"ICU")),"")</f>
        <v/>
      </c>
      <c r="C107" s="29" t="str">
        <f>IFERROR(IF(SUMIFS(tblDaily[Discharges],tblDaily[EntryDate],DATE(2026,3,23),tblDaily[WardCode],"ICU")=0,"",SUMIFS(tblDaily[Discharges],tblDaily[EntryDate],DATE(2026,3,23),tblDaily[WardCode],"ICU")),"")</f>
        <v/>
      </c>
      <c r="D107" s="29" t="str">
        <f>IFERROR(IF(SUMIFS(tblDaily[Deaths],tblDaily[EntryDate],DATE(2026,3,23),tblDaily[WardCode],"ICU")=0,"",SUMIFS(tblDaily[Deaths],tblDaily[EntryDate],DATE(2026,3,23),tblDaily[WardCode],"ICU")),"")</f>
        <v/>
      </c>
      <c r="E107" s="29" t="str">
        <f>IFERROR(IF(SUMIFS(tblDaily[DeathsUnder24Hrs],tblDaily[EntryDate],DATE(2026,3,23),tblDaily[WardCode],"ICU")=0,"",SUMIFS(tblDaily[DeathsUnder24Hrs],tblDaily[EntryDate],DATE(2026,3,23),tblDaily[WardCode],"ICU")),"")</f>
        <v/>
      </c>
      <c r="F107" s="29" t="str">
        <f>IFERROR(IF(SUMIFS(tblDaily[TransfersIn],tblDaily[EntryDate],DATE(2026,3,23),tblDaily[WardCode],"ICU")=0,"",SUMIFS(tblDaily[TransfersIn],tblDaily[EntryDate],DATE(2026,3,23),tblDaily[WardCode],"ICU")),"")</f>
        <v/>
      </c>
      <c r="G107" s="29" t="str">
        <f>IFERROR(IF(SUMIFS(tblDaily[TransfersOut],tblDaily[EntryDate],DATE(2026,3,23),tblDaily[WardCode],"ICU")=0,"",SUMIFS(tblDaily[TransfersOut],tblDaily[EntryDate],DATE(2026,3,23),tblDaily[WardCode],"ICU")),"")</f>
        <v/>
      </c>
      <c r="H107" s="29" t="str">
        <f>IFERROR(IF(SUMIFS(tblDaily[Remaining],tblDaily[EntryDate],DATE(2026,3,23),tblDaily[WardCode],"ICU")=0,"",SUMIFS(tblDaily[Remaining],tblDaily[EntryDate],DATE(2026,3,23),tblDaily[WardCode],"ICU")),"")</f>
        <v/>
      </c>
    </row>
    <row r="108" spans="1:8" x14ac:dyDescent="0.25">
      <c r="A108" s="29">
        <v>24</v>
      </c>
      <c r="B108" s="29" t="str">
        <f>IFERROR(IF(SUMIFS(tblDaily[Admissions],tblDaily[EntryDate],DATE(2026,3,24),tblDaily[WardCode],"ICU")=0,"",SUMIFS(tblDaily[Admissions],tblDaily[EntryDate],DATE(2026,3,24),tblDaily[WardCode],"ICU")),"")</f>
        <v/>
      </c>
      <c r="C108" s="29" t="str">
        <f>IFERROR(IF(SUMIFS(tblDaily[Discharges],tblDaily[EntryDate],DATE(2026,3,24),tblDaily[WardCode],"ICU")=0,"",SUMIFS(tblDaily[Discharges],tblDaily[EntryDate],DATE(2026,3,24),tblDaily[WardCode],"ICU")),"")</f>
        <v/>
      </c>
      <c r="D108" s="29" t="str">
        <f>IFERROR(IF(SUMIFS(tblDaily[Deaths],tblDaily[EntryDate],DATE(2026,3,24),tblDaily[WardCode],"ICU")=0,"",SUMIFS(tblDaily[Deaths],tblDaily[EntryDate],DATE(2026,3,24),tblDaily[WardCode],"ICU")),"")</f>
        <v/>
      </c>
      <c r="E108" s="29" t="str">
        <f>IFERROR(IF(SUMIFS(tblDaily[DeathsUnder24Hrs],tblDaily[EntryDate],DATE(2026,3,24),tblDaily[WardCode],"ICU")=0,"",SUMIFS(tblDaily[DeathsUnder24Hrs],tblDaily[EntryDate],DATE(2026,3,24),tblDaily[WardCode],"ICU")),"")</f>
        <v/>
      </c>
      <c r="F108" s="29" t="str">
        <f>IFERROR(IF(SUMIFS(tblDaily[TransfersIn],tblDaily[EntryDate],DATE(2026,3,24),tblDaily[WardCode],"ICU")=0,"",SUMIFS(tblDaily[TransfersIn],tblDaily[EntryDate],DATE(2026,3,24),tblDaily[WardCode],"ICU")),"")</f>
        <v/>
      </c>
      <c r="G108" s="29" t="str">
        <f>IFERROR(IF(SUMIFS(tblDaily[TransfersOut],tblDaily[EntryDate],DATE(2026,3,24),tblDaily[WardCode],"ICU")=0,"",SUMIFS(tblDaily[TransfersOut],tblDaily[EntryDate],DATE(2026,3,24),tblDaily[WardCode],"ICU")),"")</f>
        <v/>
      </c>
      <c r="H108" s="29" t="str">
        <f>IFERROR(IF(SUMIFS(tblDaily[Remaining],tblDaily[EntryDate],DATE(2026,3,24),tblDaily[WardCode],"ICU")=0,"",SUMIFS(tblDaily[Remaining],tblDaily[EntryDate],DATE(2026,3,24),tblDaily[WardCode],"ICU")),"")</f>
        <v/>
      </c>
    </row>
    <row r="109" spans="1:8" x14ac:dyDescent="0.25">
      <c r="A109" s="29">
        <v>25</v>
      </c>
      <c r="B109" s="29" t="str">
        <f>IFERROR(IF(SUMIFS(tblDaily[Admissions],tblDaily[EntryDate],DATE(2026,3,25),tblDaily[WardCode],"ICU")=0,"",SUMIFS(tblDaily[Admissions],tblDaily[EntryDate],DATE(2026,3,25),tblDaily[WardCode],"ICU")),"")</f>
        <v/>
      </c>
      <c r="C109" s="29" t="str">
        <f>IFERROR(IF(SUMIFS(tblDaily[Discharges],tblDaily[EntryDate],DATE(2026,3,25),tblDaily[WardCode],"ICU")=0,"",SUMIFS(tblDaily[Discharges],tblDaily[EntryDate],DATE(2026,3,25),tblDaily[WardCode],"ICU")),"")</f>
        <v/>
      </c>
      <c r="D109" s="29" t="str">
        <f>IFERROR(IF(SUMIFS(tblDaily[Deaths],tblDaily[EntryDate],DATE(2026,3,25),tblDaily[WardCode],"ICU")=0,"",SUMIFS(tblDaily[Deaths],tblDaily[EntryDate],DATE(2026,3,25),tblDaily[WardCode],"ICU")),"")</f>
        <v/>
      </c>
      <c r="E109" s="29" t="str">
        <f>IFERROR(IF(SUMIFS(tblDaily[DeathsUnder24Hrs],tblDaily[EntryDate],DATE(2026,3,25),tblDaily[WardCode],"ICU")=0,"",SUMIFS(tblDaily[DeathsUnder24Hrs],tblDaily[EntryDate],DATE(2026,3,25),tblDaily[WardCode],"ICU")),"")</f>
        <v/>
      </c>
      <c r="F109" s="29" t="str">
        <f>IFERROR(IF(SUMIFS(tblDaily[TransfersIn],tblDaily[EntryDate],DATE(2026,3,25),tblDaily[WardCode],"ICU")=0,"",SUMIFS(tblDaily[TransfersIn],tblDaily[EntryDate],DATE(2026,3,25),tblDaily[WardCode],"ICU")),"")</f>
        <v/>
      </c>
      <c r="G109" s="29" t="str">
        <f>IFERROR(IF(SUMIFS(tblDaily[TransfersOut],tblDaily[EntryDate],DATE(2026,3,25),tblDaily[WardCode],"ICU")=0,"",SUMIFS(tblDaily[TransfersOut],tblDaily[EntryDate],DATE(2026,3,25),tblDaily[WardCode],"ICU")),"")</f>
        <v/>
      </c>
      <c r="H109" s="29" t="str">
        <f>IFERROR(IF(SUMIFS(tblDaily[Remaining],tblDaily[EntryDate],DATE(2026,3,25),tblDaily[WardCode],"ICU")=0,"",SUMIFS(tblDaily[Remaining],tblDaily[EntryDate],DATE(2026,3,25),tblDaily[WardCode],"ICU")),"")</f>
        <v/>
      </c>
    </row>
    <row r="110" spans="1:8" x14ac:dyDescent="0.25">
      <c r="A110" s="29">
        <v>26</v>
      </c>
      <c r="B110" s="29" t="str">
        <f>IFERROR(IF(SUMIFS(tblDaily[Admissions],tblDaily[EntryDate],DATE(2026,3,26),tblDaily[WardCode],"ICU")=0,"",SUMIFS(tblDaily[Admissions],tblDaily[EntryDate],DATE(2026,3,26),tblDaily[WardCode],"ICU")),"")</f>
        <v/>
      </c>
      <c r="C110" s="29" t="str">
        <f>IFERROR(IF(SUMIFS(tblDaily[Discharges],tblDaily[EntryDate],DATE(2026,3,26),tblDaily[WardCode],"ICU")=0,"",SUMIFS(tblDaily[Discharges],tblDaily[EntryDate],DATE(2026,3,26),tblDaily[WardCode],"ICU")),"")</f>
        <v/>
      </c>
      <c r="D110" s="29" t="str">
        <f>IFERROR(IF(SUMIFS(tblDaily[Deaths],tblDaily[EntryDate],DATE(2026,3,26),tblDaily[WardCode],"ICU")=0,"",SUMIFS(tblDaily[Deaths],tblDaily[EntryDate],DATE(2026,3,26),tblDaily[WardCode],"ICU")),"")</f>
        <v/>
      </c>
      <c r="E110" s="29" t="str">
        <f>IFERROR(IF(SUMIFS(tblDaily[DeathsUnder24Hrs],tblDaily[EntryDate],DATE(2026,3,26),tblDaily[WardCode],"ICU")=0,"",SUMIFS(tblDaily[DeathsUnder24Hrs],tblDaily[EntryDate],DATE(2026,3,26),tblDaily[WardCode],"ICU")),"")</f>
        <v/>
      </c>
      <c r="F110" s="29" t="str">
        <f>IFERROR(IF(SUMIFS(tblDaily[TransfersIn],tblDaily[EntryDate],DATE(2026,3,26),tblDaily[WardCode],"ICU")=0,"",SUMIFS(tblDaily[TransfersIn],tblDaily[EntryDate],DATE(2026,3,26),tblDaily[WardCode],"ICU")),"")</f>
        <v/>
      </c>
      <c r="G110" s="29" t="str">
        <f>IFERROR(IF(SUMIFS(tblDaily[TransfersOut],tblDaily[EntryDate],DATE(2026,3,26),tblDaily[WardCode],"ICU")=0,"",SUMIFS(tblDaily[TransfersOut],tblDaily[EntryDate],DATE(2026,3,26),tblDaily[WardCode],"ICU")),"")</f>
        <v/>
      </c>
      <c r="H110" s="29" t="str">
        <f>IFERROR(IF(SUMIFS(tblDaily[Remaining],tblDaily[EntryDate],DATE(2026,3,26),tblDaily[WardCode],"ICU")=0,"",SUMIFS(tblDaily[Remaining],tblDaily[EntryDate],DATE(2026,3,26),tblDaily[WardCode],"ICU")),"")</f>
        <v/>
      </c>
    </row>
    <row r="111" spans="1:8" x14ac:dyDescent="0.25">
      <c r="A111" s="29">
        <v>27</v>
      </c>
      <c r="B111" s="29" t="str">
        <f>IFERROR(IF(SUMIFS(tblDaily[Admissions],tblDaily[EntryDate],DATE(2026,3,27),tblDaily[WardCode],"ICU")=0,"",SUMIFS(tblDaily[Admissions],tblDaily[EntryDate],DATE(2026,3,27),tblDaily[WardCode],"ICU")),"")</f>
        <v/>
      </c>
      <c r="C111" s="29" t="str">
        <f>IFERROR(IF(SUMIFS(tblDaily[Discharges],tblDaily[EntryDate],DATE(2026,3,27),tblDaily[WardCode],"ICU")=0,"",SUMIFS(tblDaily[Discharges],tblDaily[EntryDate],DATE(2026,3,27),tblDaily[WardCode],"ICU")),"")</f>
        <v/>
      </c>
      <c r="D111" s="29" t="str">
        <f>IFERROR(IF(SUMIFS(tblDaily[Deaths],tblDaily[EntryDate],DATE(2026,3,27),tblDaily[WardCode],"ICU")=0,"",SUMIFS(tblDaily[Deaths],tblDaily[EntryDate],DATE(2026,3,27),tblDaily[WardCode],"ICU")),"")</f>
        <v/>
      </c>
      <c r="E111" s="29" t="str">
        <f>IFERROR(IF(SUMIFS(tblDaily[DeathsUnder24Hrs],tblDaily[EntryDate],DATE(2026,3,27),tblDaily[WardCode],"ICU")=0,"",SUMIFS(tblDaily[DeathsUnder24Hrs],tblDaily[EntryDate],DATE(2026,3,27),tblDaily[WardCode],"ICU")),"")</f>
        <v/>
      </c>
      <c r="F111" s="29" t="str">
        <f>IFERROR(IF(SUMIFS(tblDaily[TransfersIn],tblDaily[EntryDate],DATE(2026,3,27),tblDaily[WardCode],"ICU")=0,"",SUMIFS(tblDaily[TransfersIn],tblDaily[EntryDate],DATE(2026,3,27),tblDaily[WardCode],"ICU")),"")</f>
        <v/>
      </c>
      <c r="G111" s="29" t="str">
        <f>IFERROR(IF(SUMIFS(tblDaily[TransfersOut],tblDaily[EntryDate],DATE(2026,3,27),tblDaily[WardCode],"ICU")=0,"",SUMIFS(tblDaily[TransfersOut],tblDaily[EntryDate],DATE(2026,3,27),tblDaily[WardCode],"ICU")),"")</f>
        <v/>
      </c>
      <c r="H111" s="29" t="str">
        <f>IFERROR(IF(SUMIFS(tblDaily[Remaining],tblDaily[EntryDate],DATE(2026,3,27),tblDaily[WardCode],"ICU")=0,"",SUMIFS(tblDaily[Remaining],tblDaily[EntryDate],DATE(2026,3,27),tblDaily[WardCode],"ICU")),"")</f>
        <v/>
      </c>
    </row>
    <row r="112" spans="1:8" x14ac:dyDescent="0.25">
      <c r="A112" s="29">
        <v>28</v>
      </c>
      <c r="B112" s="29" t="str">
        <f>IFERROR(IF(SUMIFS(tblDaily[Admissions],tblDaily[EntryDate],DATE(2026,3,28),tblDaily[WardCode],"ICU")=0,"",SUMIFS(tblDaily[Admissions],tblDaily[EntryDate],DATE(2026,3,28),tblDaily[WardCode],"ICU")),"")</f>
        <v/>
      </c>
      <c r="C112" s="29" t="str">
        <f>IFERROR(IF(SUMIFS(tblDaily[Discharges],tblDaily[EntryDate],DATE(2026,3,28),tblDaily[WardCode],"ICU")=0,"",SUMIFS(tblDaily[Discharges],tblDaily[EntryDate],DATE(2026,3,28),tblDaily[WardCode],"ICU")),"")</f>
        <v/>
      </c>
      <c r="D112" s="29" t="str">
        <f>IFERROR(IF(SUMIFS(tblDaily[Deaths],tblDaily[EntryDate],DATE(2026,3,28),tblDaily[WardCode],"ICU")=0,"",SUMIFS(tblDaily[Deaths],tblDaily[EntryDate],DATE(2026,3,28),tblDaily[WardCode],"ICU")),"")</f>
        <v/>
      </c>
      <c r="E112" s="29" t="str">
        <f>IFERROR(IF(SUMIFS(tblDaily[DeathsUnder24Hrs],tblDaily[EntryDate],DATE(2026,3,28),tblDaily[WardCode],"ICU")=0,"",SUMIFS(tblDaily[DeathsUnder24Hrs],tblDaily[EntryDate],DATE(2026,3,28),tblDaily[WardCode],"ICU")),"")</f>
        <v/>
      </c>
      <c r="F112" s="29" t="str">
        <f>IFERROR(IF(SUMIFS(tblDaily[TransfersIn],tblDaily[EntryDate],DATE(2026,3,28),tblDaily[WardCode],"ICU")=0,"",SUMIFS(tblDaily[TransfersIn],tblDaily[EntryDate],DATE(2026,3,28),tblDaily[WardCode],"ICU")),"")</f>
        <v/>
      </c>
      <c r="G112" s="29" t="str">
        <f>IFERROR(IF(SUMIFS(tblDaily[TransfersOut],tblDaily[EntryDate],DATE(2026,3,28),tblDaily[WardCode],"ICU")=0,"",SUMIFS(tblDaily[TransfersOut],tblDaily[EntryDate],DATE(2026,3,28),tblDaily[WardCode],"ICU")),"")</f>
        <v/>
      </c>
      <c r="H112" s="29" t="str">
        <f>IFERROR(IF(SUMIFS(tblDaily[Remaining],tblDaily[EntryDate],DATE(2026,3,28),tblDaily[WardCode],"ICU")=0,"",SUMIFS(tblDaily[Remaining],tblDaily[EntryDate],DATE(2026,3,28),tblDaily[WardCode],"ICU")),"")</f>
        <v/>
      </c>
    </row>
    <row r="113" spans="1:8" x14ac:dyDescent="0.25">
      <c r="A113" s="29">
        <v>29</v>
      </c>
      <c r="B113" s="29" t="str">
        <f>IFERROR(IF(SUMIFS(tblDaily[Admissions],tblDaily[EntryDate],DATE(2026,3,29),tblDaily[WardCode],"ICU")=0,"",SUMIFS(tblDaily[Admissions],tblDaily[EntryDate],DATE(2026,3,29),tblDaily[WardCode],"ICU")),"")</f>
        <v/>
      </c>
      <c r="C113" s="29" t="str">
        <f>IFERROR(IF(SUMIFS(tblDaily[Discharges],tblDaily[EntryDate],DATE(2026,3,29),tblDaily[WardCode],"ICU")=0,"",SUMIFS(tblDaily[Discharges],tblDaily[EntryDate],DATE(2026,3,29),tblDaily[WardCode],"ICU")),"")</f>
        <v/>
      </c>
      <c r="D113" s="29" t="str">
        <f>IFERROR(IF(SUMIFS(tblDaily[Deaths],tblDaily[EntryDate],DATE(2026,3,29),tblDaily[WardCode],"ICU")=0,"",SUMIFS(tblDaily[Deaths],tblDaily[EntryDate],DATE(2026,3,29),tblDaily[WardCode],"ICU")),"")</f>
        <v/>
      </c>
      <c r="E113" s="29" t="str">
        <f>IFERROR(IF(SUMIFS(tblDaily[DeathsUnder24Hrs],tblDaily[EntryDate],DATE(2026,3,29),tblDaily[WardCode],"ICU")=0,"",SUMIFS(tblDaily[DeathsUnder24Hrs],tblDaily[EntryDate],DATE(2026,3,29),tblDaily[WardCode],"ICU")),"")</f>
        <v/>
      </c>
      <c r="F113" s="29" t="str">
        <f>IFERROR(IF(SUMIFS(tblDaily[TransfersIn],tblDaily[EntryDate],DATE(2026,3,29),tblDaily[WardCode],"ICU")=0,"",SUMIFS(tblDaily[TransfersIn],tblDaily[EntryDate],DATE(2026,3,29),tblDaily[WardCode],"ICU")),"")</f>
        <v/>
      </c>
      <c r="G113" s="29" t="str">
        <f>IFERROR(IF(SUMIFS(tblDaily[TransfersOut],tblDaily[EntryDate],DATE(2026,3,29),tblDaily[WardCode],"ICU")=0,"",SUMIFS(tblDaily[TransfersOut],tblDaily[EntryDate],DATE(2026,3,29),tblDaily[WardCode],"ICU")),"")</f>
        <v/>
      </c>
      <c r="H113" s="29" t="str">
        <f>IFERROR(IF(SUMIFS(tblDaily[Remaining],tblDaily[EntryDate],DATE(2026,3,29),tblDaily[WardCode],"ICU")=0,"",SUMIFS(tblDaily[Remaining],tblDaily[EntryDate],DATE(2026,3,29),tblDaily[WardCode],"ICU")),"")</f>
        <v/>
      </c>
    </row>
    <row r="114" spans="1:8" x14ac:dyDescent="0.25">
      <c r="A114" s="29">
        <v>30</v>
      </c>
      <c r="B114" s="29" t="str">
        <f>IFERROR(IF(SUMIFS(tblDaily[Admissions],tblDaily[EntryDate],DATE(2026,3,30),tblDaily[WardCode],"ICU")=0,"",SUMIFS(tblDaily[Admissions],tblDaily[EntryDate],DATE(2026,3,30),tblDaily[WardCode],"ICU")),"")</f>
        <v/>
      </c>
      <c r="C114" s="29" t="str">
        <f>IFERROR(IF(SUMIFS(tblDaily[Discharges],tblDaily[EntryDate],DATE(2026,3,30),tblDaily[WardCode],"ICU")=0,"",SUMIFS(tblDaily[Discharges],tblDaily[EntryDate],DATE(2026,3,30),tblDaily[WardCode],"ICU")),"")</f>
        <v/>
      </c>
      <c r="D114" s="29" t="str">
        <f>IFERROR(IF(SUMIFS(tblDaily[Deaths],tblDaily[EntryDate],DATE(2026,3,30),tblDaily[WardCode],"ICU")=0,"",SUMIFS(tblDaily[Deaths],tblDaily[EntryDate],DATE(2026,3,30),tblDaily[WardCode],"ICU")),"")</f>
        <v/>
      </c>
      <c r="E114" s="29" t="str">
        <f>IFERROR(IF(SUMIFS(tblDaily[DeathsUnder24Hrs],tblDaily[EntryDate],DATE(2026,3,30),tblDaily[WardCode],"ICU")=0,"",SUMIFS(tblDaily[DeathsUnder24Hrs],tblDaily[EntryDate],DATE(2026,3,30),tblDaily[WardCode],"ICU")),"")</f>
        <v/>
      </c>
      <c r="F114" s="29" t="str">
        <f>IFERROR(IF(SUMIFS(tblDaily[TransfersIn],tblDaily[EntryDate],DATE(2026,3,30),tblDaily[WardCode],"ICU")=0,"",SUMIFS(tblDaily[TransfersIn],tblDaily[EntryDate],DATE(2026,3,30),tblDaily[WardCode],"ICU")),"")</f>
        <v/>
      </c>
      <c r="G114" s="29" t="str">
        <f>IFERROR(IF(SUMIFS(tblDaily[TransfersOut],tblDaily[EntryDate],DATE(2026,3,30),tblDaily[WardCode],"ICU")=0,"",SUMIFS(tblDaily[TransfersOut],tblDaily[EntryDate],DATE(2026,3,30),tblDaily[WardCode],"ICU")),"")</f>
        <v/>
      </c>
      <c r="H114" s="29" t="str">
        <f>IFERROR(IF(SUMIFS(tblDaily[Remaining],tblDaily[EntryDate],DATE(2026,3,30),tblDaily[WardCode],"ICU")=0,"",SUMIFS(tblDaily[Remaining],tblDaily[EntryDate],DATE(2026,3,30),tblDaily[WardCode],"ICU")),"")</f>
        <v/>
      </c>
    </row>
    <row r="115" spans="1:8" x14ac:dyDescent="0.25">
      <c r="A115" s="29">
        <v>31</v>
      </c>
      <c r="B115" s="29" t="str">
        <f>IFERROR(IF(SUMIFS(tblDaily[Admissions],tblDaily[EntryDate],DATE(2026,3,31),tblDaily[WardCode],"ICU")=0,"",SUMIFS(tblDaily[Admissions],tblDaily[EntryDate],DATE(2026,3,31),tblDaily[WardCode],"ICU")),"")</f>
        <v/>
      </c>
      <c r="C115" s="29" t="str">
        <f>IFERROR(IF(SUMIFS(tblDaily[Discharges],tblDaily[EntryDate],DATE(2026,3,31),tblDaily[WardCode],"ICU")=0,"",SUMIFS(tblDaily[Discharges],tblDaily[EntryDate],DATE(2026,3,31),tblDaily[WardCode],"ICU")),"")</f>
        <v/>
      </c>
      <c r="D115" s="29" t="str">
        <f>IFERROR(IF(SUMIFS(tblDaily[Deaths],tblDaily[EntryDate],DATE(2026,3,31),tblDaily[WardCode],"ICU")=0,"",SUMIFS(tblDaily[Deaths],tblDaily[EntryDate],DATE(2026,3,31),tblDaily[WardCode],"ICU")),"")</f>
        <v/>
      </c>
      <c r="E115" s="29" t="str">
        <f>IFERROR(IF(SUMIFS(tblDaily[DeathsUnder24Hrs],tblDaily[EntryDate],DATE(2026,3,31),tblDaily[WardCode],"ICU")=0,"",SUMIFS(tblDaily[DeathsUnder24Hrs],tblDaily[EntryDate],DATE(2026,3,31),tblDaily[WardCode],"ICU")),"")</f>
        <v/>
      </c>
      <c r="F115" s="29" t="str">
        <f>IFERROR(IF(SUMIFS(tblDaily[TransfersIn],tblDaily[EntryDate],DATE(2026,3,31),tblDaily[WardCode],"ICU")=0,"",SUMIFS(tblDaily[TransfersIn],tblDaily[EntryDate],DATE(2026,3,31),tblDaily[WardCode],"ICU")),"")</f>
        <v/>
      </c>
      <c r="G115" s="29" t="str">
        <f>IFERROR(IF(SUMIFS(tblDaily[TransfersOut],tblDaily[EntryDate],DATE(2026,3,31),tblDaily[WardCode],"ICU")=0,"",SUMIFS(tblDaily[TransfersOut],tblDaily[EntryDate],DATE(2026,3,31),tblDaily[WardCode],"ICU")),"")</f>
        <v/>
      </c>
      <c r="H115" s="29" t="str">
        <f>IFERROR(IF(SUMIFS(tblDaily[Remaining],tblDaily[EntryDate],DATE(2026,3,31),tblDaily[WardCode],"ICU")=0,"",SUMIFS(tblDaily[Remaining],tblDaily[EntryDate],DATE(2026,3,31),tblDaily[WardCode],"ICU")),"")</f>
        <v/>
      </c>
    </row>
    <row r="116" spans="1:8" x14ac:dyDescent="0.25">
      <c r="A116" s="30" t="s">
        <v>115</v>
      </c>
      <c r="B116" s="30">
        <f>SUMIFS(tblDaily[Admissions],tblDaily[Month],3,tblDaily[WardCode],"ICU") - SUMIFS(tblDaily[DeathsUnder24Hrs],tblDaily[Month],3,tblDaily[WardCode],"ICU")</f>
        <v>0</v>
      </c>
      <c r="C116" s="30">
        <f>SUMIFS(tblDaily[Discharges],tblDaily[Month],3,tblDaily[WardCode],"ICU")</f>
        <v>0</v>
      </c>
      <c r="D116" s="30">
        <f>SUMIFS(tblDaily[Deaths],tblDaily[Month],3,tblDaily[WardCode],"ICU")</f>
        <v>0</v>
      </c>
      <c r="E116" s="30">
        <f>SUMIFS(tblDaily[DeathsUnder24Hrs],tblDaily[Month],3,tblDaily[WardCode],"ICU")</f>
        <v>0</v>
      </c>
      <c r="F116" s="30">
        <f>SUMIFS(tblDaily[TransfersIn],tblDaily[Month],3,tblDaily[WardCode],"ICU")</f>
        <v>0</v>
      </c>
      <c r="G116" s="30">
        <f>SUMIFS(tblDaily[TransfersOut],tblDaily[Month],3,tblDaily[WardCode],"ICU")</f>
        <v>0</v>
      </c>
      <c r="H116" s="30">
        <f>SUMIFS(tblDaily[Remaining],tblDaily[Month],3,tblDaily[WardCode],"ICU")</f>
        <v>0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104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105</v>
      </c>
      <c r="E120" s="25" t="s">
        <v>124</v>
      </c>
      <c r="F120" s="24" t="s">
        <v>107</v>
      </c>
      <c r="G120" s="25" t="s">
        <v>66</v>
      </c>
    </row>
    <row r="121" spans="1:8" x14ac:dyDescent="0.25">
      <c r="A121" s="24" t="s">
        <v>108</v>
      </c>
      <c r="H121" s="26">
        <f>IFERROR(SUMIFS(tblDaily[Remaining],tblDaily[EntryDate],DATE(2026,3,31),tblDaily[WardCode],"ICU"),0)</f>
        <v>0</v>
      </c>
    </row>
    <row r="122" spans="1:8" x14ac:dyDescent="0.25">
      <c r="A122" s="24" t="s">
        <v>109</v>
      </c>
      <c r="H122" s="27">
        <f>IFERROR(INDEX(tblWardConfig[BedComplement],MATCH("ICU",tblWardConfig[WardCode],0)),0)</f>
        <v>4</v>
      </c>
    </row>
    <row r="123" spans="1:8" ht="38.25" x14ac:dyDescent="0.25">
      <c r="A123" s="28" t="s">
        <v>110</v>
      </c>
      <c r="B123" s="28" t="s">
        <v>77</v>
      </c>
      <c r="C123" s="28" t="s">
        <v>78</v>
      </c>
      <c r="D123" s="28" t="s">
        <v>79</v>
      </c>
      <c r="E123" s="28" t="s">
        <v>111</v>
      </c>
      <c r="F123" s="28" t="s">
        <v>112</v>
      </c>
      <c r="G123" s="28" t="s">
        <v>113</v>
      </c>
      <c r="H123" s="28" t="s">
        <v>114</v>
      </c>
    </row>
    <row r="124" spans="1:8" x14ac:dyDescent="0.25">
      <c r="A124" s="29">
        <v>1</v>
      </c>
      <c r="B124" s="29" t="str">
        <f>IFERROR(IF(SUMIFS(tblDaily[Admissions],tblDaily[EntryDate],DATE(2026,4,1),tblDaily[WardCode],"ICU")=0,"",SUMIFS(tblDaily[Admissions],tblDaily[EntryDate],DATE(2026,4,1),tblDaily[WardCode],"ICU")),"")</f>
        <v/>
      </c>
      <c r="C124" s="29" t="str">
        <f>IFERROR(IF(SUMIFS(tblDaily[Discharges],tblDaily[EntryDate],DATE(2026,4,1),tblDaily[WardCode],"ICU")=0,"",SUMIFS(tblDaily[Discharges],tblDaily[EntryDate],DATE(2026,4,1),tblDaily[WardCode],"ICU")),"")</f>
        <v/>
      </c>
      <c r="D124" s="29" t="str">
        <f>IFERROR(IF(SUMIFS(tblDaily[Deaths],tblDaily[EntryDate],DATE(2026,4,1),tblDaily[WardCode],"ICU")=0,"",SUMIFS(tblDaily[Deaths],tblDaily[EntryDate],DATE(2026,4,1),tblDaily[WardCode],"ICU")),"")</f>
        <v/>
      </c>
      <c r="E124" s="29" t="str">
        <f>IFERROR(IF(SUMIFS(tblDaily[DeathsUnder24Hrs],tblDaily[EntryDate],DATE(2026,4,1),tblDaily[WardCode],"ICU")=0,"",SUMIFS(tblDaily[DeathsUnder24Hrs],tblDaily[EntryDate],DATE(2026,4,1),tblDaily[WardCode],"ICU")),"")</f>
        <v/>
      </c>
      <c r="F124" s="29" t="str">
        <f>IFERROR(IF(SUMIFS(tblDaily[TransfersIn],tblDaily[EntryDate],DATE(2026,4,1),tblDaily[WardCode],"ICU")=0,"",SUMIFS(tblDaily[TransfersIn],tblDaily[EntryDate],DATE(2026,4,1),tblDaily[WardCode],"ICU")),"")</f>
        <v/>
      </c>
      <c r="G124" s="29" t="str">
        <f>IFERROR(IF(SUMIFS(tblDaily[TransfersOut],tblDaily[EntryDate],DATE(2026,4,1),tblDaily[WardCode],"ICU")=0,"",SUMIFS(tblDaily[TransfersOut],tblDaily[EntryDate],DATE(2026,4,1),tblDaily[WardCode],"ICU")),"")</f>
        <v/>
      </c>
      <c r="H124" s="29" t="str">
        <f>IFERROR(IF(SUMIFS(tblDaily[Remaining],tblDaily[EntryDate],DATE(2026,4,1),tblDaily[WardCode],"ICU")=0,"",SUMIFS(tblDaily[Remaining],tblDaily[EntryDate],DATE(2026,4,1),tblDaily[WardCode],"ICU")),"")</f>
        <v/>
      </c>
    </row>
    <row r="125" spans="1:8" x14ac:dyDescent="0.25">
      <c r="A125" s="29">
        <v>2</v>
      </c>
      <c r="B125" s="29" t="str">
        <f>IFERROR(IF(SUMIFS(tblDaily[Admissions],tblDaily[EntryDate],DATE(2026,4,2),tblDaily[WardCode],"ICU")=0,"",SUMIFS(tblDaily[Admissions],tblDaily[EntryDate],DATE(2026,4,2),tblDaily[WardCode],"ICU")),"")</f>
        <v/>
      </c>
      <c r="C125" s="29" t="str">
        <f>IFERROR(IF(SUMIFS(tblDaily[Discharges],tblDaily[EntryDate],DATE(2026,4,2),tblDaily[WardCode],"ICU")=0,"",SUMIFS(tblDaily[Discharges],tblDaily[EntryDate],DATE(2026,4,2),tblDaily[WardCode],"ICU")),"")</f>
        <v/>
      </c>
      <c r="D125" s="29" t="str">
        <f>IFERROR(IF(SUMIFS(tblDaily[Deaths],tblDaily[EntryDate],DATE(2026,4,2),tblDaily[WardCode],"ICU")=0,"",SUMIFS(tblDaily[Deaths],tblDaily[EntryDate],DATE(2026,4,2),tblDaily[WardCode],"ICU")),"")</f>
        <v/>
      </c>
      <c r="E125" s="29" t="str">
        <f>IFERROR(IF(SUMIFS(tblDaily[DeathsUnder24Hrs],tblDaily[EntryDate],DATE(2026,4,2),tblDaily[WardCode],"ICU")=0,"",SUMIFS(tblDaily[DeathsUnder24Hrs],tblDaily[EntryDate],DATE(2026,4,2),tblDaily[WardCode],"ICU")),"")</f>
        <v/>
      </c>
      <c r="F125" s="29" t="str">
        <f>IFERROR(IF(SUMIFS(tblDaily[TransfersIn],tblDaily[EntryDate],DATE(2026,4,2),tblDaily[WardCode],"ICU")=0,"",SUMIFS(tblDaily[TransfersIn],tblDaily[EntryDate],DATE(2026,4,2),tblDaily[WardCode],"ICU")),"")</f>
        <v/>
      </c>
      <c r="G125" s="29" t="str">
        <f>IFERROR(IF(SUMIFS(tblDaily[TransfersOut],tblDaily[EntryDate],DATE(2026,4,2),tblDaily[WardCode],"ICU")=0,"",SUMIFS(tblDaily[TransfersOut],tblDaily[EntryDate],DATE(2026,4,2),tblDaily[WardCode],"ICU")),"")</f>
        <v/>
      </c>
      <c r="H125" s="29" t="str">
        <f>IFERROR(IF(SUMIFS(tblDaily[Remaining],tblDaily[EntryDate],DATE(2026,4,2),tblDaily[WardCode],"ICU")=0,"",SUMIFS(tblDaily[Remaining],tblDaily[EntryDate],DATE(2026,4,2),tblDaily[WardCode],"ICU")),"")</f>
        <v/>
      </c>
    </row>
    <row r="126" spans="1:8" x14ac:dyDescent="0.25">
      <c r="A126" s="29">
        <v>3</v>
      </c>
      <c r="B126" s="29" t="str">
        <f>IFERROR(IF(SUMIFS(tblDaily[Admissions],tblDaily[EntryDate],DATE(2026,4,3),tblDaily[WardCode],"ICU")=0,"",SUMIFS(tblDaily[Admissions],tblDaily[EntryDate],DATE(2026,4,3),tblDaily[WardCode],"ICU")),"")</f>
        <v/>
      </c>
      <c r="C126" s="29" t="str">
        <f>IFERROR(IF(SUMIFS(tblDaily[Discharges],tblDaily[EntryDate],DATE(2026,4,3),tblDaily[WardCode],"ICU")=0,"",SUMIFS(tblDaily[Discharges],tblDaily[EntryDate],DATE(2026,4,3),tblDaily[WardCode],"ICU")),"")</f>
        <v/>
      </c>
      <c r="D126" s="29" t="str">
        <f>IFERROR(IF(SUMIFS(tblDaily[Deaths],tblDaily[EntryDate],DATE(2026,4,3),tblDaily[WardCode],"ICU")=0,"",SUMIFS(tblDaily[Deaths],tblDaily[EntryDate],DATE(2026,4,3),tblDaily[WardCode],"ICU")),"")</f>
        <v/>
      </c>
      <c r="E126" s="29" t="str">
        <f>IFERROR(IF(SUMIFS(tblDaily[DeathsUnder24Hrs],tblDaily[EntryDate],DATE(2026,4,3),tblDaily[WardCode],"ICU")=0,"",SUMIFS(tblDaily[DeathsUnder24Hrs],tblDaily[EntryDate],DATE(2026,4,3),tblDaily[WardCode],"ICU")),"")</f>
        <v/>
      </c>
      <c r="F126" s="29" t="str">
        <f>IFERROR(IF(SUMIFS(tblDaily[TransfersIn],tblDaily[EntryDate],DATE(2026,4,3),tblDaily[WardCode],"ICU")=0,"",SUMIFS(tblDaily[TransfersIn],tblDaily[EntryDate],DATE(2026,4,3),tblDaily[WardCode],"ICU")),"")</f>
        <v/>
      </c>
      <c r="G126" s="29" t="str">
        <f>IFERROR(IF(SUMIFS(tblDaily[TransfersOut],tblDaily[EntryDate],DATE(2026,4,3),tblDaily[WardCode],"ICU")=0,"",SUMIFS(tblDaily[TransfersOut],tblDaily[EntryDate],DATE(2026,4,3),tblDaily[WardCode],"ICU")),"")</f>
        <v/>
      </c>
      <c r="H126" s="29" t="str">
        <f>IFERROR(IF(SUMIFS(tblDaily[Remaining],tblDaily[EntryDate],DATE(2026,4,3),tblDaily[WardCode],"ICU")=0,"",SUMIFS(tblDaily[Remaining],tblDaily[EntryDate],DATE(2026,4,3),tblDaily[WardCode],"ICU")),"")</f>
        <v/>
      </c>
    </row>
    <row r="127" spans="1:8" x14ac:dyDescent="0.25">
      <c r="A127" s="29">
        <v>4</v>
      </c>
      <c r="B127" s="29" t="str">
        <f>IFERROR(IF(SUMIFS(tblDaily[Admissions],tblDaily[EntryDate],DATE(2026,4,4),tblDaily[WardCode],"ICU")=0,"",SUMIFS(tblDaily[Admissions],tblDaily[EntryDate],DATE(2026,4,4),tblDaily[WardCode],"ICU")),"")</f>
        <v/>
      </c>
      <c r="C127" s="29" t="str">
        <f>IFERROR(IF(SUMIFS(tblDaily[Discharges],tblDaily[EntryDate],DATE(2026,4,4),tblDaily[WardCode],"ICU")=0,"",SUMIFS(tblDaily[Discharges],tblDaily[EntryDate],DATE(2026,4,4),tblDaily[WardCode],"ICU")),"")</f>
        <v/>
      </c>
      <c r="D127" s="29" t="str">
        <f>IFERROR(IF(SUMIFS(tblDaily[Deaths],tblDaily[EntryDate],DATE(2026,4,4),tblDaily[WardCode],"ICU")=0,"",SUMIFS(tblDaily[Deaths],tblDaily[EntryDate],DATE(2026,4,4),tblDaily[WardCode],"ICU")),"")</f>
        <v/>
      </c>
      <c r="E127" s="29" t="str">
        <f>IFERROR(IF(SUMIFS(tblDaily[DeathsUnder24Hrs],tblDaily[EntryDate],DATE(2026,4,4),tblDaily[WardCode],"ICU")=0,"",SUMIFS(tblDaily[DeathsUnder24Hrs],tblDaily[EntryDate],DATE(2026,4,4),tblDaily[WardCode],"ICU")),"")</f>
        <v/>
      </c>
      <c r="F127" s="29" t="str">
        <f>IFERROR(IF(SUMIFS(tblDaily[TransfersIn],tblDaily[EntryDate],DATE(2026,4,4),tblDaily[WardCode],"ICU")=0,"",SUMIFS(tblDaily[TransfersIn],tblDaily[EntryDate],DATE(2026,4,4),tblDaily[WardCode],"ICU")),"")</f>
        <v/>
      </c>
      <c r="G127" s="29" t="str">
        <f>IFERROR(IF(SUMIFS(tblDaily[TransfersOut],tblDaily[EntryDate],DATE(2026,4,4),tblDaily[WardCode],"ICU")=0,"",SUMIFS(tblDaily[TransfersOut],tblDaily[EntryDate],DATE(2026,4,4),tblDaily[WardCode],"ICU")),"")</f>
        <v/>
      </c>
      <c r="H127" s="29" t="str">
        <f>IFERROR(IF(SUMIFS(tblDaily[Remaining],tblDaily[EntryDate],DATE(2026,4,4),tblDaily[WardCode],"ICU")=0,"",SUMIFS(tblDaily[Remaining],tblDaily[EntryDate],DATE(2026,4,4),tblDaily[WardCode],"ICU")),"")</f>
        <v/>
      </c>
    </row>
    <row r="128" spans="1:8" x14ac:dyDescent="0.25">
      <c r="A128" s="29">
        <v>5</v>
      </c>
      <c r="B128" s="29" t="str">
        <f>IFERROR(IF(SUMIFS(tblDaily[Admissions],tblDaily[EntryDate],DATE(2026,4,5),tblDaily[WardCode],"ICU")=0,"",SUMIFS(tblDaily[Admissions],tblDaily[EntryDate],DATE(2026,4,5),tblDaily[WardCode],"ICU")),"")</f>
        <v/>
      </c>
      <c r="C128" s="29" t="str">
        <f>IFERROR(IF(SUMIFS(tblDaily[Discharges],tblDaily[EntryDate],DATE(2026,4,5),tblDaily[WardCode],"ICU")=0,"",SUMIFS(tblDaily[Discharges],tblDaily[EntryDate],DATE(2026,4,5),tblDaily[WardCode],"ICU")),"")</f>
        <v/>
      </c>
      <c r="D128" s="29" t="str">
        <f>IFERROR(IF(SUMIFS(tblDaily[Deaths],tblDaily[EntryDate],DATE(2026,4,5),tblDaily[WardCode],"ICU")=0,"",SUMIFS(tblDaily[Deaths],tblDaily[EntryDate],DATE(2026,4,5),tblDaily[WardCode],"ICU")),"")</f>
        <v/>
      </c>
      <c r="E128" s="29" t="str">
        <f>IFERROR(IF(SUMIFS(tblDaily[DeathsUnder24Hrs],tblDaily[EntryDate],DATE(2026,4,5),tblDaily[WardCode],"ICU")=0,"",SUMIFS(tblDaily[DeathsUnder24Hrs],tblDaily[EntryDate],DATE(2026,4,5),tblDaily[WardCode],"ICU")),"")</f>
        <v/>
      </c>
      <c r="F128" s="29" t="str">
        <f>IFERROR(IF(SUMIFS(tblDaily[TransfersIn],tblDaily[EntryDate],DATE(2026,4,5),tblDaily[WardCode],"ICU")=0,"",SUMIFS(tblDaily[TransfersIn],tblDaily[EntryDate],DATE(2026,4,5),tblDaily[WardCode],"ICU")),"")</f>
        <v/>
      </c>
      <c r="G128" s="29" t="str">
        <f>IFERROR(IF(SUMIFS(tblDaily[TransfersOut],tblDaily[EntryDate],DATE(2026,4,5),tblDaily[WardCode],"ICU")=0,"",SUMIFS(tblDaily[TransfersOut],tblDaily[EntryDate],DATE(2026,4,5),tblDaily[WardCode],"ICU")),"")</f>
        <v/>
      </c>
      <c r="H128" s="29" t="str">
        <f>IFERROR(IF(SUMIFS(tblDaily[Remaining],tblDaily[EntryDate],DATE(2026,4,5),tblDaily[WardCode],"ICU")=0,"",SUMIFS(tblDaily[Remaining],tblDaily[EntryDate],DATE(2026,4,5),tblDaily[WardCode],"ICU")),"")</f>
        <v/>
      </c>
    </row>
    <row r="129" spans="1:8" x14ac:dyDescent="0.25">
      <c r="A129" s="29">
        <v>6</v>
      </c>
      <c r="B129" s="29" t="str">
        <f>IFERROR(IF(SUMIFS(tblDaily[Admissions],tblDaily[EntryDate],DATE(2026,4,6),tblDaily[WardCode],"ICU")=0,"",SUMIFS(tblDaily[Admissions],tblDaily[EntryDate],DATE(2026,4,6),tblDaily[WardCode],"ICU")),"")</f>
        <v/>
      </c>
      <c r="C129" s="29" t="str">
        <f>IFERROR(IF(SUMIFS(tblDaily[Discharges],tblDaily[EntryDate],DATE(2026,4,6),tblDaily[WardCode],"ICU")=0,"",SUMIFS(tblDaily[Discharges],tblDaily[EntryDate],DATE(2026,4,6),tblDaily[WardCode],"ICU")),"")</f>
        <v/>
      </c>
      <c r="D129" s="29" t="str">
        <f>IFERROR(IF(SUMIFS(tblDaily[Deaths],tblDaily[EntryDate],DATE(2026,4,6),tblDaily[WardCode],"ICU")=0,"",SUMIFS(tblDaily[Deaths],tblDaily[EntryDate],DATE(2026,4,6),tblDaily[WardCode],"ICU")),"")</f>
        <v/>
      </c>
      <c r="E129" s="29" t="str">
        <f>IFERROR(IF(SUMIFS(tblDaily[DeathsUnder24Hrs],tblDaily[EntryDate],DATE(2026,4,6),tblDaily[WardCode],"ICU")=0,"",SUMIFS(tblDaily[DeathsUnder24Hrs],tblDaily[EntryDate],DATE(2026,4,6),tblDaily[WardCode],"ICU")),"")</f>
        <v/>
      </c>
      <c r="F129" s="29" t="str">
        <f>IFERROR(IF(SUMIFS(tblDaily[TransfersIn],tblDaily[EntryDate],DATE(2026,4,6),tblDaily[WardCode],"ICU")=0,"",SUMIFS(tblDaily[TransfersIn],tblDaily[EntryDate],DATE(2026,4,6),tblDaily[WardCode],"ICU")),"")</f>
        <v/>
      </c>
      <c r="G129" s="29" t="str">
        <f>IFERROR(IF(SUMIFS(tblDaily[TransfersOut],tblDaily[EntryDate],DATE(2026,4,6),tblDaily[WardCode],"ICU")=0,"",SUMIFS(tblDaily[TransfersOut],tblDaily[EntryDate],DATE(2026,4,6),tblDaily[WardCode],"ICU")),"")</f>
        <v/>
      </c>
      <c r="H129" s="29" t="str">
        <f>IFERROR(IF(SUMIFS(tblDaily[Remaining],tblDaily[EntryDate],DATE(2026,4,6),tblDaily[WardCode],"ICU")=0,"",SUMIFS(tblDaily[Remaining],tblDaily[EntryDate],DATE(2026,4,6),tblDaily[WardCode],"ICU")),"")</f>
        <v/>
      </c>
    </row>
    <row r="130" spans="1:8" x14ac:dyDescent="0.25">
      <c r="A130" s="29">
        <v>7</v>
      </c>
      <c r="B130" s="29" t="str">
        <f>IFERROR(IF(SUMIFS(tblDaily[Admissions],tblDaily[EntryDate],DATE(2026,4,7),tblDaily[WardCode],"ICU")=0,"",SUMIFS(tblDaily[Admissions],tblDaily[EntryDate],DATE(2026,4,7),tblDaily[WardCode],"ICU")),"")</f>
        <v/>
      </c>
      <c r="C130" s="29" t="str">
        <f>IFERROR(IF(SUMIFS(tblDaily[Discharges],tblDaily[EntryDate],DATE(2026,4,7),tblDaily[WardCode],"ICU")=0,"",SUMIFS(tblDaily[Discharges],tblDaily[EntryDate],DATE(2026,4,7),tblDaily[WardCode],"ICU")),"")</f>
        <v/>
      </c>
      <c r="D130" s="29" t="str">
        <f>IFERROR(IF(SUMIFS(tblDaily[Deaths],tblDaily[EntryDate],DATE(2026,4,7),tblDaily[WardCode],"ICU")=0,"",SUMIFS(tblDaily[Deaths],tblDaily[EntryDate],DATE(2026,4,7),tblDaily[WardCode],"ICU")),"")</f>
        <v/>
      </c>
      <c r="E130" s="29" t="str">
        <f>IFERROR(IF(SUMIFS(tblDaily[DeathsUnder24Hrs],tblDaily[EntryDate],DATE(2026,4,7),tblDaily[WardCode],"ICU")=0,"",SUMIFS(tblDaily[DeathsUnder24Hrs],tblDaily[EntryDate],DATE(2026,4,7),tblDaily[WardCode],"ICU")),"")</f>
        <v/>
      </c>
      <c r="F130" s="29" t="str">
        <f>IFERROR(IF(SUMIFS(tblDaily[TransfersIn],tblDaily[EntryDate],DATE(2026,4,7),tblDaily[WardCode],"ICU")=0,"",SUMIFS(tblDaily[TransfersIn],tblDaily[EntryDate],DATE(2026,4,7),tblDaily[WardCode],"ICU")),"")</f>
        <v/>
      </c>
      <c r="G130" s="29" t="str">
        <f>IFERROR(IF(SUMIFS(tblDaily[TransfersOut],tblDaily[EntryDate],DATE(2026,4,7),tblDaily[WardCode],"ICU")=0,"",SUMIFS(tblDaily[TransfersOut],tblDaily[EntryDate],DATE(2026,4,7),tblDaily[WardCode],"ICU")),"")</f>
        <v/>
      </c>
      <c r="H130" s="29" t="str">
        <f>IFERROR(IF(SUMIFS(tblDaily[Remaining],tblDaily[EntryDate],DATE(2026,4,7),tblDaily[WardCode],"ICU")=0,"",SUMIFS(tblDaily[Remaining],tblDaily[EntryDate],DATE(2026,4,7),tblDaily[WardCode],"ICU")),"")</f>
        <v/>
      </c>
    </row>
    <row r="131" spans="1:8" x14ac:dyDescent="0.25">
      <c r="A131" s="29">
        <v>8</v>
      </c>
      <c r="B131" s="29" t="str">
        <f>IFERROR(IF(SUMIFS(tblDaily[Admissions],tblDaily[EntryDate],DATE(2026,4,8),tblDaily[WardCode],"ICU")=0,"",SUMIFS(tblDaily[Admissions],tblDaily[EntryDate],DATE(2026,4,8),tblDaily[WardCode],"ICU")),"")</f>
        <v/>
      </c>
      <c r="C131" s="29" t="str">
        <f>IFERROR(IF(SUMIFS(tblDaily[Discharges],tblDaily[EntryDate],DATE(2026,4,8),tblDaily[WardCode],"ICU")=0,"",SUMIFS(tblDaily[Discharges],tblDaily[EntryDate],DATE(2026,4,8),tblDaily[WardCode],"ICU")),"")</f>
        <v/>
      </c>
      <c r="D131" s="29" t="str">
        <f>IFERROR(IF(SUMIFS(tblDaily[Deaths],tblDaily[EntryDate],DATE(2026,4,8),tblDaily[WardCode],"ICU")=0,"",SUMIFS(tblDaily[Deaths],tblDaily[EntryDate],DATE(2026,4,8),tblDaily[WardCode],"ICU")),"")</f>
        <v/>
      </c>
      <c r="E131" s="29" t="str">
        <f>IFERROR(IF(SUMIFS(tblDaily[DeathsUnder24Hrs],tblDaily[EntryDate],DATE(2026,4,8),tblDaily[WardCode],"ICU")=0,"",SUMIFS(tblDaily[DeathsUnder24Hrs],tblDaily[EntryDate],DATE(2026,4,8),tblDaily[WardCode],"ICU")),"")</f>
        <v/>
      </c>
      <c r="F131" s="29" t="str">
        <f>IFERROR(IF(SUMIFS(tblDaily[TransfersIn],tblDaily[EntryDate],DATE(2026,4,8),tblDaily[WardCode],"ICU")=0,"",SUMIFS(tblDaily[TransfersIn],tblDaily[EntryDate],DATE(2026,4,8),tblDaily[WardCode],"ICU")),"")</f>
        <v/>
      </c>
      <c r="G131" s="29" t="str">
        <f>IFERROR(IF(SUMIFS(tblDaily[TransfersOut],tblDaily[EntryDate],DATE(2026,4,8),tblDaily[WardCode],"ICU")=0,"",SUMIFS(tblDaily[TransfersOut],tblDaily[EntryDate],DATE(2026,4,8),tblDaily[WardCode],"ICU")),"")</f>
        <v/>
      </c>
      <c r="H131" s="29" t="str">
        <f>IFERROR(IF(SUMIFS(tblDaily[Remaining],tblDaily[EntryDate],DATE(2026,4,8),tblDaily[WardCode],"ICU")=0,"",SUMIFS(tblDaily[Remaining],tblDaily[EntryDate],DATE(2026,4,8),tblDaily[WardCode],"ICU")),"")</f>
        <v/>
      </c>
    </row>
    <row r="132" spans="1:8" x14ac:dyDescent="0.25">
      <c r="A132" s="29">
        <v>9</v>
      </c>
      <c r="B132" s="29" t="str">
        <f>IFERROR(IF(SUMIFS(tblDaily[Admissions],tblDaily[EntryDate],DATE(2026,4,9),tblDaily[WardCode],"ICU")=0,"",SUMIFS(tblDaily[Admissions],tblDaily[EntryDate],DATE(2026,4,9),tblDaily[WardCode],"ICU")),"")</f>
        <v/>
      </c>
      <c r="C132" s="29" t="str">
        <f>IFERROR(IF(SUMIFS(tblDaily[Discharges],tblDaily[EntryDate],DATE(2026,4,9),tblDaily[WardCode],"ICU")=0,"",SUMIFS(tblDaily[Discharges],tblDaily[EntryDate],DATE(2026,4,9),tblDaily[WardCode],"ICU")),"")</f>
        <v/>
      </c>
      <c r="D132" s="29" t="str">
        <f>IFERROR(IF(SUMIFS(tblDaily[Deaths],tblDaily[EntryDate],DATE(2026,4,9),tblDaily[WardCode],"ICU")=0,"",SUMIFS(tblDaily[Deaths],tblDaily[EntryDate],DATE(2026,4,9),tblDaily[WardCode],"ICU")),"")</f>
        <v/>
      </c>
      <c r="E132" s="29" t="str">
        <f>IFERROR(IF(SUMIFS(tblDaily[DeathsUnder24Hrs],tblDaily[EntryDate],DATE(2026,4,9),tblDaily[WardCode],"ICU")=0,"",SUMIFS(tblDaily[DeathsUnder24Hrs],tblDaily[EntryDate],DATE(2026,4,9),tblDaily[WardCode],"ICU")),"")</f>
        <v/>
      </c>
      <c r="F132" s="29" t="str">
        <f>IFERROR(IF(SUMIFS(tblDaily[TransfersIn],tblDaily[EntryDate],DATE(2026,4,9),tblDaily[WardCode],"ICU")=0,"",SUMIFS(tblDaily[TransfersIn],tblDaily[EntryDate],DATE(2026,4,9),tblDaily[WardCode],"ICU")),"")</f>
        <v/>
      </c>
      <c r="G132" s="29" t="str">
        <f>IFERROR(IF(SUMIFS(tblDaily[TransfersOut],tblDaily[EntryDate],DATE(2026,4,9),tblDaily[WardCode],"ICU")=0,"",SUMIFS(tblDaily[TransfersOut],tblDaily[EntryDate],DATE(2026,4,9),tblDaily[WardCode],"ICU")),"")</f>
        <v/>
      </c>
      <c r="H132" s="29" t="str">
        <f>IFERROR(IF(SUMIFS(tblDaily[Remaining],tblDaily[EntryDate],DATE(2026,4,9),tblDaily[WardCode],"ICU")=0,"",SUMIFS(tblDaily[Remaining],tblDaily[EntryDate],DATE(2026,4,9),tblDaily[WardCode],"ICU")),"")</f>
        <v/>
      </c>
    </row>
    <row r="133" spans="1:8" x14ac:dyDescent="0.25">
      <c r="A133" s="29">
        <v>10</v>
      </c>
      <c r="B133" s="29" t="str">
        <f>IFERROR(IF(SUMIFS(tblDaily[Admissions],tblDaily[EntryDate],DATE(2026,4,10),tblDaily[WardCode],"ICU")=0,"",SUMIFS(tblDaily[Admissions],tblDaily[EntryDate],DATE(2026,4,10),tblDaily[WardCode],"ICU")),"")</f>
        <v/>
      </c>
      <c r="C133" s="29" t="str">
        <f>IFERROR(IF(SUMIFS(tblDaily[Discharges],tblDaily[EntryDate],DATE(2026,4,10),tblDaily[WardCode],"ICU")=0,"",SUMIFS(tblDaily[Discharges],tblDaily[EntryDate],DATE(2026,4,10),tblDaily[WardCode],"ICU")),"")</f>
        <v/>
      </c>
      <c r="D133" s="29" t="str">
        <f>IFERROR(IF(SUMIFS(tblDaily[Deaths],tblDaily[EntryDate],DATE(2026,4,10),tblDaily[WardCode],"ICU")=0,"",SUMIFS(tblDaily[Deaths],tblDaily[EntryDate],DATE(2026,4,10),tblDaily[WardCode],"ICU")),"")</f>
        <v/>
      </c>
      <c r="E133" s="29" t="str">
        <f>IFERROR(IF(SUMIFS(tblDaily[DeathsUnder24Hrs],tblDaily[EntryDate],DATE(2026,4,10),tblDaily[WardCode],"ICU")=0,"",SUMIFS(tblDaily[DeathsUnder24Hrs],tblDaily[EntryDate],DATE(2026,4,10),tblDaily[WardCode],"ICU")),"")</f>
        <v/>
      </c>
      <c r="F133" s="29" t="str">
        <f>IFERROR(IF(SUMIFS(tblDaily[TransfersIn],tblDaily[EntryDate],DATE(2026,4,10),tblDaily[WardCode],"ICU")=0,"",SUMIFS(tblDaily[TransfersIn],tblDaily[EntryDate],DATE(2026,4,10),tblDaily[WardCode],"ICU")),"")</f>
        <v/>
      </c>
      <c r="G133" s="29" t="str">
        <f>IFERROR(IF(SUMIFS(tblDaily[TransfersOut],tblDaily[EntryDate],DATE(2026,4,10),tblDaily[WardCode],"ICU")=0,"",SUMIFS(tblDaily[TransfersOut],tblDaily[EntryDate],DATE(2026,4,10),tblDaily[WardCode],"ICU")),"")</f>
        <v/>
      </c>
      <c r="H133" s="29" t="str">
        <f>IFERROR(IF(SUMIFS(tblDaily[Remaining],tblDaily[EntryDate],DATE(2026,4,10),tblDaily[WardCode],"ICU")=0,"",SUMIFS(tblDaily[Remaining],tblDaily[EntryDate],DATE(2026,4,10),tblDaily[WardCode],"ICU")),"")</f>
        <v/>
      </c>
    </row>
    <row r="134" spans="1:8" x14ac:dyDescent="0.25">
      <c r="A134" s="29">
        <v>11</v>
      </c>
      <c r="B134" s="29" t="str">
        <f>IFERROR(IF(SUMIFS(tblDaily[Admissions],tblDaily[EntryDate],DATE(2026,4,11),tblDaily[WardCode],"ICU")=0,"",SUMIFS(tblDaily[Admissions],tblDaily[EntryDate],DATE(2026,4,11),tblDaily[WardCode],"ICU")),"")</f>
        <v/>
      </c>
      <c r="C134" s="29" t="str">
        <f>IFERROR(IF(SUMIFS(tblDaily[Discharges],tblDaily[EntryDate],DATE(2026,4,11),tblDaily[WardCode],"ICU")=0,"",SUMIFS(tblDaily[Discharges],tblDaily[EntryDate],DATE(2026,4,11),tblDaily[WardCode],"ICU")),"")</f>
        <v/>
      </c>
      <c r="D134" s="29" t="str">
        <f>IFERROR(IF(SUMIFS(tblDaily[Deaths],tblDaily[EntryDate],DATE(2026,4,11),tblDaily[WardCode],"ICU")=0,"",SUMIFS(tblDaily[Deaths],tblDaily[EntryDate],DATE(2026,4,11),tblDaily[WardCode],"ICU")),"")</f>
        <v/>
      </c>
      <c r="E134" s="29" t="str">
        <f>IFERROR(IF(SUMIFS(tblDaily[DeathsUnder24Hrs],tblDaily[EntryDate],DATE(2026,4,11),tblDaily[WardCode],"ICU")=0,"",SUMIFS(tblDaily[DeathsUnder24Hrs],tblDaily[EntryDate],DATE(2026,4,11),tblDaily[WardCode],"ICU")),"")</f>
        <v/>
      </c>
      <c r="F134" s="29" t="str">
        <f>IFERROR(IF(SUMIFS(tblDaily[TransfersIn],tblDaily[EntryDate],DATE(2026,4,11),tblDaily[WardCode],"ICU")=0,"",SUMIFS(tblDaily[TransfersIn],tblDaily[EntryDate],DATE(2026,4,11),tblDaily[WardCode],"ICU")),"")</f>
        <v/>
      </c>
      <c r="G134" s="29" t="str">
        <f>IFERROR(IF(SUMIFS(tblDaily[TransfersOut],tblDaily[EntryDate],DATE(2026,4,11),tblDaily[WardCode],"ICU")=0,"",SUMIFS(tblDaily[TransfersOut],tblDaily[EntryDate],DATE(2026,4,11),tblDaily[WardCode],"ICU")),"")</f>
        <v/>
      </c>
      <c r="H134" s="29" t="str">
        <f>IFERROR(IF(SUMIFS(tblDaily[Remaining],tblDaily[EntryDate],DATE(2026,4,11),tblDaily[WardCode],"ICU")=0,"",SUMIFS(tblDaily[Remaining],tblDaily[EntryDate],DATE(2026,4,11),tblDaily[WardCode],"ICU")),"")</f>
        <v/>
      </c>
    </row>
    <row r="135" spans="1:8" x14ac:dyDescent="0.25">
      <c r="A135" s="29">
        <v>12</v>
      </c>
      <c r="B135" s="29" t="str">
        <f>IFERROR(IF(SUMIFS(tblDaily[Admissions],tblDaily[EntryDate],DATE(2026,4,12),tblDaily[WardCode],"ICU")=0,"",SUMIFS(tblDaily[Admissions],tblDaily[EntryDate],DATE(2026,4,12),tblDaily[WardCode],"ICU")),"")</f>
        <v/>
      </c>
      <c r="C135" s="29" t="str">
        <f>IFERROR(IF(SUMIFS(tblDaily[Discharges],tblDaily[EntryDate],DATE(2026,4,12),tblDaily[WardCode],"ICU")=0,"",SUMIFS(tblDaily[Discharges],tblDaily[EntryDate],DATE(2026,4,12),tblDaily[WardCode],"ICU")),"")</f>
        <v/>
      </c>
      <c r="D135" s="29" t="str">
        <f>IFERROR(IF(SUMIFS(tblDaily[Deaths],tblDaily[EntryDate],DATE(2026,4,12),tblDaily[WardCode],"ICU")=0,"",SUMIFS(tblDaily[Deaths],tblDaily[EntryDate],DATE(2026,4,12),tblDaily[WardCode],"ICU")),"")</f>
        <v/>
      </c>
      <c r="E135" s="29" t="str">
        <f>IFERROR(IF(SUMIFS(tblDaily[DeathsUnder24Hrs],tblDaily[EntryDate],DATE(2026,4,12),tblDaily[WardCode],"ICU")=0,"",SUMIFS(tblDaily[DeathsUnder24Hrs],tblDaily[EntryDate],DATE(2026,4,12),tblDaily[WardCode],"ICU")),"")</f>
        <v/>
      </c>
      <c r="F135" s="29" t="str">
        <f>IFERROR(IF(SUMIFS(tblDaily[TransfersIn],tblDaily[EntryDate],DATE(2026,4,12),tblDaily[WardCode],"ICU")=0,"",SUMIFS(tblDaily[TransfersIn],tblDaily[EntryDate],DATE(2026,4,12),tblDaily[WardCode],"ICU")),"")</f>
        <v/>
      </c>
      <c r="G135" s="29" t="str">
        <f>IFERROR(IF(SUMIFS(tblDaily[TransfersOut],tblDaily[EntryDate],DATE(2026,4,12),tblDaily[WardCode],"ICU")=0,"",SUMIFS(tblDaily[TransfersOut],tblDaily[EntryDate],DATE(2026,4,12),tblDaily[WardCode],"ICU")),"")</f>
        <v/>
      </c>
      <c r="H135" s="29" t="str">
        <f>IFERROR(IF(SUMIFS(tblDaily[Remaining],tblDaily[EntryDate],DATE(2026,4,12),tblDaily[WardCode],"ICU")=0,"",SUMIFS(tblDaily[Remaining],tblDaily[EntryDate],DATE(2026,4,12),tblDaily[WardCode],"ICU")),"")</f>
        <v/>
      </c>
    </row>
    <row r="136" spans="1:8" x14ac:dyDescent="0.25">
      <c r="A136" s="29">
        <v>13</v>
      </c>
      <c r="B136" s="29" t="str">
        <f>IFERROR(IF(SUMIFS(tblDaily[Admissions],tblDaily[EntryDate],DATE(2026,4,13),tblDaily[WardCode],"ICU")=0,"",SUMIFS(tblDaily[Admissions],tblDaily[EntryDate],DATE(2026,4,13),tblDaily[WardCode],"ICU")),"")</f>
        <v/>
      </c>
      <c r="C136" s="29" t="str">
        <f>IFERROR(IF(SUMIFS(tblDaily[Discharges],tblDaily[EntryDate],DATE(2026,4,13),tblDaily[WardCode],"ICU")=0,"",SUMIFS(tblDaily[Discharges],tblDaily[EntryDate],DATE(2026,4,13),tblDaily[WardCode],"ICU")),"")</f>
        <v/>
      </c>
      <c r="D136" s="29" t="str">
        <f>IFERROR(IF(SUMIFS(tblDaily[Deaths],tblDaily[EntryDate],DATE(2026,4,13),tblDaily[WardCode],"ICU")=0,"",SUMIFS(tblDaily[Deaths],tblDaily[EntryDate],DATE(2026,4,13),tblDaily[WardCode],"ICU")),"")</f>
        <v/>
      </c>
      <c r="E136" s="29" t="str">
        <f>IFERROR(IF(SUMIFS(tblDaily[DeathsUnder24Hrs],tblDaily[EntryDate],DATE(2026,4,13),tblDaily[WardCode],"ICU")=0,"",SUMIFS(tblDaily[DeathsUnder24Hrs],tblDaily[EntryDate],DATE(2026,4,13),tblDaily[WardCode],"ICU")),"")</f>
        <v/>
      </c>
      <c r="F136" s="29" t="str">
        <f>IFERROR(IF(SUMIFS(tblDaily[TransfersIn],tblDaily[EntryDate],DATE(2026,4,13),tblDaily[WardCode],"ICU")=0,"",SUMIFS(tblDaily[TransfersIn],tblDaily[EntryDate],DATE(2026,4,13),tblDaily[WardCode],"ICU")),"")</f>
        <v/>
      </c>
      <c r="G136" s="29" t="str">
        <f>IFERROR(IF(SUMIFS(tblDaily[TransfersOut],tblDaily[EntryDate],DATE(2026,4,13),tblDaily[WardCode],"ICU")=0,"",SUMIFS(tblDaily[TransfersOut],tblDaily[EntryDate],DATE(2026,4,13),tblDaily[WardCode],"ICU")),"")</f>
        <v/>
      </c>
      <c r="H136" s="29" t="str">
        <f>IFERROR(IF(SUMIFS(tblDaily[Remaining],tblDaily[EntryDate],DATE(2026,4,13),tblDaily[WardCode],"ICU")=0,"",SUMIFS(tblDaily[Remaining],tblDaily[EntryDate],DATE(2026,4,13),tblDaily[WardCode],"ICU")),"")</f>
        <v/>
      </c>
    </row>
    <row r="137" spans="1:8" x14ac:dyDescent="0.25">
      <c r="A137" s="29">
        <v>14</v>
      </c>
      <c r="B137" s="29" t="str">
        <f>IFERROR(IF(SUMIFS(tblDaily[Admissions],tblDaily[EntryDate],DATE(2026,4,14),tblDaily[WardCode],"ICU")=0,"",SUMIFS(tblDaily[Admissions],tblDaily[EntryDate],DATE(2026,4,14),tblDaily[WardCode],"ICU")),"")</f>
        <v/>
      </c>
      <c r="C137" s="29" t="str">
        <f>IFERROR(IF(SUMIFS(tblDaily[Discharges],tblDaily[EntryDate],DATE(2026,4,14),tblDaily[WardCode],"ICU")=0,"",SUMIFS(tblDaily[Discharges],tblDaily[EntryDate],DATE(2026,4,14),tblDaily[WardCode],"ICU")),"")</f>
        <v/>
      </c>
      <c r="D137" s="29" t="str">
        <f>IFERROR(IF(SUMIFS(tblDaily[Deaths],tblDaily[EntryDate],DATE(2026,4,14),tblDaily[WardCode],"ICU")=0,"",SUMIFS(tblDaily[Deaths],tblDaily[EntryDate],DATE(2026,4,14),tblDaily[WardCode],"ICU")),"")</f>
        <v/>
      </c>
      <c r="E137" s="29" t="str">
        <f>IFERROR(IF(SUMIFS(tblDaily[DeathsUnder24Hrs],tblDaily[EntryDate],DATE(2026,4,14),tblDaily[WardCode],"ICU")=0,"",SUMIFS(tblDaily[DeathsUnder24Hrs],tblDaily[EntryDate],DATE(2026,4,14),tblDaily[WardCode],"ICU")),"")</f>
        <v/>
      </c>
      <c r="F137" s="29" t="str">
        <f>IFERROR(IF(SUMIFS(tblDaily[TransfersIn],tblDaily[EntryDate],DATE(2026,4,14),tblDaily[WardCode],"ICU")=0,"",SUMIFS(tblDaily[TransfersIn],tblDaily[EntryDate],DATE(2026,4,14),tblDaily[WardCode],"ICU")),"")</f>
        <v/>
      </c>
      <c r="G137" s="29" t="str">
        <f>IFERROR(IF(SUMIFS(tblDaily[TransfersOut],tblDaily[EntryDate],DATE(2026,4,14),tblDaily[WardCode],"ICU")=0,"",SUMIFS(tblDaily[TransfersOut],tblDaily[EntryDate],DATE(2026,4,14),tblDaily[WardCode],"ICU")),"")</f>
        <v/>
      </c>
      <c r="H137" s="29" t="str">
        <f>IFERROR(IF(SUMIFS(tblDaily[Remaining],tblDaily[EntryDate],DATE(2026,4,14),tblDaily[WardCode],"ICU")=0,"",SUMIFS(tblDaily[Remaining],tblDaily[EntryDate],DATE(2026,4,14),tblDaily[WardCode],"ICU")),"")</f>
        <v/>
      </c>
    </row>
    <row r="138" spans="1:8" x14ac:dyDescent="0.25">
      <c r="A138" s="29">
        <v>15</v>
      </c>
      <c r="B138" s="29" t="str">
        <f>IFERROR(IF(SUMIFS(tblDaily[Admissions],tblDaily[EntryDate],DATE(2026,4,15),tblDaily[WardCode],"ICU")=0,"",SUMIFS(tblDaily[Admissions],tblDaily[EntryDate],DATE(2026,4,15),tblDaily[WardCode],"ICU")),"")</f>
        <v/>
      </c>
      <c r="C138" s="29" t="str">
        <f>IFERROR(IF(SUMIFS(tblDaily[Discharges],tblDaily[EntryDate],DATE(2026,4,15),tblDaily[WardCode],"ICU")=0,"",SUMIFS(tblDaily[Discharges],tblDaily[EntryDate],DATE(2026,4,15),tblDaily[WardCode],"ICU")),"")</f>
        <v/>
      </c>
      <c r="D138" s="29" t="str">
        <f>IFERROR(IF(SUMIFS(tblDaily[Deaths],tblDaily[EntryDate],DATE(2026,4,15),tblDaily[WardCode],"ICU")=0,"",SUMIFS(tblDaily[Deaths],tblDaily[EntryDate],DATE(2026,4,15),tblDaily[WardCode],"ICU")),"")</f>
        <v/>
      </c>
      <c r="E138" s="29" t="str">
        <f>IFERROR(IF(SUMIFS(tblDaily[DeathsUnder24Hrs],tblDaily[EntryDate],DATE(2026,4,15),tblDaily[WardCode],"ICU")=0,"",SUMIFS(tblDaily[DeathsUnder24Hrs],tblDaily[EntryDate],DATE(2026,4,15),tblDaily[WardCode],"ICU")),"")</f>
        <v/>
      </c>
      <c r="F138" s="29" t="str">
        <f>IFERROR(IF(SUMIFS(tblDaily[TransfersIn],tblDaily[EntryDate],DATE(2026,4,15),tblDaily[WardCode],"ICU")=0,"",SUMIFS(tblDaily[TransfersIn],tblDaily[EntryDate],DATE(2026,4,15),tblDaily[WardCode],"ICU")),"")</f>
        <v/>
      </c>
      <c r="G138" s="29" t="str">
        <f>IFERROR(IF(SUMIFS(tblDaily[TransfersOut],tblDaily[EntryDate],DATE(2026,4,15),tblDaily[WardCode],"ICU")=0,"",SUMIFS(tblDaily[TransfersOut],tblDaily[EntryDate],DATE(2026,4,15),tblDaily[WardCode],"ICU")),"")</f>
        <v/>
      </c>
      <c r="H138" s="29" t="str">
        <f>IFERROR(IF(SUMIFS(tblDaily[Remaining],tblDaily[EntryDate],DATE(2026,4,15),tblDaily[WardCode],"ICU")=0,"",SUMIFS(tblDaily[Remaining],tblDaily[EntryDate],DATE(2026,4,15),tblDaily[WardCode],"ICU")),"")</f>
        <v/>
      </c>
    </row>
    <row r="139" spans="1:8" x14ac:dyDescent="0.25">
      <c r="A139" s="29">
        <v>16</v>
      </c>
      <c r="B139" s="29" t="str">
        <f>IFERROR(IF(SUMIFS(tblDaily[Admissions],tblDaily[EntryDate],DATE(2026,4,16),tblDaily[WardCode],"ICU")=0,"",SUMIFS(tblDaily[Admissions],tblDaily[EntryDate],DATE(2026,4,16),tblDaily[WardCode],"ICU")),"")</f>
        <v/>
      </c>
      <c r="C139" s="29" t="str">
        <f>IFERROR(IF(SUMIFS(tblDaily[Discharges],tblDaily[EntryDate],DATE(2026,4,16),tblDaily[WardCode],"ICU")=0,"",SUMIFS(tblDaily[Discharges],tblDaily[EntryDate],DATE(2026,4,16),tblDaily[WardCode],"ICU")),"")</f>
        <v/>
      </c>
      <c r="D139" s="29" t="str">
        <f>IFERROR(IF(SUMIFS(tblDaily[Deaths],tblDaily[EntryDate],DATE(2026,4,16),tblDaily[WardCode],"ICU")=0,"",SUMIFS(tblDaily[Deaths],tblDaily[EntryDate],DATE(2026,4,16),tblDaily[WardCode],"ICU")),"")</f>
        <v/>
      </c>
      <c r="E139" s="29" t="str">
        <f>IFERROR(IF(SUMIFS(tblDaily[DeathsUnder24Hrs],tblDaily[EntryDate],DATE(2026,4,16),tblDaily[WardCode],"ICU")=0,"",SUMIFS(tblDaily[DeathsUnder24Hrs],tblDaily[EntryDate],DATE(2026,4,16),tblDaily[WardCode],"ICU")),"")</f>
        <v/>
      </c>
      <c r="F139" s="29" t="str">
        <f>IFERROR(IF(SUMIFS(tblDaily[TransfersIn],tblDaily[EntryDate],DATE(2026,4,16),tblDaily[WardCode],"ICU")=0,"",SUMIFS(tblDaily[TransfersIn],tblDaily[EntryDate],DATE(2026,4,16),tblDaily[WardCode],"ICU")),"")</f>
        <v/>
      </c>
      <c r="G139" s="29" t="str">
        <f>IFERROR(IF(SUMIFS(tblDaily[TransfersOut],tblDaily[EntryDate],DATE(2026,4,16),tblDaily[WardCode],"ICU")=0,"",SUMIFS(tblDaily[TransfersOut],tblDaily[EntryDate],DATE(2026,4,16),tblDaily[WardCode],"ICU")),"")</f>
        <v/>
      </c>
      <c r="H139" s="29" t="str">
        <f>IFERROR(IF(SUMIFS(tblDaily[Remaining],tblDaily[EntryDate],DATE(2026,4,16),tblDaily[WardCode],"ICU")=0,"",SUMIFS(tblDaily[Remaining],tblDaily[EntryDate],DATE(2026,4,16),tblDaily[WardCode],"ICU")),"")</f>
        <v/>
      </c>
    </row>
    <row r="140" spans="1:8" x14ac:dyDescent="0.25">
      <c r="A140" s="29">
        <v>17</v>
      </c>
      <c r="B140" s="29" t="str">
        <f>IFERROR(IF(SUMIFS(tblDaily[Admissions],tblDaily[EntryDate],DATE(2026,4,17),tblDaily[WardCode],"ICU")=0,"",SUMIFS(tblDaily[Admissions],tblDaily[EntryDate],DATE(2026,4,17),tblDaily[WardCode],"ICU")),"")</f>
        <v/>
      </c>
      <c r="C140" s="29" t="str">
        <f>IFERROR(IF(SUMIFS(tblDaily[Discharges],tblDaily[EntryDate],DATE(2026,4,17),tblDaily[WardCode],"ICU")=0,"",SUMIFS(tblDaily[Discharges],tblDaily[EntryDate],DATE(2026,4,17),tblDaily[WardCode],"ICU")),"")</f>
        <v/>
      </c>
      <c r="D140" s="29" t="str">
        <f>IFERROR(IF(SUMIFS(tblDaily[Deaths],tblDaily[EntryDate],DATE(2026,4,17),tblDaily[WardCode],"ICU")=0,"",SUMIFS(tblDaily[Deaths],tblDaily[EntryDate],DATE(2026,4,17),tblDaily[WardCode],"ICU")),"")</f>
        <v/>
      </c>
      <c r="E140" s="29" t="str">
        <f>IFERROR(IF(SUMIFS(tblDaily[DeathsUnder24Hrs],tblDaily[EntryDate],DATE(2026,4,17),tblDaily[WardCode],"ICU")=0,"",SUMIFS(tblDaily[DeathsUnder24Hrs],tblDaily[EntryDate],DATE(2026,4,17),tblDaily[WardCode],"ICU")),"")</f>
        <v/>
      </c>
      <c r="F140" s="29" t="str">
        <f>IFERROR(IF(SUMIFS(tblDaily[TransfersIn],tblDaily[EntryDate],DATE(2026,4,17),tblDaily[WardCode],"ICU")=0,"",SUMIFS(tblDaily[TransfersIn],tblDaily[EntryDate],DATE(2026,4,17),tblDaily[WardCode],"ICU")),"")</f>
        <v/>
      </c>
      <c r="G140" s="29" t="str">
        <f>IFERROR(IF(SUMIFS(tblDaily[TransfersOut],tblDaily[EntryDate],DATE(2026,4,17),tblDaily[WardCode],"ICU")=0,"",SUMIFS(tblDaily[TransfersOut],tblDaily[EntryDate],DATE(2026,4,17),tblDaily[WardCode],"ICU")),"")</f>
        <v/>
      </c>
      <c r="H140" s="29" t="str">
        <f>IFERROR(IF(SUMIFS(tblDaily[Remaining],tblDaily[EntryDate],DATE(2026,4,17),tblDaily[WardCode],"ICU")=0,"",SUMIFS(tblDaily[Remaining],tblDaily[EntryDate],DATE(2026,4,17),tblDaily[WardCode],"ICU")),"")</f>
        <v/>
      </c>
    </row>
    <row r="141" spans="1:8" x14ac:dyDescent="0.25">
      <c r="A141" s="29">
        <v>18</v>
      </c>
      <c r="B141" s="29" t="str">
        <f>IFERROR(IF(SUMIFS(tblDaily[Admissions],tblDaily[EntryDate],DATE(2026,4,18),tblDaily[WardCode],"ICU")=0,"",SUMIFS(tblDaily[Admissions],tblDaily[EntryDate],DATE(2026,4,18),tblDaily[WardCode],"ICU")),"")</f>
        <v/>
      </c>
      <c r="C141" s="29" t="str">
        <f>IFERROR(IF(SUMIFS(tblDaily[Discharges],tblDaily[EntryDate],DATE(2026,4,18),tblDaily[WardCode],"ICU")=0,"",SUMIFS(tblDaily[Discharges],tblDaily[EntryDate],DATE(2026,4,18),tblDaily[WardCode],"ICU")),"")</f>
        <v/>
      </c>
      <c r="D141" s="29" t="str">
        <f>IFERROR(IF(SUMIFS(tblDaily[Deaths],tblDaily[EntryDate],DATE(2026,4,18),tblDaily[WardCode],"ICU")=0,"",SUMIFS(tblDaily[Deaths],tblDaily[EntryDate],DATE(2026,4,18),tblDaily[WardCode],"ICU")),"")</f>
        <v/>
      </c>
      <c r="E141" s="29" t="str">
        <f>IFERROR(IF(SUMIFS(tblDaily[DeathsUnder24Hrs],tblDaily[EntryDate],DATE(2026,4,18),tblDaily[WardCode],"ICU")=0,"",SUMIFS(tblDaily[DeathsUnder24Hrs],tblDaily[EntryDate],DATE(2026,4,18),tblDaily[WardCode],"ICU")),"")</f>
        <v/>
      </c>
      <c r="F141" s="29" t="str">
        <f>IFERROR(IF(SUMIFS(tblDaily[TransfersIn],tblDaily[EntryDate],DATE(2026,4,18),tblDaily[WardCode],"ICU")=0,"",SUMIFS(tblDaily[TransfersIn],tblDaily[EntryDate],DATE(2026,4,18),tblDaily[WardCode],"ICU")),"")</f>
        <v/>
      </c>
      <c r="G141" s="29" t="str">
        <f>IFERROR(IF(SUMIFS(tblDaily[TransfersOut],tblDaily[EntryDate],DATE(2026,4,18),tblDaily[WardCode],"ICU")=0,"",SUMIFS(tblDaily[TransfersOut],tblDaily[EntryDate],DATE(2026,4,18),tblDaily[WardCode],"ICU")),"")</f>
        <v/>
      </c>
      <c r="H141" s="29" t="str">
        <f>IFERROR(IF(SUMIFS(tblDaily[Remaining],tblDaily[EntryDate],DATE(2026,4,18),tblDaily[WardCode],"ICU")=0,"",SUMIFS(tblDaily[Remaining],tblDaily[EntryDate],DATE(2026,4,18),tblDaily[WardCode],"ICU")),"")</f>
        <v/>
      </c>
    </row>
    <row r="142" spans="1:8" x14ac:dyDescent="0.25">
      <c r="A142" s="29">
        <v>19</v>
      </c>
      <c r="B142" s="29" t="str">
        <f>IFERROR(IF(SUMIFS(tblDaily[Admissions],tblDaily[EntryDate],DATE(2026,4,19),tblDaily[WardCode],"ICU")=0,"",SUMIFS(tblDaily[Admissions],tblDaily[EntryDate],DATE(2026,4,19),tblDaily[WardCode],"ICU")),"")</f>
        <v/>
      </c>
      <c r="C142" s="29" t="str">
        <f>IFERROR(IF(SUMIFS(tblDaily[Discharges],tblDaily[EntryDate],DATE(2026,4,19),tblDaily[WardCode],"ICU")=0,"",SUMIFS(tblDaily[Discharges],tblDaily[EntryDate],DATE(2026,4,19),tblDaily[WardCode],"ICU")),"")</f>
        <v/>
      </c>
      <c r="D142" s="29" t="str">
        <f>IFERROR(IF(SUMIFS(tblDaily[Deaths],tblDaily[EntryDate],DATE(2026,4,19),tblDaily[WardCode],"ICU")=0,"",SUMIFS(tblDaily[Deaths],tblDaily[EntryDate],DATE(2026,4,19),tblDaily[WardCode],"ICU")),"")</f>
        <v/>
      </c>
      <c r="E142" s="29" t="str">
        <f>IFERROR(IF(SUMIFS(tblDaily[DeathsUnder24Hrs],tblDaily[EntryDate],DATE(2026,4,19),tblDaily[WardCode],"ICU")=0,"",SUMIFS(tblDaily[DeathsUnder24Hrs],tblDaily[EntryDate],DATE(2026,4,19),tblDaily[WardCode],"ICU")),"")</f>
        <v/>
      </c>
      <c r="F142" s="29" t="str">
        <f>IFERROR(IF(SUMIFS(tblDaily[TransfersIn],tblDaily[EntryDate],DATE(2026,4,19),tblDaily[WardCode],"ICU")=0,"",SUMIFS(tblDaily[TransfersIn],tblDaily[EntryDate],DATE(2026,4,19),tblDaily[WardCode],"ICU")),"")</f>
        <v/>
      </c>
      <c r="G142" s="29" t="str">
        <f>IFERROR(IF(SUMIFS(tblDaily[TransfersOut],tblDaily[EntryDate],DATE(2026,4,19),tblDaily[WardCode],"ICU")=0,"",SUMIFS(tblDaily[TransfersOut],tblDaily[EntryDate],DATE(2026,4,19),tblDaily[WardCode],"ICU")),"")</f>
        <v/>
      </c>
      <c r="H142" s="29" t="str">
        <f>IFERROR(IF(SUMIFS(tblDaily[Remaining],tblDaily[EntryDate],DATE(2026,4,19),tblDaily[WardCode],"ICU")=0,"",SUMIFS(tblDaily[Remaining],tblDaily[EntryDate],DATE(2026,4,19),tblDaily[WardCode],"ICU")),"")</f>
        <v/>
      </c>
    </row>
    <row r="143" spans="1:8" x14ac:dyDescent="0.25">
      <c r="A143" s="29">
        <v>20</v>
      </c>
      <c r="B143" s="29" t="str">
        <f>IFERROR(IF(SUMIFS(tblDaily[Admissions],tblDaily[EntryDate],DATE(2026,4,20),tblDaily[WardCode],"ICU")=0,"",SUMIFS(tblDaily[Admissions],tblDaily[EntryDate],DATE(2026,4,20),tblDaily[WardCode],"ICU")),"")</f>
        <v/>
      </c>
      <c r="C143" s="29" t="str">
        <f>IFERROR(IF(SUMIFS(tblDaily[Discharges],tblDaily[EntryDate],DATE(2026,4,20),tblDaily[WardCode],"ICU")=0,"",SUMIFS(tblDaily[Discharges],tblDaily[EntryDate],DATE(2026,4,20),tblDaily[WardCode],"ICU")),"")</f>
        <v/>
      </c>
      <c r="D143" s="29" t="str">
        <f>IFERROR(IF(SUMIFS(tblDaily[Deaths],tblDaily[EntryDate],DATE(2026,4,20),tblDaily[WardCode],"ICU")=0,"",SUMIFS(tblDaily[Deaths],tblDaily[EntryDate],DATE(2026,4,20),tblDaily[WardCode],"ICU")),"")</f>
        <v/>
      </c>
      <c r="E143" s="29" t="str">
        <f>IFERROR(IF(SUMIFS(tblDaily[DeathsUnder24Hrs],tblDaily[EntryDate],DATE(2026,4,20),tblDaily[WardCode],"ICU")=0,"",SUMIFS(tblDaily[DeathsUnder24Hrs],tblDaily[EntryDate],DATE(2026,4,20),tblDaily[WardCode],"ICU")),"")</f>
        <v/>
      </c>
      <c r="F143" s="29" t="str">
        <f>IFERROR(IF(SUMIFS(tblDaily[TransfersIn],tblDaily[EntryDate],DATE(2026,4,20),tblDaily[WardCode],"ICU")=0,"",SUMIFS(tblDaily[TransfersIn],tblDaily[EntryDate],DATE(2026,4,20),tblDaily[WardCode],"ICU")),"")</f>
        <v/>
      </c>
      <c r="G143" s="29" t="str">
        <f>IFERROR(IF(SUMIFS(tblDaily[TransfersOut],tblDaily[EntryDate],DATE(2026,4,20),tblDaily[WardCode],"ICU")=0,"",SUMIFS(tblDaily[TransfersOut],tblDaily[EntryDate],DATE(2026,4,20),tblDaily[WardCode],"ICU")),"")</f>
        <v/>
      </c>
      <c r="H143" s="29" t="str">
        <f>IFERROR(IF(SUMIFS(tblDaily[Remaining],tblDaily[EntryDate],DATE(2026,4,20),tblDaily[WardCode],"ICU")=0,"",SUMIFS(tblDaily[Remaining],tblDaily[EntryDate],DATE(2026,4,20),tblDaily[WardCode],"ICU")),"")</f>
        <v/>
      </c>
    </row>
    <row r="144" spans="1:8" x14ac:dyDescent="0.25">
      <c r="A144" s="29">
        <v>21</v>
      </c>
      <c r="B144" s="29" t="str">
        <f>IFERROR(IF(SUMIFS(tblDaily[Admissions],tblDaily[EntryDate],DATE(2026,4,21),tblDaily[WardCode],"ICU")=0,"",SUMIFS(tblDaily[Admissions],tblDaily[EntryDate],DATE(2026,4,21),tblDaily[WardCode],"ICU")),"")</f>
        <v/>
      </c>
      <c r="C144" s="29" t="str">
        <f>IFERROR(IF(SUMIFS(tblDaily[Discharges],tblDaily[EntryDate],DATE(2026,4,21),tblDaily[WardCode],"ICU")=0,"",SUMIFS(tblDaily[Discharges],tblDaily[EntryDate],DATE(2026,4,21),tblDaily[WardCode],"ICU")),"")</f>
        <v/>
      </c>
      <c r="D144" s="29" t="str">
        <f>IFERROR(IF(SUMIFS(tblDaily[Deaths],tblDaily[EntryDate],DATE(2026,4,21),tblDaily[WardCode],"ICU")=0,"",SUMIFS(tblDaily[Deaths],tblDaily[EntryDate],DATE(2026,4,21),tblDaily[WardCode],"ICU")),"")</f>
        <v/>
      </c>
      <c r="E144" s="29" t="str">
        <f>IFERROR(IF(SUMIFS(tblDaily[DeathsUnder24Hrs],tblDaily[EntryDate],DATE(2026,4,21),tblDaily[WardCode],"ICU")=0,"",SUMIFS(tblDaily[DeathsUnder24Hrs],tblDaily[EntryDate],DATE(2026,4,21),tblDaily[WardCode],"ICU")),"")</f>
        <v/>
      </c>
      <c r="F144" s="29" t="str">
        <f>IFERROR(IF(SUMIFS(tblDaily[TransfersIn],tblDaily[EntryDate],DATE(2026,4,21),tblDaily[WardCode],"ICU")=0,"",SUMIFS(tblDaily[TransfersIn],tblDaily[EntryDate],DATE(2026,4,21),tblDaily[WardCode],"ICU")),"")</f>
        <v/>
      </c>
      <c r="G144" s="29" t="str">
        <f>IFERROR(IF(SUMIFS(tblDaily[TransfersOut],tblDaily[EntryDate],DATE(2026,4,21),tblDaily[WardCode],"ICU")=0,"",SUMIFS(tblDaily[TransfersOut],tblDaily[EntryDate],DATE(2026,4,21),tblDaily[WardCode],"ICU")),"")</f>
        <v/>
      </c>
      <c r="H144" s="29" t="str">
        <f>IFERROR(IF(SUMIFS(tblDaily[Remaining],tblDaily[EntryDate],DATE(2026,4,21),tblDaily[WardCode],"ICU")=0,"",SUMIFS(tblDaily[Remaining],tblDaily[EntryDate],DATE(2026,4,21),tblDaily[WardCode],"ICU")),"")</f>
        <v/>
      </c>
    </row>
    <row r="145" spans="1:8" x14ac:dyDescent="0.25">
      <c r="A145" s="29">
        <v>22</v>
      </c>
      <c r="B145" s="29" t="str">
        <f>IFERROR(IF(SUMIFS(tblDaily[Admissions],tblDaily[EntryDate],DATE(2026,4,22),tblDaily[WardCode],"ICU")=0,"",SUMIFS(tblDaily[Admissions],tblDaily[EntryDate],DATE(2026,4,22),tblDaily[WardCode],"ICU")),"")</f>
        <v/>
      </c>
      <c r="C145" s="29" t="str">
        <f>IFERROR(IF(SUMIFS(tblDaily[Discharges],tblDaily[EntryDate],DATE(2026,4,22),tblDaily[WardCode],"ICU")=0,"",SUMIFS(tblDaily[Discharges],tblDaily[EntryDate],DATE(2026,4,22),tblDaily[WardCode],"ICU")),"")</f>
        <v/>
      </c>
      <c r="D145" s="29" t="str">
        <f>IFERROR(IF(SUMIFS(tblDaily[Deaths],tblDaily[EntryDate],DATE(2026,4,22),tblDaily[WardCode],"ICU")=0,"",SUMIFS(tblDaily[Deaths],tblDaily[EntryDate],DATE(2026,4,22),tblDaily[WardCode],"ICU")),"")</f>
        <v/>
      </c>
      <c r="E145" s="29" t="str">
        <f>IFERROR(IF(SUMIFS(tblDaily[DeathsUnder24Hrs],tblDaily[EntryDate],DATE(2026,4,22),tblDaily[WardCode],"ICU")=0,"",SUMIFS(tblDaily[DeathsUnder24Hrs],tblDaily[EntryDate],DATE(2026,4,22),tblDaily[WardCode],"ICU")),"")</f>
        <v/>
      </c>
      <c r="F145" s="29" t="str">
        <f>IFERROR(IF(SUMIFS(tblDaily[TransfersIn],tblDaily[EntryDate],DATE(2026,4,22),tblDaily[WardCode],"ICU")=0,"",SUMIFS(tblDaily[TransfersIn],tblDaily[EntryDate],DATE(2026,4,22),tblDaily[WardCode],"ICU")),"")</f>
        <v/>
      </c>
      <c r="G145" s="29" t="str">
        <f>IFERROR(IF(SUMIFS(tblDaily[TransfersOut],tblDaily[EntryDate],DATE(2026,4,22),tblDaily[WardCode],"ICU")=0,"",SUMIFS(tblDaily[TransfersOut],tblDaily[EntryDate],DATE(2026,4,22),tblDaily[WardCode],"ICU")),"")</f>
        <v/>
      </c>
      <c r="H145" s="29" t="str">
        <f>IFERROR(IF(SUMIFS(tblDaily[Remaining],tblDaily[EntryDate],DATE(2026,4,22),tblDaily[WardCode],"ICU")=0,"",SUMIFS(tblDaily[Remaining],tblDaily[EntryDate],DATE(2026,4,22),tblDaily[WardCode],"ICU")),"")</f>
        <v/>
      </c>
    </row>
    <row r="146" spans="1:8" x14ac:dyDescent="0.25">
      <c r="A146" s="29">
        <v>23</v>
      </c>
      <c r="B146" s="29" t="str">
        <f>IFERROR(IF(SUMIFS(tblDaily[Admissions],tblDaily[EntryDate],DATE(2026,4,23),tblDaily[WardCode],"ICU")=0,"",SUMIFS(tblDaily[Admissions],tblDaily[EntryDate],DATE(2026,4,23),tblDaily[WardCode],"ICU")),"")</f>
        <v/>
      </c>
      <c r="C146" s="29" t="str">
        <f>IFERROR(IF(SUMIFS(tblDaily[Discharges],tblDaily[EntryDate],DATE(2026,4,23),tblDaily[WardCode],"ICU")=0,"",SUMIFS(tblDaily[Discharges],tblDaily[EntryDate],DATE(2026,4,23),tblDaily[WardCode],"ICU")),"")</f>
        <v/>
      </c>
      <c r="D146" s="29" t="str">
        <f>IFERROR(IF(SUMIFS(tblDaily[Deaths],tblDaily[EntryDate],DATE(2026,4,23),tblDaily[WardCode],"ICU")=0,"",SUMIFS(tblDaily[Deaths],tblDaily[EntryDate],DATE(2026,4,23),tblDaily[WardCode],"ICU")),"")</f>
        <v/>
      </c>
      <c r="E146" s="29" t="str">
        <f>IFERROR(IF(SUMIFS(tblDaily[DeathsUnder24Hrs],tblDaily[EntryDate],DATE(2026,4,23),tblDaily[WardCode],"ICU")=0,"",SUMIFS(tblDaily[DeathsUnder24Hrs],tblDaily[EntryDate],DATE(2026,4,23),tblDaily[WardCode],"ICU")),"")</f>
        <v/>
      </c>
      <c r="F146" s="29" t="str">
        <f>IFERROR(IF(SUMIFS(tblDaily[TransfersIn],tblDaily[EntryDate],DATE(2026,4,23),tblDaily[WardCode],"ICU")=0,"",SUMIFS(tblDaily[TransfersIn],tblDaily[EntryDate],DATE(2026,4,23),tblDaily[WardCode],"ICU")),"")</f>
        <v/>
      </c>
      <c r="G146" s="29" t="str">
        <f>IFERROR(IF(SUMIFS(tblDaily[TransfersOut],tblDaily[EntryDate],DATE(2026,4,23),tblDaily[WardCode],"ICU")=0,"",SUMIFS(tblDaily[TransfersOut],tblDaily[EntryDate],DATE(2026,4,23),tblDaily[WardCode],"ICU")),"")</f>
        <v/>
      </c>
      <c r="H146" s="29" t="str">
        <f>IFERROR(IF(SUMIFS(tblDaily[Remaining],tblDaily[EntryDate],DATE(2026,4,23),tblDaily[WardCode],"ICU")=0,"",SUMIFS(tblDaily[Remaining],tblDaily[EntryDate],DATE(2026,4,23),tblDaily[WardCode],"ICU")),"")</f>
        <v/>
      </c>
    </row>
    <row r="147" spans="1:8" x14ac:dyDescent="0.25">
      <c r="A147" s="29">
        <v>24</v>
      </c>
      <c r="B147" s="29" t="str">
        <f>IFERROR(IF(SUMIFS(tblDaily[Admissions],tblDaily[EntryDate],DATE(2026,4,24),tblDaily[WardCode],"ICU")=0,"",SUMIFS(tblDaily[Admissions],tblDaily[EntryDate],DATE(2026,4,24),tblDaily[WardCode],"ICU")),"")</f>
        <v/>
      </c>
      <c r="C147" s="29" t="str">
        <f>IFERROR(IF(SUMIFS(tblDaily[Discharges],tblDaily[EntryDate],DATE(2026,4,24),tblDaily[WardCode],"ICU")=0,"",SUMIFS(tblDaily[Discharges],tblDaily[EntryDate],DATE(2026,4,24),tblDaily[WardCode],"ICU")),"")</f>
        <v/>
      </c>
      <c r="D147" s="29" t="str">
        <f>IFERROR(IF(SUMIFS(tblDaily[Deaths],tblDaily[EntryDate],DATE(2026,4,24),tblDaily[WardCode],"ICU")=0,"",SUMIFS(tblDaily[Deaths],tblDaily[EntryDate],DATE(2026,4,24),tblDaily[WardCode],"ICU")),"")</f>
        <v/>
      </c>
      <c r="E147" s="29" t="str">
        <f>IFERROR(IF(SUMIFS(tblDaily[DeathsUnder24Hrs],tblDaily[EntryDate],DATE(2026,4,24),tblDaily[WardCode],"ICU")=0,"",SUMIFS(tblDaily[DeathsUnder24Hrs],tblDaily[EntryDate],DATE(2026,4,24),tblDaily[WardCode],"ICU")),"")</f>
        <v/>
      </c>
      <c r="F147" s="29" t="str">
        <f>IFERROR(IF(SUMIFS(tblDaily[TransfersIn],tblDaily[EntryDate],DATE(2026,4,24),tblDaily[WardCode],"ICU")=0,"",SUMIFS(tblDaily[TransfersIn],tblDaily[EntryDate],DATE(2026,4,24),tblDaily[WardCode],"ICU")),"")</f>
        <v/>
      </c>
      <c r="G147" s="29" t="str">
        <f>IFERROR(IF(SUMIFS(tblDaily[TransfersOut],tblDaily[EntryDate],DATE(2026,4,24),tblDaily[WardCode],"ICU")=0,"",SUMIFS(tblDaily[TransfersOut],tblDaily[EntryDate],DATE(2026,4,24),tblDaily[WardCode],"ICU")),"")</f>
        <v/>
      </c>
      <c r="H147" s="29" t="str">
        <f>IFERROR(IF(SUMIFS(tblDaily[Remaining],tblDaily[EntryDate],DATE(2026,4,24),tblDaily[WardCode],"ICU")=0,"",SUMIFS(tblDaily[Remaining],tblDaily[EntryDate],DATE(2026,4,24),tblDaily[WardCode],"ICU")),"")</f>
        <v/>
      </c>
    </row>
    <row r="148" spans="1:8" x14ac:dyDescent="0.25">
      <c r="A148" s="29">
        <v>25</v>
      </c>
      <c r="B148" s="29" t="str">
        <f>IFERROR(IF(SUMIFS(tblDaily[Admissions],tblDaily[EntryDate],DATE(2026,4,25),tblDaily[WardCode],"ICU")=0,"",SUMIFS(tblDaily[Admissions],tblDaily[EntryDate],DATE(2026,4,25),tblDaily[WardCode],"ICU")),"")</f>
        <v/>
      </c>
      <c r="C148" s="29" t="str">
        <f>IFERROR(IF(SUMIFS(tblDaily[Discharges],tblDaily[EntryDate],DATE(2026,4,25),tblDaily[WardCode],"ICU")=0,"",SUMIFS(tblDaily[Discharges],tblDaily[EntryDate],DATE(2026,4,25),tblDaily[WardCode],"ICU")),"")</f>
        <v/>
      </c>
      <c r="D148" s="29" t="str">
        <f>IFERROR(IF(SUMIFS(tblDaily[Deaths],tblDaily[EntryDate],DATE(2026,4,25),tblDaily[WardCode],"ICU")=0,"",SUMIFS(tblDaily[Deaths],tblDaily[EntryDate],DATE(2026,4,25),tblDaily[WardCode],"ICU")),"")</f>
        <v/>
      </c>
      <c r="E148" s="29" t="str">
        <f>IFERROR(IF(SUMIFS(tblDaily[DeathsUnder24Hrs],tblDaily[EntryDate],DATE(2026,4,25),tblDaily[WardCode],"ICU")=0,"",SUMIFS(tblDaily[DeathsUnder24Hrs],tblDaily[EntryDate],DATE(2026,4,25),tblDaily[WardCode],"ICU")),"")</f>
        <v/>
      </c>
      <c r="F148" s="29" t="str">
        <f>IFERROR(IF(SUMIFS(tblDaily[TransfersIn],tblDaily[EntryDate],DATE(2026,4,25),tblDaily[WardCode],"ICU")=0,"",SUMIFS(tblDaily[TransfersIn],tblDaily[EntryDate],DATE(2026,4,25),tblDaily[WardCode],"ICU")),"")</f>
        <v/>
      </c>
      <c r="G148" s="29" t="str">
        <f>IFERROR(IF(SUMIFS(tblDaily[TransfersOut],tblDaily[EntryDate],DATE(2026,4,25),tblDaily[WardCode],"ICU")=0,"",SUMIFS(tblDaily[TransfersOut],tblDaily[EntryDate],DATE(2026,4,25),tblDaily[WardCode],"ICU")),"")</f>
        <v/>
      </c>
      <c r="H148" s="29" t="str">
        <f>IFERROR(IF(SUMIFS(tblDaily[Remaining],tblDaily[EntryDate],DATE(2026,4,25),tblDaily[WardCode],"ICU")=0,"",SUMIFS(tblDaily[Remaining],tblDaily[EntryDate],DATE(2026,4,25),tblDaily[WardCode],"ICU")),"")</f>
        <v/>
      </c>
    </row>
    <row r="149" spans="1:8" x14ac:dyDescent="0.25">
      <c r="A149" s="29">
        <v>26</v>
      </c>
      <c r="B149" s="29" t="str">
        <f>IFERROR(IF(SUMIFS(tblDaily[Admissions],tblDaily[EntryDate],DATE(2026,4,26),tblDaily[WardCode],"ICU")=0,"",SUMIFS(tblDaily[Admissions],tblDaily[EntryDate],DATE(2026,4,26),tblDaily[WardCode],"ICU")),"")</f>
        <v/>
      </c>
      <c r="C149" s="29" t="str">
        <f>IFERROR(IF(SUMIFS(tblDaily[Discharges],tblDaily[EntryDate],DATE(2026,4,26),tblDaily[WardCode],"ICU")=0,"",SUMIFS(tblDaily[Discharges],tblDaily[EntryDate],DATE(2026,4,26),tblDaily[WardCode],"ICU")),"")</f>
        <v/>
      </c>
      <c r="D149" s="29" t="str">
        <f>IFERROR(IF(SUMIFS(tblDaily[Deaths],tblDaily[EntryDate],DATE(2026,4,26),tblDaily[WardCode],"ICU")=0,"",SUMIFS(tblDaily[Deaths],tblDaily[EntryDate],DATE(2026,4,26),tblDaily[WardCode],"ICU")),"")</f>
        <v/>
      </c>
      <c r="E149" s="29" t="str">
        <f>IFERROR(IF(SUMIFS(tblDaily[DeathsUnder24Hrs],tblDaily[EntryDate],DATE(2026,4,26),tblDaily[WardCode],"ICU")=0,"",SUMIFS(tblDaily[DeathsUnder24Hrs],tblDaily[EntryDate],DATE(2026,4,26),tblDaily[WardCode],"ICU")),"")</f>
        <v/>
      </c>
      <c r="F149" s="29" t="str">
        <f>IFERROR(IF(SUMIFS(tblDaily[TransfersIn],tblDaily[EntryDate],DATE(2026,4,26),tblDaily[WardCode],"ICU")=0,"",SUMIFS(tblDaily[TransfersIn],tblDaily[EntryDate],DATE(2026,4,26),tblDaily[WardCode],"ICU")),"")</f>
        <v/>
      </c>
      <c r="G149" s="29" t="str">
        <f>IFERROR(IF(SUMIFS(tblDaily[TransfersOut],tblDaily[EntryDate],DATE(2026,4,26),tblDaily[WardCode],"ICU")=0,"",SUMIFS(tblDaily[TransfersOut],tblDaily[EntryDate],DATE(2026,4,26),tblDaily[WardCode],"ICU")),"")</f>
        <v/>
      </c>
      <c r="H149" s="29" t="str">
        <f>IFERROR(IF(SUMIFS(tblDaily[Remaining],tblDaily[EntryDate],DATE(2026,4,26),tblDaily[WardCode],"ICU")=0,"",SUMIFS(tblDaily[Remaining],tblDaily[EntryDate],DATE(2026,4,26),tblDaily[WardCode],"ICU")),"")</f>
        <v/>
      </c>
    </row>
    <row r="150" spans="1:8" x14ac:dyDescent="0.25">
      <c r="A150" s="29">
        <v>27</v>
      </c>
      <c r="B150" s="29" t="str">
        <f>IFERROR(IF(SUMIFS(tblDaily[Admissions],tblDaily[EntryDate],DATE(2026,4,27),tblDaily[WardCode],"ICU")=0,"",SUMIFS(tblDaily[Admissions],tblDaily[EntryDate],DATE(2026,4,27),tblDaily[WardCode],"ICU")),"")</f>
        <v/>
      </c>
      <c r="C150" s="29" t="str">
        <f>IFERROR(IF(SUMIFS(tblDaily[Discharges],tblDaily[EntryDate],DATE(2026,4,27),tblDaily[WardCode],"ICU")=0,"",SUMIFS(tblDaily[Discharges],tblDaily[EntryDate],DATE(2026,4,27),tblDaily[WardCode],"ICU")),"")</f>
        <v/>
      </c>
      <c r="D150" s="29" t="str">
        <f>IFERROR(IF(SUMIFS(tblDaily[Deaths],tblDaily[EntryDate],DATE(2026,4,27),tblDaily[WardCode],"ICU")=0,"",SUMIFS(tblDaily[Deaths],tblDaily[EntryDate],DATE(2026,4,27),tblDaily[WardCode],"ICU")),"")</f>
        <v/>
      </c>
      <c r="E150" s="29" t="str">
        <f>IFERROR(IF(SUMIFS(tblDaily[DeathsUnder24Hrs],tblDaily[EntryDate],DATE(2026,4,27),tblDaily[WardCode],"ICU")=0,"",SUMIFS(tblDaily[DeathsUnder24Hrs],tblDaily[EntryDate],DATE(2026,4,27),tblDaily[WardCode],"ICU")),"")</f>
        <v/>
      </c>
      <c r="F150" s="29" t="str">
        <f>IFERROR(IF(SUMIFS(tblDaily[TransfersIn],tblDaily[EntryDate],DATE(2026,4,27),tblDaily[WardCode],"ICU")=0,"",SUMIFS(tblDaily[TransfersIn],tblDaily[EntryDate],DATE(2026,4,27),tblDaily[WardCode],"ICU")),"")</f>
        <v/>
      </c>
      <c r="G150" s="29" t="str">
        <f>IFERROR(IF(SUMIFS(tblDaily[TransfersOut],tblDaily[EntryDate],DATE(2026,4,27),tblDaily[WardCode],"ICU")=0,"",SUMIFS(tblDaily[TransfersOut],tblDaily[EntryDate],DATE(2026,4,27),tblDaily[WardCode],"ICU")),"")</f>
        <v/>
      </c>
      <c r="H150" s="29" t="str">
        <f>IFERROR(IF(SUMIFS(tblDaily[Remaining],tblDaily[EntryDate],DATE(2026,4,27),tblDaily[WardCode],"ICU")=0,"",SUMIFS(tblDaily[Remaining],tblDaily[EntryDate],DATE(2026,4,27),tblDaily[WardCode],"ICU")),"")</f>
        <v/>
      </c>
    </row>
    <row r="151" spans="1:8" x14ac:dyDescent="0.25">
      <c r="A151" s="29">
        <v>28</v>
      </c>
      <c r="B151" s="29" t="str">
        <f>IFERROR(IF(SUMIFS(tblDaily[Admissions],tblDaily[EntryDate],DATE(2026,4,28),tblDaily[WardCode],"ICU")=0,"",SUMIFS(tblDaily[Admissions],tblDaily[EntryDate],DATE(2026,4,28),tblDaily[WardCode],"ICU")),"")</f>
        <v/>
      </c>
      <c r="C151" s="29" t="str">
        <f>IFERROR(IF(SUMIFS(tblDaily[Discharges],tblDaily[EntryDate],DATE(2026,4,28),tblDaily[WardCode],"ICU")=0,"",SUMIFS(tblDaily[Discharges],tblDaily[EntryDate],DATE(2026,4,28),tblDaily[WardCode],"ICU")),"")</f>
        <v/>
      </c>
      <c r="D151" s="29" t="str">
        <f>IFERROR(IF(SUMIFS(tblDaily[Deaths],tblDaily[EntryDate],DATE(2026,4,28),tblDaily[WardCode],"ICU")=0,"",SUMIFS(tblDaily[Deaths],tblDaily[EntryDate],DATE(2026,4,28),tblDaily[WardCode],"ICU")),"")</f>
        <v/>
      </c>
      <c r="E151" s="29" t="str">
        <f>IFERROR(IF(SUMIFS(tblDaily[DeathsUnder24Hrs],tblDaily[EntryDate],DATE(2026,4,28),tblDaily[WardCode],"ICU")=0,"",SUMIFS(tblDaily[DeathsUnder24Hrs],tblDaily[EntryDate],DATE(2026,4,28),tblDaily[WardCode],"ICU")),"")</f>
        <v/>
      </c>
      <c r="F151" s="29" t="str">
        <f>IFERROR(IF(SUMIFS(tblDaily[TransfersIn],tblDaily[EntryDate],DATE(2026,4,28),tblDaily[WardCode],"ICU")=0,"",SUMIFS(tblDaily[TransfersIn],tblDaily[EntryDate],DATE(2026,4,28),tblDaily[WardCode],"ICU")),"")</f>
        <v/>
      </c>
      <c r="G151" s="29" t="str">
        <f>IFERROR(IF(SUMIFS(tblDaily[TransfersOut],tblDaily[EntryDate],DATE(2026,4,28),tblDaily[WardCode],"ICU")=0,"",SUMIFS(tblDaily[TransfersOut],tblDaily[EntryDate],DATE(2026,4,28),tblDaily[WardCode],"ICU")),"")</f>
        <v/>
      </c>
      <c r="H151" s="29" t="str">
        <f>IFERROR(IF(SUMIFS(tblDaily[Remaining],tblDaily[EntryDate],DATE(2026,4,28),tblDaily[WardCode],"ICU")=0,"",SUMIFS(tblDaily[Remaining],tblDaily[EntryDate],DATE(2026,4,28),tblDaily[WardCode],"ICU")),"")</f>
        <v/>
      </c>
    </row>
    <row r="152" spans="1:8" x14ac:dyDescent="0.25">
      <c r="A152" s="29">
        <v>29</v>
      </c>
      <c r="B152" s="29" t="str">
        <f>IFERROR(IF(SUMIFS(tblDaily[Admissions],tblDaily[EntryDate],DATE(2026,4,29),tblDaily[WardCode],"ICU")=0,"",SUMIFS(tblDaily[Admissions],tblDaily[EntryDate],DATE(2026,4,29),tblDaily[WardCode],"ICU")),"")</f>
        <v/>
      </c>
      <c r="C152" s="29" t="str">
        <f>IFERROR(IF(SUMIFS(tblDaily[Discharges],tblDaily[EntryDate],DATE(2026,4,29),tblDaily[WardCode],"ICU")=0,"",SUMIFS(tblDaily[Discharges],tblDaily[EntryDate],DATE(2026,4,29),tblDaily[WardCode],"ICU")),"")</f>
        <v/>
      </c>
      <c r="D152" s="29" t="str">
        <f>IFERROR(IF(SUMIFS(tblDaily[Deaths],tblDaily[EntryDate],DATE(2026,4,29),tblDaily[WardCode],"ICU")=0,"",SUMIFS(tblDaily[Deaths],tblDaily[EntryDate],DATE(2026,4,29),tblDaily[WardCode],"ICU")),"")</f>
        <v/>
      </c>
      <c r="E152" s="29" t="str">
        <f>IFERROR(IF(SUMIFS(tblDaily[DeathsUnder24Hrs],tblDaily[EntryDate],DATE(2026,4,29),tblDaily[WardCode],"ICU")=0,"",SUMIFS(tblDaily[DeathsUnder24Hrs],tblDaily[EntryDate],DATE(2026,4,29),tblDaily[WardCode],"ICU")),"")</f>
        <v/>
      </c>
      <c r="F152" s="29" t="str">
        <f>IFERROR(IF(SUMIFS(tblDaily[TransfersIn],tblDaily[EntryDate],DATE(2026,4,29),tblDaily[WardCode],"ICU")=0,"",SUMIFS(tblDaily[TransfersIn],tblDaily[EntryDate],DATE(2026,4,29),tblDaily[WardCode],"ICU")),"")</f>
        <v/>
      </c>
      <c r="G152" s="29" t="str">
        <f>IFERROR(IF(SUMIFS(tblDaily[TransfersOut],tblDaily[EntryDate],DATE(2026,4,29),tblDaily[WardCode],"ICU")=0,"",SUMIFS(tblDaily[TransfersOut],tblDaily[EntryDate],DATE(2026,4,29),tblDaily[WardCode],"ICU")),"")</f>
        <v/>
      </c>
      <c r="H152" s="29" t="str">
        <f>IFERROR(IF(SUMIFS(tblDaily[Remaining],tblDaily[EntryDate],DATE(2026,4,29),tblDaily[WardCode],"ICU")=0,"",SUMIFS(tblDaily[Remaining],tblDaily[EntryDate],DATE(2026,4,29),tblDaily[WardCode],"ICU")),"")</f>
        <v/>
      </c>
    </row>
    <row r="153" spans="1:8" x14ac:dyDescent="0.25">
      <c r="A153" s="29">
        <v>30</v>
      </c>
      <c r="B153" s="29" t="str">
        <f>IFERROR(IF(SUMIFS(tblDaily[Admissions],tblDaily[EntryDate],DATE(2026,4,30),tblDaily[WardCode],"ICU")=0,"",SUMIFS(tblDaily[Admissions],tblDaily[EntryDate],DATE(2026,4,30),tblDaily[WardCode],"ICU")),"")</f>
        <v/>
      </c>
      <c r="C153" s="29" t="str">
        <f>IFERROR(IF(SUMIFS(tblDaily[Discharges],tblDaily[EntryDate],DATE(2026,4,30),tblDaily[WardCode],"ICU")=0,"",SUMIFS(tblDaily[Discharges],tblDaily[EntryDate],DATE(2026,4,30),tblDaily[WardCode],"ICU")),"")</f>
        <v/>
      </c>
      <c r="D153" s="29" t="str">
        <f>IFERROR(IF(SUMIFS(tblDaily[Deaths],tblDaily[EntryDate],DATE(2026,4,30),tblDaily[WardCode],"ICU")=0,"",SUMIFS(tblDaily[Deaths],tblDaily[EntryDate],DATE(2026,4,30),tblDaily[WardCode],"ICU")),"")</f>
        <v/>
      </c>
      <c r="E153" s="29" t="str">
        <f>IFERROR(IF(SUMIFS(tblDaily[DeathsUnder24Hrs],tblDaily[EntryDate],DATE(2026,4,30),tblDaily[WardCode],"ICU")=0,"",SUMIFS(tblDaily[DeathsUnder24Hrs],tblDaily[EntryDate],DATE(2026,4,30),tblDaily[WardCode],"ICU")),"")</f>
        <v/>
      </c>
      <c r="F153" s="29" t="str">
        <f>IFERROR(IF(SUMIFS(tblDaily[TransfersIn],tblDaily[EntryDate],DATE(2026,4,30),tblDaily[WardCode],"ICU")=0,"",SUMIFS(tblDaily[TransfersIn],tblDaily[EntryDate],DATE(2026,4,30),tblDaily[WardCode],"ICU")),"")</f>
        <v/>
      </c>
      <c r="G153" s="29" t="str">
        <f>IFERROR(IF(SUMIFS(tblDaily[TransfersOut],tblDaily[EntryDate],DATE(2026,4,30),tblDaily[WardCode],"ICU")=0,"",SUMIFS(tblDaily[TransfersOut],tblDaily[EntryDate],DATE(2026,4,30),tblDaily[WardCode],"ICU")),"")</f>
        <v/>
      </c>
      <c r="H153" s="29" t="str">
        <f>IFERROR(IF(SUMIFS(tblDaily[Remaining],tblDaily[EntryDate],DATE(2026,4,30),tblDaily[WardCode],"ICU")=0,"",SUMIFS(tblDaily[Remaining],tblDaily[EntryDate],DATE(2026,4,30),tblDaily[WardCode],"ICU")),"")</f>
        <v/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115</v>
      </c>
      <c r="B155" s="30">
        <f>SUMIFS(tblDaily[Admissions],tblDaily[Month],4,tblDaily[WardCode],"ICU") - SUMIFS(tblDaily[DeathsUnder24Hrs],tblDaily[Month],4,tblDaily[WardCode],"ICU")</f>
        <v>0</v>
      </c>
      <c r="C155" s="30">
        <f>SUMIFS(tblDaily[Discharges],tblDaily[Month],4,tblDaily[WardCode],"ICU")</f>
        <v>0</v>
      </c>
      <c r="D155" s="30">
        <f>SUMIFS(tblDaily[Deaths],tblDaily[Month],4,tblDaily[WardCode],"ICU")</f>
        <v>0</v>
      </c>
      <c r="E155" s="30">
        <f>SUMIFS(tblDaily[DeathsUnder24Hrs],tblDaily[Month],4,tblDaily[WardCode],"ICU")</f>
        <v>0</v>
      </c>
      <c r="F155" s="30">
        <f>SUMIFS(tblDaily[TransfersIn],tblDaily[Month],4,tblDaily[WardCode],"ICU")</f>
        <v>0</v>
      </c>
      <c r="G155" s="30">
        <f>SUMIFS(tblDaily[TransfersOut],tblDaily[Month],4,tblDaily[WardCode],"ICU")</f>
        <v>0</v>
      </c>
      <c r="H155" s="30">
        <f>SUMIFS(tblDaily[Remaining],tblDaily[Month],4,tblDaily[WardCode],"ICU")</f>
        <v>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104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105</v>
      </c>
      <c r="E159" s="25" t="s">
        <v>124</v>
      </c>
      <c r="F159" s="24" t="s">
        <v>107</v>
      </c>
      <c r="G159" s="25" t="s">
        <v>67</v>
      </c>
    </row>
    <row r="160" spans="1:8" x14ac:dyDescent="0.25">
      <c r="A160" s="24" t="s">
        <v>108</v>
      </c>
      <c r="H160" s="26">
        <f>IFERROR(SUMIFS(tblDaily[Remaining],tblDaily[EntryDate],DATE(2026,4,30),tblDaily[WardCode],"ICU"),0)</f>
        <v>0</v>
      </c>
    </row>
    <row r="161" spans="1:8" x14ac:dyDescent="0.25">
      <c r="A161" s="24" t="s">
        <v>109</v>
      </c>
      <c r="H161" s="27">
        <f>IFERROR(INDEX(tblWardConfig[BedComplement],MATCH("ICU",tblWardConfig[WardCode],0)),0)</f>
        <v>4</v>
      </c>
    </row>
    <row r="162" spans="1:8" ht="38.25" x14ac:dyDescent="0.25">
      <c r="A162" s="28" t="s">
        <v>110</v>
      </c>
      <c r="B162" s="28" t="s">
        <v>77</v>
      </c>
      <c r="C162" s="28" t="s">
        <v>78</v>
      </c>
      <c r="D162" s="28" t="s">
        <v>79</v>
      </c>
      <c r="E162" s="28" t="s">
        <v>111</v>
      </c>
      <c r="F162" s="28" t="s">
        <v>112</v>
      </c>
      <c r="G162" s="28" t="s">
        <v>113</v>
      </c>
      <c r="H162" s="28" t="s">
        <v>114</v>
      </c>
    </row>
    <row r="163" spans="1:8" x14ac:dyDescent="0.25">
      <c r="A163" s="29">
        <v>1</v>
      </c>
      <c r="B163" s="29" t="str">
        <f>IFERROR(IF(SUMIFS(tblDaily[Admissions],tblDaily[EntryDate],DATE(2026,5,1),tblDaily[WardCode],"ICU")=0,"",SUMIFS(tblDaily[Admissions],tblDaily[EntryDate],DATE(2026,5,1),tblDaily[WardCode],"ICU")),"")</f>
        <v/>
      </c>
      <c r="C163" s="29" t="str">
        <f>IFERROR(IF(SUMIFS(tblDaily[Discharges],tblDaily[EntryDate],DATE(2026,5,1),tblDaily[WardCode],"ICU")=0,"",SUMIFS(tblDaily[Discharges],tblDaily[EntryDate],DATE(2026,5,1),tblDaily[WardCode],"ICU")),"")</f>
        <v/>
      </c>
      <c r="D163" s="29" t="str">
        <f>IFERROR(IF(SUMIFS(tblDaily[Deaths],tblDaily[EntryDate],DATE(2026,5,1),tblDaily[WardCode],"ICU")=0,"",SUMIFS(tblDaily[Deaths],tblDaily[EntryDate],DATE(2026,5,1),tblDaily[WardCode],"ICU")),"")</f>
        <v/>
      </c>
      <c r="E163" s="29" t="str">
        <f>IFERROR(IF(SUMIFS(tblDaily[DeathsUnder24Hrs],tblDaily[EntryDate],DATE(2026,5,1),tblDaily[WardCode],"ICU")=0,"",SUMIFS(tblDaily[DeathsUnder24Hrs],tblDaily[EntryDate],DATE(2026,5,1),tblDaily[WardCode],"ICU")),"")</f>
        <v/>
      </c>
      <c r="F163" s="29" t="str">
        <f>IFERROR(IF(SUMIFS(tblDaily[TransfersIn],tblDaily[EntryDate],DATE(2026,5,1),tblDaily[WardCode],"ICU")=0,"",SUMIFS(tblDaily[TransfersIn],tblDaily[EntryDate],DATE(2026,5,1),tblDaily[WardCode],"ICU")),"")</f>
        <v/>
      </c>
      <c r="G163" s="29" t="str">
        <f>IFERROR(IF(SUMIFS(tblDaily[TransfersOut],tblDaily[EntryDate],DATE(2026,5,1),tblDaily[WardCode],"ICU")=0,"",SUMIFS(tblDaily[TransfersOut],tblDaily[EntryDate],DATE(2026,5,1),tblDaily[WardCode],"ICU")),"")</f>
        <v/>
      </c>
      <c r="H163" s="29" t="str">
        <f>IFERROR(IF(SUMIFS(tblDaily[Remaining],tblDaily[EntryDate],DATE(2026,5,1),tblDaily[WardCode],"ICU")=0,"",SUMIFS(tblDaily[Remaining],tblDaily[EntryDate],DATE(2026,5,1),tblDaily[WardCode],"ICU")),"")</f>
        <v/>
      </c>
    </row>
    <row r="164" spans="1:8" x14ac:dyDescent="0.25">
      <c r="A164" s="29">
        <v>2</v>
      </c>
      <c r="B164" s="29" t="str">
        <f>IFERROR(IF(SUMIFS(tblDaily[Admissions],tblDaily[EntryDate],DATE(2026,5,2),tblDaily[WardCode],"ICU")=0,"",SUMIFS(tblDaily[Admissions],tblDaily[EntryDate],DATE(2026,5,2),tblDaily[WardCode],"ICU")),"")</f>
        <v/>
      </c>
      <c r="C164" s="29" t="str">
        <f>IFERROR(IF(SUMIFS(tblDaily[Discharges],tblDaily[EntryDate],DATE(2026,5,2),tblDaily[WardCode],"ICU")=0,"",SUMIFS(tblDaily[Discharges],tblDaily[EntryDate],DATE(2026,5,2),tblDaily[WardCode],"ICU")),"")</f>
        <v/>
      </c>
      <c r="D164" s="29" t="str">
        <f>IFERROR(IF(SUMIFS(tblDaily[Deaths],tblDaily[EntryDate],DATE(2026,5,2),tblDaily[WardCode],"ICU")=0,"",SUMIFS(tblDaily[Deaths],tblDaily[EntryDate],DATE(2026,5,2),tblDaily[WardCode],"ICU")),"")</f>
        <v/>
      </c>
      <c r="E164" s="29" t="str">
        <f>IFERROR(IF(SUMIFS(tblDaily[DeathsUnder24Hrs],tblDaily[EntryDate],DATE(2026,5,2),tblDaily[WardCode],"ICU")=0,"",SUMIFS(tblDaily[DeathsUnder24Hrs],tblDaily[EntryDate],DATE(2026,5,2),tblDaily[WardCode],"ICU")),"")</f>
        <v/>
      </c>
      <c r="F164" s="29" t="str">
        <f>IFERROR(IF(SUMIFS(tblDaily[TransfersIn],tblDaily[EntryDate],DATE(2026,5,2),tblDaily[WardCode],"ICU")=0,"",SUMIFS(tblDaily[TransfersIn],tblDaily[EntryDate],DATE(2026,5,2),tblDaily[WardCode],"ICU")),"")</f>
        <v/>
      </c>
      <c r="G164" s="29" t="str">
        <f>IFERROR(IF(SUMIFS(tblDaily[TransfersOut],tblDaily[EntryDate],DATE(2026,5,2),tblDaily[WardCode],"ICU")=0,"",SUMIFS(tblDaily[TransfersOut],tblDaily[EntryDate],DATE(2026,5,2),tblDaily[WardCode],"ICU")),"")</f>
        <v/>
      </c>
      <c r="H164" s="29" t="str">
        <f>IFERROR(IF(SUMIFS(tblDaily[Remaining],tblDaily[EntryDate],DATE(2026,5,2),tblDaily[WardCode],"ICU")=0,"",SUMIFS(tblDaily[Remaining],tblDaily[EntryDate],DATE(2026,5,2),tblDaily[WardCode],"ICU")),"")</f>
        <v/>
      </c>
    </row>
    <row r="165" spans="1:8" x14ac:dyDescent="0.25">
      <c r="A165" s="29">
        <v>3</v>
      </c>
      <c r="B165" s="29" t="str">
        <f>IFERROR(IF(SUMIFS(tblDaily[Admissions],tblDaily[EntryDate],DATE(2026,5,3),tblDaily[WardCode],"ICU")=0,"",SUMIFS(tblDaily[Admissions],tblDaily[EntryDate],DATE(2026,5,3),tblDaily[WardCode],"ICU")),"")</f>
        <v/>
      </c>
      <c r="C165" s="29" t="str">
        <f>IFERROR(IF(SUMIFS(tblDaily[Discharges],tblDaily[EntryDate],DATE(2026,5,3),tblDaily[WardCode],"ICU")=0,"",SUMIFS(tblDaily[Discharges],tblDaily[EntryDate],DATE(2026,5,3),tblDaily[WardCode],"ICU")),"")</f>
        <v/>
      </c>
      <c r="D165" s="29" t="str">
        <f>IFERROR(IF(SUMIFS(tblDaily[Deaths],tblDaily[EntryDate],DATE(2026,5,3),tblDaily[WardCode],"ICU")=0,"",SUMIFS(tblDaily[Deaths],tblDaily[EntryDate],DATE(2026,5,3),tblDaily[WardCode],"ICU")),"")</f>
        <v/>
      </c>
      <c r="E165" s="29" t="str">
        <f>IFERROR(IF(SUMIFS(tblDaily[DeathsUnder24Hrs],tblDaily[EntryDate],DATE(2026,5,3),tblDaily[WardCode],"ICU")=0,"",SUMIFS(tblDaily[DeathsUnder24Hrs],tblDaily[EntryDate],DATE(2026,5,3),tblDaily[WardCode],"ICU")),"")</f>
        <v/>
      </c>
      <c r="F165" s="29" t="str">
        <f>IFERROR(IF(SUMIFS(tblDaily[TransfersIn],tblDaily[EntryDate],DATE(2026,5,3),tblDaily[WardCode],"ICU")=0,"",SUMIFS(tblDaily[TransfersIn],tblDaily[EntryDate],DATE(2026,5,3),tblDaily[WardCode],"ICU")),"")</f>
        <v/>
      </c>
      <c r="G165" s="29" t="str">
        <f>IFERROR(IF(SUMIFS(tblDaily[TransfersOut],tblDaily[EntryDate],DATE(2026,5,3),tblDaily[WardCode],"ICU")=0,"",SUMIFS(tblDaily[TransfersOut],tblDaily[EntryDate],DATE(2026,5,3),tblDaily[WardCode],"ICU")),"")</f>
        <v/>
      </c>
      <c r="H165" s="29" t="str">
        <f>IFERROR(IF(SUMIFS(tblDaily[Remaining],tblDaily[EntryDate],DATE(2026,5,3),tblDaily[WardCode],"ICU")=0,"",SUMIFS(tblDaily[Remaining],tblDaily[EntryDate],DATE(2026,5,3),tblDaily[WardCode],"ICU")),"")</f>
        <v/>
      </c>
    </row>
    <row r="166" spans="1:8" x14ac:dyDescent="0.25">
      <c r="A166" s="29">
        <v>4</v>
      </c>
      <c r="B166" s="29" t="str">
        <f>IFERROR(IF(SUMIFS(tblDaily[Admissions],tblDaily[EntryDate],DATE(2026,5,4),tblDaily[WardCode],"ICU")=0,"",SUMIFS(tblDaily[Admissions],tblDaily[EntryDate],DATE(2026,5,4),tblDaily[WardCode],"ICU")),"")</f>
        <v/>
      </c>
      <c r="C166" s="29" t="str">
        <f>IFERROR(IF(SUMIFS(tblDaily[Discharges],tblDaily[EntryDate],DATE(2026,5,4),tblDaily[WardCode],"ICU")=0,"",SUMIFS(tblDaily[Discharges],tblDaily[EntryDate],DATE(2026,5,4),tblDaily[WardCode],"ICU")),"")</f>
        <v/>
      </c>
      <c r="D166" s="29" t="str">
        <f>IFERROR(IF(SUMIFS(tblDaily[Deaths],tblDaily[EntryDate],DATE(2026,5,4),tblDaily[WardCode],"ICU")=0,"",SUMIFS(tblDaily[Deaths],tblDaily[EntryDate],DATE(2026,5,4),tblDaily[WardCode],"ICU")),"")</f>
        <v/>
      </c>
      <c r="E166" s="29" t="str">
        <f>IFERROR(IF(SUMIFS(tblDaily[DeathsUnder24Hrs],tblDaily[EntryDate],DATE(2026,5,4),tblDaily[WardCode],"ICU")=0,"",SUMIFS(tblDaily[DeathsUnder24Hrs],tblDaily[EntryDate],DATE(2026,5,4),tblDaily[WardCode],"ICU")),"")</f>
        <v/>
      </c>
      <c r="F166" s="29" t="str">
        <f>IFERROR(IF(SUMIFS(tblDaily[TransfersIn],tblDaily[EntryDate],DATE(2026,5,4),tblDaily[WardCode],"ICU")=0,"",SUMIFS(tblDaily[TransfersIn],tblDaily[EntryDate],DATE(2026,5,4),tblDaily[WardCode],"ICU")),"")</f>
        <v/>
      </c>
      <c r="G166" s="29" t="str">
        <f>IFERROR(IF(SUMIFS(tblDaily[TransfersOut],tblDaily[EntryDate],DATE(2026,5,4),tblDaily[WardCode],"ICU")=0,"",SUMIFS(tblDaily[TransfersOut],tblDaily[EntryDate],DATE(2026,5,4),tblDaily[WardCode],"ICU")),"")</f>
        <v/>
      </c>
      <c r="H166" s="29" t="str">
        <f>IFERROR(IF(SUMIFS(tblDaily[Remaining],tblDaily[EntryDate],DATE(2026,5,4),tblDaily[WardCode],"ICU")=0,"",SUMIFS(tblDaily[Remaining],tblDaily[EntryDate],DATE(2026,5,4),tblDaily[WardCode],"ICU")),"")</f>
        <v/>
      </c>
    </row>
    <row r="167" spans="1:8" x14ac:dyDescent="0.25">
      <c r="A167" s="29">
        <v>5</v>
      </c>
      <c r="B167" s="29" t="str">
        <f>IFERROR(IF(SUMIFS(tblDaily[Admissions],tblDaily[EntryDate],DATE(2026,5,5),tblDaily[WardCode],"ICU")=0,"",SUMIFS(tblDaily[Admissions],tblDaily[EntryDate],DATE(2026,5,5),tblDaily[WardCode],"ICU")),"")</f>
        <v/>
      </c>
      <c r="C167" s="29" t="str">
        <f>IFERROR(IF(SUMIFS(tblDaily[Discharges],tblDaily[EntryDate],DATE(2026,5,5),tblDaily[WardCode],"ICU")=0,"",SUMIFS(tblDaily[Discharges],tblDaily[EntryDate],DATE(2026,5,5),tblDaily[WardCode],"ICU")),"")</f>
        <v/>
      </c>
      <c r="D167" s="29" t="str">
        <f>IFERROR(IF(SUMIFS(tblDaily[Deaths],tblDaily[EntryDate],DATE(2026,5,5),tblDaily[WardCode],"ICU")=0,"",SUMIFS(tblDaily[Deaths],tblDaily[EntryDate],DATE(2026,5,5),tblDaily[WardCode],"ICU")),"")</f>
        <v/>
      </c>
      <c r="E167" s="29" t="str">
        <f>IFERROR(IF(SUMIFS(tblDaily[DeathsUnder24Hrs],tblDaily[EntryDate],DATE(2026,5,5),tblDaily[WardCode],"ICU")=0,"",SUMIFS(tblDaily[DeathsUnder24Hrs],tblDaily[EntryDate],DATE(2026,5,5),tblDaily[WardCode],"ICU")),"")</f>
        <v/>
      </c>
      <c r="F167" s="29" t="str">
        <f>IFERROR(IF(SUMIFS(tblDaily[TransfersIn],tblDaily[EntryDate],DATE(2026,5,5),tblDaily[WardCode],"ICU")=0,"",SUMIFS(tblDaily[TransfersIn],tblDaily[EntryDate],DATE(2026,5,5),tblDaily[WardCode],"ICU")),"")</f>
        <v/>
      </c>
      <c r="G167" s="29" t="str">
        <f>IFERROR(IF(SUMIFS(tblDaily[TransfersOut],tblDaily[EntryDate],DATE(2026,5,5),tblDaily[WardCode],"ICU")=0,"",SUMIFS(tblDaily[TransfersOut],tblDaily[EntryDate],DATE(2026,5,5),tblDaily[WardCode],"ICU")),"")</f>
        <v/>
      </c>
      <c r="H167" s="29" t="str">
        <f>IFERROR(IF(SUMIFS(tblDaily[Remaining],tblDaily[EntryDate],DATE(2026,5,5),tblDaily[WardCode],"ICU")=0,"",SUMIFS(tblDaily[Remaining],tblDaily[EntryDate],DATE(2026,5,5),tblDaily[WardCode],"ICU")),"")</f>
        <v/>
      </c>
    </row>
    <row r="168" spans="1:8" x14ac:dyDescent="0.25">
      <c r="A168" s="29">
        <v>6</v>
      </c>
      <c r="B168" s="29" t="str">
        <f>IFERROR(IF(SUMIFS(tblDaily[Admissions],tblDaily[EntryDate],DATE(2026,5,6),tblDaily[WardCode],"ICU")=0,"",SUMIFS(tblDaily[Admissions],tblDaily[EntryDate],DATE(2026,5,6),tblDaily[WardCode],"ICU")),"")</f>
        <v/>
      </c>
      <c r="C168" s="29" t="str">
        <f>IFERROR(IF(SUMIFS(tblDaily[Discharges],tblDaily[EntryDate],DATE(2026,5,6),tblDaily[WardCode],"ICU")=0,"",SUMIFS(tblDaily[Discharges],tblDaily[EntryDate],DATE(2026,5,6),tblDaily[WardCode],"ICU")),"")</f>
        <v/>
      </c>
      <c r="D168" s="29" t="str">
        <f>IFERROR(IF(SUMIFS(tblDaily[Deaths],tblDaily[EntryDate],DATE(2026,5,6),tblDaily[WardCode],"ICU")=0,"",SUMIFS(tblDaily[Deaths],tblDaily[EntryDate],DATE(2026,5,6),tblDaily[WardCode],"ICU")),"")</f>
        <v/>
      </c>
      <c r="E168" s="29" t="str">
        <f>IFERROR(IF(SUMIFS(tblDaily[DeathsUnder24Hrs],tblDaily[EntryDate],DATE(2026,5,6),tblDaily[WardCode],"ICU")=0,"",SUMIFS(tblDaily[DeathsUnder24Hrs],tblDaily[EntryDate],DATE(2026,5,6),tblDaily[WardCode],"ICU")),"")</f>
        <v/>
      </c>
      <c r="F168" s="29" t="str">
        <f>IFERROR(IF(SUMIFS(tblDaily[TransfersIn],tblDaily[EntryDate],DATE(2026,5,6),tblDaily[WardCode],"ICU")=0,"",SUMIFS(tblDaily[TransfersIn],tblDaily[EntryDate],DATE(2026,5,6),tblDaily[WardCode],"ICU")),"")</f>
        <v/>
      </c>
      <c r="G168" s="29" t="str">
        <f>IFERROR(IF(SUMIFS(tblDaily[TransfersOut],tblDaily[EntryDate],DATE(2026,5,6),tblDaily[WardCode],"ICU")=0,"",SUMIFS(tblDaily[TransfersOut],tblDaily[EntryDate],DATE(2026,5,6),tblDaily[WardCode],"ICU")),"")</f>
        <v/>
      </c>
      <c r="H168" s="29" t="str">
        <f>IFERROR(IF(SUMIFS(tblDaily[Remaining],tblDaily[EntryDate],DATE(2026,5,6),tblDaily[WardCode],"ICU")=0,"",SUMIFS(tblDaily[Remaining],tblDaily[EntryDate],DATE(2026,5,6),tblDaily[WardCode],"ICU")),"")</f>
        <v/>
      </c>
    </row>
    <row r="169" spans="1:8" x14ac:dyDescent="0.25">
      <c r="A169" s="29">
        <v>7</v>
      </c>
      <c r="B169" s="29" t="str">
        <f>IFERROR(IF(SUMIFS(tblDaily[Admissions],tblDaily[EntryDate],DATE(2026,5,7),tblDaily[WardCode],"ICU")=0,"",SUMIFS(tblDaily[Admissions],tblDaily[EntryDate],DATE(2026,5,7),tblDaily[WardCode],"ICU")),"")</f>
        <v/>
      </c>
      <c r="C169" s="29" t="str">
        <f>IFERROR(IF(SUMIFS(tblDaily[Discharges],tblDaily[EntryDate],DATE(2026,5,7),tblDaily[WardCode],"ICU")=0,"",SUMIFS(tblDaily[Discharges],tblDaily[EntryDate],DATE(2026,5,7),tblDaily[WardCode],"ICU")),"")</f>
        <v/>
      </c>
      <c r="D169" s="29" t="str">
        <f>IFERROR(IF(SUMIFS(tblDaily[Deaths],tblDaily[EntryDate],DATE(2026,5,7),tblDaily[WardCode],"ICU")=0,"",SUMIFS(tblDaily[Deaths],tblDaily[EntryDate],DATE(2026,5,7),tblDaily[WardCode],"ICU")),"")</f>
        <v/>
      </c>
      <c r="E169" s="29" t="str">
        <f>IFERROR(IF(SUMIFS(tblDaily[DeathsUnder24Hrs],tblDaily[EntryDate],DATE(2026,5,7),tblDaily[WardCode],"ICU")=0,"",SUMIFS(tblDaily[DeathsUnder24Hrs],tblDaily[EntryDate],DATE(2026,5,7),tblDaily[WardCode],"ICU")),"")</f>
        <v/>
      </c>
      <c r="F169" s="29" t="str">
        <f>IFERROR(IF(SUMIFS(tblDaily[TransfersIn],tblDaily[EntryDate],DATE(2026,5,7),tblDaily[WardCode],"ICU")=0,"",SUMIFS(tblDaily[TransfersIn],tblDaily[EntryDate],DATE(2026,5,7),tblDaily[WardCode],"ICU")),"")</f>
        <v/>
      </c>
      <c r="G169" s="29" t="str">
        <f>IFERROR(IF(SUMIFS(tblDaily[TransfersOut],tblDaily[EntryDate],DATE(2026,5,7),tblDaily[WardCode],"ICU")=0,"",SUMIFS(tblDaily[TransfersOut],tblDaily[EntryDate],DATE(2026,5,7),tblDaily[WardCode],"ICU")),"")</f>
        <v/>
      </c>
      <c r="H169" s="29" t="str">
        <f>IFERROR(IF(SUMIFS(tblDaily[Remaining],tblDaily[EntryDate],DATE(2026,5,7),tblDaily[WardCode],"ICU")=0,"",SUMIFS(tblDaily[Remaining],tblDaily[EntryDate],DATE(2026,5,7),tblDaily[WardCode],"ICU")),"")</f>
        <v/>
      </c>
    </row>
    <row r="170" spans="1:8" x14ac:dyDescent="0.25">
      <c r="A170" s="29">
        <v>8</v>
      </c>
      <c r="B170" s="29" t="str">
        <f>IFERROR(IF(SUMIFS(tblDaily[Admissions],tblDaily[EntryDate],DATE(2026,5,8),tblDaily[WardCode],"ICU")=0,"",SUMIFS(tblDaily[Admissions],tblDaily[EntryDate],DATE(2026,5,8),tblDaily[WardCode],"ICU")),"")</f>
        <v/>
      </c>
      <c r="C170" s="29" t="str">
        <f>IFERROR(IF(SUMIFS(tblDaily[Discharges],tblDaily[EntryDate],DATE(2026,5,8),tblDaily[WardCode],"ICU")=0,"",SUMIFS(tblDaily[Discharges],tblDaily[EntryDate],DATE(2026,5,8),tblDaily[WardCode],"ICU")),"")</f>
        <v/>
      </c>
      <c r="D170" s="29" t="str">
        <f>IFERROR(IF(SUMIFS(tblDaily[Deaths],tblDaily[EntryDate],DATE(2026,5,8),tblDaily[WardCode],"ICU")=0,"",SUMIFS(tblDaily[Deaths],tblDaily[EntryDate],DATE(2026,5,8),tblDaily[WardCode],"ICU")),"")</f>
        <v/>
      </c>
      <c r="E170" s="29" t="str">
        <f>IFERROR(IF(SUMIFS(tblDaily[DeathsUnder24Hrs],tblDaily[EntryDate],DATE(2026,5,8),tblDaily[WardCode],"ICU")=0,"",SUMIFS(tblDaily[DeathsUnder24Hrs],tblDaily[EntryDate],DATE(2026,5,8),tblDaily[WardCode],"ICU")),"")</f>
        <v/>
      </c>
      <c r="F170" s="29" t="str">
        <f>IFERROR(IF(SUMIFS(tblDaily[TransfersIn],tblDaily[EntryDate],DATE(2026,5,8),tblDaily[WardCode],"ICU")=0,"",SUMIFS(tblDaily[TransfersIn],tblDaily[EntryDate],DATE(2026,5,8),tblDaily[WardCode],"ICU")),"")</f>
        <v/>
      </c>
      <c r="G170" s="29" t="str">
        <f>IFERROR(IF(SUMIFS(tblDaily[TransfersOut],tblDaily[EntryDate],DATE(2026,5,8),tblDaily[WardCode],"ICU")=0,"",SUMIFS(tblDaily[TransfersOut],tblDaily[EntryDate],DATE(2026,5,8),tblDaily[WardCode],"ICU")),"")</f>
        <v/>
      </c>
      <c r="H170" s="29" t="str">
        <f>IFERROR(IF(SUMIFS(tblDaily[Remaining],tblDaily[EntryDate],DATE(2026,5,8),tblDaily[WardCode],"ICU")=0,"",SUMIFS(tblDaily[Remaining],tblDaily[EntryDate],DATE(2026,5,8),tblDaily[WardCode],"ICU")),"")</f>
        <v/>
      </c>
    </row>
    <row r="171" spans="1:8" x14ac:dyDescent="0.25">
      <c r="A171" s="29">
        <v>9</v>
      </c>
      <c r="B171" s="29" t="str">
        <f>IFERROR(IF(SUMIFS(tblDaily[Admissions],tblDaily[EntryDate],DATE(2026,5,9),tblDaily[WardCode],"ICU")=0,"",SUMIFS(tblDaily[Admissions],tblDaily[EntryDate],DATE(2026,5,9),tblDaily[WardCode],"ICU")),"")</f>
        <v/>
      </c>
      <c r="C171" s="29" t="str">
        <f>IFERROR(IF(SUMIFS(tblDaily[Discharges],tblDaily[EntryDate],DATE(2026,5,9),tblDaily[WardCode],"ICU")=0,"",SUMIFS(tblDaily[Discharges],tblDaily[EntryDate],DATE(2026,5,9),tblDaily[WardCode],"ICU")),"")</f>
        <v/>
      </c>
      <c r="D171" s="29" t="str">
        <f>IFERROR(IF(SUMIFS(tblDaily[Deaths],tblDaily[EntryDate],DATE(2026,5,9),tblDaily[WardCode],"ICU")=0,"",SUMIFS(tblDaily[Deaths],tblDaily[EntryDate],DATE(2026,5,9),tblDaily[WardCode],"ICU")),"")</f>
        <v/>
      </c>
      <c r="E171" s="29" t="str">
        <f>IFERROR(IF(SUMIFS(tblDaily[DeathsUnder24Hrs],tblDaily[EntryDate],DATE(2026,5,9),tblDaily[WardCode],"ICU")=0,"",SUMIFS(tblDaily[DeathsUnder24Hrs],tblDaily[EntryDate],DATE(2026,5,9),tblDaily[WardCode],"ICU")),"")</f>
        <v/>
      </c>
      <c r="F171" s="29" t="str">
        <f>IFERROR(IF(SUMIFS(tblDaily[TransfersIn],tblDaily[EntryDate],DATE(2026,5,9),tblDaily[WardCode],"ICU")=0,"",SUMIFS(tblDaily[TransfersIn],tblDaily[EntryDate],DATE(2026,5,9),tblDaily[WardCode],"ICU")),"")</f>
        <v/>
      </c>
      <c r="G171" s="29" t="str">
        <f>IFERROR(IF(SUMIFS(tblDaily[TransfersOut],tblDaily[EntryDate],DATE(2026,5,9),tblDaily[WardCode],"ICU")=0,"",SUMIFS(tblDaily[TransfersOut],tblDaily[EntryDate],DATE(2026,5,9),tblDaily[WardCode],"ICU")),"")</f>
        <v/>
      </c>
      <c r="H171" s="29" t="str">
        <f>IFERROR(IF(SUMIFS(tblDaily[Remaining],tblDaily[EntryDate],DATE(2026,5,9),tblDaily[WardCode],"ICU")=0,"",SUMIFS(tblDaily[Remaining],tblDaily[EntryDate],DATE(2026,5,9),tblDaily[WardCode],"ICU")),"")</f>
        <v/>
      </c>
    </row>
    <row r="172" spans="1:8" x14ac:dyDescent="0.25">
      <c r="A172" s="29">
        <v>10</v>
      </c>
      <c r="B172" s="29" t="str">
        <f>IFERROR(IF(SUMIFS(tblDaily[Admissions],tblDaily[EntryDate],DATE(2026,5,10),tblDaily[WardCode],"ICU")=0,"",SUMIFS(tblDaily[Admissions],tblDaily[EntryDate],DATE(2026,5,10),tblDaily[WardCode],"ICU")),"")</f>
        <v/>
      </c>
      <c r="C172" s="29" t="str">
        <f>IFERROR(IF(SUMIFS(tblDaily[Discharges],tblDaily[EntryDate],DATE(2026,5,10),tblDaily[WardCode],"ICU")=0,"",SUMIFS(tblDaily[Discharges],tblDaily[EntryDate],DATE(2026,5,10),tblDaily[WardCode],"ICU")),"")</f>
        <v/>
      </c>
      <c r="D172" s="29" t="str">
        <f>IFERROR(IF(SUMIFS(tblDaily[Deaths],tblDaily[EntryDate],DATE(2026,5,10),tblDaily[WardCode],"ICU")=0,"",SUMIFS(tblDaily[Deaths],tblDaily[EntryDate],DATE(2026,5,10),tblDaily[WardCode],"ICU")),"")</f>
        <v/>
      </c>
      <c r="E172" s="29" t="str">
        <f>IFERROR(IF(SUMIFS(tblDaily[DeathsUnder24Hrs],tblDaily[EntryDate],DATE(2026,5,10),tblDaily[WardCode],"ICU")=0,"",SUMIFS(tblDaily[DeathsUnder24Hrs],tblDaily[EntryDate],DATE(2026,5,10),tblDaily[WardCode],"ICU")),"")</f>
        <v/>
      </c>
      <c r="F172" s="29" t="str">
        <f>IFERROR(IF(SUMIFS(tblDaily[TransfersIn],tblDaily[EntryDate],DATE(2026,5,10),tblDaily[WardCode],"ICU")=0,"",SUMIFS(tblDaily[TransfersIn],tblDaily[EntryDate],DATE(2026,5,10),tblDaily[WardCode],"ICU")),"")</f>
        <v/>
      </c>
      <c r="G172" s="29" t="str">
        <f>IFERROR(IF(SUMIFS(tblDaily[TransfersOut],tblDaily[EntryDate],DATE(2026,5,10),tblDaily[WardCode],"ICU")=0,"",SUMIFS(tblDaily[TransfersOut],tblDaily[EntryDate],DATE(2026,5,10),tblDaily[WardCode],"ICU")),"")</f>
        <v/>
      </c>
      <c r="H172" s="29" t="str">
        <f>IFERROR(IF(SUMIFS(tblDaily[Remaining],tblDaily[EntryDate],DATE(2026,5,10),tblDaily[WardCode],"ICU")=0,"",SUMIFS(tblDaily[Remaining],tblDaily[EntryDate],DATE(2026,5,10),tblDaily[WardCode],"ICU")),"")</f>
        <v/>
      </c>
    </row>
    <row r="173" spans="1:8" x14ac:dyDescent="0.25">
      <c r="A173" s="29">
        <v>11</v>
      </c>
      <c r="B173" s="29" t="str">
        <f>IFERROR(IF(SUMIFS(tblDaily[Admissions],tblDaily[EntryDate],DATE(2026,5,11),tblDaily[WardCode],"ICU")=0,"",SUMIFS(tblDaily[Admissions],tblDaily[EntryDate],DATE(2026,5,11),tblDaily[WardCode],"ICU")),"")</f>
        <v/>
      </c>
      <c r="C173" s="29" t="str">
        <f>IFERROR(IF(SUMIFS(tblDaily[Discharges],tblDaily[EntryDate],DATE(2026,5,11),tblDaily[WardCode],"ICU")=0,"",SUMIFS(tblDaily[Discharges],tblDaily[EntryDate],DATE(2026,5,11),tblDaily[WardCode],"ICU")),"")</f>
        <v/>
      </c>
      <c r="D173" s="29" t="str">
        <f>IFERROR(IF(SUMIFS(tblDaily[Deaths],tblDaily[EntryDate],DATE(2026,5,11),tblDaily[WardCode],"ICU")=0,"",SUMIFS(tblDaily[Deaths],tblDaily[EntryDate],DATE(2026,5,11),tblDaily[WardCode],"ICU")),"")</f>
        <v/>
      </c>
      <c r="E173" s="29" t="str">
        <f>IFERROR(IF(SUMIFS(tblDaily[DeathsUnder24Hrs],tblDaily[EntryDate],DATE(2026,5,11),tblDaily[WardCode],"ICU")=0,"",SUMIFS(tblDaily[DeathsUnder24Hrs],tblDaily[EntryDate],DATE(2026,5,11),tblDaily[WardCode],"ICU")),"")</f>
        <v/>
      </c>
      <c r="F173" s="29" t="str">
        <f>IFERROR(IF(SUMIFS(tblDaily[TransfersIn],tblDaily[EntryDate],DATE(2026,5,11),tblDaily[WardCode],"ICU")=0,"",SUMIFS(tblDaily[TransfersIn],tblDaily[EntryDate],DATE(2026,5,11),tblDaily[WardCode],"ICU")),"")</f>
        <v/>
      </c>
      <c r="G173" s="29" t="str">
        <f>IFERROR(IF(SUMIFS(tblDaily[TransfersOut],tblDaily[EntryDate],DATE(2026,5,11),tblDaily[WardCode],"ICU")=0,"",SUMIFS(tblDaily[TransfersOut],tblDaily[EntryDate],DATE(2026,5,11),tblDaily[WardCode],"ICU")),"")</f>
        <v/>
      </c>
      <c r="H173" s="29" t="str">
        <f>IFERROR(IF(SUMIFS(tblDaily[Remaining],tblDaily[EntryDate],DATE(2026,5,11),tblDaily[WardCode],"ICU")=0,"",SUMIFS(tblDaily[Remaining],tblDaily[EntryDate],DATE(2026,5,11),tblDaily[WardCode],"ICU")),"")</f>
        <v/>
      </c>
    </row>
    <row r="174" spans="1:8" x14ac:dyDescent="0.25">
      <c r="A174" s="29">
        <v>12</v>
      </c>
      <c r="B174" s="29" t="str">
        <f>IFERROR(IF(SUMIFS(tblDaily[Admissions],tblDaily[EntryDate],DATE(2026,5,12),tblDaily[WardCode],"ICU")=0,"",SUMIFS(tblDaily[Admissions],tblDaily[EntryDate],DATE(2026,5,12),tblDaily[WardCode],"ICU")),"")</f>
        <v/>
      </c>
      <c r="C174" s="29" t="str">
        <f>IFERROR(IF(SUMIFS(tblDaily[Discharges],tblDaily[EntryDate],DATE(2026,5,12),tblDaily[WardCode],"ICU")=0,"",SUMIFS(tblDaily[Discharges],tblDaily[EntryDate],DATE(2026,5,12),tblDaily[WardCode],"ICU")),"")</f>
        <v/>
      </c>
      <c r="D174" s="29" t="str">
        <f>IFERROR(IF(SUMIFS(tblDaily[Deaths],tblDaily[EntryDate],DATE(2026,5,12),tblDaily[WardCode],"ICU")=0,"",SUMIFS(tblDaily[Deaths],tblDaily[EntryDate],DATE(2026,5,12),tblDaily[WardCode],"ICU")),"")</f>
        <v/>
      </c>
      <c r="E174" s="29" t="str">
        <f>IFERROR(IF(SUMIFS(tblDaily[DeathsUnder24Hrs],tblDaily[EntryDate],DATE(2026,5,12),tblDaily[WardCode],"ICU")=0,"",SUMIFS(tblDaily[DeathsUnder24Hrs],tblDaily[EntryDate],DATE(2026,5,12),tblDaily[WardCode],"ICU")),"")</f>
        <v/>
      </c>
      <c r="F174" s="29" t="str">
        <f>IFERROR(IF(SUMIFS(tblDaily[TransfersIn],tblDaily[EntryDate],DATE(2026,5,12),tblDaily[WardCode],"ICU")=0,"",SUMIFS(tblDaily[TransfersIn],tblDaily[EntryDate],DATE(2026,5,12),tblDaily[WardCode],"ICU")),"")</f>
        <v/>
      </c>
      <c r="G174" s="29" t="str">
        <f>IFERROR(IF(SUMIFS(tblDaily[TransfersOut],tblDaily[EntryDate],DATE(2026,5,12),tblDaily[WardCode],"ICU")=0,"",SUMIFS(tblDaily[TransfersOut],tblDaily[EntryDate],DATE(2026,5,12),tblDaily[WardCode],"ICU")),"")</f>
        <v/>
      </c>
      <c r="H174" s="29" t="str">
        <f>IFERROR(IF(SUMIFS(tblDaily[Remaining],tblDaily[EntryDate],DATE(2026,5,12),tblDaily[WardCode],"ICU")=0,"",SUMIFS(tblDaily[Remaining],tblDaily[EntryDate],DATE(2026,5,12),tblDaily[WardCode],"ICU")),"")</f>
        <v/>
      </c>
    </row>
    <row r="175" spans="1:8" x14ac:dyDescent="0.25">
      <c r="A175" s="29">
        <v>13</v>
      </c>
      <c r="B175" s="29" t="str">
        <f>IFERROR(IF(SUMIFS(tblDaily[Admissions],tblDaily[EntryDate],DATE(2026,5,13),tblDaily[WardCode],"ICU")=0,"",SUMIFS(tblDaily[Admissions],tblDaily[EntryDate],DATE(2026,5,13),tblDaily[WardCode],"ICU")),"")</f>
        <v/>
      </c>
      <c r="C175" s="29" t="str">
        <f>IFERROR(IF(SUMIFS(tblDaily[Discharges],tblDaily[EntryDate],DATE(2026,5,13),tblDaily[WardCode],"ICU")=0,"",SUMIFS(tblDaily[Discharges],tblDaily[EntryDate],DATE(2026,5,13),tblDaily[WardCode],"ICU")),"")</f>
        <v/>
      </c>
      <c r="D175" s="29" t="str">
        <f>IFERROR(IF(SUMIFS(tblDaily[Deaths],tblDaily[EntryDate],DATE(2026,5,13),tblDaily[WardCode],"ICU")=0,"",SUMIFS(tblDaily[Deaths],tblDaily[EntryDate],DATE(2026,5,13),tblDaily[WardCode],"ICU")),"")</f>
        <v/>
      </c>
      <c r="E175" s="29" t="str">
        <f>IFERROR(IF(SUMIFS(tblDaily[DeathsUnder24Hrs],tblDaily[EntryDate],DATE(2026,5,13),tblDaily[WardCode],"ICU")=0,"",SUMIFS(tblDaily[DeathsUnder24Hrs],tblDaily[EntryDate],DATE(2026,5,13),tblDaily[WardCode],"ICU")),"")</f>
        <v/>
      </c>
      <c r="F175" s="29" t="str">
        <f>IFERROR(IF(SUMIFS(tblDaily[TransfersIn],tblDaily[EntryDate],DATE(2026,5,13),tblDaily[WardCode],"ICU")=0,"",SUMIFS(tblDaily[TransfersIn],tblDaily[EntryDate],DATE(2026,5,13),tblDaily[WardCode],"ICU")),"")</f>
        <v/>
      </c>
      <c r="G175" s="29" t="str">
        <f>IFERROR(IF(SUMIFS(tblDaily[TransfersOut],tblDaily[EntryDate],DATE(2026,5,13),tblDaily[WardCode],"ICU")=0,"",SUMIFS(tblDaily[TransfersOut],tblDaily[EntryDate],DATE(2026,5,13),tblDaily[WardCode],"ICU")),"")</f>
        <v/>
      </c>
      <c r="H175" s="29" t="str">
        <f>IFERROR(IF(SUMIFS(tblDaily[Remaining],tblDaily[EntryDate],DATE(2026,5,13),tblDaily[WardCode],"ICU")=0,"",SUMIFS(tblDaily[Remaining],tblDaily[EntryDate],DATE(2026,5,13),tblDaily[WardCode],"ICU")),"")</f>
        <v/>
      </c>
    </row>
    <row r="176" spans="1:8" x14ac:dyDescent="0.25">
      <c r="A176" s="29">
        <v>14</v>
      </c>
      <c r="B176" s="29" t="str">
        <f>IFERROR(IF(SUMIFS(tblDaily[Admissions],tblDaily[EntryDate],DATE(2026,5,14),tblDaily[WardCode],"ICU")=0,"",SUMIFS(tblDaily[Admissions],tblDaily[EntryDate],DATE(2026,5,14),tblDaily[WardCode],"ICU")),"")</f>
        <v/>
      </c>
      <c r="C176" s="29" t="str">
        <f>IFERROR(IF(SUMIFS(tblDaily[Discharges],tblDaily[EntryDate],DATE(2026,5,14),tblDaily[WardCode],"ICU")=0,"",SUMIFS(tblDaily[Discharges],tblDaily[EntryDate],DATE(2026,5,14),tblDaily[WardCode],"ICU")),"")</f>
        <v/>
      </c>
      <c r="D176" s="29" t="str">
        <f>IFERROR(IF(SUMIFS(tblDaily[Deaths],tblDaily[EntryDate],DATE(2026,5,14),tblDaily[WardCode],"ICU")=0,"",SUMIFS(tblDaily[Deaths],tblDaily[EntryDate],DATE(2026,5,14),tblDaily[WardCode],"ICU")),"")</f>
        <v/>
      </c>
      <c r="E176" s="29" t="str">
        <f>IFERROR(IF(SUMIFS(tblDaily[DeathsUnder24Hrs],tblDaily[EntryDate],DATE(2026,5,14),tblDaily[WardCode],"ICU")=0,"",SUMIFS(tblDaily[DeathsUnder24Hrs],tblDaily[EntryDate],DATE(2026,5,14),tblDaily[WardCode],"ICU")),"")</f>
        <v/>
      </c>
      <c r="F176" s="29" t="str">
        <f>IFERROR(IF(SUMIFS(tblDaily[TransfersIn],tblDaily[EntryDate],DATE(2026,5,14),tblDaily[WardCode],"ICU")=0,"",SUMIFS(tblDaily[TransfersIn],tblDaily[EntryDate],DATE(2026,5,14),tblDaily[WardCode],"ICU")),"")</f>
        <v/>
      </c>
      <c r="G176" s="29" t="str">
        <f>IFERROR(IF(SUMIFS(tblDaily[TransfersOut],tblDaily[EntryDate],DATE(2026,5,14),tblDaily[WardCode],"ICU")=0,"",SUMIFS(tblDaily[TransfersOut],tblDaily[EntryDate],DATE(2026,5,14),tblDaily[WardCode],"ICU")),"")</f>
        <v/>
      </c>
      <c r="H176" s="29" t="str">
        <f>IFERROR(IF(SUMIFS(tblDaily[Remaining],tblDaily[EntryDate],DATE(2026,5,14),tblDaily[WardCode],"ICU")=0,"",SUMIFS(tblDaily[Remaining],tblDaily[EntryDate],DATE(2026,5,14),tblDaily[WardCode],"ICU")),"")</f>
        <v/>
      </c>
    </row>
    <row r="177" spans="1:8" x14ac:dyDescent="0.25">
      <c r="A177" s="29">
        <v>15</v>
      </c>
      <c r="B177" s="29" t="str">
        <f>IFERROR(IF(SUMIFS(tblDaily[Admissions],tblDaily[EntryDate],DATE(2026,5,15),tblDaily[WardCode],"ICU")=0,"",SUMIFS(tblDaily[Admissions],tblDaily[EntryDate],DATE(2026,5,15),tblDaily[WardCode],"ICU")),"")</f>
        <v/>
      </c>
      <c r="C177" s="29" t="str">
        <f>IFERROR(IF(SUMIFS(tblDaily[Discharges],tblDaily[EntryDate],DATE(2026,5,15),tblDaily[WardCode],"ICU")=0,"",SUMIFS(tblDaily[Discharges],tblDaily[EntryDate],DATE(2026,5,15),tblDaily[WardCode],"ICU")),"")</f>
        <v/>
      </c>
      <c r="D177" s="29" t="str">
        <f>IFERROR(IF(SUMIFS(tblDaily[Deaths],tblDaily[EntryDate],DATE(2026,5,15),tblDaily[WardCode],"ICU")=0,"",SUMIFS(tblDaily[Deaths],tblDaily[EntryDate],DATE(2026,5,15),tblDaily[WardCode],"ICU")),"")</f>
        <v/>
      </c>
      <c r="E177" s="29" t="str">
        <f>IFERROR(IF(SUMIFS(tblDaily[DeathsUnder24Hrs],tblDaily[EntryDate],DATE(2026,5,15),tblDaily[WardCode],"ICU")=0,"",SUMIFS(tblDaily[DeathsUnder24Hrs],tblDaily[EntryDate],DATE(2026,5,15),tblDaily[WardCode],"ICU")),"")</f>
        <v/>
      </c>
      <c r="F177" s="29" t="str">
        <f>IFERROR(IF(SUMIFS(tblDaily[TransfersIn],tblDaily[EntryDate],DATE(2026,5,15),tblDaily[WardCode],"ICU")=0,"",SUMIFS(tblDaily[TransfersIn],tblDaily[EntryDate],DATE(2026,5,15),tblDaily[WardCode],"ICU")),"")</f>
        <v/>
      </c>
      <c r="G177" s="29" t="str">
        <f>IFERROR(IF(SUMIFS(tblDaily[TransfersOut],tblDaily[EntryDate],DATE(2026,5,15),tblDaily[WardCode],"ICU")=0,"",SUMIFS(tblDaily[TransfersOut],tblDaily[EntryDate],DATE(2026,5,15),tblDaily[WardCode],"ICU")),"")</f>
        <v/>
      </c>
      <c r="H177" s="29" t="str">
        <f>IFERROR(IF(SUMIFS(tblDaily[Remaining],tblDaily[EntryDate],DATE(2026,5,15),tblDaily[WardCode],"ICU")=0,"",SUMIFS(tblDaily[Remaining],tblDaily[EntryDate],DATE(2026,5,15),tblDaily[WardCode],"ICU")),"")</f>
        <v/>
      </c>
    </row>
    <row r="178" spans="1:8" x14ac:dyDescent="0.25">
      <c r="A178" s="29">
        <v>16</v>
      </c>
      <c r="B178" s="29" t="str">
        <f>IFERROR(IF(SUMIFS(tblDaily[Admissions],tblDaily[EntryDate],DATE(2026,5,16),tblDaily[WardCode],"ICU")=0,"",SUMIFS(tblDaily[Admissions],tblDaily[EntryDate],DATE(2026,5,16),tblDaily[WardCode],"ICU")),"")</f>
        <v/>
      </c>
      <c r="C178" s="29" t="str">
        <f>IFERROR(IF(SUMIFS(tblDaily[Discharges],tblDaily[EntryDate],DATE(2026,5,16),tblDaily[WardCode],"ICU")=0,"",SUMIFS(tblDaily[Discharges],tblDaily[EntryDate],DATE(2026,5,16),tblDaily[WardCode],"ICU")),"")</f>
        <v/>
      </c>
      <c r="D178" s="29" t="str">
        <f>IFERROR(IF(SUMIFS(tblDaily[Deaths],tblDaily[EntryDate],DATE(2026,5,16),tblDaily[WardCode],"ICU")=0,"",SUMIFS(tblDaily[Deaths],tblDaily[EntryDate],DATE(2026,5,16),tblDaily[WardCode],"ICU")),"")</f>
        <v/>
      </c>
      <c r="E178" s="29" t="str">
        <f>IFERROR(IF(SUMIFS(tblDaily[DeathsUnder24Hrs],tblDaily[EntryDate],DATE(2026,5,16),tblDaily[WardCode],"ICU")=0,"",SUMIFS(tblDaily[DeathsUnder24Hrs],tblDaily[EntryDate],DATE(2026,5,16),tblDaily[WardCode],"ICU")),"")</f>
        <v/>
      </c>
      <c r="F178" s="29" t="str">
        <f>IFERROR(IF(SUMIFS(tblDaily[TransfersIn],tblDaily[EntryDate],DATE(2026,5,16),tblDaily[WardCode],"ICU")=0,"",SUMIFS(tblDaily[TransfersIn],tblDaily[EntryDate],DATE(2026,5,16),tblDaily[WardCode],"ICU")),"")</f>
        <v/>
      </c>
      <c r="G178" s="29" t="str">
        <f>IFERROR(IF(SUMIFS(tblDaily[TransfersOut],tblDaily[EntryDate],DATE(2026,5,16),tblDaily[WardCode],"ICU")=0,"",SUMIFS(tblDaily[TransfersOut],tblDaily[EntryDate],DATE(2026,5,16),tblDaily[WardCode],"ICU")),"")</f>
        <v/>
      </c>
      <c r="H178" s="29" t="str">
        <f>IFERROR(IF(SUMIFS(tblDaily[Remaining],tblDaily[EntryDate],DATE(2026,5,16),tblDaily[WardCode],"ICU")=0,"",SUMIFS(tblDaily[Remaining],tblDaily[EntryDate],DATE(2026,5,16),tblDaily[WardCode],"ICU")),"")</f>
        <v/>
      </c>
    </row>
    <row r="179" spans="1:8" x14ac:dyDescent="0.25">
      <c r="A179" s="29">
        <v>17</v>
      </c>
      <c r="B179" s="29" t="str">
        <f>IFERROR(IF(SUMIFS(tblDaily[Admissions],tblDaily[EntryDate],DATE(2026,5,17),tblDaily[WardCode],"ICU")=0,"",SUMIFS(tblDaily[Admissions],tblDaily[EntryDate],DATE(2026,5,17),tblDaily[WardCode],"ICU")),"")</f>
        <v/>
      </c>
      <c r="C179" s="29" t="str">
        <f>IFERROR(IF(SUMIFS(tblDaily[Discharges],tblDaily[EntryDate],DATE(2026,5,17),tblDaily[WardCode],"ICU")=0,"",SUMIFS(tblDaily[Discharges],tblDaily[EntryDate],DATE(2026,5,17),tblDaily[WardCode],"ICU")),"")</f>
        <v/>
      </c>
      <c r="D179" s="29" t="str">
        <f>IFERROR(IF(SUMIFS(tblDaily[Deaths],tblDaily[EntryDate],DATE(2026,5,17),tblDaily[WardCode],"ICU")=0,"",SUMIFS(tblDaily[Deaths],tblDaily[EntryDate],DATE(2026,5,17),tblDaily[WardCode],"ICU")),"")</f>
        <v/>
      </c>
      <c r="E179" s="29" t="str">
        <f>IFERROR(IF(SUMIFS(tblDaily[DeathsUnder24Hrs],tblDaily[EntryDate],DATE(2026,5,17),tblDaily[WardCode],"ICU")=0,"",SUMIFS(tblDaily[DeathsUnder24Hrs],tblDaily[EntryDate],DATE(2026,5,17),tblDaily[WardCode],"ICU")),"")</f>
        <v/>
      </c>
      <c r="F179" s="29" t="str">
        <f>IFERROR(IF(SUMIFS(tblDaily[TransfersIn],tblDaily[EntryDate],DATE(2026,5,17),tblDaily[WardCode],"ICU")=0,"",SUMIFS(tblDaily[TransfersIn],tblDaily[EntryDate],DATE(2026,5,17),tblDaily[WardCode],"ICU")),"")</f>
        <v/>
      </c>
      <c r="G179" s="29" t="str">
        <f>IFERROR(IF(SUMIFS(tblDaily[TransfersOut],tblDaily[EntryDate],DATE(2026,5,17),tblDaily[WardCode],"ICU")=0,"",SUMIFS(tblDaily[TransfersOut],tblDaily[EntryDate],DATE(2026,5,17),tblDaily[WardCode],"ICU")),"")</f>
        <v/>
      </c>
      <c r="H179" s="29" t="str">
        <f>IFERROR(IF(SUMIFS(tblDaily[Remaining],tblDaily[EntryDate],DATE(2026,5,17),tblDaily[WardCode],"ICU")=0,"",SUMIFS(tblDaily[Remaining],tblDaily[EntryDate],DATE(2026,5,17),tblDaily[WardCode],"ICU")),"")</f>
        <v/>
      </c>
    </row>
    <row r="180" spans="1:8" x14ac:dyDescent="0.25">
      <c r="A180" s="29">
        <v>18</v>
      </c>
      <c r="B180" s="29" t="str">
        <f>IFERROR(IF(SUMIFS(tblDaily[Admissions],tblDaily[EntryDate],DATE(2026,5,18),tblDaily[WardCode],"ICU")=0,"",SUMIFS(tblDaily[Admissions],tblDaily[EntryDate],DATE(2026,5,18),tblDaily[WardCode],"ICU")),"")</f>
        <v/>
      </c>
      <c r="C180" s="29" t="str">
        <f>IFERROR(IF(SUMIFS(tblDaily[Discharges],tblDaily[EntryDate],DATE(2026,5,18),tblDaily[WardCode],"ICU")=0,"",SUMIFS(tblDaily[Discharges],tblDaily[EntryDate],DATE(2026,5,18),tblDaily[WardCode],"ICU")),"")</f>
        <v/>
      </c>
      <c r="D180" s="29" t="str">
        <f>IFERROR(IF(SUMIFS(tblDaily[Deaths],tblDaily[EntryDate],DATE(2026,5,18),tblDaily[WardCode],"ICU")=0,"",SUMIFS(tblDaily[Deaths],tblDaily[EntryDate],DATE(2026,5,18),tblDaily[WardCode],"ICU")),"")</f>
        <v/>
      </c>
      <c r="E180" s="29" t="str">
        <f>IFERROR(IF(SUMIFS(tblDaily[DeathsUnder24Hrs],tblDaily[EntryDate],DATE(2026,5,18),tblDaily[WardCode],"ICU")=0,"",SUMIFS(tblDaily[DeathsUnder24Hrs],tblDaily[EntryDate],DATE(2026,5,18),tblDaily[WardCode],"ICU")),"")</f>
        <v/>
      </c>
      <c r="F180" s="29" t="str">
        <f>IFERROR(IF(SUMIFS(tblDaily[TransfersIn],tblDaily[EntryDate],DATE(2026,5,18),tblDaily[WardCode],"ICU")=0,"",SUMIFS(tblDaily[TransfersIn],tblDaily[EntryDate],DATE(2026,5,18),tblDaily[WardCode],"ICU")),"")</f>
        <v/>
      </c>
      <c r="G180" s="29" t="str">
        <f>IFERROR(IF(SUMIFS(tblDaily[TransfersOut],tblDaily[EntryDate],DATE(2026,5,18),tblDaily[WardCode],"ICU")=0,"",SUMIFS(tblDaily[TransfersOut],tblDaily[EntryDate],DATE(2026,5,18),tblDaily[WardCode],"ICU")),"")</f>
        <v/>
      </c>
      <c r="H180" s="29" t="str">
        <f>IFERROR(IF(SUMIFS(tblDaily[Remaining],tblDaily[EntryDate],DATE(2026,5,18),tblDaily[WardCode],"ICU")=0,"",SUMIFS(tblDaily[Remaining],tblDaily[EntryDate],DATE(2026,5,18),tblDaily[WardCode],"ICU")),"")</f>
        <v/>
      </c>
    </row>
    <row r="181" spans="1:8" x14ac:dyDescent="0.25">
      <c r="A181" s="29">
        <v>19</v>
      </c>
      <c r="B181" s="29" t="str">
        <f>IFERROR(IF(SUMIFS(tblDaily[Admissions],tblDaily[EntryDate],DATE(2026,5,19),tblDaily[WardCode],"ICU")=0,"",SUMIFS(tblDaily[Admissions],tblDaily[EntryDate],DATE(2026,5,19),tblDaily[WardCode],"ICU")),"")</f>
        <v/>
      </c>
      <c r="C181" s="29" t="str">
        <f>IFERROR(IF(SUMIFS(tblDaily[Discharges],tblDaily[EntryDate],DATE(2026,5,19),tblDaily[WardCode],"ICU")=0,"",SUMIFS(tblDaily[Discharges],tblDaily[EntryDate],DATE(2026,5,19),tblDaily[WardCode],"ICU")),"")</f>
        <v/>
      </c>
      <c r="D181" s="29" t="str">
        <f>IFERROR(IF(SUMIFS(tblDaily[Deaths],tblDaily[EntryDate],DATE(2026,5,19),tblDaily[WardCode],"ICU")=0,"",SUMIFS(tblDaily[Deaths],tblDaily[EntryDate],DATE(2026,5,19),tblDaily[WardCode],"ICU")),"")</f>
        <v/>
      </c>
      <c r="E181" s="29" t="str">
        <f>IFERROR(IF(SUMIFS(tblDaily[DeathsUnder24Hrs],tblDaily[EntryDate],DATE(2026,5,19),tblDaily[WardCode],"ICU")=0,"",SUMIFS(tblDaily[DeathsUnder24Hrs],tblDaily[EntryDate],DATE(2026,5,19),tblDaily[WardCode],"ICU")),"")</f>
        <v/>
      </c>
      <c r="F181" s="29" t="str">
        <f>IFERROR(IF(SUMIFS(tblDaily[TransfersIn],tblDaily[EntryDate],DATE(2026,5,19),tblDaily[WardCode],"ICU")=0,"",SUMIFS(tblDaily[TransfersIn],tblDaily[EntryDate],DATE(2026,5,19),tblDaily[WardCode],"ICU")),"")</f>
        <v/>
      </c>
      <c r="G181" s="29" t="str">
        <f>IFERROR(IF(SUMIFS(tblDaily[TransfersOut],tblDaily[EntryDate],DATE(2026,5,19),tblDaily[WardCode],"ICU")=0,"",SUMIFS(tblDaily[TransfersOut],tblDaily[EntryDate],DATE(2026,5,19),tblDaily[WardCode],"ICU")),"")</f>
        <v/>
      </c>
      <c r="H181" s="29" t="str">
        <f>IFERROR(IF(SUMIFS(tblDaily[Remaining],tblDaily[EntryDate],DATE(2026,5,19),tblDaily[WardCode],"ICU")=0,"",SUMIFS(tblDaily[Remaining],tblDaily[EntryDate],DATE(2026,5,19),tblDaily[WardCode],"ICU")),"")</f>
        <v/>
      </c>
    </row>
    <row r="182" spans="1:8" x14ac:dyDescent="0.25">
      <c r="A182" s="29">
        <v>20</v>
      </c>
      <c r="B182" s="29" t="str">
        <f>IFERROR(IF(SUMIFS(tblDaily[Admissions],tblDaily[EntryDate],DATE(2026,5,20),tblDaily[WardCode],"ICU")=0,"",SUMIFS(tblDaily[Admissions],tblDaily[EntryDate],DATE(2026,5,20),tblDaily[WardCode],"ICU")),"")</f>
        <v/>
      </c>
      <c r="C182" s="29" t="str">
        <f>IFERROR(IF(SUMIFS(tblDaily[Discharges],tblDaily[EntryDate],DATE(2026,5,20),tblDaily[WardCode],"ICU")=0,"",SUMIFS(tblDaily[Discharges],tblDaily[EntryDate],DATE(2026,5,20),tblDaily[WardCode],"ICU")),"")</f>
        <v/>
      </c>
      <c r="D182" s="29" t="str">
        <f>IFERROR(IF(SUMIFS(tblDaily[Deaths],tblDaily[EntryDate],DATE(2026,5,20),tblDaily[WardCode],"ICU")=0,"",SUMIFS(tblDaily[Deaths],tblDaily[EntryDate],DATE(2026,5,20),tblDaily[WardCode],"ICU")),"")</f>
        <v/>
      </c>
      <c r="E182" s="29" t="str">
        <f>IFERROR(IF(SUMIFS(tblDaily[DeathsUnder24Hrs],tblDaily[EntryDate],DATE(2026,5,20),tblDaily[WardCode],"ICU")=0,"",SUMIFS(tblDaily[DeathsUnder24Hrs],tblDaily[EntryDate],DATE(2026,5,20),tblDaily[WardCode],"ICU")),"")</f>
        <v/>
      </c>
      <c r="F182" s="29" t="str">
        <f>IFERROR(IF(SUMIFS(tblDaily[TransfersIn],tblDaily[EntryDate],DATE(2026,5,20),tblDaily[WardCode],"ICU")=0,"",SUMIFS(tblDaily[TransfersIn],tblDaily[EntryDate],DATE(2026,5,20),tblDaily[WardCode],"ICU")),"")</f>
        <v/>
      </c>
      <c r="G182" s="29" t="str">
        <f>IFERROR(IF(SUMIFS(tblDaily[TransfersOut],tblDaily[EntryDate],DATE(2026,5,20),tblDaily[WardCode],"ICU")=0,"",SUMIFS(tblDaily[TransfersOut],tblDaily[EntryDate],DATE(2026,5,20),tblDaily[WardCode],"ICU")),"")</f>
        <v/>
      </c>
      <c r="H182" s="29" t="str">
        <f>IFERROR(IF(SUMIFS(tblDaily[Remaining],tblDaily[EntryDate],DATE(2026,5,20),tblDaily[WardCode],"ICU")=0,"",SUMIFS(tblDaily[Remaining],tblDaily[EntryDate],DATE(2026,5,20),tblDaily[WardCode],"ICU")),"")</f>
        <v/>
      </c>
    </row>
    <row r="183" spans="1:8" x14ac:dyDescent="0.25">
      <c r="A183" s="29">
        <v>21</v>
      </c>
      <c r="B183" s="29" t="str">
        <f>IFERROR(IF(SUMIFS(tblDaily[Admissions],tblDaily[EntryDate],DATE(2026,5,21),tblDaily[WardCode],"ICU")=0,"",SUMIFS(tblDaily[Admissions],tblDaily[EntryDate],DATE(2026,5,21),tblDaily[WardCode],"ICU")),"")</f>
        <v/>
      </c>
      <c r="C183" s="29" t="str">
        <f>IFERROR(IF(SUMIFS(tblDaily[Discharges],tblDaily[EntryDate],DATE(2026,5,21),tblDaily[WardCode],"ICU")=0,"",SUMIFS(tblDaily[Discharges],tblDaily[EntryDate],DATE(2026,5,21),tblDaily[WardCode],"ICU")),"")</f>
        <v/>
      </c>
      <c r="D183" s="29" t="str">
        <f>IFERROR(IF(SUMIFS(tblDaily[Deaths],tblDaily[EntryDate],DATE(2026,5,21),tblDaily[WardCode],"ICU")=0,"",SUMIFS(tblDaily[Deaths],tblDaily[EntryDate],DATE(2026,5,21),tblDaily[WardCode],"ICU")),"")</f>
        <v/>
      </c>
      <c r="E183" s="29" t="str">
        <f>IFERROR(IF(SUMIFS(tblDaily[DeathsUnder24Hrs],tblDaily[EntryDate],DATE(2026,5,21),tblDaily[WardCode],"ICU")=0,"",SUMIFS(tblDaily[DeathsUnder24Hrs],tblDaily[EntryDate],DATE(2026,5,21),tblDaily[WardCode],"ICU")),"")</f>
        <v/>
      </c>
      <c r="F183" s="29" t="str">
        <f>IFERROR(IF(SUMIFS(tblDaily[TransfersIn],tblDaily[EntryDate],DATE(2026,5,21),tblDaily[WardCode],"ICU")=0,"",SUMIFS(tblDaily[TransfersIn],tblDaily[EntryDate],DATE(2026,5,21),tblDaily[WardCode],"ICU")),"")</f>
        <v/>
      </c>
      <c r="G183" s="29" t="str">
        <f>IFERROR(IF(SUMIFS(tblDaily[TransfersOut],tblDaily[EntryDate],DATE(2026,5,21),tblDaily[WardCode],"ICU")=0,"",SUMIFS(tblDaily[TransfersOut],tblDaily[EntryDate],DATE(2026,5,21),tblDaily[WardCode],"ICU")),"")</f>
        <v/>
      </c>
      <c r="H183" s="29" t="str">
        <f>IFERROR(IF(SUMIFS(tblDaily[Remaining],tblDaily[EntryDate],DATE(2026,5,21),tblDaily[WardCode],"ICU")=0,"",SUMIFS(tblDaily[Remaining],tblDaily[EntryDate],DATE(2026,5,21),tblDaily[WardCode],"ICU")),"")</f>
        <v/>
      </c>
    </row>
    <row r="184" spans="1:8" x14ac:dyDescent="0.25">
      <c r="A184" s="29">
        <v>22</v>
      </c>
      <c r="B184" s="29" t="str">
        <f>IFERROR(IF(SUMIFS(tblDaily[Admissions],tblDaily[EntryDate],DATE(2026,5,22),tblDaily[WardCode],"ICU")=0,"",SUMIFS(tblDaily[Admissions],tblDaily[EntryDate],DATE(2026,5,22),tblDaily[WardCode],"ICU")),"")</f>
        <v/>
      </c>
      <c r="C184" s="29" t="str">
        <f>IFERROR(IF(SUMIFS(tblDaily[Discharges],tblDaily[EntryDate],DATE(2026,5,22),tblDaily[WardCode],"ICU")=0,"",SUMIFS(tblDaily[Discharges],tblDaily[EntryDate],DATE(2026,5,22),tblDaily[WardCode],"ICU")),"")</f>
        <v/>
      </c>
      <c r="D184" s="29" t="str">
        <f>IFERROR(IF(SUMIFS(tblDaily[Deaths],tblDaily[EntryDate],DATE(2026,5,22),tblDaily[WardCode],"ICU")=0,"",SUMIFS(tblDaily[Deaths],tblDaily[EntryDate],DATE(2026,5,22),tblDaily[WardCode],"ICU")),"")</f>
        <v/>
      </c>
      <c r="E184" s="29" t="str">
        <f>IFERROR(IF(SUMIFS(tblDaily[DeathsUnder24Hrs],tblDaily[EntryDate],DATE(2026,5,22),tblDaily[WardCode],"ICU")=0,"",SUMIFS(tblDaily[DeathsUnder24Hrs],tblDaily[EntryDate],DATE(2026,5,22),tblDaily[WardCode],"ICU")),"")</f>
        <v/>
      </c>
      <c r="F184" s="29" t="str">
        <f>IFERROR(IF(SUMIFS(tblDaily[TransfersIn],tblDaily[EntryDate],DATE(2026,5,22),tblDaily[WardCode],"ICU")=0,"",SUMIFS(tblDaily[TransfersIn],tblDaily[EntryDate],DATE(2026,5,22),tblDaily[WardCode],"ICU")),"")</f>
        <v/>
      </c>
      <c r="G184" s="29" t="str">
        <f>IFERROR(IF(SUMIFS(tblDaily[TransfersOut],tblDaily[EntryDate],DATE(2026,5,22),tblDaily[WardCode],"ICU")=0,"",SUMIFS(tblDaily[TransfersOut],tblDaily[EntryDate],DATE(2026,5,22),tblDaily[WardCode],"ICU")),"")</f>
        <v/>
      </c>
      <c r="H184" s="29" t="str">
        <f>IFERROR(IF(SUMIFS(tblDaily[Remaining],tblDaily[EntryDate],DATE(2026,5,22),tblDaily[WardCode],"ICU")=0,"",SUMIFS(tblDaily[Remaining],tblDaily[EntryDate],DATE(2026,5,22),tblDaily[WardCode],"ICU")),"")</f>
        <v/>
      </c>
    </row>
    <row r="185" spans="1:8" x14ac:dyDescent="0.25">
      <c r="A185" s="29">
        <v>23</v>
      </c>
      <c r="B185" s="29" t="str">
        <f>IFERROR(IF(SUMIFS(tblDaily[Admissions],tblDaily[EntryDate],DATE(2026,5,23),tblDaily[WardCode],"ICU")=0,"",SUMIFS(tblDaily[Admissions],tblDaily[EntryDate],DATE(2026,5,23),tblDaily[WardCode],"ICU")),"")</f>
        <v/>
      </c>
      <c r="C185" s="29" t="str">
        <f>IFERROR(IF(SUMIFS(tblDaily[Discharges],tblDaily[EntryDate],DATE(2026,5,23),tblDaily[WardCode],"ICU")=0,"",SUMIFS(tblDaily[Discharges],tblDaily[EntryDate],DATE(2026,5,23),tblDaily[WardCode],"ICU")),"")</f>
        <v/>
      </c>
      <c r="D185" s="29" t="str">
        <f>IFERROR(IF(SUMIFS(tblDaily[Deaths],tblDaily[EntryDate],DATE(2026,5,23),tblDaily[WardCode],"ICU")=0,"",SUMIFS(tblDaily[Deaths],tblDaily[EntryDate],DATE(2026,5,23),tblDaily[WardCode],"ICU")),"")</f>
        <v/>
      </c>
      <c r="E185" s="29" t="str">
        <f>IFERROR(IF(SUMIFS(tblDaily[DeathsUnder24Hrs],tblDaily[EntryDate],DATE(2026,5,23),tblDaily[WardCode],"ICU")=0,"",SUMIFS(tblDaily[DeathsUnder24Hrs],tblDaily[EntryDate],DATE(2026,5,23),tblDaily[WardCode],"ICU")),"")</f>
        <v/>
      </c>
      <c r="F185" s="29" t="str">
        <f>IFERROR(IF(SUMIFS(tblDaily[TransfersIn],tblDaily[EntryDate],DATE(2026,5,23),tblDaily[WardCode],"ICU")=0,"",SUMIFS(tblDaily[TransfersIn],tblDaily[EntryDate],DATE(2026,5,23),tblDaily[WardCode],"ICU")),"")</f>
        <v/>
      </c>
      <c r="G185" s="29" t="str">
        <f>IFERROR(IF(SUMIFS(tblDaily[TransfersOut],tblDaily[EntryDate],DATE(2026,5,23),tblDaily[WardCode],"ICU")=0,"",SUMIFS(tblDaily[TransfersOut],tblDaily[EntryDate],DATE(2026,5,23),tblDaily[WardCode],"ICU")),"")</f>
        <v/>
      </c>
      <c r="H185" s="29" t="str">
        <f>IFERROR(IF(SUMIFS(tblDaily[Remaining],tblDaily[EntryDate],DATE(2026,5,23),tblDaily[WardCode],"ICU")=0,"",SUMIFS(tblDaily[Remaining],tblDaily[EntryDate],DATE(2026,5,23),tblDaily[WardCode],"ICU")),"")</f>
        <v/>
      </c>
    </row>
    <row r="186" spans="1:8" x14ac:dyDescent="0.25">
      <c r="A186" s="29">
        <v>24</v>
      </c>
      <c r="B186" s="29" t="str">
        <f>IFERROR(IF(SUMIFS(tblDaily[Admissions],tblDaily[EntryDate],DATE(2026,5,24),tblDaily[WardCode],"ICU")=0,"",SUMIFS(tblDaily[Admissions],tblDaily[EntryDate],DATE(2026,5,24),tblDaily[WardCode],"ICU")),"")</f>
        <v/>
      </c>
      <c r="C186" s="29" t="str">
        <f>IFERROR(IF(SUMIFS(tblDaily[Discharges],tblDaily[EntryDate],DATE(2026,5,24),tblDaily[WardCode],"ICU")=0,"",SUMIFS(tblDaily[Discharges],tblDaily[EntryDate],DATE(2026,5,24),tblDaily[WardCode],"ICU")),"")</f>
        <v/>
      </c>
      <c r="D186" s="29" t="str">
        <f>IFERROR(IF(SUMIFS(tblDaily[Deaths],tblDaily[EntryDate],DATE(2026,5,24),tblDaily[WardCode],"ICU")=0,"",SUMIFS(tblDaily[Deaths],tblDaily[EntryDate],DATE(2026,5,24),tblDaily[WardCode],"ICU")),"")</f>
        <v/>
      </c>
      <c r="E186" s="29" t="str">
        <f>IFERROR(IF(SUMIFS(tblDaily[DeathsUnder24Hrs],tblDaily[EntryDate],DATE(2026,5,24),tblDaily[WardCode],"ICU")=0,"",SUMIFS(tblDaily[DeathsUnder24Hrs],tblDaily[EntryDate],DATE(2026,5,24),tblDaily[WardCode],"ICU")),"")</f>
        <v/>
      </c>
      <c r="F186" s="29" t="str">
        <f>IFERROR(IF(SUMIFS(tblDaily[TransfersIn],tblDaily[EntryDate],DATE(2026,5,24),tblDaily[WardCode],"ICU")=0,"",SUMIFS(tblDaily[TransfersIn],tblDaily[EntryDate],DATE(2026,5,24),tblDaily[WardCode],"ICU")),"")</f>
        <v/>
      </c>
      <c r="G186" s="29" t="str">
        <f>IFERROR(IF(SUMIFS(tblDaily[TransfersOut],tblDaily[EntryDate],DATE(2026,5,24),tblDaily[WardCode],"ICU")=0,"",SUMIFS(tblDaily[TransfersOut],tblDaily[EntryDate],DATE(2026,5,24),tblDaily[WardCode],"ICU")),"")</f>
        <v/>
      </c>
      <c r="H186" s="29" t="str">
        <f>IFERROR(IF(SUMIFS(tblDaily[Remaining],tblDaily[EntryDate],DATE(2026,5,24),tblDaily[WardCode],"ICU")=0,"",SUMIFS(tblDaily[Remaining],tblDaily[EntryDate],DATE(2026,5,24),tblDaily[WardCode],"ICU")),"")</f>
        <v/>
      </c>
    </row>
    <row r="187" spans="1:8" x14ac:dyDescent="0.25">
      <c r="A187" s="29">
        <v>25</v>
      </c>
      <c r="B187" s="29" t="str">
        <f>IFERROR(IF(SUMIFS(tblDaily[Admissions],tblDaily[EntryDate],DATE(2026,5,25),tblDaily[WardCode],"ICU")=0,"",SUMIFS(tblDaily[Admissions],tblDaily[EntryDate],DATE(2026,5,25),tblDaily[WardCode],"ICU")),"")</f>
        <v/>
      </c>
      <c r="C187" s="29" t="str">
        <f>IFERROR(IF(SUMIFS(tblDaily[Discharges],tblDaily[EntryDate],DATE(2026,5,25),tblDaily[WardCode],"ICU")=0,"",SUMIFS(tblDaily[Discharges],tblDaily[EntryDate],DATE(2026,5,25),tblDaily[WardCode],"ICU")),"")</f>
        <v/>
      </c>
      <c r="D187" s="29" t="str">
        <f>IFERROR(IF(SUMIFS(tblDaily[Deaths],tblDaily[EntryDate],DATE(2026,5,25),tblDaily[WardCode],"ICU")=0,"",SUMIFS(tblDaily[Deaths],tblDaily[EntryDate],DATE(2026,5,25),tblDaily[WardCode],"ICU")),"")</f>
        <v/>
      </c>
      <c r="E187" s="29" t="str">
        <f>IFERROR(IF(SUMIFS(tblDaily[DeathsUnder24Hrs],tblDaily[EntryDate],DATE(2026,5,25),tblDaily[WardCode],"ICU")=0,"",SUMIFS(tblDaily[DeathsUnder24Hrs],tblDaily[EntryDate],DATE(2026,5,25),tblDaily[WardCode],"ICU")),"")</f>
        <v/>
      </c>
      <c r="F187" s="29" t="str">
        <f>IFERROR(IF(SUMIFS(tblDaily[TransfersIn],tblDaily[EntryDate],DATE(2026,5,25),tblDaily[WardCode],"ICU")=0,"",SUMIFS(tblDaily[TransfersIn],tblDaily[EntryDate],DATE(2026,5,25),tblDaily[WardCode],"ICU")),"")</f>
        <v/>
      </c>
      <c r="G187" s="29" t="str">
        <f>IFERROR(IF(SUMIFS(tblDaily[TransfersOut],tblDaily[EntryDate],DATE(2026,5,25),tblDaily[WardCode],"ICU")=0,"",SUMIFS(tblDaily[TransfersOut],tblDaily[EntryDate],DATE(2026,5,25),tblDaily[WardCode],"ICU")),"")</f>
        <v/>
      </c>
      <c r="H187" s="29" t="str">
        <f>IFERROR(IF(SUMIFS(tblDaily[Remaining],tblDaily[EntryDate],DATE(2026,5,25),tblDaily[WardCode],"ICU")=0,"",SUMIFS(tblDaily[Remaining],tblDaily[EntryDate],DATE(2026,5,25),tblDaily[WardCode],"ICU")),"")</f>
        <v/>
      </c>
    </row>
    <row r="188" spans="1:8" x14ac:dyDescent="0.25">
      <c r="A188" s="29">
        <v>26</v>
      </c>
      <c r="B188" s="29" t="str">
        <f>IFERROR(IF(SUMIFS(tblDaily[Admissions],tblDaily[EntryDate],DATE(2026,5,26),tblDaily[WardCode],"ICU")=0,"",SUMIFS(tblDaily[Admissions],tblDaily[EntryDate],DATE(2026,5,26),tblDaily[WardCode],"ICU")),"")</f>
        <v/>
      </c>
      <c r="C188" s="29" t="str">
        <f>IFERROR(IF(SUMIFS(tblDaily[Discharges],tblDaily[EntryDate],DATE(2026,5,26),tblDaily[WardCode],"ICU")=0,"",SUMIFS(tblDaily[Discharges],tblDaily[EntryDate],DATE(2026,5,26),tblDaily[WardCode],"ICU")),"")</f>
        <v/>
      </c>
      <c r="D188" s="29" t="str">
        <f>IFERROR(IF(SUMIFS(tblDaily[Deaths],tblDaily[EntryDate],DATE(2026,5,26),tblDaily[WardCode],"ICU")=0,"",SUMIFS(tblDaily[Deaths],tblDaily[EntryDate],DATE(2026,5,26),tblDaily[WardCode],"ICU")),"")</f>
        <v/>
      </c>
      <c r="E188" s="29" t="str">
        <f>IFERROR(IF(SUMIFS(tblDaily[DeathsUnder24Hrs],tblDaily[EntryDate],DATE(2026,5,26),tblDaily[WardCode],"ICU")=0,"",SUMIFS(tblDaily[DeathsUnder24Hrs],tblDaily[EntryDate],DATE(2026,5,26),tblDaily[WardCode],"ICU")),"")</f>
        <v/>
      </c>
      <c r="F188" s="29" t="str">
        <f>IFERROR(IF(SUMIFS(tblDaily[TransfersIn],tblDaily[EntryDate],DATE(2026,5,26),tblDaily[WardCode],"ICU")=0,"",SUMIFS(tblDaily[TransfersIn],tblDaily[EntryDate],DATE(2026,5,26),tblDaily[WardCode],"ICU")),"")</f>
        <v/>
      </c>
      <c r="G188" s="29" t="str">
        <f>IFERROR(IF(SUMIFS(tblDaily[TransfersOut],tblDaily[EntryDate],DATE(2026,5,26),tblDaily[WardCode],"ICU")=0,"",SUMIFS(tblDaily[TransfersOut],tblDaily[EntryDate],DATE(2026,5,26),tblDaily[WardCode],"ICU")),"")</f>
        <v/>
      </c>
      <c r="H188" s="29" t="str">
        <f>IFERROR(IF(SUMIFS(tblDaily[Remaining],tblDaily[EntryDate],DATE(2026,5,26),tblDaily[WardCode],"ICU")=0,"",SUMIFS(tblDaily[Remaining],tblDaily[EntryDate],DATE(2026,5,26),tblDaily[WardCode],"ICU")),"")</f>
        <v/>
      </c>
    </row>
    <row r="189" spans="1:8" x14ac:dyDescent="0.25">
      <c r="A189" s="29">
        <v>27</v>
      </c>
      <c r="B189" s="29" t="str">
        <f>IFERROR(IF(SUMIFS(tblDaily[Admissions],tblDaily[EntryDate],DATE(2026,5,27),tblDaily[WardCode],"ICU")=0,"",SUMIFS(tblDaily[Admissions],tblDaily[EntryDate],DATE(2026,5,27),tblDaily[WardCode],"ICU")),"")</f>
        <v/>
      </c>
      <c r="C189" s="29" t="str">
        <f>IFERROR(IF(SUMIFS(tblDaily[Discharges],tblDaily[EntryDate],DATE(2026,5,27),tblDaily[WardCode],"ICU")=0,"",SUMIFS(tblDaily[Discharges],tblDaily[EntryDate],DATE(2026,5,27),tblDaily[WardCode],"ICU")),"")</f>
        <v/>
      </c>
      <c r="D189" s="29" t="str">
        <f>IFERROR(IF(SUMIFS(tblDaily[Deaths],tblDaily[EntryDate],DATE(2026,5,27),tblDaily[WardCode],"ICU")=0,"",SUMIFS(tblDaily[Deaths],tblDaily[EntryDate],DATE(2026,5,27),tblDaily[WardCode],"ICU")),"")</f>
        <v/>
      </c>
      <c r="E189" s="29" t="str">
        <f>IFERROR(IF(SUMIFS(tblDaily[DeathsUnder24Hrs],tblDaily[EntryDate],DATE(2026,5,27),tblDaily[WardCode],"ICU")=0,"",SUMIFS(tblDaily[DeathsUnder24Hrs],tblDaily[EntryDate],DATE(2026,5,27),tblDaily[WardCode],"ICU")),"")</f>
        <v/>
      </c>
      <c r="F189" s="29" t="str">
        <f>IFERROR(IF(SUMIFS(tblDaily[TransfersIn],tblDaily[EntryDate],DATE(2026,5,27),tblDaily[WardCode],"ICU")=0,"",SUMIFS(tblDaily[TransfersIn],tblDaily[EntryDate],DATE(2026,5,27),tblDaily[WardCode],"ICU")),"")</f>
        <v/>
      </c>
      <c r="G189" s="29" t="str">
        <f>IFERROR(IF(SUMIFS(tblDaily[TransfersOut],tblDaily[EntryDate],DATE(2026,5,27),tblDaily[WardCode],"ICU")=0,"",SUMIFS(tblDaily[TransfersOut],tblDaily[EntryDate],DATE(2026,5,27),tblDaily[WardCode],"ICU")),"")</f>
        <v/>
      </c>
      <c r="H189" s="29" t="str">
        <f>IFERROR(IF(SUMIFS(tblDaily[Remaining],tblDaily[EntryDate],DATE(2026,5,27),tblDaily[WardCode],"ICU")=0,"",SUMIFS(tblDaily[Remaining],tblDaily[EntryDate],DATE(2026,5,27),tblDaily[WardCode],"ICU")),"")</f>
        <v/>
      </c>
    </row>
    <row r="190" spans="1:8" x14ac:dyDescent="0.25">
      <c r="A190" s="29">
        <v>28</v>
      </c>
      <c r="B190" s="29" t="str">
        <f>IFERROR(IF(SUMIFS(tblDaily[Admissions],tblDaily[EntryDate],DATE(2026,5,28),tblDaily[WardCode],"ICU")=0,"",SUMIFS(tblDaily[Admissions],tblDaily[EntryDate],DATE(2026,5,28),tblDaily[WardCode],"ICU")),"")</f>
        <v/>
      </c>
      <c r="C190" s="29" t="str">
        <f>IFERROR(IF(SUMIFS(tblDaily[Discharges],tblDaily[EntryDate],DATE(2026,5,28),tblDaily[WardCode],"ICU")=0,"",SUMIFS(tblDaily[Discharges],tblDaily[EntryDate],DATE(2026,5,28),tblDaily[WardCode],"ICU")),"")</f>
        <v/>
      </c>
      <c r="D190" s="29" t="str">
        <f>IFERROR(IF(SUMIFS(tblDaily[Deaths],tblDaily[EntryDate],DATE(2026,5,28),tblDaily[WardCode],"ICU")=0,"",SUMIFS(tblDaily[Deaths],tblDaily[EntryDate],DATE(2026,5,28),tblDaily[WardCode],"ICU")),"")</f>
        <v/>
      </c>
      <c r="E190" s="29" t="str">
        <f>IFERROR(IF(SUMIFS(tblDaily[DeathsUnder24Hrs],tblDaily[EntryDate],DATE(2026,5,28),tblDaily[WardCode],"ICU")=0,"",SUMIFS(tblDaily[DeathsUnder24Hrs],tblDaily[EntryDate],DATE(2026,5,28),tblDaily[WardCode],"ICU")),"")</f>
        <v/>
      </c>
      <c r="F190" s="29" t="str">
        <f>IFERROR(IF(SUMIFS(tblDaily[TransfersIn],tblDaily[EntryDate],DATE(2026,5,28),tblDaily[WardCode],"ICU")=0,"",SUMIFS(tblDaily[TransfersIn],tblDaily[EntryDate],DATE(2026,5,28),tblDaily[WardCode],"ICU")),"")</f>
        <v/>
      </c>
      <c r="G190" s="29" t="str">
        <f>IFERROR(IF(SUMIFS(tblDaily[TransfersOut],tblDaily[EntryDate],DATE(2026,5,28),tblDaily[WardCode],"ICU")=0,"",SUMIFS(tblDaily[TransfersOut],tblDaily[EntryDate],DATE(2026,5,28),tblDaily[WardCode],"ICU")),"")</f>
        <v/>
      </c>
      <c r="H190" s="29" t="str">
        <f>IFERROR(IF(SUMIFS(tblDaily[Remaining],tblDaily[EntryDate],DATE(2026,5,28),tblDaily[WardCode],"ICU")=0,"",SUMIFS(tblDaily[Remaining],tblDaily[EntryDate],DATE(2026,5,28),tblDaily[WardCode],"ICU")),"")</f>
        <v/>
      </c>
    </row>
    <row r="191" spans="1:8" x14ac:dyDescent="0.25">
      <c r="A191" s="29">
        <v>29</v>
      </c>
      <c r="B191" s="29" t="str">
        <f>IFERROR(IF(SUMIFS(tblDaily[Admissions],tblDaily[EntryDate],DATE(2026,5,29),tblDaily[WardCode],"ICU")=0,"",SUMIFS(tblDaily[Admissions],tblDaily[EntryDate],DATE(2026,5,29),tblDaily[WardCode],"ICU")),"")</f>
        <v/>
      </c>
      <c r="C191" s="29" t="str">
        <f>IFERROR(IF(SUMIFS(tblDaily[Discharges],tblDaily[EntryDate],DATE(2026,5,29),tblDaily[WardCode],"ICU")=0,"",SUMIFS(tblDaily[Discharges],tblDaily[EntryDate],DATE(2026,5,29),tblDaily[WardCode],"ICU")),"")</f>
        <v/>
      </c>
      <c r="D191" s="29" t="str">
        <f>IFERROR(IF(SUMIFS(tblDaily[Deaths],tblDaily[EntryDate],DATE(2026,5,29),tblDaily[WardCode],"ICU")=0,"",SUMIFS(tblDaily[Deaths],tblDaily[EntryDate],DATE(2026,5,29),tblDaily[WardCode],"ICU")),"")</f>
        <v/>
      </c>
      <c r="E191" s="29" t="str">
        <f>IFERROR(IF(SUMIFS(tblDaily[DeathsUnder24Hrs],tblDaily[EntryDate],DATE(2026,5,29),tblDaily[WardCode],"ICU")=0,"",SUMIFS(tblDaily[DeathsUnder24Hrs],tblDaily[EntryDate],DATE(2026,5,29),tblDaily[WardCode],"ICU")),"")</f>
        <v/>
      </c>
      <c r="F191" s="29" t="str">
        <f>IFERROR(IF(SUMIFS(tblDaily[TransfersIn],tblDaily[EntryDate],DATE(2026,5,29),tblDaily[WardCode],"ICU")=0,"",SUMIFS(tblDaily[TransfersIn],tblDaily[EntryDate],DATE(2026,5,29),tblDaily[WardCode],"ICU")),"")</f>
        <v/>
      </c>
      <c r="G191" s="29" t="str">
        <f>IFERROR(IF(SUMIFS(tblDaily[TransfersOut],tblDaily[EntryDate],DATE(2026,5,29),tblDaily[WardCode],"ICU")=0,"",SUMIFS(tblDaily[TransfersOut],tblDaily[EntryDate],DATE(2026,5,29),tblDaily[WardCode],"ICU")),"")</f>
        <v/>
      </c>
      <c r="H191" s="29" t="str">
        <f>IFERROR(IF(SUMIFS(tblDaily[Remaining],tblDaily[EntryDate],DATE(2026,5,29),tblDaily[WardCode],"ICU")=0,"",SUMIFS(tblDaily[Remaining],tblDaily[EntryDate],DATE(2026,5,29),tblDaily[WardCode],"ICU")),"")</f>
        <v/>
      </c>
    </row>
    <row r="192" spans="1:8" x14ac:dyDescent="0.25">
      <c r="A192" s="29">
        <v>30</v>
      </c>
      <c r="B192" s="29" t="str">
        <f>IFERROR(IF(SUMIFS(tblDaily[Admissions],tblDaily[EntryDate],DATE(2026,5,30),tblDaily[WardCode],"ICU")=0,"",SUMIFS(tblDaily[Admissions],tblDaily[EntryDate],DATE(2026,5,30),tblDaily[WardCode],"ICU")),"")</f>
        <v/>
      </c>
      <c r="C192" s="29" t="str">
        <f>IFERROR(IF(SUMIFS(tblDaily[Discharges],tblDaily[EntryDate],DATE(2026,5,30),tblDaily[WardCode],"ICU")=0,"",SUMIFS(tblDaily[Discharges],tblDaily[EntryDate],DATE(2026,5,30),tblDaily[WardCode],"ICU")),"")</f>
        <v/>
      </c>
      <c r="D192" s="29" t="str">
        <f>IFERROR(IF(SUMIFS(tblDaily[Deaths],tblDaily[EntryDate],DATE(2026,5,30),tblDaily[WardCode],"ICU")=0,"",SUMIFS(tblDaily[Deaths],tblDaily[EntryDate],DATE(2026,5,30),tblDaily[WardCode],"ICU")),"")</f>
        <v/>
      </c>
      <c r="E192" s="29" t="str">
        <f>IFERROR(IF(SUMIFS(tblDaily[DeathsUnder24Hrs],tblDaily[EntryDate],DATE(2026,5,30),tblDaily[WardCode],"ICU")=0,"",SUMIFS(tblDaily[DeathsUnder24Hrs],tblDaily[EntryDate],DATE(2026,5,30),tblDaily[WardCode],"ICU")),"")</f>
        <v/>
      </c>
      <c r="F192" s="29" t="str">
        <f>IFERROR(IF(SUMIFS(tblDaily[TransfersIn],tblDaily[EntryDate],DATE(2026,5,30),tblDaily[WardCode],"ICU")=0,"",SUMIFS(tblDaily[TransfersIn],tblDaily[EntryDate],DATE(2026,5,30),tblDaily[WardCode],"ICU")),"")</f>
        <v/>
      </c>
      <c r="G192" s="29" t="str">
        <f>IFERROR(IF(SUMIFS(tblDaily[TransfersOut],tblDaily[EntryDate],DATE(2026,5,30),tblDaily[WardCode],"ICU")=0,"",SUMIFS(tblDaily[TransfersOut],tblDaily[EntryDate],DATE(2026,5,30),tblDaily[WardCode],"ICU")),"")</f>
        <v/>
      </c>
      <c r="H192" s="29" t="str">
        <f>IFERROR(IF(SUMIFS(tblDaily[Remaining],tblDaily[EntryDate],DATE(2026,5,30),tblDaily[WardCode],"ICU")=0,"",SUMIFS(tblDaily[Remaining],tblDaily[EntryDate],DATE(2026,5,30),tblDaily[WardCode],"ICU")),"")</f>
        <v/>
      </c>
    </row>
    <row r="193" spans="1:8" x14ac:dyDescent="0.25">
      <c r="A193" s="29">
        <v>31</v>
      </c>
      <c r="B193" s="29" t="str">
        <f>IFERROR(IF(SUMIFS(tblDaily[Admissions],tblDaily[EntryDate],DATE(2026,5,31),tblDaily[WardCode],"ICU")=0,"",SUMIFS(tblDaily[Admissions],tblDaily[EntryDate],DATE(2026,5,31),tblDaily[WardCode],"ICU")),"")</f>
        <v/>
      </c>
      <c r="C193" s="29" t="str">
        <f>IFERROR(IF(SUMIFS(tblDaily[Discharges],tblDaily[EntryDate],DATE(2026,5,31),tblDaily[WardCode],"ICU")=0,"",SUMIFS(tblDaily[Discharges],tblDaily[EntryDate],DATE(2026,5,31),tblDaily[WardCode],"ICU")),"")</f>
        <v/>
      </c>
      <c r="D193" s="29" t="str">
        <f>IFERROR(IF(SUMIFS(tblDaily[Deaths],tblDaily[EntryDate],DATE(2026,5,31),tblDaily[WardCode],"ICU")=0,"",SUMIFS(tblDaily[Deaths],tblDaily[EntryDate],DATE(2026,5,31),tblDaily[WardCode],"ICU")),"")</f>
        <v/>
      </c>
      <c r="E193" s="29" t="str">
        <f>IFERROR(IF(SUMIFS(tblDaily[DeathsUnder24Hrs],tblDaily[EntryDate],DATE(2026,5,31),tblDaily[WardCode],"ICU")=0,"",SUMIFS(tblDaily[DeathsUnder24Hrs],tblDaily[EntryDate],DATE(2026,5,31),tblDaily[WardCode],"ICU")),"")</f>
        <v/>
      </c>
      <c r="F193" s="29" t="str">
        <f>IFERROR(IF(SUMIFS(tblDaily[TransfersIn],tblDaily[EntryDate],DATE(2026,5,31),tblDaily[WardCode],"ICU")=0,"",SUMIFS(tblDaily[TransfersIn],tblDaily[EntryDate],DATE(2026,5,31),tblDaily[WardCode],"ICU")),"")</f>
        <v/>
      </c>
      <c r="G193" s="29" t="str">
        <f>IFERROR(IF(SUMIFS(tblDaily[TransfersOut],tblDaily[EntryDate],DATE(2026,5,31),tblDaily[WardCode],"ICU")=0,"",SUMIFS(tblDaily[TransfersOut],tblDaily[EntryDate],DATE(2026,5,31),tblDaily[WardCode],"ICU")),"")</f>
        <v/>
      </c>
      <c r="H193" s="29" t="str">
        <f>IFERROR(IF(SUMIFS(tblDaily[Remaining],tblDaily[EntryDate],DATE(2026,5,31),tblDaily[WardCode],"ICU")=0,"",SUMIFS(tblDaily[Remaining],tblDaily[EntryDate],DATE(2026,5,31),tblDaily[WardCode],"ICU")),"")</f>
        <v/>
      </c>
    </row>
    <row r="194" spans="1:8" x14ac:dyDescent="0.25">
      <c r="A194" s="30" t="s">
        <v>115</v>
      </c>
      <c r="B194" s="30">
        <f>SUMIFS(tblDaily[Admissions],tblDaily[Month],5,tblDaily[WardCode],"ICU") - SUMIFS(tblDaily[DeathsUnder24Hrs],tblDaily[Month],5,tblDaily[WardCode],"ICU")</f>
        <v>0</v>
      </c>
      <c r="C194" s="30">
        <f>SUMIFS(tblDaily[Discharges],tblDaily[Month],5,tblDaily[WardCode],"ICU")</f>
        <v>0</v>
      </c>
      <c r="D194" s="30">
        <f>SUMIFS(tblDaily[Deaths],tblDaily[Month],5,tblDaily[WardCode],"ICU")</f>
        <v>0</v>
      </c>
      <c r="E194" s="30">
        <f>SUMIFS(tblDaily[DeathsUnder24Hrs],tblDaily[Month],5,tblDaily[WardCode],"ICU")</f>
        <v>0</v>
      </c>
      <c r="F194" s="30">
        <f>SUMIFS(tblDaily[TransfersIn],tblDaily[Month],5,tblDaily[WardCode],"ICU")</f>
        <v>0</v>
      </c>
      <c r="G194" s="30">
        <f>SUMIFS(tblDaily[TransfersOut],tblDaily[Month],5,tblDaily[WardCode],"ICU")</f>
        <v>0</v>
      </c>
      <c r="H194" s="30">
        <f>SUMIFS(tblDaily[Remaining],tblDaily[Month],5,tblDaily[WardCode],"ICU")</f>
        <v>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104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105</v>
      </c>
      <c r="E198" s="25" t="s">
        <v>124</v>
      </c>
      <c r="F198" s="24" t="s">
        <v>107</v>
      </c>
      <c r="G198" s="25" t="s">
        <v>68</v>
      </c>
    </row>
    <row r="199" spans="1:8" x14ac:dyDescent="0.25">
      <c r="A199" s="24" t="s">
        <v>108</v>
      </c>
      <c r="H199" s="26">
        <f>IFERROR(SUMIFS(tblDaily[Remaining],tblDaily[EntryDate],DATE(2026,5,31),tblDaily[WardCode],"ICU"),0)</f>
        <v>0</v>
      </c>
    </row>
    <row r="200" spans="1:8" x14ac:dyDescent="0.25">
      <c r="A200" s="24" t="s">
        <v>109</v>
      </c>
      <c r="H200" s="27">
        <f>IFERROR(INDEX(tblWardConfig[BedComplement],MATCH("ICU",tblWardConfig[WardCode],0)),0)</f>
        <v>4</v>
      </c>
    </row>
    <row r="201" spans="1:8" ht="38.25" x14ac:dyDescent="0.25">
      <c r="A201" s="28" t="s">
        <v>110</v>
      </c>
      <c r="B201" s="28" t="s">
        <v>77</v>
      </c>
      <c r="C201" s="28" t="s">
        <v>78</v>
      </c>
      <c r="D201" s="28" t="s">
        <v>79</v>
      </c>
      <c r="E201" s="28" t="s">
        <v>111</v>
      </c>
      <c r="F201" s="28" t="s">
        <v>112</v>
      </c>
      <c r="G201" s="28" t="s">
        <v>113</v>
      </c>
      <c r="H201" s="28" t="s">
        <v>114</v>
      </c>
    </row>
    <row r="202" spans="1:8" x14ac:dyDescent="0.25">
      <c r="A202" s="29">
        <v>1</v>
      </c>
      <c r="B202" s="29" t="str">
        <f>IFERROR(IF(SUMIFS(tblDaily[Admissions],tblDaily[EntryDate],DATE(2026,6,1),tblDaily[WardCode],"ICU")=0,"",SUMIFS(tblDaily[Admissions],tblDaily[EntryDate],DATE(2026,6,1),tblDaily[WardCode],"ICU")),"")</f>
        <v/>
      </c>
      <c r="C202" s="29" t="str">
        <f>IFERROR(IF(SUMIFS(tblDaily[Discharges],tblDaily[EntryDate],DATE(2026,6,1),tblDaily[WardCode],"ICU")=0,"",SUMIFS(tblDaily[Discharges],tblDaily[EntryDate],DATE(2026,6,1),tblDaily[WardCode],"ICU")),"")</f>
        <v/>
      </c>
      <c r="D202" s="29" t="str">
        <f>IFERROR(IF(SUMIFS(tblDaily[Deaths],tblDaily[EntryDate],DATE(2026,6,1),tblDaily[WardCode],"ICU")=0,"",SUMIFS(tblDaily[Deaths],tblDaily[EntryDate],DATE(2026,6,1),tblDaily[WardCode],"ICU")),"")</f>
        <v/>
      </c>
      <c r="E202" s="29" t="str">
        <f>IFERROR(IF(SUMIFS(tblDaily[DeathsUnder24Hrs],tblDaily[EntryDate],DATE(2026,6,1),tblDaily[WardCode],"ICU")=0,"",SUMIFS(tblDaily[DeathsUnder24Hrs],tblDaily[EntryDate],DATE(2026,6,1),tblDaily[WardCode],"ICU")),"")</f>
        <v/>
      </c>
      <c r="F202" s="29" t="str">
        <f>IFERROR(IF(SUMIFS(tblDaily[TransfersIn],tblDaily[EntryDate],DATE(2026,6,1),tblDaily[WardCode],"ICU")=0,"",SUMIFS(tblDaily[TransfersIn],tblDaily[EntryDate],DATE(2026,6,1),tblDaily[WardCode],"ICU")),"")</f>
        <v/>
      </c>
      <c r="G202" s="29" t="str">
        <f>IFERROR(IF(SUMIFS(tblDaily[TransfersOut],tblDaily[EntryDate],DATE(2026,6,1),tblDaily[WardCode],"ICU")=0,"",SUMIFS(tblDaily[TransfersOut],tblDaily[EntryDate],DATE(2026,6,1),tblDaily[WardCode],"ICU")),"")</f>
        <v/>
      </c>
      <c r="H202" s="29" t="str">
        <f>IFERROR(IF(SUMIFS(tblDaily[Remaining],tblDaily[EntryDate],DATE(2026,6,1),tblDaily[WardCode],"ICU")=0,"",SUMIFS(tblDaily[Remaining],tblDaily[EntryDate],DATE(2026,6,1),tblDaily[WardCode],"ICU")),"")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IFERROR(IF(SUMIFS(tblDaily[Admissions],tblDaily[EntryDate],DATE(2026,6,2),tblDaily[WardCode],"ICU")=0,"",SUMIFS(tblDaily[Admissions],tblDaily[EntryDate],DATE(2026,6,2),tblDaily[WardCode],"ICU")),"")</f>
        <v/>
      </c>
      <c r="C203" s="29" t="str">
        <f>IFERROR(IF(SUMIFS(tblDaily[Discharges],tblDaily[EntryDate],DATE(2026,6,2),tblDaily[WardCode],"ICU")=0,"",SUMIFS(tblDaily[Discharges],tblDaily[EntryDate],DATE(2026,6,2),tblDaily[WardCode],"ICU")),"")</f>
        <v/>
      </c>
      <c r="D203" s="29" t="str">
        <f>IFERROR(IF(SUMIFS(tblDaily[Deaths],tblDaily[EntryDate],DATE(2026,6,2),tblDaily[WardCode],"ICU")=0,"",SUMIFS(tblDaily[Deaths],tblDaily[EntryDate],DATE(2026,6,2),tblDaily[WardCode],"ICU")),"")</f>
        <v/>
      </c>
      <c r="E203" s="29" t="str">
        <f>IFERROR(IF(SUMIFS(tblDaily[DeathsUnder24Hrs],tblDaily[EntryDate],DATE(2026,6,2),tblDaily[WardCode],"ICU")=0,"",SUMIFS(tblDaily[DeathsUnder24Hrs],tblDaily[EntryDate],DATE(2026,6,2),tblDaily[WardCode],"ICU")),"")</f>
        <v/>
      </c>
      <c r="F203" s="29" t="str">
        <f>IFERROR(IF(SUMIFS(tblDaily[TransfersIn],tblDaily[EntryDate],DATE(2026,6,2),tblDaily[WardCode],"ICU")=0,"",SUMIFS(tblDaily[TransfersIn],tblDaily[EntryDate],DATE(2026,6,2),tblDaily[WardCode],"ICU")),"")</f>
        <v/>
      </c>
      <c r="G203" s="29" t="str">
        <f>IFERROR(IF(SUMIFS(tblDaily[TransfersOut],tblDaily[EntryDate],DATE(2026,6,2),tblDaily[WardCode],"ICU")=0,"",SUMIFS(tblDaily[TransfersOut],tblDaily[EntryDate],DATE(2026,6,2),tblDaily[WardCode],"ICU")),"")</f>
        <v/>
      </c>
      <c r="H203" s="29" t="str">
        <f>IFERROR(IF(SUMIFS(tblDaily[Remaining],tblDaily[EntryDate],DATE(2026,6,2),tblDaily[WardCode],"ICU")=0,"",SUMIFS(tblDaily[Remaining],tblDaily[EntryDate],DATE(2026,6,2),tblDaily[WardCode],"ICU")),"")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IFERROR(IF(SUMIFS(tblDaily[Admissions],tblDaily[EntryDate],DATE(2026,6,3),tblDaily[WardCode],"ICU")=0,"",SUMIFS(tblDaily[Admissions],tblDaily[EntryDate],DATE(2026,6,3),tblDaily[WardCode],"ICU")),"")</f>
        <v/>
      </c>
      <c r="C204" s="29" t="str">
        <f>IFERROR(IF(SUMIFS(tblDaily[Discharges],tblDaily[EntryDate],DATE(2026,6,3),tblDaily[WardCode],"ICU")=0,"",SUMIFS(tblDaily[Discharges],tblDaily[EntryDate],DATE(2026,6,3),tblDaily[WardCode],"ICU")),"")</f>
        <v/>
      </c>
      <c r="D204" s="29" t="str">
        <f>IFERROR(IF(SUMIFS(tblDaily[Deaths],tblDaily[EntryDate],DATE(2026,6,3),tblDaily[WardCode],"ICU")=0,"",SUMIFS(tblDaily[Deaths],tblDaily[EntryDate],DATE(2026,6,3),tblDaily[WardCode],"ICU")),"")</f>
        <v/>
      </c>
      <c r="E204" s="29" t="str">
        <f>IFERROR(IF(SUMIFS(tblDaily[DeathsUnder24Hrs],tblDaily[EntryDate],DATE(2026,6,3),tblDaily[WardCode],"ICU")=0,"",SUMIFS(tblDaily[DeathsUnder24Hrs],tblDaily[EntryDate],DATE(2026,6,3),tblDaily[WardCode],"ICU")),"")</f>
        <v/>
      </c>
      <c r="F204" s="29" t="str">
        <f>IFERROR(IF(SUMIFS(tblDaily[TransfersIn],tblDaily[EntryDate],DATE(2026,6,3),tblDaily[WardCode],"ICU")=0,"",SUMIFS(tblDaily[TransfersIn],tblDaily[EntryDate],DATE(2026,6,3),tblDaily[WardCode],"ICU")),"")</f>
        <v/>
      </c>
      <c r="G204" s="29" t="str">
        <f>IFERROR(IF(SUMIFS(tblDaily[TransfersOut],tblDaily[EntryDate],DATE(2026,6,3),tblDaily[WardCode],"ICU")=0,"",SUMIFS(tblDaily[TransfersOut],tblDaily[EntryDate],DATE(2026,6,3),tblDaily[WardCode],"ICU")),"")</f>
        <v/>
      </c>
      <c r="H204" s="29" t="str">
        <f>IFERROR(IF(SUMIFS(tblDaily[Remaining],tblDaily[EntryDate],DATE(2026,6,3),tblDaily[WardCode],"ICU")=0,"",SUMIFS(tblDaily[Remaining],tblDaily[EntryDate],DATE(2026,6,3),tblDaily[WardCode],"ICU")),"")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IFERROR(IF(SUMIFS(tblDaily[Admissions],tblDaily[EntryDate],DATE(2026,6,4),tblDaily[WardCode],"ICU")=0,"",SUMIFS(tblDaily[Admissions],tblDaily[EntryDate],DATE(2026,6,4),tblDaily[WardCode],"ICU")),"")</f>
        <v/>
      </c>
      <c r="C205" s="29" t="str">
        <f>IFERROR(IF(SUMIFS(tblDaily[Discharges],tblDaily[EntryDate],DATE(2026,6,4),tblDaily[WardCode],"ICU")=0,"",SUMIFS(tblDaily[Discharges],tblDaily[EntryDate],DATE(2026,6,4),tblDaily[WardCode],"ICU")),"")</f>
        <v/>
      </c>
      <c r="D205" s="29" t="str">
        <f>IFERROR(IF(SUMIFS(tblDaily[Deaths],tblDaily[EntryDate],DATE(2026,6,4),tblDaily[WardCode],"ICU")=0,"",SUMIFS(tblDaily[Deaths],tblDaily[EntryDate],DATE(2026,6,4),tblDaily[WardCode],"ICU")),"")</f>
        <v/>
      </c>
      <c r="E205" s="29" t="str">
        <f>IFERROR(IF(SUMIFS(tblDaily[DeathsUnder24Hrs],tblDaily[EntryDate],DATE(2026,6,4),tblDaily[WardCode],"ICU")=0,"",SUMIFS(tblDaily[DeathsUnder24Hrs],tblDaily[EntryDate],DATE(2026,6,4),tblDaily[WardCode],"ICU")),"")</f>
        <v/>
      </c>
      <c r="F205" s="29" t="str">
        <f>IFERROR(IF(SUMIFS(tblDaily[TransfersIn],tblDaily[EntryDate],DATE(2026,6,4),tblDaily[WardCode],"ICU")=0,"",SUMIFS(tblDaily[TransfersIn],tblDaily[EntryDate],DATE(2026,6,4),tblDaily[WardCode],"ICU")),"")</f>
        <v/>
      </c>
      <c r="G205" s="29" t="str">
        <f>IFERROR(IF(SUMIFS(tblDaily[TransfersOut],tblDaily[EntryDate],DATE(2026,6,4),tblDaily[WardCode],"ICU")=0,"",SUMIFS(tblDaily[TransfersOut],tblDaily[EntryDate],DATE(2026,6,4),tblDaily[WardCode],"ICU")),"")</f>
        <v/>
      </c>
      <c r="H205" s="29" t="str">
        <f>IFERROR(IF(SUMIFS(tblDaily[Remaining],tblDaily[EntryDate],DATE(2026,6,4),tblDaily[WardCode],"ICU")=0,"",SUMIFS(tblDaily[Remaining],tblDaily[EntryDate],DATE(2026,6,4),tblDaily[WardCode],"ICU")),"")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IFERROR(IF(SUMIFS(tblDaily[Admissions],tblDaily[EntryDate],DATE(2026,6,5),tblDaily[WardCode],"ICU")=0,"",SUMIFS(tblDaily[Admissions],tblDaily[EntryDate],DATE(2026,6,5),tblDaily[WardCode],"ICU")),"")</f>
        <v/>
      </c>
      <c r="C206" s="29" t="str">
        <f>IFERROR(IF(SUMIFS(tblDaily[Discharges],tblDaily[EntryDate],DATE(2026,6,5),tblDaily[WardCode],"ICU")=0,"",SUMIFS(tblDaily[Discharges],tblDaily[EntryDate],DATE(2026,6,5),tblDaily[WardCode],"ICU")),"")</f>
        <v/>
      </c>
      <c r="D206" s="29" t="str">
        <f>IFERROR(IF(SUMIFS(tblDaily[Deaths],tblDaily[EntryDate],DATE(2026,6,5),tblDaily[WardCode],"ICU")=0,"",SUMIFS(tblDaily[Deaths],tblDaily[EntryDate],DATE(2026,6,5),tblDaily[WardCode],"ICU")),"")</f>
        <v/>
      </c>
      <c r="E206" s="29" t="str">
        <f>IFERROR(IF(SUMIFS(tblDaily[DeathsUnder24Hrs],tblDaily[EntryDate],DATE(2026,6,5),tblDaily[WardCode],"ICU")=0,"",SUMIFS(tblDaily[DeathsUnder24Hrs],tblDaily[EntryDate],DATE(2026,6,5),tblDaily[WardCode],"ICU")),"")</f>
        <v/>
      </c>
      <c r="F206" s="29" t="str">
        <f>IFERROR(IF(SUMIFS(tblDaily[TransfersIn],tblDaily[EntryDate],DATE(2026,6,5),tblDaily[WardCode],"ICU")=0,"",SUMIFS(tblDaily[TransfersIn],tblDaily[EntryDate],DATE(2026,6,5),tblDaily[WardCode],"ICU")),"")</f>
        <v/>
      </c>
      <c r="G206" s="29" t="str">
        <f>IFERROR(IF(SUMIFS(tblDaily[TransfersOut],tblDaily[EntryDate],DATE(2026,6,5),tblDaily[WardCode],"ICU")=0,"",SUMIFS(tblDaily[TransfersOut],tblDaily[EntryDate],DATE(2026,6,5),tblDaily[WardCode],"ICU")),"")</f>
        <v/>
      </c>
      <c r="H206" s="29" t="str">
        <f>IFERROR(IF(SUMIFS(tblDaily[Remaining],tblDaily[EntryDate],DATE(2026,6,5),tblDaily[WardCode],"ICU")=0,"",SUMIFS(tblDaily[Remaining],tblDaily[EntryDate],DATE(2026,6,5),tblDaily[WardCode],"ICU")),"")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IFERROR(IF(SUMIFS(tblDaily[Admissions],tblDaily[EntryDate],DATE(2026,6,6),tblDaily[WardCode],"ICU")=0,"",SUMIFS(tblDaily[Admissions],tblDaily[EntryDate],DATE(2026,6,6),tblDaily[WardCode],"ICU")),"")</f>
        <v/>
      </c>
      <c r="C207" s="29" t="str">
        <f>IFERROR(IF(SUMIFS(tblDaily[Discharges],tblDaily[EntryDate],DATE(2026,6,6),tblDaily[WardCode],"ICU")=0,"",SUMIFS(tblDaily[Discharges],tblDaily[EntryDate],DATE(2026,6,6),tblDaily[WardCode],"ICU")),"")</f>
        <v/>
      </c>
      <c r="D207" s="29" t="str">
        <f>IFERROR(IF(SUMIFS(tblDaily[Deaths],tblDaily[EntryDate],DATE(2026,6,6),tblDaily[WardCode],"ICU")=0,"",SUMIFS(tblDaily[Deaths],tblDaily[EntryDate],DATE(2026,6,6),tblDaily[WardCode],"ICU")),"")</f>
        <v/>
      </c>
      <c r="E207" s="29" t="str">
        <f>IFERROR(IF(SUMIFS(tblDaily[DeathsUnder24Hrs],tblDaily[EntryDate],DATE(2026,6,6),tblDaily[WardCode],"ICU")=0,"",SUMIFS(tblDaily[DeathsUnder24Hrs],tblDaily[EntryDate],DATE(2026,6,6),tblDaily[WardCode],"ICU")),"")</f>
        <v/>
      </c>
      <c r="F207" s="29" t="str">
        <f>IFERROR(IF(SUMIFS(tblDaily[TransfersIn],tblDaily[EntryDate],DATE(2026,6,6),tblDaily[WardCode],"ICU")=0,"",SUMIFS(tblDaily[TransfersIn],tblDaily[EntryDate],DATE(2026,6,6),tblDaily[WardCode],"ICU")),"")</f>
        <v/>
      </c>
      <c r="G207" s="29" t="str">
        <f>IFERROR(IF(SUMIFS(tblDaily[TransfersOut],tblDaily[EntryDate],DATE(2026,6,6),tblDaily[WardCode],"ICU")=0,"",SUMIFS(tblDaily[TransfersOut],tblDaily[EntryDate],DATE(2026,6,6),tblDaily[WardCode],"ICU")),"")</f>
        <v/>
      </c>
      <c r="H207" s="29" t="str">
        <f>IFERROR(IF(SUMIFS(tblDaily[Remaining],tblDaily[EntryDate],DATE(2026,6,6),tblDaily[WardCode],"ICU")=0,"",SUMIFS(tblDaily[Remaining],tblDaily[EntryDate],DATE(2026,6,6),tblDaily[WardCode],"ICU")),"")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IFERROR(IF(SUMIFS(tblDaily[Admissions],tblDaily[EntryDate],DATE(2026,6,7),tblDaily[WardCode],"ICU")=0,"",SUMIFS(tblDaily[Admissions],tblDaily[EntryDate],DATE(2026,6,7),tblDaily[WardCode],"ICU")),"")</f>
        <v/>
      </c>
      <c r="C208" s="29" t="str">
        <f>IFERROR(IF(SUMIFS(tblDaily[Discharges],tblDaily[EntryDate],DATE(2026,6,7),tblDaily[WardCode],"ICU")=0,"",SUMIFS(tblDaily[Discharges],tblDaily[EntryDate],DATE(2026,6,7),tblDaily[WardCode],"ICU")),"")</f>
        <v/>
      </c>
      <c r="D208" s="29" t="str">
        <f>IFERROR(IF(SUMIFS(tblDaily[Deaths],tblDaily[EntryDate],DATE(2026,6,7),tblDaily[WardCode],"ICU")=0,"",SUMIFS(tblDaily[Deaths],tblDaily[EntryDate],DATE(2026,6,7),tblDaily[WardCode],"ICU")),"")</f>
        <v/>
      </c>
      <c r="E208" s="29" t="str">
        <f>IFERROR(IF(SUMIFS(tblDaily[DeathsUnder24Hrs],tblDaily[EntryDate],DATE(2026,6,7),tblDaily[WardCode],"ICU")=0,"",SUMIFS(tblDaily[DeathsUnder24Hrs],tblDaily[EntryDate],DATE(2026,6,7),tblDaily[WardCode],"ICU")),"")</f>
        <v/>
      </c>
      <c r="F208" s="29" t="str">
        <f>IFERROR(IF(SUMIFS(tblDaily[TransfersIn],tblDaily[EntryDate],DATE(2026,6,7),tblDaily[WardCode],"ICU")=0,"",SUMIFS(tblDaily[TransfersIn],tblDaily[EntryDate],DATE(2026,6,7),tblDaily[WardCode],"ICU")),"")</f>
        <v/>
      </c>
      <c r="G208" s="29" t="str">
        <f>IFERROR(IF(SUMIFS(tblDaily[TransfersOut],tblDaily[EntryDate],DATE(2026,6,7),tblDaily[WardCode],"ICU")=0,"",SUMIFS(tblDaily[TransfersOut],tblDaily[EntryDate],DATE(2026,6,7),tblDaily[WardCode],"ICU")),"")</f>
        <v/>
      </c>
      <c r="H208" s="29" t="str">
        <f>IFERROR(IF(SUMIFS(tblDaily[Remaining],tblDaily[EntryDate],DATE(2026,6,7),tblDaily[WardCode],"ICU")=0,"",SUMIFS(tblDaily[Remaining],tblDaily[EntryDate],DATE(2026,6,7),tblDaily[WardCode],"ICU")),"")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IFERROR(IF(SUMIFS(tblDaily[Admissions],tblDaily[EntryDate],DATE(2026,6,8),tblDaily[WardCode],"ICU")=0,"",SUMIFS(tblDaily[Admissions],tblDaily[EntryDate],DATE(2026,6,8),tblDaily[WardCode],"ICU")),"")</f>
        <v/>
      </c>
      <c r="C209" s="29" t="str">
        <f>IFERROR(IF(SUMIFS(tblDaily[Discharges],tblDaily[EntryDate],DATE(2026,6,8),tblDaily[WardCode],"ICU")=0,"",SUMIFS(tblDaily[Discharges],tblDaily[EntryDate],DATE(2026,6,8),tblDaily[WardCode],"ICU")),"")</f>
        <v/>
      </c>
      <c r="D209" s="29" t="str">
        <f>IFERROR(IF(SUMIFS(tblDaily[Deaths],tblDaily[EntryDate],DATE(2026,6,8),tblDaily[WardCode],"ICU")=0,"",SUMIFS(tblDaily[Deaths],tblDaily[EntryDate],DATE(2026,6,8),tblDaily[WardCode],"ICU")),"")</f>
        <v/>
      </c>
      <c r="E209" s="29" t="str">
        <f>IFERROR(IF(SUMIFS(tblDaily[DeathsUnder24Hrs],tblDaily[EntryDate],DATE(2026,6,8),tblDaily[WardCode],"ICU")=0,"",SUMIFS(tblDaily[DeathsUnder24Hrs],tblDaily[EntryDate],DATE(2026,6,8),tblDaily[WardCode],"ICU")),"")</f>
        <v/>
      </c>
      <c r="F209" s="29" t="str">
        <f>IFERROR(IF(SUMIFS(tblDaily[TransfersIn],tblDaily[EntryDate],DATE(2026,6,8),tblDaily[WardCode],"ICU")=0,"",SUMIFS(tblDaily[TransfersIn],tblDaily[EntryDate],DATE(2026,6,8),tblDaily[WardCode],"ICU")),"")</f>
        <v/>
      </c>
      <c r="G209" s="29" t="str">
        <f>IFERROR(IF(SUMIFS(tblDaily[TransfersOut],tblDaily[EntryDate],DATE(2026,6,8),tblDaily[WardCode],"ICU")=0,"",SUMIFS(tblDaily[TransfersOut],tblDaily[EntryDate],DATE(2026,6,8),tblDaily[WardCode],"ICU")),"")</f>
        <v/>
      </c>
      <c r="H209" s="29" t="str">
        <f>IFERROR(IF(SUMIFS(tblDaily[Remaining],tblDaily[EntryDate],DATE(2026,6,8),tblDaily[WardCode],"ICU")=0,"",SUMIFS(tblDaily[Remaining],tblDaily[EntryDate],DATE(2026,6,8),tblDaily[WardCode],"ICU")),"")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IFERROR(IF(SUMIFS(tblDaily[Admissions],tblDaily[EntryDate],DATE(2026,6,9),tblDaily[WardCode],"ICU")=0,"",SUMIFS(tblDaily[Admissions],tblDaily[EntryDate],DATE(2026,6,9),tblDaily[WardCode],"ICU")),"")</f>
        <v/>
      </c>
      <c r="C210" s="29" t="str">
        <f>IFERROR(IF(SUMIFS(tblDaily[Discharges],tblDaily[EntryDate],DATE(2026,6,9),tblDaily[WardCode],"ICU")=0,"",SUMIFS(tblDaily[Discharges],tblDaily[EntryDate],DATE(2026,6,9),tblDaily[WardCode],"ICU")),"")</f>
        <v/>
      </c>
      <c r="D210" s="29" t="str">
        <f>IFERROR(IF(SUMIFS(tblDaily[Deaths],tblDaily[EntryDate],DATE(2026,6,9),tblDaily[WardCode],"ICU")=0,"",SUMIFS(tblDaily[Deaths],tblDaily[EntryDate],DATE(2026,6,9),tblDaily[WardCode],"ICU")),"")</f>
        <v/>
      </c>
      <c r="E210" s="29" t="str">
        <f>IFERROR(IF(SUMIFS(tblDaily[DeathsUnder24Hrs],tblDaily[EntryDate],DATE(2026,6,9),tblDaily[WardCode],"ICU")=0,"",SUMIFS(tblDaily[DeathsUnder24Hrs],tblDaily[EntryDate],DATE(2026,6,9),tblDaily[WardCode],"ICU")),"")</f>
        <v/>
      </c>
      <c r="F210" s="29" t="str">
        <f>IFERROR(IF(SUMIFS(tblDaily[TransfersIn],tblDaily[EntryDate],DATE(2026,6,9),tblDaily[WardCode],"ICU")=0,"",SUMIFS(tblDaily[TransfersIn],tblDaily[EntryDate],DATE(2026,6,9),tblDaily[WardCode],"ICU")),"")</f>
        <v/>
      </c>
      <c r="G210" s="29" t="str">
        <f>IFERROR(IF(SUMIFS(tblDaily[TransfersOut],tblDaily[EntryDate],DATE(2026,6,9),tblDaily[WardCode],"ICU")=0,"",SUMIFS(tblDaily[TransfersOut],tblDaily[EntryDate],DATE(2026,6,9),tblDaily[WardCode],"ICU")),"")</f>
        <v/>
      </c>
      <c r="H210" s="29" t="str">
        <f>IFERROR(IF(SUMIFS(tblDaily[Remaining],tblDaily[EntryDate],DATE(2026,6,9),tblDaily[WardCode],"ICU")=0,"",SUMIFS(tblDaily[Remaining],tblDaily[EntryDate],DATE(2026,6,9),tblDaily[WardCode],"ICU")),"")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IFERROR(IF(SUMIFS(tblDaily[Admissions],tblDaily[EntryDate],DATE(2026,6,10),tblDaily[WardCode],"ICU")=0,"",SUMIFS(tblDaily[Admissions],tblDaily[EntryDate],DATE(2026,6,10),tblDaily[WardCode],"ICU")),"")</f>
        <v/>
      </c>
      <c r="C211" s="29" t="str">
        <f>IFERROR(IF(SUMIFS(tblDaily[Discharges],tblDaily[EntryDate],DATE(2026,6,10),tblDaily[WardCode],"ICU")=0,"",SUMIFS(tblDaily[Discharges],tblDaily[EntryDate],DATE(2026,6,10),tblDaily[WardCode],"ICU")),"")</f>
        <v/>
      </c>
      <c r="D211" s="29" t="str">
        <f>IFERROR(IF(SUMIFS(tblDaily[Deaths],tblDaily[EntryDate],DATE(2026,6,10),tblDaily[WardCode],"ICU")=0,"",SUMIFS(tblDaily[Deaths],tblDaily[EntryDate],DATE(2026,6,10),tblDaily[WardCode],"ICU")),"")</f>
        <v/>
      </c>
      <c r="E211" s="29" t="str">
        <f>IFERROR(IF(SUMIFS(tblDaily[DeathsUnder24Hrs],tblDaily[EntryDate],DATE(2026,6,10),tblDaily[WardCode],"ICU")=0,"",SUMIFS(tblDaily[DeathsUnder24Hrs],tblDaily[EntryDate],DATE(2026,6,10),tblDaily[WardCode],"ICU")),"")</f>
        <v/>
      </c>
      <c r="F211" s="29" t="str">
        <f>IFERROR(IF(SUMIFS(tblDaily[TransfersIn],tblDaily[EntryDate],DATE(2026,6,10),tblDaily[WardCode],"ICU")=0,"",SUMIFS(tblDaily[TransfersIn],tblDaily[EntryDate],DATE(2026,6,10),tblDaily[WardCode],"ICU")),"")</f>
        <v/>
      </c>
      <c r="G211" s="29" t="str">
        <f>IFERROR(IF(SUMIFS(tblDaily[TransfersOut],tblDaily[EntryDate],DATE(2026,6,10),tblDaily[WardCode],"ICU")=0,"",SUMIFS(tblDaily[TransfersOut],tblDaily[EntryDate],DATE(2026,6,10),tblDaily[WardCode],"ICU")),"")</f>
        <v/>
      </c>
      <c r="H211" s="29" t="str">
        <f>IFERROR(IF(SUMIFS(tblDaily[Remaining],tblDaily[EntryDate],DATE(2026,6,10),tblDaily[WardCode],"ICU")=0,"",SUMIFS(tblDaily[Remaining],tblDaily[EntryDate],DATE(2026,6,10),tblDaily[WardCode],"ICU")),"")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IFERROR(IF(SUMIFS(tblDaily[Admissions],tblDaily[EntryDate],DATE(2026,6,11),tblDaily[WardCode],"ICU")=0,"",SUMIFS(tblDaily[Admissions],tblDaily[EntryDate],DATE(2026,6,11),tblDaily[WardCode],"ICU")),"")</f>
        <v/>
      </c>
      <c r="C212" s="29" t="str">
        <f>IFERROR(IF(SUMIFS(tblDaily[Discharges],tblDaily[EntryDate],DATE(2026,6,11),tblDaily[WardCode],"ICU")=0,"",SUMIFS(tblDaily[Discharges],tblDaily[EntryDate],DATE(2026,6,11),tblDaily[WardCode],"ICU")),"")</f>
        <v/>
      </c>
      <c r="D212" s="29" t="str">
        <f>IFERROR(IF(SUMIFS(tblDaily[Deaths],tblDaily[EntryDate],DATE(2026,6,11),tblDaily[WardCode],"ICU")=0,"",SUMIFS(tblDaily[Deaths],tblDaily[EntryDate],DATE(2026,6,11),tblDaily[WardCode],"ICU")),"")</f>
        <v/>
      </c>
      <c r="E212" s="29" t="str">
        <f>IFERROR(IF(SUMIFS(tblDaily[DeathsUnder24Hrs],tblDaily[EntryDate],DATE(2026,6,11),tblDaily[WardCode],"ICU")=0,"",SUMIFS(tblDaily[DeathsUnder24Hrs],tblDaily[EntryDate],DATE(2026,6,11),tblDaily[WardCode],"ICU")),"")</f>
        <v/>
      </c>
      <c r="F212" s="29" t="str">
        <f>IFERROR(IF(SUMIFS(tblDaily[TransfersIn],tblDaily[EntryDate],DATE(2026,6,11),tblDaily[WardCode],"ICU")=0,"",SUMIFS(tblDaily[TransfersIn],tblDaily[EntryDate],DATE(2026,6,11),tblDaily[WardCode],"ICU")),"")</f>
        <v/>
      </c>
      <c r="G212" s="29" t="str">
        <f>IFERROR(IF(SUMIFS(tblDaily[TransfersOut],tblDaily[EntryDate],DATE(2026,6,11),tblDaily[WardCode],"ICU")=0,"",SUMIFS(tblDaily[TransfersOut],tblDaily[EntryDate],DATE(2026,6,11),tblDaily[WardCode],"ICU")),"")</f>
        <v/>
      </c>
      <c r="H212" s="29" t="str">
        <f>IFERROR(IF(SUMIFS(tblDaily[Remaining],tblDaily[EntryDate],DATE(2026,6,11),tblDaily[WardCode],"ICU")=0,"",SUMIFS(tblDaily[Remaining],tblDaily[EntryDate],DATE(2026,6,11),tblDaily[WardCode],"ICU")),"")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IFERROR(IF(SUMIFS(tblDaily[Admissions],tblDaily[EntryDate],DATE(2026,6,12),tblDaily[WardCode],"ICU")=0,"",SUMIFS(tblDaily[Admissions],tblDaily[EntryDate],DATE(2026,6,12),tblDaily[WardCode],"ICU")),"")</f>
        <v/>
      </c>
      <c r="C213" s="29" t="str">
        <f>IFERROR(IF(SUMIFS(tblDaily[Discharges],tblDaily[EntryDate],DATE(2026,6,12),tblDaily[WardCode],"ICU")=0,"",SUMIFS(tblDaily[Discharges],tblDaily[EntryDate],DATE(2026,6,12),tblDaily[WardCode],"ICU")),"")</f>
        <v/>
      </c>
      <c r="D213" s="29" t="str">
        <f>IFERROR(IF(SUMIFS(tblDaily[Deaths],tblDaily[EntryDate],DATE(2026,6,12),tblDaily[WardCode],"ICU")=0,"",SUMIFS(tblDaily[Deaths],tblDaily[EntryDate],DATE(2026,6,12),tblDaily[WardCode],"ICU")),"")</f>
        <v/>
      </c>
      <c r="E213" s="29" t="str">
        <f>IFERROR(IF(SUMIFS(tblDaily[DeathsUnder24Hrs],tblDaily[EntryDate],DATE(2026,6,12),tblDaily[WardCode],"ICU")=0,"",SUMIFS(tblDaily[DeathsUnder24Hrs],tblDaily[EntryDate],DATE(2026,6,12),tblDaily[WardCode],"ICU")),"")</f>
        <v/>
      </c>
      <c r="F213" s="29" t="str">
        <f>IFERROR(IF(SUMIFS(tblDaily[TransfersIn],tblDaily[EntryDate],DATE(2026,6,12),tblDaily[WardCode],"ICU")=0,"",SUMIFS(tblDaily[TransfersIn],tblDaily[EntryDate],DATE(2026,6,12),tblDaily[WardCode],"ICU")),"")</f>
        <v/>
      </c>
      <c r="G213" s="29" t="str">
        <f>IFERROR(IF(SUMIFS(tblDaily[TransfersOut],tblDaily[EntryDate],DATE(2026,6,12),tblDaily[WardCode],"ICU")=0,"",SUMIFS(tblDaily[TransfersOut],tblDaily[EntryDate],DATE(2026,6,12),tblDaily[WardCode],"ICU")),"")</f>
        <v/>
      </c>
      <c r="H213" s="29" t="str">
        <f>IFERROR(IF(SUMIFS(tblDaily[Remaining],tblDaily[EntryDate],DATE(2026,6,12),tblDaily[WardCode],"ICU")=0,"",SUMIFS(tblDaily[Remaining],tblDaily[EntryDate],DATE(2026,6,12),tblDaily[WardCode],"ICU")),"")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IFERROR(IF(SUMIFS(tblDaily[Admissions],tblDaily[EntryDate],DATE(2026,6,13),tblDaily[WardCode],"ICU")=0,"",SUMIFS(tblDaily[Admissions],tblDaily[EntryDate],DATE(2026,6,13),tblDaily[WardCode],"ICU")),"")</f>
        <v/>
      </c>
      <c r="C214" s="29" t="str">
        <f>IFERROR(IF(SUMIFS(tblDaily[Discharges],tblDaily[EntryDate],DATE(2026,6,13),tblDaily[WardCode],"ICU")=0,"",SUMIFS(tblDaily[Discharges],tblDaily[EntryDate],DATE(2026,6,13),tblDaily[WardCode],"ICU")),"")</f>
        <v/>
      </c>
      <c r="D214" s="29" t="str">
        <f>IFERROR(IF(SUMIFS(tblDaily[Deaths],tblDaily[EntryDate],DATE(2026,6,13),tblDaily[WardCode],"ICU")=0,"",SUMIFS(tblDaily[Deaths],tblDaily[EntryDate],DATE(2026,6,13),tblDaily[WardCode],"ICU")),"")</f>
        <v/>
      </c>
      <c r="E214" s="29" t="str">
        <f>IFERROR(IF(SUMIFS(tblDaily[DeathsUnder24Hrs],tblDaily[EntryDate],DATE(2026,6,13),tblDaily[WardCode],"ICU")=0,"",SUMIFS(tblDaily[DeathsUnder24Hrs],tblDaily[EntryDate],DATE(2026,6,13),tblDaily[WardCode],"ICU")),"")</f>
        <v/>
      </c>
      <c r="F214" s="29" t="str">
        <f>IFERROR(IF(SUMIFS(tblDaily[TransfersIn],tblDaily[EntryDate],DATE(2026,6,13),tblDaily[WardCode],"ICU")=0,"",SUMIFS(tblDaily[TransfersIn],tblDaily[EntryDate],DATE(2026,6,13),tblDaily[WardCode],"ICU")),"")</f>
        <v/>
      </c>
      <c r="G214" s="29" t="str">
        <f>IFERROR(IF(SUMIFS(tblDaily[TransfersOut],tblDaily[EntryDate],DATE(2026,6,13),tblDaily[WardCode],"ICU")=0,"",SUMIFS(tblDaily[TransfersOut],tblDaily[EntryDate],DATE(2026,6,13),tblDaily[WardCode],"ICU")),"")</f>
        <v/>
      </c>
      <c r="H214" s="29" t="str">
        <f>IFERROR(IF(SUMIFS(tblDaily[Remaining],tblDaily[EntryDate],DATE(2026,6,13),tblDaily[WardCode],"ICU")=0,"",SUMIFS(tblDaily[Remaining],tblDaily[EntryDate],DATE(2026,6,13),tblDaily[WardCode],"ICU")),"")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IFERROR(IF(SUMIFS(tblDaily[Admissions],tblDaily[EntryDate],DATE(2026,6,14),tblDaily[WardCode],"ICU")=0,"",SUMIFS(tblDaily[Admissions],tblDaily[EntryDate],DATE(2026,6,14),tblDaily[WardCode],"ICU")),"")</f>
        <v/>
      </c>
      <c r="C215" s="29" t="str">
        <f>IFERROR(IF(SUMIFS(tblDaily[Discharges],tblDaily[EntryDate],DATE(2026,6,14),tblDaily[WardCode],"ICU")=0,"",SUMIFS(tblDaily[Discharges],tblDaily[EntryDate],DATE(2026,6,14),tblDaily[WardCode],"ICU")),"")</f>
        <v/>
      </c>
      <c r="D215" s="29" t="str">
        <f>IFERROR(IF(SUMIFS(tblDaily[Deaths],tblDaily[EntryDate],DATE(2026,6,14),tblDaily[WardCode],"ICU")=0,"",SUMIFS(tblDaily[Deaths],tblDaily[EntryDate],DATE(2026,6,14),tblDaily[WardCode],"ICU")),"")</f>
        <v/>
      </c>
      <c r="E215" s="29" t="str">
        <f>IFERROR(IF(SUMIFS(tblDaily[DeathsUnder24Hrs],tblDaily[EntryDate],DATE(2026,6,14),tblDaily[WardCode],"ICU")=0,"",SUMIFS(tblDaily[DeathsUnder24Hrs],tblDaily[EntryDate],DATE(2026,6,14),tblDaily[WardCode],"ICU")),"")</f>
        <v/>
      </c>
      <c r="F215" s="29" t="str">
        <f>IFERROR(IF(SUMIFS(tblDaily[TransfersIn],tblDaily[EntryDate],DATE(2026,6,14),tblDaily[WardCode],"ICU")=0,"",SUMIFS(tblDaily[TransfersIn],tblDaily[EntryDate],DATE(2026,6,14),tblDaily[WardCode],"ICU")),"")</f>
        <v/>
      </c>
      <c r="G215" s="29" t="str">
        <f>IFERROR(IF(SUMIFS(tblDaily[TransfersOut],tblDaily[EntryDate],DATE(2026,6,14),tblDaily[WardCode],"ICU")=0,"",SUMIFS(tblDaily[TransfersOut],tblDaily[EntryDate],DATE(2026,6,14),tblDaily[WardCode],"ICU")),"")</f>
        <v/>
      </c>
      <c r="H215" s="29" t="str">
        <f>IFERROR(IF(SUMIFS(tblDaily[Remaining],tblDaily[EntryDate],DATE(2026,6,14),tblDaily[WardCode],"ICU")=0,"",SUMIFS(tblDaily[Remaining],tblDaily[EntryDate],DATE(2026,6,14),tblDaily[WardCode],"ICU")),"")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IFERROR(IF(SUMIFS(tblDaily[Admissions],tblDaily[EntryDate],DATE(2026,6,15),tblDaily[WardCode],"ICU")=0,"",SUMIFS(tblDaily[Admissions],tblDaily[EntryDate],DATE(2026,6,15),tblDaily[WardCode],"ICU")),"")</f>
        <v/>
      </c>
      <c r="C216" s="29" t="str">
        <f>IFERROR(IF(SUMIFS(tblDaily[Discharges],tblDaily[EntryDate],DATE(2026,6,15),tblDaily[WardCode],"ICU")=0,"",SUMIFS(tblDaily[Discharges],tblDaily[EntryDate],DATE(2026,6,15),tblDaily[WardCode],"ICU")),"")</f>
        <v/>
      </c>
      <c r="D216" s="29" t="str">
        <f>IFERROR(IF(SUMIFS(tblDaily[Deaths],tblDaily[EntryDate],DATE(2026,6,15),tblDaily[WardCode],"ICU")=0,"",SUMIFS(tblDaily[Deaths],tblDaily[EntryDate],DATE(2026,6,15),tblDaily[WardCode],"ICU")),"")</f>
        <v/>
      </c>
      <c r="E216" s="29" t="str">
        <f>IFERROR(IF(SUMIFS(tblDaily[DeathsUnder24Hrs],tblDaily[EntryDate],DATE(2026,6,15),tblDaily[WardCode],"ICU")=0,"",SUMIFS(tblDaily[DeathsUnder24Hrs],tblDaily[EntryDate],DATE(2026,6,15),tblDaily[WardCode],"ICU")),"")</f>
        <v/>
      </c>
      <c r="F216" s="29" t="str">
        <f>IFERROR(IF(SUMIFS(tblDaily[TransfersIn],tblDaily[EntryDate],DATE(2026,6,15),tblDaily[WardCode],"ICU")=0,"",SUMIFS(tblDaily[TransfersIn],tblDaily[EntryDate],DATE(2026,6,15),tblDaily[WardCode],"ICU")),"")</f>
        <v/>
      </c>
      <c r="G216" s="29" t="str">
        <f>IFERROR(IF(SUMIFS(tblDaily[TransfersOut],tblDaily[EntryDate],DATE(2026,6,15),tblDaily[WardCode],"ICU")=0,"",SUMIFS(tblDaily[TransfersOut],tblDaily[EntryDate],DATE(2026,6,15),tblDaily[WardCode],"ICU")),"")</f>
        <v/>
      </c>
      <c r="H216" s="29" t="str">
        <f>IFERROR(IF(SUMIFS(tblDaily[Remaining],tblDaily[EntryDate],DATE(2026,6,15),tblDaily[WardCode],"ICU")=0,"",SUMIFS(tblDaily[Remaining],tblDaily[EntryDate],DATE(2026,6,15),tblDaily[WardCode],"ICU")),"")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IFERROR(IF(SUMIFS(tblDaily[Admissions],tblDaily[EntryDate],DATE(2026,6,16),tblDaily[WardCode],"ICU")=0,"",SUMIFS(tblDaily[Admissions],tblDaily[EntryDate],DATE(2026,6,16),tblDaily[WardCode],"ICU")),"")</f>
        <v/>
      </c>
      <c r="C217" s="29" t="str">
        <f>IFERROR(IF(SUMIFS(tblDaily[Discharges],tblDaily[EntryDate],DATE(2026,6,16),tblDaily[WardCode],"ICU")=0,"",SUMIFS(tblDaily[Discharges],tblDaily[EntryDate],DATE(2026,6,16),tblDaily[WardCode],"ICU")),"")</f>
        <v/>
      </c>
      <c r="D217" s="29" t="str">
        <f>IFERROR(IF(SUMIFS(tblDaily[Deaths],tblDaily[EntryDate],DATE(2026,6,16),tblDaily[WardCode],"ICU")=0,"",SUMIFS(tblDaily[Deaths],tblDaily[EntryDate],DATE(2026,6,16),tblDaily[WardCode],"ICU")),"")</f>
        <v/>
      </c>
      <c r="E217" s="29" t="str">
        <f>IFERROR(IF(SUMIFS(tblDaily[DeathsUnder24Hrs],tblDaily[EntryDate],DATE(2026,6,16),tblDaily[WardCode],"ICU")=0,"",SUMIFS(tblDaily[DeathsUnder24Hrs],tblDaily[EntryDate],DATE(2026,6,16),tblDaily[WardCode],"ICU")),"")</f>
        <v/>
      </c>
      <c r="F217" s="29" t="str">
        <f>IFERROR(IF(SUMIFS(tblDaily[TransfersIn],tblDaily[EntryDate],DATE(2026,6,16),tblDaily[WardCode],"ICU")=0,"",SUMIFS(tblDaily[TransfersIn],tblDaily[EntryDate],DATE(2026,6,16),tblDaily[WardCode],"ICU")),"")</f>
        <v/>
      </c>
      <c r="G217" s="29" t="str">
        <f>IFERROR(IF(SUMIFS(tblDaily[TransfersOut],tblDaily[EntryDate],DATE(2026,6,16),tblDaily[WardCode],"ICU")=0,"",SUMIFS(tblDaily[TransfersOut],tblDaily[EntryDate],DATE(2026,6,16),tblDaily[WardCode],"ICU")),"")</f>
        <v/>
      </c>
      <c r="H217" s="29" t="str">
        <f>IFERROR(IF(SUMIFS(tblDaily[Remaining],tblDaily[EntryDate],DATE(2026,6,16),tblDaily[WardCode],"ICU")=0,"",SUMIFS(tblDaily[Remaining],tblDaily[EntryDate],DATE(2026,6,16),tblDaily[WardCode],"ICU")),"")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IFERROR(IF(SUMIFS(tblDaily[Admissions],tblDaily[EntryDate],DATE(2026,6,17),tblDaily[WardCode],"ICU")=0,"",SUMIFS(tblDaily[Admissions],tblDaily[EntryDate],DATE(2026,6,17),tblDaily[WardCode],"ICU")),"")</f>
        <v/>
      </c>
      <c r="C218" s="29" t="str">
        <f>IFERROR(IF(SUMIFS(tblDaily[Discharges],tblDaily[EntryDate],DATE(2026,6,17),tblDaily[WardCode],"ICU")=0,"",SUMIFS(tblDaily[Discharges],tblDaily[EntryDate],DATE(2026,6,17),tblDaily[WardCode],"ICU")),"")</f>
        <v/>
      </c>
      <c r="D218" s="29" t="str">
        <f>IFERROR(IF(SUMIFS(tblDaily[Deaths],tblDaily[EntryDate],DATE(2026,6,17),tblDaily[WardCode],"ICU")=0,"",SUMIFS(tblDaily[Deaths],tblDaily[EntryDate],DATE(2026,6,17),tblDaily[WardCode],"ICU")),"")</f>
        <v/>
      </c>
      <c r="E218" s="29" t="str">
        <f>IFERROR(IF(SUMIFS(tblDaily[DeathsUnder24Hrs],tblDaily[EntryDate],DATE(2026,6,17),tblDaily[WardCode],"ICU")=0,"",SUMIFS(tblDaily[DeathsUnder24Hrs],tblDaily[EntryDate],DATE(2026,6,17),tblDaily[WardCode],"ICU")),"")</f>
        <v/>
      </c>
      <c r="F218" s="29" t="str">
        <f>IFERROR(IF(SUMIFS(tblDaily[TransfersIn],tblDaily[EntryDate],DATE(2026,6,17),tblDaily[WardCode],"ICU")=0,"",SUMIFS(tblDaily[TransfersIn],tblDaily[EntryDate],DATE(2026,6,17),tblDaily[WardCode],"ICU")),"")</f>
        <v/>
      </c>
      <c r="G218" s="29" t="str">
        <f>IFERROR(IF(SUMIFS(tblDaily[TransfersOut],tblDaily[EntryDate],DATE(2026,6,17),tblDaily[WardCode],"ICU")=0,"",SUMIFS(tblDaily[TransfersOut],tblDaily[EntryDate],DATE(2026,6,17),tblDaily[WardCode],"ICU")),"")</f>
        <v/>
      </c>
      <c r="H218" s="29" t="str">
        <f>IFERROR(IF(SUMIFS(tblDaily[Remaining],tblDaily[EntryDate],DATE(2026,6,17),tblDaily[WardCode],"ICU")=0,"",SUMIFS(tblDaily[Remaining],tblDaily[EntryDate],DATE(2026,6,17),tblDaily[WardCode],"ICU")),"")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IFERROR(IF(SUMIFS(tblDaily[Admissions],tblDaily[EntryDate],DATE(2026,6,18),tblDaily[WardCode],"ICU")=0,"",SUMIFS(tblDaily[Admissions],tblDaily[EntryDate],DATE(2026,6,18),tblDaily[WardCode],"ICU")),"")</f>
        <v/>
      </c>
      <c r="C219" s="29" t="str">
        <f>IFERROR(IF(SUMIFS(tblDaily[Discharges],tblDaily[EntryDate],DATE(2026,6,18),tblDaily[WardCode],"ICU")=0,"",SUMIFS(tblDaily[Discharges],tblDaily[EntryDate],DATE(2026,6,18),tblDaily[WardCode],"ICU")),"")</f>
        <v/>
      </c>
      <c r="D219" s="29" t="str">
        <f>IFERROR(IF(SUMIFS(tblDaily[Deaths],tblDaily[EntryDate],DATE(2026,6,18),tblDaily[WardCode],"ICU")=0,"",SUMIFS(tblDaily[Deaths],tblDaily[EntryDate],DATE(2026,6,18),tblDaily[WardCode],"ICU")),"")</f>
        <v/>
      </c>
      <c r="E219" s="29" t="str">
        <f>IFERROR(IF(SUMIFS(tblDaily[DeathsUnder24Hrs],tblDaily[EntryDate],DATE(2026,6,18),tblDaily[WardCode],"ICU")=0,"",SUMIFS(tblDaily[DeathsUnder24Hrs],tblDaily[EntryDate],DATE(2026,6,18),tblDaily[WardCode],"ICU")),"")</f>
        <v/>
      </c>
      <c r="F219" s="29" t="str">
        <f>IFERROR(IF(SUMIFS(tblDaily[TransfersIn],tblDaily[EntryDate],DATE(2026,6,18),tblDaily[WardCode],"ICU")=0,"",SUMIFS(tblDaily[TransfersIn],tblDaily[EntryDate],DATE(2026,6,18),tblDaily[WardCode],"ICU")),"")</f>
        <v/>
      </c>
      <c r="G219" s="29" t="str">
        <f>IFERROR(IF(SUMIFS(tblDaily[TransfersOut],tblDaily[EntryDate],DATE(2026,6,18),tblDaily[WardCode],"ICU")=0,"",SUMIFS(tblDaily[TransfersOut],tblDaily[EntryDate],DATE(2026,6,18),tblDaily[WardCode],"ICU")),"")</f>
        <v/>
      </c>
      <c r="H219" s="29" t="str">
        <f>IFERROR(IF(SUMIFS(tblDaily[Remaining],tblDaily[EntryDate],DATE(2026,6,18),tblDaily[WardCode],"ICU")=0,"",SUMIFS(tblDaily[Remaining],tblDaily[EntryDate],DATE(2026,6,18),tblDaily[WardCode],"ICU")),"")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IFERROR(IF(SUMIFS(tblDaily[Admissions],tblDaily[EntryDate],DATE(2026,6,19),tblDaily[WardCode],"ICU")=0,"",SUMIFS(tblDaily[Admissions],tblDaily[EntryDate],DATE(2026,6,19),tblDaily[WardCode],"ICU")),"")</f>
        <v/>
      </c>
      <c r="C220" s="29" t="str">
        <f>IFERROR(IF(SUMIFS(tblDaily[Discharges],tblDaily[EntryDate],DATE(2026,6,19),tblDaily[WardCode],"ICU")=0,"",SUMIFS(tblDaily[Discharges],tblDaily[EntryDate],DATE(2026,6,19),tblDaily[WardCode],"ICU")),"")</f>
        <v/>
      </c>
      <c r="D220" s="29" t="str">
        <f>IFERROR(IF(SUMIFS(tblDaily[Deaths],tblDaily[EntryDate],DATE(2026,6,19),tblDaily[WardCode],"ICU")=0,"",SUMIFS(tblDaily[Deaths],tblDaily[EntryDate],DATE(2026,6,19),tblDaily[WardCode],"ICU")),"")</f>
        <v/>
      </c>
      <c r="E220" s="29" t="str">
        <f>IFERROR(IF(SUMIFS(tblDaily[DeathsUnder24Hrs],tblDaily[EntryDate],DATE(2026,6,19),tblDaily[WardCode],"ICU")=0,"",SUMIFS(tblDaily[DeathsUnder24Hrs],tblDaily[EntryDate],DATE(2026,6,19),tblDaily[WardCode],"ICU")),"")</f>
        <v/>
      </c>
      <c r="F220" s="29" t="str">
        <f>IFERROR(IF(SUMIFS(tblDaily[TransfersIn],tblDaily[EntryDate],DATE(2026,6,19),tblDaily[WardCode],"ICU")=0,"",SUMIFS(tblDaily[TransfersIn],tblDaily[EntryDate],DATE(2026,6,19),tblDaily[WardCode],"ICU")),"")</f>
        <v/>
      </c>
      <c r="G220" s="29" t="str">
        <f>IFERROR(IF(SUMIFS(tblDaily[TransfersOut],tblDaily[EntryDate],DATE(2026,6,19),tblDaily[WardCode],"ICU")=0,"",SUMIFS(tblDaily[TransfersOut],tblDaily[EntryDate],DATE(2026,6,19),tblDaily[WardCode],"ICU")),"")</f>
        <v/>
      </c>
      <c r="H220" s="29" t="str">
        <f>IFERROR(IF(SUMIFS(tblDaily[Remaining],tblDaily[EntryDate],DATE(2026,6,19),tblDaily[WardCode],"ICU")=0,"",SUMIFS(tblDaily[Remaining],tblDaily[EntryDate],DATE(2026,6,19),tblDaily[WardCode],"ICU")),"")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IFERROR(IF(SUMIFS(tblDaily[Admissions],tblDaily[EntryDate],DATE(2026,6,20),tblDaily[WardCode],"ICU")=0,"",SUMIFS(tblDaily[Admissions],tblDaily[EntryDate],DATE(2026,6,20),tblDaily[WardCode],"ICU")),"")</f>
        <v/>
      </c>
      <c r="C221" s="29" t="str">
        <f>IFERROR(IF(SUMIFS(tblDaily[Discharges],tblDaily[EntryDate],DATE(2026,6,20),tblDaily[WardCode],"ICU")=0,"",SUMIFS(tblDaily[Discharges],tblDaily[EntryDate],DATE(2026,6,20),tblDaily[WardCode],"ICU")),"")</f>
        <v/>
      </c>
      <c r="D221" s="29" t="str">
        <f>IFERROR(IF(SUMIFS(tblDaily[Deaths],tblDaily[EntryDate],DATE(2026,6,20),tblDaily[WardCode],"ICU")=0,"",SUMIFS(tblDaily[Deaths],tblDaily[EntryDate],DATE(2026,6,20),tblDaily[WardCode],"ICU")),"")</f>
        <v/>
      </c>
      <c r="E221" s="29" t="str">
        <f>IFERROR(IF(SUMIFS(tblDaily[DeathsUnder24Hrs],tblDaily[EntryDate],DATE(2026,6,20),tblDaily[WardCode],"ICU")=0,"",SUMIFS(tblDaily[DeathsUnder24Hrs],tblDaily[EntryDate],DATE(2026,6,20),tblDaily[WardCode],"ICU")),"")</f>
        <v/>
      </c>
      <c r="F221" s="29" t="str">
        <f>IFERROR(IF(SUMIFS(tblDaily[TransfersIn],tblDaily[EntryDate],DATE(2026,6,20),tblDaily[WardCode],"ICU")=0,"",SUMIFS(tblDaily[TransfersIn],tblDaily[EntryDate],DATE(2026,6,20),tblDaily[WardCode],"ICU")),"")</f>
        <v/>
      </c>
      <c r="G221" s="29" t="str">
        <f>IFERROR(IF(SUMIFS(tblDaily[TransfersOut],tblDaily[EntryDate],DATE(2026,6,20),tblDaily[WardCode],"ICU")=0,"",SUMIFS(tblDaily[TransfersOut],tblDaily[EntryDate],DATE(2026,6,20),tblDaily[WardCode],"ICU")),"")</f>
        <v/>
      </c>
      <c r="H221" s="29" t="str">
        <f>IFERROR(IF(SUMIFS(tblDaily[Remaining],tblDaily[EntryDate],DATE(2026,6,20),tblDaily[WardCode],"ICU")=0,"",SUMIFS(tblDaily[Remaining],tblDaily[EntryDate],DATE(2026,6,20),tblDaily[WardCode],"ICU")),"")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IFERROR(IF(SUMIFS(tblDaily[Admissions],tblDaily[EntryDate],DATE(2026,6,21),tblDaily[WardCode],"ICU")=0,"",SUMIFS(tblDaily[Admissions],tblDaily[EntryDate],DATE(2026,6,21),tblDaily[WardCode],"ICU")),"")</f>
        <v/>
      </c>
      <c r="C222" s="29" t="str">
        <f>IFERROR(IF(SUMIFS(tblDaily[Discharges],tblDaily[EntryDate],DATE(2026,6,21),tblDaily[WardCode],"ICU")=0,"",SUMIFS(tblDaily[Discharges],tblDaily[EntryDate],DATE(2026,6,21),tblDaily[WardCode],"ICU")),"")</f>
        <v/>
      </c>
      <c r="D222" s="29" t="str">
        <f>IFERROR(IF(SUMIFS(tblDaily[Deaths],tblDaily[EntryDate],DATE(2026,6,21),tblDaily[WardCode],"ICU")=0,"",SUMIFS(tblDaily[Deaths],tblDaily[EntryDate],DATE(2026,6,21),tblDaily[WardCode],"ICU")),"")</f>
        <v/>
      </c>
      <c r="E222" s="29" t="str">
        <f>IFERROR(IF(SUMIFS(tblDaily[DeathsUnder24Hrs],tblDaily[EntryDate],DATE(2026,6,21),tblDaily[WardCode],"ICU")=0,"",SUMIFS(tblDaily[DeathsUnder24Hrs],tblDaily[EntryDate],DATE(2026,6,21),tblDaily[WardCode],"ICU")),"")</f>
        <v/>
      </c>
      <c r="F222" s="29" t="str">
        <f>IFERROR(IF(SUMIFS(tblDaily[TransfersIn],tblDaily[EntryDate],DATE(2026,6,21),tblDaily[WardCode],"ICU")=0,"",SUMIFS(tblDaily[TransfersIn],tblDaily[EntryDate],DATE(2026,6,21),tblDaily[WardCode],"ICU")),"")</f>
        <v/>
      </c>
      <c r="G222" s="29" t="str">
        <f>IFERROR(IF(SUMIFS(tblDaily[TransfersOut],tblDaily[EntryDate],DATE(2026,6,21),tblDaily[WardCode],"ICU")=0,"",SUMIFS(tblDaily[TransfersOut],tblDaily[EntryDate],DATE(2026,6,21),tblDaily[WardCode],"ICU")),"")</f>
        <v/>
      </c>
      <c r="H222" s="29" t="str">
        <f>IFERROR(IF(SUMIFS(tblDaily[Remaining],tblDaily[EntryDate],DATE(2026,6,21),tblDaily[WardCode],"ICU")=0,"",SUMIFS(tblDaily[Remaining],tblDaily[EntryDate],DATE(2026,6,21),tblDaily[WardCode],"ICU")),"")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IFERROR(IF(SUMIFS(tblDaily[Admissions],tblDaily[EntryDate],DATE(2026,6,22),tblDaily[WardCode],"ICU")=0,"",SUMIFS(tblDaily[Admissions],tblDaily[EntryDate],DATE(2026,6,22),tblDaily[WardCode],"ICU")),"")</f>
        <v/>
      </c>
      <c r="C223" s="29" t="str">
        <f>IFERROR(IF(SUMIFS(tblDaily[Discharges],tblDaily[EntryDate],DATE(2026,6,22),tblDaily[WardCode],"ICU")=0,"",SUMIFS(tblDaily[Discharges],tblDaily[EntryDate],DATE(2026,6,22),tblDaily[WardCode],"ICU")),"")</f>
        <v/>
      </c>
      <c r="D223" s="29" t="str">
        <f>IFERROR(IF(SUMIFS(tblDaily[Deaths],tblDaily[EntryDate],DATE(2026,6,22),tblDaily[WardCode],"ICU")=0,"",SUMIFS(tblDaily[Deaths],tblDaily[EntryDate],DATE(2026,6,22),tblDaily[WardCode],"ICU")),"")</f>
        <v/>
      </c>
      <c r="E223" s="29" t="str">
        <f>IFERROR(IF(SUMIFS(tblDaily[DeathsUnder24Hrs],tblDaily[EntryDate],DATE(2026,6,22),tblDaily[WardCode],"ICU")=0,"",SUMIFS(tblDaily[DeathsUnder24Hrs],tblDaily[EntryDate],DATE(2026,6,22),tblDaily[WardCode],"ICU")),"")</f>
        <v/>
      </c>
      <c r="F223" s="29" t="str">
        <f>IFERROR(IF(SUMIFS(tblDaily[TransfersIn],tblDaily[EntryDate],DATE(2026,6,22),tblDaily[WardCode],"ICU")=0,"",SUMIFS(tblDaily[TransfersIn],tblDaily[EntryDate],DATE(2026,6,22),tblDaily[WardCode],"ICU")),"")</f>
        <v/>
      </c>
      <c r="G223" s="29" t="str">
        <f>IFERROR(IF(SUMIFS(tblDaily[TransfersOut],tblDaily[EntryDate],DATE(2026,6,22),tblDaily[WardCode],"ICU")=0,"",SUMIFS(tblDaily[TransfersOut],tblDaily[EntryDate],DATE(2026,6,22),tblDaily[WardCode],"ICU")),"")</f>
        <v/>
      </c>
      <c r="H223" s="29" t="str">
        <f>IFERROR(IF(SUMIFS(tblDaily[Remaining],tblDaily[EntryDate],DATE(2026,6,22),tblDaily[WardCode],"ICU")=0,"",SUMIFS(tblDaily[Remaining],tblDaily[EntryDate],DATE(2026,6,22),tblDaily[WardCode],"ICU")),"")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IFERROR(IF(SUMIFS(tblDaily[Admissions],tblDaily[EntryDate],DATE(2026,6,23),tblDaily[WardCode],"ICU")=0,"",SUMIFS(tblDaily[Admissions],tblDaily[EntryDate],DATE(2026,6,23),tblDaily[WardCode],"ICU")),"")</f>
        <v/>
      </c>
      <c r="C224" s="29" t="str">
        <f>IFERROR(IF(SUMIFS(tblDaily[Discharges],tblDaily[EntryDate],DATE(2026,6,23),tblDaily[WardCode],"ICU")=0,"",SUMIFS(tblDaily[Discharges],tblDaily[EntryDate],DATE(2026,6,23),tblDaily[WardCode],"ICU")),"")</f>
        <v/>
      </c>
      <c r="D224" s="29" t="str">
        <f>IFERROR(IF(SUMIFS(tblDaily[Deaths],tblDaily[EntryDate],DATE(2026,6,23),tblDaily[WardCode],"ICU")=0,"",SUMIFS(tblDaily[Deaths],tblDaily[EntryDate],DATE(2026,6,23),tblDaily[WardCode],"ICU")),"")</f>
        <v/>
      </c>
      <c r="E224" s="29" t="str">
        <f>IFERROR(IF(SUMIFS(tblDaily[DeathsUnder24Hrs],tblDaily[EntryDate],DATE(2026,6,23),tblDaily[WardCode],"ICU")=0,"",SUMIFS(tblDaily[DeathsUnder24Hrs],tblDaily[EntryDate],DATE(2026,6,23),tblDaily[WardCode],"ICU")),"")</f>
        <v/>
      </c>
      <c r="F224" s="29" t="str">
        <f>IFERROR(IF(SUMIFS(tblDaily[TransfersIn],tblDaily[EntryDate],DATE(2026,6,23),tblDaily[WardCode],"ICU")=0,"",SUMIFS(tblDaily[TransfersIn],tblDaily[EntryDate],DATE(2026,6,23),tblDaily[WardCode],"ICU")),"")</f>
        <v/>
      </c>
      <c r="G224" s="29" t="str">
        <f>IFERROR(IF(SUMIFS(tblDaily[TransfersOut],tblDaily[EntryDate],DATE(2026,6,23),tblDaily[WardCode],"ICU")=0,"",SUMIFS(tblDaily[TransfersOut],tblDaily[EntryDate],DATE(2026,6,23),tblDaily[WardCode],"ICU")),"")</f>
        <v/>
      </c>
      <c r="H224" s="29" t="str">
        <f>IFERROR(IF(SUMIFS(tblDaily[Remaining],tblDaily[EntryDate],DATE(2026,6,23),tblDaily[WardCode],"ICU")=0,"",SUMIFS(tblDaily[Remaining],tblDaily[EntryDate],DATE(2026,6,23),tblDaily[WardCode],"ICU")),"")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IFERROR(IF(SUMIFS(tblDaily[Admissions],tblDaily[EntryDate],DATE(2026,6,24),tblDaily[WardCode],"ICU")=0,"",SUMIFS(tblDaily[Admissions],tblDaily[EntryDate],DATE(2026,6,24),tblDaily[WardCode],"ICU")),"")</f>
        <v/>
      </c>
      <c r="C225" s="29" t="str">
        <f>IFERROR(IF(SUMIFS(tblDaily[Discharges],tblDaily[EntryDate],DATE(2026,6,24),tblDaily[WardCode],"ICU")=0,"",SUMIFS(tblDaily[Discharges],tblDaily[EntryDate],DATE(2026,6,24),tblDaily[WardCode],"ICU")),"")</f>
        <v/>
      </c>
      <c r="D225" s="29" t="str">
        <f>IFERROR(IF(SUMIFS(tblDaily[Deaths],tblDaily[EntryDate],DATE(2026,6,24),tblDaily[WardCode],"ICU")=0,"",SUMIFS(tblDaily[Deaths],tblDaily[EntryDate],DATE(2026,6,24),tblDaily[WardCode],"ICU")),"")</f>
        <v/>
      </c>
      <c r="E225" s="29" t="str">
        <f>IFERROR(IF(SUMIFS(tblDaily[DeathsUnder24Hrs],tblDaily[EntryDate],DATE(2026,6,24),tblDaily[WardCode],"ICU")=0,"",SUMIFS(tblDaily[DeathsUnder24Hrs],tblDaily[EntryDate],DATE(2026,6,24),tblDaily[WardCode],"ICU")),"")</f>
        <v/>
      </c>
      <c r="F225" s="29" t="str">
        <f>IFERROR(IF(SUMIFS(tblDaily[TransfersIn],tblDaily[EntryDate],DATE(2026,6,24),tblDaily[WardCode],"ICU")=0,"",SUMIFS(tblDaily[TransfersIn],tblDaily[EntryDate],DATE(2026,6,24),tblDaily[WardCode],"ICU")),"")</f>
        <v/>
      </c>
      <c r="G225" s="29" t="str">
        <f>IFERROR(IF(SUMIFS(tblDaily[TransfersOut],tblDaily[EntryDate],DATE(2026,6,24),tblDaily[WardCode],"ICU")=0,"",SUMIFS(tblDaily[TransfersOut],tblDaily[EntryDate],DATE(2026,6,24),tblDaily[WardCode],"ICU")),"")</f>
        <v/>
      </c>
      <c r="H225" s="29" t="str">
        <f>IFERROR(IF(SUMIFS(tblDaily[Remaining],tblDaily[EntryDate],DATE(2026,6,24),tblDaily[WardCode],"ICU")=0,"",SUMIFS(tblDaily[Remaining],tblDaily[EntryDate],DATE(2026,6,24),tblDaily[WardCode],"ICU")),"")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IFERROR(IF(SUMIFS(tblDaily[Admissions],tblDaily[EntryDate],DATE(2026,6,25),tblDaily[WardCode],"ICU")=0,"",SUMIFS(tblDaily[Admissions],tblDaily[EntryDate],DATE(2026,6,25),tblDaily[WardCode],"ICU")),"")</f>
        <v/>
      </c>
      <c r="C226" s="29" t="str">
        <f>IFERROR(IF(SUMIFS(tblDaily[Discharges],tblDaily[EntryDate],DATE(2026,6,25),tblDaily[WardCode],"ICU")=0,"",SUMIFS(tblDaily[Discharges],tblDaily[EntryDate],DATE(2026,6,25),tblDaily[WardCode],"ICU")),"")</f>
        <v/>
      </c>
      <c r="D226" s="29" t="str">
        <f>IFERROR(IF(SUMIFS(tblDaily[Deaths],tblDaily[EntryDate],DATE(2026,6,25),tblDaily[WardCode],"ICU")=0,"",SUMIFS(tblDaily[Deaths],tblDaily[EntryDate],DATE(2026,6,25),tblDaily[WardCode],"ICU")),"")</f>
        <v/>
      </c>
      <c r="E226" s="29" t="str">
        <f>IFERROR(IF(SUMIFS(tblDaily[DeathsUnder24Hrs],tblDaily[EntryDate],DATE(2026,6,25),tblDaily[WardCode],"ICU")=0,"",SUMIFS(tblDaily[DeathsUnder24Hrs],tblDaily[EntryDate],DATE(2026,6,25),tblDaily[WardCode],"ICU")),"")</f>
        <v/>
      </c>
      <c r="F226" s="29" t="str">
        <f>IFERROR(IF(SUMIFS(tblDaily[TransfersIn],tblDaily[EntryDate],DATE(2026,6,25),tblDaily[WardCode],"ICU")=0,"",SUMIFS(tblDaily[TransfersIn],tblDaily[EntryDate],DATE(2026,6,25),tblDaily[WardCode],"ICU")),"")</f>
        <v/>
      </c>
      <c r="G226" s="29" t="str">
        <f>IFERROR(IF(SUMIFS(tblDaily[TransfersOut],tblDaily[EntryDate],DATE(2026,6,25),tblDaily[WardCode],"ICU")=0,"",SUMIFS(tblDaily[TransfersOut],tblDaily[EntryDate],DATE(2026,6,25),tblDaily[WardCode],"ICU")),"")</f>
        <v/>
      </c>
      <c r="H226" s="29" t="str">
        <f>IFERROR(IF(SUMIFS(tblDaily[Remaining],tblDaily[EntryDate],DATE(2026,6,25),tblDaily[WardCode],"ICU")=0,"",SUMIFS(tblDaily[Remaining],tblDaily[EntryDate],DATE(2026,6,25),tblDaily[WardCode],"ICU")),"")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IFERROR(IF(SUMIFS(tblDaily[Admissions],tblDaily[EntryDate],DATE(2026,6,26),tblDaily[WardCode],"ICU")=0,"",SUMIFS(tblDaily[Admissions],tblDaily[EntryDate],DATE(2026,6,26),tblDaily[WardCode],"ICU")),"")</f>
        <v/>
      </c>
      <c r="C227" s="29" t="str">
        <f>IFERROR(IF(SUMIFS(tblDaily[Discharges],tblDaily[EntryDate],DATE(2026,6,26),tblDaily[WardCode],"ICU")=0,"",SUMIFS(tblDaily[Discharges],tblDaily[EntryDate],DATE(2026,6,26),tblDaily[WardCode],"ICU")),"")</f>
        <v/>
      </c>
      <c r="D227" s="29" t="str">
        <f>IFERROR(IF(SUMIFS(tblDaily[Deaths],tblDaily[EntryDate],DATE(2026,6,26),tblDaily[WardCode],"ICU")=0,"",SUMIFS(tblDaily[Deaths],tblDaily[EntryDate],DATE(2026,6,26),tblDaily[WardCode],"ICU")),"")</f>
        <v/>
      </c>
      <c r="E227" s="29" t="str">
        <f>IFERROR(IF(SUMIFS(tblDaily[DeathsUnder24Hrs],tblDaily[EntryDate],DATE(2026,6,26),tblDaily[WardCode],"ICU")=0,"",SUMIFS(tblDaily[DeathsUnder24Hrs],tblDaily[EntryDate],DATE(2026,6,26),tblDaily[WardCode],"ICU")),"")</f>
        <v/>
      </c>
      <c r="F227" s="29" t="str">
        <f>IFERROR(IF(SUMIFS(tblDaily[TransfersIn],tblDaily[EntryDate],DATE(2026,6,26),tblDaily[WardCode],"ICU")=0,"",SUMIFS(tblDaily[TransfersIn],tblDaily[EntryDate],DATE(2026,6,26),tblDaily[WardCode],"ICU")),"")</f>
        <v/>
      </c>
      <c r="G227" s="29" t="str">
        <f>IFERROR(IF(SUMIFS(tblDaily[TransfersOut],tblDaily[EntryDate],DATE(2026,6,26),tblDaily[WardCode],"ICU")=0,"",SUMIFS(tblDaily[TransfersOut],tblDaily[EntryDate],DATE(2026,6,26),tblDaily[WardCode],"ICU")),"")</f>
        <v/>
      </c>
      <c r="H227" s="29" t="str">
        <f>IFERROR(IF(SUMIFS(tblDaily[Remaining],tblDaily[EntryDate],DATE(2026,6,26),tblDaily[WardCode],"ICU")=0,"",SUMIFS(tblDaily[Remaining],tblDaily[EntryDate],DATE(2026,6,26),tblDaily[WardCode],"ICU")),"")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IFERROR(IF(SUMIFS(tblDaily[Admissions],tblDaily[EntryDate],DATE(2026,6,27),tblDaily[WardCode],"ICU")=0,"",SUMIFS(tblDaily[Admissions],tblDaily[EntryDate],DATE(2026,6,27),tblDaily[WardCode],"ICU")),"")</f>
        <v/>
      </c>
      <c r="C228" s="29" t="str">
        <f>IFERROR(IF(SUMIFS(tblDaily[Discharges],tblDaily[EntryDate],DATE(2026,6,27),tblDaily[WardCode],"ICU")=0,"",SUMIFS(tblDaily[Discharges],tblDaily[EntryDate],DATE(2026,6,27),tblDaily[WardCode],"ICU")),"")</f>
        <v/>
      </c>
      <c r="D228" s="29" t="str">
        <f>IFERROR(IF(SUMIFS(tblDaily[Deaths],tblDaily[EntryDate],DATE(2026,6,27),tblDaily[WardCode],"ICU")=0,"",SUMIFS(tblDaily[Deaths],tblDaily[EntryDate],DATE(2026,6,27),tblDaily[WardCode],"ICU")),"")</f>
        <v/>
      </c>
      <c r="E228" s="29" t="str">
        <f>IFERROR(IF(SUMIFS(tblDaily[DeathsUnder24Hrs],tblDaily[EntryDate],DATE(2026,6,27),tblDaily[WardCode],"ICU")=0,"",SUMIFS(tblDaily[DeathsUnder24Hrs],tblDaily[EntryDate],DATE(2026,6,27),tblDaily[WardCode],"ICU")),"")</f>
        <v/>
      </c>
      <c r="F228" s="29" t="str">
        <f>IFERROR(IF(SUMIFS(tblDaily[TransfersIn],tblDaily[EntryDate],DATE(2026,6,27),tblDaily[WardCode],"ICU")=0,"",SUMIFS(tblDaily[TransfersIn],tblDaily[EntryDate],DATE(2026,6,27),tblDaily[WardCode],"ICU")),"")</f>
        <v/>
      </c>
      <c r="G228" s="29" t="str">
        <f>IFERROR(IF(SUMIFS(tblDaily[TransfersOut],tblDaily[EntryDate],DATE(2026,6,27),tblDaily[WardCode],"ICU")=0,"",SUMIFS(tblDaily[TransfersOut],tblDaily[EntryDate],DATE(2026,6,27),tblDaily[WardCode],"ICU")),"")</f>
        <v/>
      </c>
      <c r="H228" s="29" t="str">
        <f>IFERROR(IF(SUMIFS(tblDaily[Remaining],tblDaily[EntryDate],DATE(2026,6,27),tblDaily[WardCode],"ICU")=0,"",SUMIFS(tblDaily[Remaining],tblDaily[EntryDate],DATE(2026,6,27),tblDaily[WardCode],"ICU")),"")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IFERROR(IF(SUMIFS(tblDaily[Admissions],tblDaily[EntryDate],DATE(2026,6,28),tblDaily[WardCode],"ICU")=0,"",SUMIFS(tblDaily[Admissions],tblDaily[EntryDate],DATE(2026,6,28),tblDaily[WardCode],"ICU")),"")</f>
        <v/>
      </c>
      <c r="C229" s="29" t="str">
        <f>IFERROR(IF(SUMIFS(tblDaily[Discharges],tblDaily[EntryDate],DATE(2026,6,28),tblDaily[WardCode],"ICU")=0,"",SUMIFS(tblDaily[Discharges],tblDaily[EntryDate],DATE(2026,6,28),tblDaily[WardCode],"ICU")),"")</f>
        <v/>
      </c>
      <c r="D229" s="29" t="str">
        <f>IFERROR(IF(SUMIFS(tblDaily[Deaths],tblDaily[EntryDate],DATE(2026,6,28),tblDaily[WardCode],"ICU")=0,"",SUMIFS(tblDaily[Deaths],tblDaily[EntryDate],DATE(2026,6,28),tblDaily[WardCode],"ICU")),"")</f>
        <v/>
      </c>
      <c r="E229" s="29" t="str">
        <f>IFERROR(IF(SUMIFS(tblDaily[DeathsUnder24Hrs],tblDaily[EntryDate],DATE(2026,6,28),tblDaily[WardCode],"ICU")=0,"",SUMIFS(tblDaily[DeathsUnder24Hrs],tblDaily[EntryDate],DATE(2026,6,28),tblDaily[WardCode],"ICU")),"")</f>
        <v/>
      </c>
      <c r="F229" s="29" t="str">
        <f>IFERROR(IF(SUMIFS(tblDaily[TransfersIn],tblDaily[EntryDate],DATE(2026,6,28),tblDaily[WardCode],"ICU")=0,"",SUMIFS(tblDaily[TransfersIn],tblDaily[EntryDate],DATE(2026,6,28),tblDaily[WardCode],"ICU")),"")</f>
        <v/>
      </c>
      <c r="G229" s="29" t="str">
        <f>IFERROR(IF(SUMIFS(tblDaily[TransfersOut],tblDaily[EntryDate],DATE(2026,6,28),tblDaily[WardCode],"ICU")=0,"",SUMIFS(tblDaily[TransfersOut],tblDaily[EntryDate],DATE(2026,6,28),tblDaily[WardCode],"ICU")),"")</f>
        <v/>
      </c>
      <c r="H229" s="29" t="str">
        <f>IFERROR(IF(SUMIFS(tblDaily[Remaining],tblDaily[EntryDate],DATE(2026,6,28),tblDaily[WardCode],"ICU")=0,"",SUMIFS(tblDaily[Remaining],tblDaily[EntryDate],DATE(2026,6,28),tblDaily[WardCode],"ICU")),"")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IFERROR(IF(SUMIFS(tblDaily[Admissions],tblDaily[EntryDate],DATE(2026,6,29),tblDaily[WardCode],"ICU")=0,"",SUMIFS(tblDaily[Admissions],tblDaily[EntryDate],DATE(2026,6,29),tblDaily[WardCode],"ICU")),"")</f>
        <v/>
      </c>
      <c r="C230" s="29" t="str">
        <f>IFERROR(IF(SUMIFS(tblDaily[Discharges],tblDaily[EntryDate],DATE(2026,6,29),tblDaily[WardCode],"ICU")=0,"",SUMIFS(tblDaily[Discharges],tblDaily[EntryDate],DATE(2026,6,29),tblDaily[WardCode],"ICU")),"")</f>
        <v/>
      </c>
      <c r="D230" s="29" t="str">
        <f>IFERROR(IF(SUMIFS(tblDaily[Deaths],tblDaily[EntryDate],DATE(2026,6,29),tblDaily[WardCode],"ICU")=0,"",SUMIFS(tblDaily[Deaths],tblDaily[EntryDate],DATE(2026,6,29),tblDaily[WardCode],"ICU")),"")</f>
        <v/>
      </c>
      <c r="E230" s="29" t="str">
        <f>IFERROR(IF(SUMIFS(tblDaily[DeathsUnder24Hrs],tblDaily[EntryDate],DATE(2026,6,29),tblDaily[WardCode],"ICU")=0,"",SUMIFS(tblDaily[DeathsUnder24Hrs],tblDaily[EntryDate],DATE(2026,6,29),tblDaily[WardCode],"ICU")),"")</f>
        <v/>
      </c>
      <c r="F230" s="29" t="str">
        <f>IFERROR(IF(SUMIFS(tblDaily[TransfersIn],tblDaily[EntryDate],DATE(2026,6,29),tblDaily[WardCode],"ICU")=0,"",SUMIFS(tblDaily[TransfersIn],tblDaily[EntryDate],DATE(2026,6,29),tblDaily[WardCode],"ICU")),"")</f>
        <v/>
      </c>
      <c r="G230" s="29" t="str">
        <f>IFERROR(IF(SUMIFS(tblDaily[TransfersOut],tblDaily[EntryDate],DATE(2026,6,29),tblDaily[WardCode],"ICU")=0,"",SUMIFS(tblDaily[TransfersOut],tblDaily[EntryDate],DATE(2026,6,29),tblDaily[WardCode],"ICU")),"")</f>
        <v/>
      </c>
      <c r="H230" s="29" t="str">
        <f>IFERROR(IF(SUMIFS(tblDaily[Remaining],tblDaily[EntryDate],DATE(2026,6,29),tblDaily[WardCode],"ICU")=0,"",SUMIFS(tblDaily[Remaining],tblDaily[EntryDate],DATE(2026,6,29),tblDaily[WardCode],"ICU")),"")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IFERROR(IF(SUMIFS(tblDaily[Admissions],tblDaily[EntryDate],DATE(2026,6,30),tblDaily[WardCode],"ICU")=0,"",SUMIFS(tblDaily[Admissions],tblDaily[EntryDate],DATE(2026,6,30),tblDaily[WardCode],"ICU")),"")</f>
        <v/>
      </c>
      <c r="C231" s="29" t="str">
        <f>IFERROR(IF(SUMIFS(tblDaily[Discharges],tblDaily[EntryDate],DATE(2026,6,30),tblDaily[WardCode],"ICU")=0,"",SUMIFS(tblDaily[Discharges],tblDaily[EntryDate],DATE(2026,6,30),tblDaily[WardCode],"ICU")),"")</f>
        <v/>
      </c>
      <c r="D231" s="29" t="str">
        <f>IFERROR(IF(SUMIFS(tblDaily[Deaths],tblDaily[EntryDate],DATE(2026,6,30),tblDaily[WardCode],"ICU")=0,"",SUMIFS(tblDaily[Deaths],tblDaily[EntryDate],DATE(2026,6,30),tblDaily[WardCode],"ICU")),"")</f>
        <v/>
      </c>
      <c r="E231" s="29" t="str">
        <f>IFERROR(IF(SUMIFS(tblDaily[DeathsUnder24Hrs],tblDaily[EntryDate],DATE(2026,6,30),tblDaily[WardCode],"ICU")=0,"",SUMIFS(tblDaily[DeathsUnder24Hrs],tblDaily[EntryDate],DATE(2026,6,30),tblDaily[WardCode],"ICU")),"")</f>
        <v/>
      </c>
      <c r="F231" s="29" t="str">
        <f>IFERROR(IF(SUMIFS(tblDaily[TransfersIn],tblDaily[EntryDate],DATE(2026,6,30),tblDaily[WardCode],"ICU")=0,"",SUMIFS(tblDaily[TransfersIn],tblDaily[EntryDate],DATE(2026,6,30),tblDaily[WardCode],"ICU")),"")</f>
        <v/>
      </c>
      <c r="G231" s="29" t="str">
        <f>IFERROR(IF(SUMIFS(tblDaily[TransfersOut],tblDaily[EntryDate],DATE(2026,6,30),tblDaily[WardCode],"ICU")=0,"",SUMIFS(tblDaily[TransfersOut],tblDaily[EntryDate],DATE(2026,6,30),tblDaily[WardCode],"ICU")),"")</f>
        <v/>
      </c>
      <c r="H231" s="29" t="str">
        <f>IFERROR(IF(SUMIFS(tblDaily[Remaining],tblDaily[EntryDate],DATE(2026,6,30),tblDaily[WardCode],"ICU")=0,"",SUMIFS(tblDaily[Remaining],tblDaily[EntryDate],DATE(2026,6,30),tblDaily[WardCode],"ICU")),"")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115</v>
      </c>
      <c r="B233" s="30">
        <f>SUMIFS(tblDaily[Admissions],tblDaily[Month],6,tblDaily[WardCode],"ICU") - SUMIFS(tblDaily[DeathsUnder24Hrs],tblDaily[Month],6,tblDaily[WardCode],"ICU")</f>
        <v>0</v>
      </c>
      <c r="C233" s="30">
        <f>SUMIFS(tblDaily[Discharges],tblDaily[Month],6,tblDaily[WardCode],"ICU")</f>
        <v>0</v>
      </c>
      <c r="D233" s="30">
        <f>SUMIFS(tblDaily[Deaths],tblDaily[Month],6,tblDaily[WardCode],"ICU")</f>
        <v>0</v>
      </c>
      <c r="E233" s="30">
        <f>SUMIFS(tblDaily[DeathsUnder24Hrs],tblDaily[Month],6,tblDaily[WardCode],"ICU")</f>
        <v>0</v>
      </c>
      <c r="F233" s="30">
        <f>SUMIFS(tblDaily[TransfersIn],tblDaily[Month],6,tblDaily[WardCode],"ICU")</f>
        <v>0</v>
      </c>
      <c r="G233" s="30">
        <f>SUMIFS(tblDaily[TransfersOut],tblDaily[Month],6,tblDaily[WardCode],"ICU")</f>
        <v>0</v>
      </c>
      <c r="H233" s="30">
        <f>SUMIFS(tblDaily[Remaining],tblDaily[Month],6,tblDaily[WardCode],"ICU")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104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105</v>
      </c>
      <c r="E237" s="25" t="s">
        <v>124</v>
      </c>
      <c r="F237" s="24" t="s">
        <v>107</v>
      </c>
      <c r="G237" s="25" t="s">
        <v>69</v>
      </c>
    </row>
    <row r="238" spans="1:8" x14ac:dyDescent="0.25">
      <c r="A238" s="24" t="s">
        <v>108</v>
      </c>
      <c r="H238" s="26">
        <f>IFERROR(SUMIFS(tblDaily[Remaining],tblDaily[EntryDate],DATE(2026,6,30),tblDaily[WardCode],"ICU"),0)</f>
        <v>0</v>
      </c>
    </row>
    <row r="239" spans="1:8" x14ac:dyDescent="0.25">
      <c r="A239" s="24" t="s">
        <v>109</v>
      </c>
      <c r="H239" s="27">
        <f>IFERROR(INDEX(tblWardConfig[BedComplement],MATCH("ICU",tblWardConfig[WardCode],0)),0)</f>
        <v>4</v>
      </c>
    </row>
    <row r="240" spans="1:8" ht="38.25" x14ac:dyDescent="0.25">
      <c r="A240" s="28" t="s">
        <v>110</v>
      </c>
      <c r="B240" s="28" t="s">
        <v>77</v>
      </c>
      <c r="C240" s="28" t="s">
        <v>78</v>
      </c>
      <c r="D240" s="28" t="s">
        <v>79</v>
      </c>
      <c r="E240" s="28" t="s">
        <v>111</v>
      </c>
      <c r="F240" s="28" t="s">
        <v>112</v>
      </c>
      <c r="G240" s="28" t="s">
        <v>113</v>
      </c>
      <c r="H240" s="28" t="s">
        <v>114</v>
      </c>
    </row>
    <row r="241" spans="1:8" x14ac:dyDescent="0.25">
      <c r="A241" s="29">
        <v>1</v>
      </c>
      <c r="B241" s="29" t="str">
        <f>IFERROR(IF(SUMIFS(tblDaily[Admissions],tblDaily[EntryDate],DATE(2026,7,1),tblDaily[WardCode],"ICU")=0,"",SUMIFS(tblDaily[Admissions],tblDaily[EntryDate],DATE(2026,7,1),tblDaily[WardCode],"ICU")),"")</f>
        <v/>
      </c>
      <c r="C241" s="29" t="str">
        <f>IFERROR(IF(SUMIFS(tblDaily[Discharges],tblDaily[EntryDate],DATE(2026,7,1),tblDaily[WardCode],"ICU")=0,"",SUMIFS(tblDaily[Discharges],tblDaily[EntryDate],DATE(2026,7,1),tblDaily[WardCode],"ICU")),"")</f>
        <v/>
      </c>
      <c r="D241" s="29" t="str">
        <f>IFERROR(IF(SUMIFS(tblDaily[Deaths],tblDaily[EntryDate],DATE(2026,7,1),tblDaily[WardCode],"ICU")=0,"",SUMIFS(tblDaily[Deaths],tblDaily[EntryDate],DATE(2026,7,1),tblDaily[WardCode],"ICU")),"")</f>
        <v/>
      </c>
      <c r="E241" s="29" t="str">
        <f>IFERROR(IF(SUMIFS(tblDaily[DeathsUnder24Hrs],tblDaily[EntryDate],DATE(2026,7,1),tblDaily[WardCode],"ICU")=0,"",SUMIFS(tblDaily[DeathsUnder24Hrs],tblDaily[EntryDate],DATE(2026,7,1),tblDaily[WardCode],"ICU")),"")</f>
        <v/>
      </c>
      <c r="F241" s="29" t="str">
        <f>IFERROR(IF(SUMIFS(tblDaily[TransfersIn],tblDaily[EntryDate],DATE(2026,7,1),tblDaily[WardCode],"ICU")=0,"",SUMIFS(tblDaily[TransfersIn],tblDaily[EntryDate],DATE(2026,7,1),tblDaily[WardCode],"ICU")),"")</f>
        <v/>
      </c>
      <c r="G241" s="29" t="str">
        <f>IFERROR(IF(SUMIFS(tblDaily[TransfersOut],tblDaily[EntryDate],DATE(2026,7,1),tblDaily[WardCode],"ICU")=0,"",SUMIFS(tblDaily[TransfersOut],tblDaily[EntryDate],DATE(2026,7,1),tblDaily[WardCode],"ICU")),"")</f>
        <v/>
      </c>
      <c r="H241" s="29" t="str">
        <f>IFERROR(IF(SUMIFS(tblDaily[Remaining],tblDaily[EntryDate],DATE(2026,7,1),tblDaily[WardCode],"ICU")=0,"",SUMIFS(tblDaily[Remaining],tblDaily[EntryDate],DATE(2026,7,1),tblDaily[WardCode],"ICU")),"")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IFERROR(IF(SUMIFS(tblDaily[Admissions],tblDaily[EntryDate],DATE(2026,7,2),tblDaily[WardCode],"ICU")=0,"",SUMIFS(tblDaily[Admissions],tblDaily[EntryDate],DATE(2026,7,2),tblDaily[WardCode],"ICU")),"")</f>
        <v/>
      </c>
      <c r="C242" s="29" t="str">
        <f>IFERROR(IF(SUMIFS(tblDaily[Discharges],tblDaily[EntryDate],DATE(2026,7,2),tblDaily[WardCode],"ICU")=0,"",SUMIFS(tblDaily[Discharges],tblDaily[EntryDate],DATE(2026,7,2),tblDaily[WardCode],"ICU")),"")</f>
        <v/>
      </c>
      <c r="D242" s="29" t="str">
        <f>IFERROR(IF(SUMIFS(tblDaily[Deaths],tblDaily[EntryDate],DATE(2026,7,2),tblDaily[WardCode],"ICU")=0,"",SUMIFS(tblDaily[Deaths],tblDaily[EntryDate],DATE(2026,7,2),tblDaily[WardCode],"ICU")),"")</f>
        <v/>
      </c>
      <c r="E242" s="29" t="str">
        <f>IFERROR(IF(SUMIFS(tblDaily[DeathsUnder24Hrs],tblDaily[EntryDate],DATE(2026,7,2),tblDaily[WardCode],"ICU")=0,"",SUMIFS(tblDaily[DeathsUnder24Hrs],tblDaily[EntryDate],DATE(2026,7,2),tblDaily[WardCode],"ICU")),"")</f>
        <v/>
      </c>
      <c r="F242" s="29" t="str">
        <f>IFERROR(IF(SUMIFS(tblDaily[TransfersIn],tblDaily[EntryDate],DATE(2026,7,2),tblDaily[WardCode],"ICU")=0,"",SUMIFS(tblDaily[TransfersIn],tblDaily[EntryDate],DATE(2026,7,2),tblDaily[WardCode],"ICU")),"")</f>
        <v/>
      </c>
      <c r="G242" s="29" t="str">
        <f>IFERROR(IF(SUMIFS(tblDaily[TransfersOut],tblDaily[EntryDate],DATE(2026,7,2),tblDaily[WardCode],"ICU")=0,"",SUMIFS(tblDaily[TransfersOut],tblDaily[EntryDate],DATE(2026,7,2),tblDaily[WardCode],"ICU")),"")</f>
        <v/>
      </c>
      <c r="H242" s="29" t="str">
        <f>IFERROR(IF(SUMIFS(tblDaily[Remaining],tblDaily[EntryDate],DATE(2026,7,2),tblDaily[WardCode],"ICU")=0,"",SUMIFS(tblDaily[Remaining],tblDaily[EntryDate],DATE(2026,7,2),tblDaily[WardCode],"ICU")),"")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IFERROR(IF(SUMIFS(tblDaily[Admissions],tblDaily[EntryDate],DATE(2026,7,3),tblDaily[WardCode],"ICU")=0,"",SUMIFS(tblDaily[Admissions],tblDaily[EntryDate],DATE(2026,7,3),tblDaily[WardCode],"ICU")),"")</f>
        <v/>
      </c>
      <c r="C243" s="29" t="str">
        <f>IFERROR(IF(SUMIFS(tblDaily[Discharges],tblDaily[EntryDate],DATE(2026,7,3),tblDaily[WardCode],"ICU")=0,"",SUMIFS(tblDaily[Discharges],tblDaily[EntryDate],DATE(2026,7,3),tblDaily[WardCode],"ICU")),"")</f>
        <v/>
      </c>
      <c r="D243" s="29" t="str">
        <f>IFERROR(IF(SUMIFS(tblDaily[Deaths],tblDaily[EntryDate],DATE(2026,7,3),tblDaily[WardCode],"ICU")=0,"",SUMIFS(tblDaily[Deaths],tblDaily[EntryDate],DATE(2026,7,3),tblDaily[WardCode],"ICU")),"")</f>
        <v/>
      </c>
      <c r="E243" s="29" t="str">
        <f>IFERROR(IF(SUMIFS(tblDaily[DeathsUnder24Hrs],tblDaily[EntryDate],DATE(2026,7,3),tblDaily[WardCode],"ICU")=0,"",SUMIFS(tblDaily[DeathsUnder24Hrs],tblDaily[EntryDate],DATE(2026,7,3),tblDaily[WardCode],"ICU")),"")</f>
        <v/>
      </c>
      <c r="F243" s="29" t="str">
        <f>IFERROR(IF(SUMIFS(tblDaily[TransfersIn],tblDaily[EntryDate],DATE(2026,7,3),tblDaily[WardCode],"ICU")=0,"",SUMIFS(tblDaily[TransfersIn],tblDaily[EntryDate],DATE(2026,7,3),tblDaily[WardCode],"ICU")),"")</f>
        <v/>
      </c>
      <c r="G243" s="29" t="str">
        <f>IFERROR(IF(SUMIFS(tblDaily[TransfersOut],tblDaily[EntryDate],DATE(2026,7,3),tblDaily[WardCode],"ICU")=0,"",SUMIFS(tblDaily[TransfersOut],tblDaily[EntryDate],DATE(2026,7,3),tblDaily[WardCode],"ICU")),"")</f>
        <v/>
      </c>
      <c r="H243" s="29" t="str">
        <f>IFERROR(IF(SUMIFS(tblDaily[Remaining],tblDaily[EntryDate],DATE(2026,7,3),tblDaily[WardCode],"ICU")=0,"",SUMIFS(tblDaily[Remaining],tblDaily[EntryDate],DATE(2026,7,3),tblDaily[WardCode],"ICU")),"")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IFERROR(IF(SUMIFS(tblDaily[Admissions],tblDaily[EntryDate],DATE(2026,7,4),tblDaily[WardCode],"ICU")=0,"",SUMIFS(tblDaily[Admissions],tblDaily[EntryDate],DATE(2026,7,4),tblDaily[WardCode],"ICU")),"")</f>
        <v/>
      </c>
      <c r="C244" s="29" t="str">
        <f>IFERROR(IF(SUMIFS(tblDaily[Discharges],tblDaily[EntryDate],DATE(2026,7,4),tblDaily[WardCode],"ICU")=0,"",SUMIFS(tblDaily[Discharges],tblDaily[EntryDate],DATE(2026,7,4),tblDaily[WardCode],"ICU")),"")</f>
        <v/>
      </c>
      <c r="D244" s="29" t="str">
        <f>IFERROR(IF(SUMIFS(tblDaily[Deaths],tblDaily[EntryDate],DATE(2026,7,4),tblDaily[WardCode],"ICU")=0,"",SUMIFS(tblDaily[Deaths],tblDaily[EntryDate],DATE(2026,7,4),tblDaily[WardCode],"ICU")),"")</f>
        <v/>
      </c>
      <c r="E244" s="29" t="str">
        <f>IFERROR(IF(SUMIFS(tblDaily[DeathsUnder24Hrs],tblDaily[EntryDate],DATE(2026,7,4),tblDaily[WardCode],"ICU")=0,"",SUMIFS(tblDaily[DeathsUnder24Hrs],tblDaily[EntryDate],DATE(2026,7,4),tblDaily[WardCode],"ICU")),"")</f>
        <v/>
      </c>
      <c r="F244" s="29" t="str">
        <f>IFERROR(IF(SUMIFS(tblDaily[TransfersIn],tblDaily[EntryDate],DATE(2026,7,4),tblDaily[WardCode],"ICU")=0,"",SUMIFS(tblDaily[TransfersIn],tblDaily[EntryDate],DATE(2026,7,4),tblDaily[WardCode],"ICU")),"")</f>
        <v/>
      </c>
      <c r="G244" s="29" t="str">
        <f>IFERROR(IF(SUMIFS(tblDaily[TransfersOut],tblDaily[EntryDate],DATE(2026,7,4),tblDaily[WardCode],"ICU")=0,"",SUMIFS(tblDaily[TransfersOut],tblDaily[EntryDate],DATE(2026,7,4),tblDaily[WardCode],"ICU")),"")</f>
        <v/>
      </c>
      <c r="H244" s="29" t="str">
        <f>IFERROR(IF(SUMIFS(tblDaily[Remaining],tblDaily[EntryDate],DATE(2026,7,4),tblDaily[WardCode],"ICU")=0,"",SUMIFS(tblDaily[Remaining],tblDaily[EntryDate],DATE(2026,7,4),tblDaily[WardCode],"ICU")),"")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IFERROR(IF(SUMIFS(tblDaily[Admissions],tblDaily[EntryDate],DATE(2026,7,5),tblDaily[WardCode],"ICU")=0,"",SUMIFS(tblDaily[Admissions],tblDaily[EntryDate],DATE(2026,7,5),tblDaily[WardCode],"ICU")),"")</f>
        <v/>
      </c>
      <c r="C245" s="29" t="str">
        <f>IFERROR(IF(SUMIFS(tblDaily[Discharges],tblDaily[EntryDate],DATE(2026,7,5),tblDaily[WardCode],"ICU")=0,"",SUMIFS(tblDaily[Discharges],tblDaily[EntryDate],DATE(2026,7,5),tblDaily[WardCode],"ICU")),"")</f>
        <v/>
      </c>
      <c r="D245" s="29" t="str">
        <f>IFERROR(IF(SUMIFS(tblDaily[Deaths],tblDaily[EntryDate],DATE(2026,7,5),tblDaily[WardCode],"ICU")=0,"",SUMIFS(tblDaily[Deaths],tblDaily[EntryDate],DATE(2026,7,5),tblDaily[WardCode],"ICU")),"")</f>
        <v/>
      </c>
      <c r="E245" s="29" t="str">
        <f>IFERROR(IF(SUMIFS(tblDaily[DeathsUnder24Hrs],tblDaily[EntryDate],DATE(2026,7,5),tblDaily[WardCode],"ICU")=0,"",SUMIFS(tblDaily[DeathsUnder24Hrs],tblDaily[EntryDate],DATE(2026,7,5),tblDaily[WardCode],"ICU")),"")</f>
        <v/>
      </c>
      <c r="F245" s="29" t="str">
        <f>IFERROR(IF(SUMIFS(tblDaily[TransfersIn],tblDaily[EntryDate],DATE(2026,7,5),tblDaily[WardCode],"ICU")=0,"",SUMIFS(tblDaily[TransfersIn],tblDaily[EntryDate],DATE(2026,7,5),tblDaily[WardCode],"ICU")),"")</f>
        <v/>
      </c>
      <c r="G245" s="29" t="str">
        <f>IFERROR(IF(SUMIFS(tblDaily[TransfersOut],tblDaily[EntryDate],DATE(2026,7,5),tblDaily[WardCode],"ICU")=0,"",SUMIFS(tblDaily[TransfersOut],tblDaily[EntryDate],DATE(2026,7,5),tblDaily[WardCode],"ICU")),"")</f>
        <v/>
      </c>
      <c r="H245" s="29" t="str">
        <f>IFERROR(IF(SUMIFS(tblDaily[Remaining],tblDaily[EntryDate],DATE(2026,7,5),tblDaily[WardCode],"ICU")=0,"",SUMIFS(tblDaily[Remaining],tblDaily[EntryDate],DATE(2026,7,5),tblDaily[WardCode],"ICU")),"")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IFERROR(IF(SUMIFS(tblDaily[Admissions],tblDaily[EntryDate],DATE(2026,7,6),tblDaily[WardCode],"ICU")=0,"",SUMIFS(tblDaily[Admissions],tblDaily[EntryDate],DATE(2026,7,6),tblDaily[WardCode],"ICU")),"")</f>
        <v/>
      </c>
      <c r="C246" s="29" t="str">
        <f>IFERROR(IF(SUMIFS(tblDaily[Discharges],tblDaily[EntryDate],DATE(2026,7,6),tblDaily[WardCode],"ICU")=0,"",SUMIFS(tblDaily[Discharges],tblDaily[EntryDate],DATE(2026,7,6),tblDaily[WardCode],"ICU")),"")</f>
        <v/>
      </c>
      <c r="D246" s="29" t="str">
        <f>IFERROR(IF(SUMIFS(tblDaily[Deaths],tblDaily[EntryDate],DATE(2026,7,6),tblDaily[WardCode],"ICU")=0,"",SUMIFS(tblDaily[Deaths],tblDaily[EntryDate],DATE(2026,7,6),tblDaily[WardCode],"ICU")),"")</f>
        <v/>
      </c>
      <c r="E246" s="29" t="str">
        <f>IFERROR(IF(SUMIFS(tblDaily[DeathsUnder24Hrs],tblDaily[EntryDate],DATE(2026,7,6),tblDaily[WardCode],"ICU")=0,"",SUMIFS(tblDaily[DeathsUnder24Hrs],tblDaily[EntryDate],DATE(2026,7,6),tblDaily[WardCode],"ICU")),"")</f>
        <v/>
      </c>
      <c r="F246" s="29" t="str">
        <f>IFERROR(IF(SUMIFS(tblDaily[TransfersIn],tblDaily[EntryDate],DATE(2026,7,6),tblDaily[WardCode],"ICU")=0,"",SUMIFS(tblDaily[TransfersIn],tblDaily[EntryDate],DATE(2026,7,6),tblDaily[WardCode],"ICU")),"")</f>
        <v/>
      </c>
      <c r="G246" s="29" t="str">
        <f>IFERROR(IF(SUMIFS(tblDaily[TransfersOut],tblDaily[EntryDate],DATE(2026,7,6),tblDaily[WardCode],"ICU")=0,"",SUMIFS(tblDaily[TransfersOut],tblDaily[EntryDate],DATE(2026,7,6),tblDaily[WardCode],"ICU")),"")</f>
        <v/>
      </c>
      <c r="H246" s="29" t="str">
        <f>IFERROR(IF(SUMIFS(tblDaily[Remaining],tblDaily[EntryDate],DATE(2026,7,6),tblDaily[WardCode],"ICU")=0,"",SUMIFS(tblDaily[Remaining],tblDaily[EntryDate],DATE(2026,7,6),tblDaily[WardCode],"ICU")),"")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IFERROR(IF(SUMIFS(tblDaily[Admissions],tblDaily[EntryDate],DATE(2026,7,7),tblDaily[WardCode],"ICU")=0,"",SUMIFS(tblDaily[Admissions],tblDaily[EntryDate],DATE(2026,7,7),tblDaily[WardCode],"ICU")),"")</f>
        <v/>
      </c>
      <c r="C247" s="29" t="str">
        <f>IFERROR(IF(SUMIFS(tblDaily[Discharges],tblDaily[EntryDate],DATE(2026,7,7),tblDaily[WardCode],"ICU")=0,"",SUMIFS(tblDaily[Discharges],tblDaily[EntryDate],DATE(2026,7,7),tblDaily[WardCode],"ICU")),"")</f>
        <v/>
      </c>
      <c r="D247" s="29" t="str">
        <f>IFERROR(IF(SUMIFS(tblDaily[Deaths],tblDaily[EntryDate],DATE(2026,7,7),tblDaily[WardCode],"ICU")=0,"",SUMIFS(tblDaily[Deaths],tblDaily[EntryDate],DATE(2026,7,7),tblDaily[WardCode],"ICU")),"")</f>
        <v/>
      </c>
      <c r="E247" s="29" t="str">
        <f>IFERROR(IF(SUMIFS(tblDaily[DeathsUnder24Hrs],tblDaily[EntryDate],DATE(2026,7,7),tblDaily[WardCode],"ICU")=0,"",SUMIFS(tblDaily[DeathsUnder24Hrs],tblDaily[EntryDate],DATE(2026,7,7),tblDaily[WardCode],"ICU")),"")</f>
        <v/>
      </c>
      <c r="F247" s="29" t="str">
        <f>IFERROR(IF(SUMIFS(tblDaily[TransfersIn],tblDaily[EntryDate],DATE(2026,7,7),tblDaily[WardCode],"ICU")=0,"",SUMIFS(tblDaily[TransfersIn],tblDaily[EntryDate],DATE(2026,7,7),tblDaily[WardCode],"ICU")),"")</f>
        <v/>
      </c>
      <c r="G247" s="29" t="str">
        <f>IFERROR(IF(SUMIFS(tblDaily[TransfersOut],tblDaily[EntryDate],DATE(2026,7,7),tblDaily[WardCode],"ICU")=0,"",SUMIFS(tblDaily[TransfersOut],tblDaily[EntryDate],DATE(2026,7,7),tblDaily[WardCode],"ICU")),"")</f>
        <v/>
      </c>
      <c r="H247" s="29" t="str">
        <f>IFERROR(IF(SUMIFS(tblDaily[Remaining],tblDaily[EntryDate],DATE(2026,7,7),tblDaily[WardCode],"ICU")=0,"",SUMIFS(tblDaily[Remaining],tblDaily[EntryDate],DATE(2026,7,7),tblDaily[WardCode],"ICU")),"")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IFERROR(IF(SUMIFS(tblDaily[Admissions],tblDaily[EntryDate],DATE(2026,7,8),tblDaily[WardCode],"ICU")=0,"",SUMIFS(tblDaily[Admissions],tblDaily[EntryDate],DATE(2026,7,8),tblDaily[WardCode],"ICU")),"")</f>
        <v/>
      </c>
      <c r="C248" s="29" t="str">
        <f>IFERROR(IF(SUMIFS(tblDaily[Discharges],tblDaily[EntryDate],DATE(2026,7,8),tblDaily[WardCode],"ICU")=0,"",SUMIFS(tblDaily[Discharges],tblDaily[EntryDate],DATE(2026,7,8),tblDaily[WardCode],"ICU")),"")</f>
        <v/>
      </c>
      <c r="D248" s="29" t="str">
        <f>IFERROR(IF(SUMIFS(tblDaily[Deaths],tblDaily[EntryDate],DATE(2026,7,8),tblDaily[WardCode],"ICU")=0,"",SUMIFS(tblDaily[Deaths],tblDaily[EntryDate],DATE(2026,7,8),tblDaily[WardCode],"ICU")),"")</f>
        <v/>
      </c>
      <c r="E248" s="29" t="str">
        <f>IFERROR(IF(SUMIFS(tblDaily[DeathsUnder24Hrs],tblDaily[EntryDate],DATE(2026,7,8),tblDaily[WardCode],"ICU")=0,"",SUMIFS(tblDaily[DeathsUnder24Hrs],tblDaily[EntryDate],DATE(2026,7,8),tblDaily[WardCode],"ICU")),"")</f>
        <v/>
      </c>
      <c r="F248" s="29" t="str">
        <f>IFERROR(IF(SUMIFS(tblDaily[TransfersIn],tblDaily[EntryDate],DATE(2026,7,8),tblDaily[WardCode],"ICU")=0,"",SUMIFS(tblDaily[TransfersIn],tblDaily[EntryDate],DATE(2026,7,8),tblDaily[WardCode],"ICU")),"")</f>
        <v/>
      </c>
      <c r="G248" s="29" t="str">
        <f>IFERROR(IF(SUMIFS(tblDaily[TransfersOut],tblDaily[EntryDate],DATE(2026,7,8),tblDaily[WardCode],"ICU")=0,"",SUMIFS(tblDaily[TransfersOut],tblDaily[EntryDate],DATE(2026,7,8),tblDaily[WardCode],"ICU")),"")</f>
        <v/>
      </c>
      <c r="H248" s="29" t="str">
        <f>IFERROR(IF(SUMIFS(tblDaily[Remaining],tblDaily[EntryDate],DATE(2026,7,8),tblDaily[WardCode],"ICU")=0,"",SUMIFS(tblDaily[Remaining],tblDaily[EntryDate],DATE(2026,7,8),tblDaily[WardCode],"ICU")),"")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IFERROR(IF(SUMIFS(tblDaily[Admissions],tblDaily[EntryDate],DATE(2026,7,9),tblDaily[WardCode],"ICU")=0,"",SUMIFS(tblDaily[Admissions],tblDaily[EntryDate],DATE(2026,7,9),tblDaily[WardCode],"ICU")),"")</f>
        <v/>
      </c>
      <c r="C249" s="29" t="str">
        <f>IFERROR(IF(SUMIFS(tblDaily[Discharges],tblDaily[EntryDate],DATE(2026,7,9),tblDaily[WardCode],"ICU")=0,"",SUMIFS(tblDaily[Discharges],tblDaily[EntryDate],DATE(2026,7,9),tblDaily[WardCode],"ICU")),"")</f>
        <v/>
      </c>
      <c r="D249" s="29" t="str">
        <f>IFERROR(IF(SUMIFS(tblDaily[Deaths],tblDaily[EntryDate],DATE(2026,7,9),tblDaily[WardCode],"ICU")=0,"",SUMIFS(tblDaily[Deaths],tblDaily[EntryDate],DATE(2026,7,9),tblDaily[WardCode],"ICU")),"")</f>
        <v/>
      </c>
      <c r="E249" s="29" t="str">
        <f>IFERROR(IF(SUMIFS(tblDaily[DeathsUnder24Hrs],tblDaily[EntryDate],DATE(2026,7,9),tblDaily[WardCode],"ICU")=0,"",SUMIFS(tblDaily[DeathsUnder24Hrs],tblDaily[EntryDate],DATE(2026,7,9),tblDaily[WardCode],"ICU")),"")</f>
        <v/>
      </c>
      <c r="F249" s="29" t="str">
        <f>IFERROR(IF(SUMIFS(tblDaily[TransfersIn],tblDaily[EntryDate],DATE(2026,7,9),tblDaily[WardCode],"ICU")=0,"",SUMIFS(tblDaily[TransfersIn],tblDaily[EntryDate],DATE(2026,7,9),tblDaily[WardCode],"ICU")),"")</f>
        <v/>
      </c>
      <c r="G249" s="29" t="str">
        <f>IFERROR(IF(SUMIFS(tblDaily[TransfersOut],tblDaily[EntryDate],DATE(2026,7,9),tblDaily[WardCode],"ICU")=0,"",SUMIFS(tblDaily[TransfersOut],tblDaily[EntryDate],DATE(2026,7,9),tblDaily[WardCode],"ICU")),"")</f>
        <v/>
      </c>
      <c r="H249" s="29" t="str">
        <f>IFERROR(IF(SUMIFS(tblDaily[Remaining],tblDaily[EntryDate],DATE(2026,7,9),tblDaily[WardCode],"ICU")=0,"",SUMIFS(tblDaily[Remaining],tblDaily[EntryDate],DATE(2026,7,9),tblDaily[WardCode],"ICU")),"")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IFERROR(IF(SUMIFS(tblDaily[Admissions],tblDaily[EntryDate],DATE(2026,7,10),tblDaily[WardCode],"ICU")=0,"",SUMIFS(tblDaily[Admissions],tblDaily[EntryDate],DATE(2026,7,10),tblDaily[WardCode],"ICU")),"")</f>
        <v/>
      </c>
      <c r="C250" s="29" t="str">
        <f>IFERROR(IF(SUMIFS(tblDaily[Discharges],tblDaily[EntryDate],DATE(2026,7,10),tblDaily[WardCode],"ICU")=0,"",SUMIFS(tblDaily[Discharges],tblDaily[EntryDate],DATE(2026,7,10),tblDaily[WardCode],"ICU")),"")</f>
        <v/>
      </c>
      <c r="D250" s="29" t="str">
        <f>IFERROR(IF(SUMIFS(tblDaily[Deaths],tblDaily[EntryDate],DATE(2026,7,10),tblDaily[WardCode],"ICU")=0,"",SUMIFS(tblDaily[Deaths],tblDaily[EntryDate],DATE(2026,7,10),tblDaily[WardCode],"ICU")),"")</f>
        <v/>
      </c>
      <c r="E250" s="29" t="str">
        <f>IFERROR(IF(SUMIFS(tblDaily[DeathsUnder24Hrs],tblDaily[EntryDate],DATE(2026,7,10),tblDaily[WardCode],"ICU")=0,"",SUMIFS(tblDaily[DeathsUnder24Hrs],tblDaily[EntryDate],DATE(2026,7,10),tblDaily[WardCode],"ICU")),"")</f>
        <v/>
      </c>
      <c r="F250" s="29" t="str">
        <f>IFERROR(IF(SUMIFS(tblDaily[TransfersIn],tblDaily[EntryDate],DATE(2026,7,10),tblDaily[WardCode],"ICU")=0,"",SUMIFS(tblDaily[TransfersIn],tblDaily[EntryDate],DATE(2026,7,10),tblDaily[WardCode],"ICU")),"")</f>
        <v/>
      </c>
      <c r="G250" s="29" t="str">
        <f>IFERROR(IF(SUMIFS(tblDaily[TransfersOut],tblDaily[EntryDate],DATE(2026,7,10),tblDaily[WardCode],"ICU")=0,"",SUMIFS(tblDaily[TransfersOut],tblDaily[EntryDate],DATE(2026,7,10),tblDaily[WardCode],"ICU")),"")</f>
        <v/>
      </c>
      <c r="H250" s="29" t="str">
        <f>IFERROR(IF(SUMIFS(tblDaily[Remaining],tblDaily[EntryDate],DATE(2026,7,10),tblDaily[WardCode],"ICU")=0,"",SUMIFS(tblDaily[Remaining],tblDaily[EntryDate],DATE(2026,7,10),tblDaily[WardCode],"ICU")),"")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IFERROR(IF(SUMIFS(tblDaily[Admissions],tblDaily[EntryDate],DATE(2026,7,11),tblDaily[WardCode],"ICU")=0,"",SUMIFS(tblDaily[Admissions],tblDaily[EntryDate],DATE(2026,7,11),tblDaily[WardCode],"ICU")),"")</f>
        <v/>
      </c>
      <c r="C251" s="29" t="str">
        <f>IFERROR(IF(SUMIFS(tblDaily[Discharges],tblDaily[EntryDate],DATE(2026,7,11),tblDaily[WardCode],"ICU")=0,"",SUMIFS(tblDaily[Discharges],tblDaily[EntryDate],DATE(2026,7,11),tblDaily[WardCode],"ICU")),"")</f>
        <v/>
      </c>
      <c r="D251" s="29" t="str">
        <f>IFERROR(IF(SUMIFS(tblDaily[Deaths],tblDaily[EntryDate],DATE(2026,7,11),tblDaily[WardCode],"ICU")=0,"",SUMIFS(tblDaily[Deaths],tblDaily[EntryDate],DATE(2026,7,11),tblDaily[WardCode],"ICU")),"")</f>
        <v/>
      </c>
      <c r="E251" s="29" t="str">
        <f>IFERROR(IF(SUMIFS(tblDaily[DeathsUnder24Hrs],tblDaily[EntryDate],DATE(2026,7,11),tblDaily[WardCode],"ICU")=0,"",SUMIFS(tblDaily[DeathsUnder24Hrs],tblDaily[EntryDate],DATE(2026,7,11),tblDaily[WardCode],"ICU")),"")</f>
        <v/>
      </c>
      <c r="F251" s="29" t="str">
        <f>IFERROR(IF(SUMIFS(tblDaily[TransfersIn],tblDaily[EntryDate],DATE(2026,7,11),tblDaily[WardCode],"ICU")=0,"",SUMIFS(tblDaily[TransfersIn],tblDaily[EntryDate],DATE(2026,7,11),tblDaily[WardCode],"ICU")),"")</f>
        <v/>
      </c>
      <c r="G251" s="29" t="str">
        <f>IFERROR(IF(SUMIFS(tblDaily[TransfersOut],tblDaily[EntryDate],DATE(2026,7,11),tblDaily[WardCode],"ICU")=0,"",SUMIFS(tblDaily[TransfersOut],tblDaily[EntryDate],DATE(2026,7,11),tblDaily[WardCode],"ICU")),"")</f>
        <v/>
      </c>
      <c r="H251" s="29" t="str">
        <f>IFERROR(IF(SUMIFS(tblDaily[Remaining],tblDaily[EntryDate],DATE(2026,7,11),tblDaily[WardCode],"ICU")=0,"",SUMIFS(tblDaily[Remaining],tblDaily[EntryDate],DATE(2026,7,11),tblDaily[WardCode],"ICU")),"")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IFERROR(IF(SUMIFS(tblDaily[Admissions],tblDaily[EntryDate],DATE(2026,7,12),tblDaily[WardCode],"ICU")=0,"",SUMIFS(tblDaily[Admissions],tblDaily[EntryDate],DATE(2026,7,12),tblDaily[WardCode],"ICU")),"")</f>
        <v/>
      </c>
      <c r="C252" s="29" t="str">
        <f>IFERROR(IF(SUMIFS(tblDaily[Discharges],tblDaily[EntryDate],DATE(2026,7,12),tblDaily[WardCode],"ICU")=0,"",SUMIFS(tblDaily[Discharges],tblDaily[EntryDate],DATE(2026,7,12),tblDaily[WardCode],"ICU")),"")</f>
        <v/>
      </c>
      <c r="D252" s="29" t="str">
        <f>IFERROR(IF(SUMIFS(tblDaily[Deaths],tblDaily[EntryDate],DATE(2026,7,12),tblDaily[WardCode],"ICU")=0,"",SUMIFS(tblDaily[Deaths],tblDaily[EntryDate],DATE(2026,7,12),tblDaily[WardCode],"ICU")),"")</f>
        <v/>
      </c>
      <c r="E252" s="29" t="str">
        <f>IFERROR(IF(SUMIFS(tblDaily[DeathsUnder24Hrs],tblDaily[EntryDate],DATE(2026,7,12),tblDaily[WardCode],"ICU")=0,"",SUMIFS(tblDaily[DeathsUnder24Hrs],tblDaily[EntryDate],DATE(2026,7,12),tblDaily[WardCode],"ICU")),"")</f>
        <v/>
      </c>
      <c r="F252" s="29" t="str">
        <f>IFERROR(IF(SUMIFS(tblDaily[TransfersIn],tblDaily[EntryDate],DATE(2026,7,12),tblDaily[WardCode],"ICU")=0,"",SUMIFS(tblDaily[TransfersIn],tblDaily[EntryDate],DATE(2026,7,12),tblDaily[WardCode],"ICU")),"")</f>
        <v/>
      </c>
      <c r="G252" s="29" t="str">
        <f>IFERROR(IF(SUMIFS(tblDaily[TransfersOut],tblDaily[EntryDate],DATE(2026,7,12),tblDaily[WardCode],"ICU")=0,"",SUMIFS(tblDaily[TransfersOut],tblDaily[EntryDate],DATE(2026,7,12),tblDaily[WardCode],"ICU")),"")</f>
        <v/>
      </c>
      <c r="H252" s="29" t="str">
        <f>IFERROR(IF(SUMIFS(tblDaily[Remaining],tblDaily[EntryDate],DATE(2026,7,12),tblDaily[WardCode],"ICU")=0,"",SUMIFS(tblDaily[Remaining],tblDaily[EntryDate],DATE(2026,7,12),tblDaily[WardCode],"ICU")),"")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IFERROR(IF(SUMIFS(tblDaily[Admissions],tblDaily[EntryDate],DATE(2026,7,13),tblDaily[WardCode],"ICU")=0,"",SUMIFS(tblDaily[Admissions],tblDaily[EntryDate],DATE(2026,7,13),tblDaily[WardCode],"ICU")),"")</f>
        <v/>
      </c>
      <c r="C253" s="29" t="str">
        <f>IFERROR(IF(SUMIFS(tblDaily[Discharges],tblDaily[EntryDate],DATE(2026,7,13),tblDaily[WardCode],"ICU")=0,"",SUMIFS(tblDaily[Discharges],tblDaily[EntryDate],DATE(2026,7,13),tblDaily[WardCode],"ICU")),"")</f>
        <v/>
      </c>
      <c r="D253" s="29" t="str">
        <f>IFERROR(IF(SUMIFS(tblDaily[Deaths],tblDaily[EntryDate],DATE(2026,7,13),tblDaily[WardCode],"ICU")=0,"",SUMIFS(tblDaily[Deaths],tblDaily[EntryDate],DATE(2026,7,13),tblDaily[WardCode],"ICU")),"")</f>
        <v/>
      </c>
      <c r="E253" s="29" t="str">
        <f>IFERROR(IF(SUMIFS(tblDaily[DeathsUnder24Hrs],tblDaily[EntryDate],DATE(2026,7,13),tblDaily[WardCode],"ICU")=0,"",SUMIFS(tblDaily[DeathsUnder24Hrs],tblDaily[EntryDate],DATE(2026,7,13),tblDaily[WardCode],"ICU")),"")</f>
        <v/>
      </c>
      <c r="F253" s="29" t="str">
        <f>IFERROR(IF(SUMIFS(tblDaily[TransfersIn],tblDaily[EntryDate],DATE(2026,7,13),tblDaily[WardCode],"ICU")=0,"",SUMIFS(tblDaily[TransfersIn],tblDaily[EntryDate],DATE(2026,7,13),tblDaily[WardCode],"ICU")),"")</f>
        <v/>
      </c>
      <c r="G253" s="29" t="str">
        <f>IFERROR(IF(SUMIFS(tblDaily[TransfersOut],tblDaily[EntryDate],DATE(2026,7,13),tblDaily[WardCode],"ICU")=0,"",SUMIFS(tblDaily[TransfersOut],tblDaily[EntryDate],DATE(2026,7,13),tblDaily[WardCode],"ICU")),"")</f>
        <v/>
      </c>
      <c r="H253" s="29" t="str">
        <f>IFERROR(IF(SUMIFS(tblDaily[Remaining],tblDaily[EntryDate],DATE(2026,7,13),tblDaily[WardCode],"ICU")=0,"",SUMIFS(tblDaily[Remaining],tblDaily[EntryDate],DATE(2026,7,13),tblDaily[WardCode],"ICU")),"")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IFERROR(IF(SUMIFS(tblDaily[Admissions],tblDaily[EntryDate],DATE(2026,7,14),tblDaily[WardCode],"ICU")=0,"",SUMIFS(tblDaily[Admissions],tblDaily[EntryDate],DATE(2026,7,14),tblDaily[WardCode],"ICU")),"")</f>
        <v/>
      </c>
      <c r="C254" s="29" t="str">
        <f>IFERROR(IF(SUMIFS(tblDaily[Discharges],tblDaily[EntryDate],DATE(2026,7,14),tblDaily[WardCode],"ICU")=0,"",SUMIFS(tblDaily[Discharges],tblDaily[EntryDate],DATE(2026,7,14),tblDaily[WardCode],"ICU")),"")</f>
        <v/>
      </c>
      <c r="D254" s="29" t="str">
        <f>IFERROR(IF(SUMIFS(tblDaily[Deaths],tblDaily[EntryDate],DATE(2026,7,14),tblDaily[WardCode],"ICU")=0,"",SUMIFS(tblDaily[Deaths],tblDaily[EntryDate],DATE(2026,7,14),tblDaily[WardCode],"ICU")),"")</f>
        <v/>
      </c>
      <c r="E254" s="29" t="str">
        <f>IFERROR(IF(SUMIFS(tblDaily[DeathsUnder24Hrs],tblDaily[EntryDate],DATE(2026,7,14),tblDaily[WardCode],"ICU")=0,"",SUMIFS(tblDaily[DeathsUnder24Hrs],tblDaily[EntryDate],DATE(2026,7,14),tblDaily[WardCode],"ICU")),"")</f>
        <v/>
      </c>
      <c r="F254" s="29" t="str">
        <f>IFERROR(IF(SUMIFS(tblDaily[TransfersIn],tblDaily[EntryDate],DATE(2026,7,14),tblDaily[WardCode],"ICU")=0,"",SUMIFS(tblDaily[TransfersIn],tblDaily[EntryDate],DATE(2026,7,14),tblDaily[WardCode],"ICU")),"")</f>
        <v/>
      </c>
      <c r="G254" s="29" t="str">
        <f>IFERROR(IF(SUMIFS(tblDaily[TransfersOut],tblDaily[EntryDate],DATE(2026,7,14),tblDaily[WardCode],"ICU")=0,"",SUMIFS(tblDaily[TransfersOut],tblDaily[EntryDate],DATE(2026,7,14),tblDaily[WardCode],"ICU")),"")</f>
        <v/>
      </c>
      <c r="H254" s="29" t="str">
        <f>IFERROR(IF(SUMIFS(tblDaily[Remaining],tblDaily[EntryDate],DATE(2026,7,14),tblDaily[WardCode],"ICU")=0,"",SUMIFS(tblDaily[Remaining],tblDaily[EntryDate],DATE(2026,7,14),tblDaily[WardCode],"ICU")),"")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IFERROR(IF(SUMIFS(tblDaily[Admissions],tblDaily[EntryDate],DATE(2026,7,15),tblDaily[WardCode],"ICU")=0,"",SUMIFS(tblDaily[Admissions],tblDaily[EntryDate],DATE(2026,7,15),tblDaily[WardCode],"ICU")),"")</f>
        <v/>
      </c>
      <c r="C255" s="29" t="str">
        <f>IFERROR(IF(SUMIFS(tblDaily[Discharges],tblDaily[EntryDate],DATE(2026,7,15),tblDaily[WardCode],"ICU")=0,"",SUMIFS(tblDaily[Discharges],tblDaily[EntryDate],DATE(2026,7,15),tblDaily[WardCode],"ICU")),"")</f>
        <v/>
      </c>
      <c r="D255" s="29" t="str">
        <f>IFERROR(IF(SUMIFS(tblDaily[Deaths],tblDaily[EntryDate],DATE(2026,7,15),tblDaily[WardCode],"ICU")=0,"",SUMIFS(tblDaily[Deaths],tblDaily[EntryDate],DATE(2026,7,15),tblDaily[WardCode],"ICU")),"")</f>
        <v/>
      </c>
      <c r="E255" s="29" t="str">
        <f>IFERROR(IF(SUMIFS(tblDaily[DeathsUnder24Hrs],tblDaily[EntryDate],DATE(2026,7,15),tblDaily[WardCode],"ICU")=0,"",SUMIFS(tblDaily[DeathsUnder24Hrs],tblDaily[EntryDate],DATE(2026,7,15),tblDaily[WardCode],"ICU")),"")</f>
        <v/>
      </c>
      <c r="F255" s="29" t="str">
        <f>IFERROR(IF(SUMIFS(tblDaily[TransfersIn],tblDaily[EntryDate],DATE(2026,7,15),tblDaily[WardCode],"ICU")=0,"",SUMIFS(tblDaily[TransfersIn],tblDaily[EntryDate],DATE(2026,7,15),tblDaily[WardCode],"ICU")),"")</f>
        <v/>
      </c>
      <c r="G255" s="29" t="str">
        <f>IFERROR(IF(SUMIFS(tblDaily[TransfersOut],tblDaily[EntryDate],DATE(2026,7,15),tblDaily[WardCode],"ICU")=0,"",SUMIFS(tblDaily[TransfersOut],tblDaily[EntryDate],DATE(2026,7,15),tblDaily[WardCode],"ICU")),"")</f>
        <v/>
      </c>
      <c r="H255" s="29" t="str">
        <f>IFERROR(IF(SUMIFS(tblDaily[Remaining],tblDaily[EntryDate],DATE(2026,7,15),tblDaily[WardCode],"ICU")=0,"",SUMIFS(tblDaily[Remaining],tblDaily[EntryDate],DATE(2026,7,15),tblDaily[WardCode],"ICU")),"")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IFERROR(IF(SUMIFS(tblDaily[Admissions],tblDaily[EntryDate],DATE(2026,7,16),tblDaily[WardCode],"ICU")=0,"",SUMIFS(tblDaily[Admissions],tblDaily[EntryDate],DATE(2026,7,16),tblDaily[WardCode],"ICU")),"")</f>
        <v/>
      </c>
      <c r="C256" s="29" t="str">
        <f>IFERROR(IF(SUMIFS(tblDaily[Discharges],tblDaily[EntryDate],DATE(2026,7,16),tblDaily[WardCode],"ICU")=0,"",SUMIFS(tblDaily[Discharges],tblDaily[EntryDate],DATE(2026,7,16),tblDaily[WardCode],"ICU")),"")</f>
        <v/>
      </c>
      <c r="D256" s="29" t="str">
        <f>IFERROR(IF(SUMIFS(tblDaily[Deaths],tblDaily[EntryDate],DATE(2026,7,16),tblDaily[WardCode],"ICU")=0,"",SUMIFS(tblDaily[Deaths],tblDaily[EntryDate],DATE(2026,7,16),tblDaily[WardCode],"ICU")),"")</f>
        <v/>
      </c>
      <c r="E256" s="29" t="str">
        <f>IFERROR(IF(SUMIFS(tblDaily[DeathsUnder24Hrs],tblDaily[EntryDate],DATE(2026,7,16),tblDaily[WardCode],"ICU")=0,"",SUMIFS(tblDaily[DeathsUnder24Hrs],tblDaily[EntryDate],DATE(2026,7,16),tblDaily[WardCode],"ICU")),"")</f>
        <v/>
      </c>
      <c r="F256" s="29" t="str">
        <f>IFERROR(IF(SUMIFS(tblDaily[TransfersIn],tblDaily[EntryDate],DATE(2026,7,16),tblDaily[WardCode],"ICU")=0,"",SUMIFS(tblDaily[TransfersIn],tblDaily[EntryDate],DATE(2026,7,16),tblDaily[WardCode],"ICU")),"")</f>
        <v/>
      </c>
      <c r="G256" s="29" t="str">
        <f>IFERROR(IF(SUMIFS(tblDaily[TransfersOut],tblDaily[EntryDate],DATE(2026,7,16),tblDaily[WardCode],"ICU")=0,"",SUMIFS(tblDaily[TransfersOut],tblDaily[EntryDate],DATE(2026,7,16),tblDaily[WardCode],"ICU")),"")</f>
        <v/>
      </c>
      <c r="H256" s="29" t="str">
        <f>IFERROR(IF(SUMIFS(tblDaily[Remaining],tblDaily[EntryDate],DATE(2026,7,16),tblDaily[WardCode],"ICU")=0,"",SUMIFS(tblDaily[Remaining],tblDaily[EntryDate],DATE(2026,7,16),tblDaily[WardCode],"ICU")),"")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IFERROR(IF(SUMIFS(tblDaily[Admissions],tblDaily[EntryDate],DATE(2026,7,17),tblDaily[WardCode],"ICU")=0,"",SUMIFS(tblDaily[Admissions],tblDaily[EntryDate],DATE(2026,7,17),tblDaily[WardCode],"ICU")),"")</f>
        <v/>
      </c>
      <c r="C257" s="29" t="str">
        <f>IFERROR(IF(SUMIFS(tblDaily[Discharges],tblDaily[EntryDate],DATE(2026,7,17),tblDaily[WardCode],"ICU")=0,"",SUMIFS(tblDaily[Discharges],tblDaily[EntryDate],DATE(2026,7,17),tblDaily[WardCode],"ICU")),"")</f>
        <v/>
      </c>
      <c r="D257" s="29" t="str">
        <f>IFERROR(IF(SUMIFS(tblDaily[Deaths],tblDaily[EntryDate],DATE(2026,7,17),tblDaily[WardCode],"ICU")=0,"",SUMIFS(tblDaily[Deaths],tblDaily[EntryDate],DATE(2026,7,17),tblDaily[WardCode],"ICU")),"")</f>
        <v/>
      </c>
      <c r="E257" s="29" t="str">
        <f>IFERROR(IF(SUMIFS(tblDaily[DeathsUnder24Hrs],tblDaily[EntryDate],DATE(2026,7,17),tblDaily[WardCode],"ICU")=0,"",SUMIFS(tblDaily[DeathsUnder24Hrs],tblDaily[EntryDate],DATE(2026,7,17),tblDaily[WardCode],"ICU")),"")</f>
        <v/>
      </c>
      <c r="F257" s="29" t="str">
        <f>IFERROR(IF(SUMIFS(tblDaily[TransfersIn],tblDaily[EntryDate],DATE(2026,7,17),tblDaily[WardCode],"ICU")=0,"",SUMIFS(tblDaily[TransfersIn],tblDaily[EntryDate],DATE(2026,7,17),tblDaily[WardCode],"ICU")),"")</f>
        <v/>
      </c>
      <c r="G257" s="29" t="str">
        <f>IFERROR(IF(SUMIFS(tblDaily[TransfersOut],tblDaily[EntryDate],DATE(2026,7,17),tblDaily[WardCode],"ICU")=0,"",SUMIFS(tblDaily[TransfersOut],tblDaily[EntryDate],DATE(2026,7,17),tblDaily[WardCode],"ICU")),"")</f>
        <v/>
      </c>
      <c r="H257" s="29" t="str">
        <f>IFERROR(IF(SUMIFS(tblDaily[Remaining],tblDaily[EntryDate],DATE(2026,7,17),tblDaily[WardCode],"ICU")=0,"",SUMIFS(tblDaily[Remaining],tblDaily[EntryDate],DATE(2026,7,17),tblDaily[WardCode],"ICU")),"")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IFERROR(IF(SUMIFS(tblDaily[Admissions],tblDaily[EntryDate],DATE(2026,7,18),tblDaily[WardCode],"ICU")=0,"",SUMIFS(tblDaily[Admissions],tblDaily[EntryDate],DATE(2026,7,18),tblDaily[WardCode],"ICU")),"")</f>
        <v/>
      </c>
      <c r="C258" s="29" t="str">
        <f>IFERROR(IF(SUMIFS(tblDaily[Discharges],tblDaily[EntryDate],DATE(2026,7,18),tblDaily[WardCode],"ICU")=0,"",SUMIFS(tblDaily[Discharges],tblDaily[EntryDate],DATE(2026,7,18),tblDaily[WardCode],"ICU")),"")</f>
        <v/>
      </c>
      <c r="D258" s="29" t="str">
        <f>IFERROR(IF(SUMIFS(tblDaily[Deaths],tblDaily[EntryDate],DATE(2026,7,18),tblDaily[WardCode],"ICU")=0,"",SUMIFS(tblDaily[Deaths],tblDaily[EntryDate],DATE(2026,7,18),tblDaily[WardCode],"ICU")),"")</f>
        <v/>
      </c>
      <c r="E258" s="29" t="str">
        <f>IFERROR(IF(SUMIFS(tblDaily[DeathsUnder24Hrs],tblDaily[EntryDate],DATE(2026,7,18),tblDaily[WardCode],"ICU")=0,"",SUMIFS(tblDaily[DeathsUnder24Hrs],tblDaily[EntryDate],DATE(2026,7,18),tblDaily[WardCode],"ICU")),"")</f>
        <v/>
      </c>
      <c r="F258" s="29" t="str">
        <f>IFERROR(IF(SUMIFS(tblDaily[TransfersIn],tblDaily[EntryDate],DATE(2026,7,18),tblDaily[WardCode],"ICU")=0,"",SUMIFS(tblDaily[TransfersIn],tblDaily[EntryDate],DATE(2026,7,18),tblDaily[WardCode],"ICU")),"")</f>
        <v/>
      </c>
      <c r="G258" s="29" t="str">
        <f>IFERROR(IF(SUMIFS(tblDaily[TransfersOut],tblDaily[EntryDate],DATE(2026,7,18),tblDaily[WardCode],"ICU")=0,"",SUMIFS(tblDaily[TransfersOut],tblDaily[EntryDate],DATE(2026,7,18),tblDaily[WardCode],"ICU")),"")</f>
        <v/>
      </c>
      <c r="H258" s="29" t="str">
        <f>IFERROR(IF(SUMIFS(tblDaily[Remaining],tblDaily[EntryDate],DATE(2026,7,18),tblDaily[WardCode],"ICU")=0,"",SUMIFS(tblDaily[Remaining],tblDaily[EntryDate],DATE(2026,7,18),tblDaily[WardCode],"ICU")),"")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IFERROR(IF(SUMIFS(tblDaily[Admissions],tblDaily[EntryDate],DATE(2026,7,19),tblDaily[WardCode],"ICU")=0,"",SUMIFS(tblDaily[Admissions],tblDaily[EntryDate],DATE(2026,7,19),tblDaily[WardCode],"ICU")),"")</f>
        <v/>
      </c>
      <c r="C259" s="29" t="str">
        <f>IFERROR(IF(SUMIFS(tblDaily[Discharges],tblDaily[EntryDate],DATE(2026,7,19),tblDaily[WardCode],"ICU")=0,"",SUMIFS(tblDaily[Discharges],tblDaily[EntryDate],DATE(2026,7,19),tblDaily[WardCode],"ICU")),"")</f>
        <v/>
      </c>
      <c r="D259" s="29" t="str">
        <f>IFERROR(IF(SUMIFS(tblDaily[Deaths],tblDaily[EntryDate],DATE(2026,7,19),tblDaily[WardCode],"ICU")=0,"",SUMIFS(tblDaily[Deaths],tblDaily[EntryDate],DATE(2026,7,19),tblDaily[WardCode],"ICU")),"")</f>
        <v/>
      </c>
      <c r="E259" s="29" t="str">
        <f>IFERROR(IF(SUMIFS(tblDaily[DeathsUnder24Hrs],tblDaily[EntryDate],DATE(2026,7,19),tblDaily[WardCode],"ICU")=0,"",SUMIFS(tblDaily[DeathsUnder24Hrs],tblDaily[EntryDate],DATE(2026,7,19),tblDaily[WardCode],"ICU")),"")</f>
        <v/>
      </c>
      <c r="F259" s="29" t="str">
        <f>IFERROR(IF(SUMIFS(tblDaily[TransfersIn],tblDaily[EntryDate],DATE(2026,7,19),tblDaily[WardCode],"ICU")=0,"",SUMIFS(tblDaily[TransfersIn],tblDaily[EntryDate],DATE(2026,7,19),tblDaily[WardCode],"ICU")),"")</f>
        <v/>
      </c>
      <c r="G259" s="29" t="str">
        <f>IFERROR(IF(SUMIFS(tblDaily[TransfersOut],tblDaily[EntryDate],DATE(2026,7,19),tblDaily[WardCode],"ICU")=0,"",SUMIFS(tblDaily[TransfersOut],tblDaily[EntryDate],DATE(2026,7,19),tblDaily[WardCode],"ICU")),"")</f>
        <v/>
      </c>
      <c r="H259" s="29" t="str">
        <f>IFERROR(IF(SUMIFS(tblDaily[Remaining],tblDaily[EntryDate],DATE(2026,7,19),tblDaily[WardCode],"ICU")=0,"",SUMIFS(tblDaily[Remaining],tblDaily[EntryDate],DATE(2026,7,19),tblDaily[WardCode],"ICU")),"")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IFERROR(IF(SUMIFS(tblDaily[Admissions],tblDaily[EntryDate],DATE(2026,7,20),tblDaily[WardCode],"ICU")=0,"",SUMIFS(tblDaily[Admissions],tblDaily[EntryDate],DATE(2026,7,20),tblDaily[WardCode],"ICU")),"")</f>
        <v/>
      </c>
      <c r="C260" s="29" t="str">
        <f>IFERROR(IF(SUMIFS(tblDaily[Discharges],tblDaily[EntryDate],DATE(2026,7,20),tblDaily[WardCode],"ICU")=0,"",SUMIFS(tblDaily[Discharges],tblDaily[EntryDate],DATE(2026,7,20),tblDaily[WardCode],"ICU")),"")</f>
        <v/>
      </c>
      <c r="D260" s="29" t="str">
        <f>IFERROR(IF(SUMIFS(tblDaily[Deaths],tblDaily[EntryDate],DATE(2026,7,20),tblDaily[WardCode],"ICU")=0,"",SUMIFS(tblDaily[Deaths],tblDaily[EntryDate],DATE(2026,7,20),tblDaily[WardCode],"ICU")),"")</f>
        <v/>
      </c>
      <c r="E260" s="29" t="str">
        <f>IFERROR(IF(SUMIFS(tblDaily[DeathsUnder24Hrs],tblDaily[EntryDate],DATE(2026,7,20),tblDaily[WardCode],"ICU")=0,"",SUMIFS(tblDaily[DeathsUnder24Hrs],tblDaily[EntryDate],DATE(2026,7,20),tblDaily[WardCode],"ICU")),"")</f>
        <v/>
      </c>
      <c r="F260" s="29" t="str">
        <f>IFERROR(IF(SUMIFS(tblDaily[TransfersIn],tblDaily[EntryDate],DATE(2026,7,20),tblDaily[WardCode],"ICU")=0,"",SUMIFS(tblDaily[TransfersIn],tblDaily[EntryDate],DATE(2026,7,20),tblDaily[WardCode],"ICU")),"")</f>
        <v/>
      </c>
      <c r="G260" s="29" t="str">
        <f>IFERROR(IF(SUMIFS(tblDaily[TransfersOut],tblDaily[EntryDate],DATE(2026,7,20),tblDaily[WardCode],"ICU")=0,"",SUMIFS(tblDaily[TransfersOut],tblDaily[EntryDate],DATE(2026,7,20),tblDaily[WardCode],"ICU")),"")</f>
        <v/>
      </c>
      <c r="H260" s="29" t="str">
        <f>IFERROR(IF(SUMIFS(tblDaily[Remaining],tblDaily[EntryDate],DATE(2026,7,20),tblDaily[WardCode],"ICU")=0,"",SUMIFS(tblDaily[Remaining],tblDaily[EntryDate],DATE(2026,7,20),tblDaily[WardCode],"ICU")),"")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IFERROR(IF(SUMIFS(tblDaily[Admissions],tblDaily[EntryDate],DATE(2026,7,21),tblDaily[WardCode],"ICU")=0,"",SUMIFS(tblDaily[Admissions],tblDaily[EntryDate],DATE(2026,7,21),tblDaily[WardCode],"ICU")),"")</f>
        <v/>
      </c>
      <c r="C261" s="29" t="str">
        <f>IFERROR(IF(SUMIFS(tblDaily[Discharges],tblDaily[EntryDate],DATE(2026,7,21),tblDaily[WardCode],"ICU")=0,"",SUMIFS(tblDaily[Discharges],tblDaily[EntryDate],DATE(2026,7,21),tblDaily[WardCode],"ICU")),"")</f>
        <v/>
      </c>
      <c r="D261" s="29" t="str">
        <f>IFERROR(IF(SUMIFS(tblDaily[Deaths],tblDaily[EntryDate],DATE(2026,7,21),tblDaily[WardCode],"ICU")=0,"",SUMIFS(tblDaily[Deaths],tblDaily[EntryDate],DATE(2026,7,21),tblDaily[WardCode],"ICU")),"")</f>
        <v/>
      </c>
      <c r="E261" s="29" t="str">
        <f>IFERROR(IF(SUMIFS(tblDaily[DeathsUnder24Hrs],tblDaily[EntryDate],DATE(2026,7,21),tblDaily[WardCode],"ICU")=0,"",SUMIFS(tblDaily[DeathsUnder24Hrs],tblDaily[EntryDate],DATE(2026,7,21),tblDaily[WardCode],"ICU")),"")</f>
        <v/>
      </c>
      <c r="F261" s="29" t="str">
        <f>IFERROR(IF(SUMIFS(tblDaily[TransfersIn],tblDaily[EntryDate],DATE(2026,7,21),tblDaily[WardCode],"ICU")=0,"",SUMIFS(tblDaily[TransfersIn],tblDaily[EntryDate],DATE(2026,7,21),tblDaily[WardCode],"ICU")),"")</f>
        <v/>
      </c>
      <c r="G261" s="29" t="str">
        <f>IFERROR(IF(SUMIFS(tblDaily[TransfersOut],tblDaily[EntryDate],DATE(2026,7,21),tblDaily[WardCode],"ICU")=0,"",SUMIFS(tblDaily[TransfersOut],tblDaily[EntryDate],DATE(2026,7,21),tblDaily[WardCode],"ICU")),"")</f>
        <v/>
      </c>
      <c r="H261" s="29" t="str">
        <f>IFERROR(IF(SUMIFS(tblDaily[Remaining],tblDaily[EntryDate],DATE(2026,7,21),tblDaily[WardCode],"ICU")=0,"",SUMIFS(tblDaily[Remaining],tblDaily[EntryDate],DATE(2026,7,21),tblDaily[WardCode],"ICU")),"")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IFERROR(IF(SUMIFS(tblDaily[Admissions],tblDaily[EntryDate],DATE(2026,7,22),tblDaily[WardCode],"ICU")=0,"",SUMIFS(tblDaily[Admissions],tblDaily[EntryDate],DATE(2026,7,22),tblDaily[WardCode],"ICU")),"")</f>
        <v/>
      </c>
      <c r="C262" s="29" t="str">
        <f>IFERROR(IF(SUMIFS(tblDaily[Discharges],tblDaily[EntryDate],DATE(2026,7,22),tblDaily[WardCode],"ICU")=0,"",SUMIFS(tblDaily[Discharges],tblDaily[EntryDate],DATE(2026,7,22),tblDaily[WardCode],"ICU")),"")</f>
        <v/>
      </c>
      <c r="D262" s="29" t="str">
        <f>IFERROR(IF(SUMIFS(tblDaily[Deaths],tblDaily[EntryDate],DATE(2026,7,22),tblDaily[WardCode],"ICU")=0,"",SUMIFS(tblDaily[Deaths],tblDaily[EntryDate],DATE(2026,7,22),tblDaily[WardCode],"ICU")),"")</f>
        <v/>
      </c>
      <c r="E262" s="29" t="str">
        <f>IFERROR(IF(SUMIFS(tblDaily[DeathsUnder24Hrs],tblDaily[EntryDate],DATE(2026,7,22),tblDaily[WardCode],"ICU")=0,"",SUMIFS(tblDaily[DeathsUnder24Hrs],tblDaily[EntryDate],DATE(2026,7,22),tblDaily[WardCode],"ICU")),"")</f>
        <v/>
      </c>
      <c r="F262" s="29" t="str">
        <f>IFERROR(IF(SUMIFS(tblDaily[TransfersIn],tblDaily[EntryDate],DATE(2026,7,22),tblDaily[WardCode],"ICU")=0,"",SUMIFS(tblDaily[TransfersIn],tblDaily[EntryDate],DATE(2026,7,22),tblDaily[WardCode],"ICU")),"")</f>
        <v/>
      </c>
      <c r="G262" s="29" t="str">
        <f>IFERROR(IF(SUMIFS(tblDaily[TransfersOut],tblDaily[EntryDate],DATE(2026,7,22),tblDaily[WardCode],"ICU")=0,"",SUMIFS(tblDaily[TransfersOut],tblDaily[EntryDate],DATE(2026,7,22),tblDaily[WardCode],"ICU")),"")</f>
        <v/>
      </c>
      <c r="H262" s="29" t="str">
        <f>IFERROR(IF(SUMIFS(tblDaily[Remaining],tblDaily[EntryDate],DATE(2026,7,22),tblDaily[WardCode],"ICU")=0,"",SUMIFS(tblDaily[Remaining],tblDaily[EntryDate],DATE(2026,7,22),tblDaily[WardCode],"ICU")),"")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IFERROR(IF(SUMIFS(tblDaily[Admissions],tblDaily[EntryDate],DATE(2026,7,23),tblDaily[WardCode],"ICU")=0,"",SUMIFS(tblDaily[Admissions],tblDaily[EntryDate],DATE(2026,7,23),tblDaily[WardCode],"ICU")),"")</f>
        <v/>
      </c>
      <c r="C263" s="29" t="str">
        <f>IFERROR(IF(SUMIFS(tblDaily[Discharges],tblDaily[EntryDate],DATE(2026,7,23),tblDaily[WardCode],"ICU")=0,"",SUMIFS(tblDaily[Discharges],tblDaily[EntryDate],DATE(2026,7,23),tblDaily[WardCode],"ICU")),"")</f>
        <v/>
      </c>
      <c r="D263" s="29" t="str">
        <f>IFERROR(IF(SUMIFS(tblDaily[Deaths],tblDaily[EntryDate],DATE(2026,7,23),tblDaily[WardCode],"ICU")=0,"",SUMIFS(tblDaily[Deaths],tblDaily[EntryDate],DATE(2026,7,23),tblDaily[WardCode],"ICU")),"")</f>
        <v/>
      </c>
      <c r="E263" s="29" t="str">
        <f>IFERROR(IF(SUMIFS(tblDaily[DeathsUnder24Hrs],tblDaily[EntryDate],DATE(2026,7,23),tblDaily[WardCode],"ICU")=0,"",SUMIFS(tblDaily[DeathsUnder24Hrs],tblDaily[EntryDate],DATE(2026,7,23),tblDaily[WardCode],"ICU")),"")</f>
        <v/>
      </c>
      <c r="F263" s="29" t="str">
        <f>IFERROR(IF(SUMIFS(tblDaily[TransfersIn],tblDaily[EntryDate],DATE(2026,7,23),tblDaily[WardCode],"ICU")=0,"",SUMIFS(tblDaily[TransfersIn],tblDaily[EntryDate],DATE(2026,7,23),tblDaily[WardCode],"ICU")),"")</f>
        <v/>
      </c>
      <c r="G263" s="29" t="str">
        <f>IFERROR(IF(SUMIFS(tblDaily[TransfersOut],tblDaily[EntryDate],DATE(2026,7,23),tblDaily[WardCode],"ICU")=0,"",SUMIFS(tblDaily[TransfersOut],tblDaily[EntryDate],DATE(2026,7,23),tblDaily[WardCode],"ICU")),"")</f>
        <v/>
      </c>
      <c r="H263" s="29" t="str">
        <f>IFERROR(IF(SUMIFS(tblDaily[Remaining],tblDaily[EntryDate],DATE(2026,7,23),tblDaily[WardCode],"ICU")=0,"",SUMIFS(tblDaily[Remaining],tblDaily[EntryDate],DATE(2026,7,23),tblDaily[WardCode],"ICU")),"")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IFERROR(IF(SUMIFS(tblDaily[Admissions],tblDaily[EntryDate],DATE(2026,7,24),tblDaily[WardCode],"ICU")=0,"",SUMIFS(tblDaily[Admissions],tblDaily[EntryDate],DATE(2026,7,24),tblDaily[WardCode],"ICU")),"")</f>
        <v/>
      </c>
      <c r="C264" s="29" t="str">
        <f>IFERROR(IF(SUMIFS(tblDaily[Discharges],tblDaily[EntryDate],DATE(2026,7,24),tblDaily[WardCode],"ICU")=0,"",SUMIFS(tblDaily[Discharges],tblDaily[EntryDate],DATE(2026,7,24),tblDaily[WardCode],"ICU")),"")</f>
        <v/>
      </c>
      <c r="D264" s="29" t="str">
        <f>IFERROR(IF(SUMIFS(tblDaily[Deaths],tblDaily[EntryDate],DATE(2026,7,24),tblDaily[WardCode],"ICU")=0,"",SUMIFS(tblDaily[Deaths],tblDaily[EntryDate],DATE(2026,7,24),tblDaily[WardCode],"ICU")),"")</f>
        <v/>
      </c>
      <c r="E264" s="29" t="str">
        <f>IFERROR(IF(SUMIFS(tblDaily[DeathsUnder24Hrs],tblDaily[EntryDate],DATE(2026,7,24),tblDaily[WardCode],"ICU")=0,"",SUMIFS(tblDaily[DeathsUnder24Hrs],tblDaily[EntryDate],DATE(2026,7,24),tblDaily[WardCode],"ICU")),"")</f>
        <v/>
      </c>
      <c r="F264" s="29" t="str">
        <f>IFERROR(IF(SUMIFS(tblDaily[TransfersIn],tblDaily[EntryDate],DATE(2026,7,24),tblDaily[WardCode],"ICU")=0,"",SUMIFS(tblDaily[TransfersIn],tblDaily[EntryDate],DATE(2026,7,24),tblDaily[WardCode],"ICU")),"")</f>
        <v/>
      </c>
      <c r="G264" s="29" t="str">
        <f>IFERROR(IF(SUMIFS(tblDaily[TransfersOut],tblDaily[EntryDate],DATE(2026,7,24),tblDaily[WardCode],"ICU")=0,"",SUMIFS(tblDaily[TransfersOut],tblDaily[EntryDate],DATE(2026,7,24),tblDaily[WardCode],"ICU")),"")</f>
        <v/>
      </c>
      <c r="H264" s="29" t="str">
        <f>IFERROR(IF(SUMIFS(tblDaily[Remaining],tblDaily[EntryDate],DATE(2026,7,24),tblDaily[WardCode],"ICU")=0,"",SUMIFS(tblDaily[Remaining],tblDaily[EntryDate],DATE(2026,7,24),tblDaily[WardCode],"ICU")),"")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IFERROR(IF(SUMIFS(tblDaily[Admissions],tblDaily[EntryDate],DATE(2026,7,25),tblDaily[WardCode],"ICU")=0,"",SUMIFS(tblDaily[Admissions],tblDaily[EntryDate],DATE(2026,7,25),tblDaily[WardCode],"ICU")),"")</f>
        <v/>
      </c>
      <c r="C265" s="29" t="str">
        <f>IFERROR(IF(SUMIFS(tblDaily[Discharges],tblDaily[EntryDate],DATE(2026,7,25),tblDaily[WardCode],"ICU")=0,"",SUMIFS(tblDaily[Discharges],tblDaily[EntryDate],DATE(2026,7,25),tblDaily[WardCode],"ICU")),"")</f>
        <v/>
      </c>
      <c r="D265" s="29" t="str">
        <f>IFERROR(IF(SUMIFS(tblDaily[Deaths],tblDaily[EntryDate],DATE(2026,7,25),tblDaily[WardCode],"ICU")=0,"",SUMIFS(tblDaily[Deaths],tblDaily[EntryDate],DATE(2026,7,25),tblDaily[WardCode],"ICU")),"")</f>
        <v/>
      </c>
      <c r="E265" s="29" t="str">
        <f>IFERROR(IF(SUMIFS(tblDaily[DeathsUnder24Hrs],tblDaily[EntryDate],DATE(2026,7,25),tblDaily[WardCode],"ICU")=0,"",SUMIFS(tblDaily[DeathsUnder24Hrs],tblDaily[EntryDate],DATE(2026,7,25),tblDaily[WardCode],"ICU")),"")</f>
        <v/>
      </c>
      <c r="F265" s="29" t="str">
        <f>IFERROR(IF(SUMIFS(tblDaily[TransfersIn],tblDaily[EntryDate],DATE(2026,7,25),tblDaily[WardCode],"ICU")=0,"",SUMIFS(tblDaily[TransfersIn],tblDaily[EntryDate],DATE(2026,7,25),tblDaily[WardCode],"ICU")),"")</f>
        <v/>
      </c>
      <c r="G265" s="29" t="str">
        <f>IFERROR(IF(SUMIFS(tblDaily[TransfersOut],tblDaily[EntryDate],DATE(2026,7,25),tblDaily[WardCode],"ICU")=0,"",SUMIFS(tblDaily[TransfersOut],tblDaily[EntryDate],DATE(2026,7,25),tblDaily[WardCode],"ICU")),"")</f>
        <v/>
      </c>
      <c r="H265" s="29" t="str">
        <f>IFERROR(IF(SUMIFS(tblDaily[Remaining],tblDaily[EntryDate],DATE(2026,7,25),tblDaily[WardCode],"ICU")=0,"",SUMIFS(tblDaily[Remaining],tblDaily[EntryDate],DATE(2026,7,25),tblDaily[WardCode],"ICU")),"")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IFERROR(IF(SUMIFS(tblDaily[Admissions],tblDaily[EntryDate],DATE(2026,7,26),tblDaily[WardCode],"ICU")=0,"",SUMIFS(tblDaily[Admissions],tblDaily[EntryDate],DATE(2026,7,26),tblDaily[WardCode],"ICU")),"")</f>
        <v/>
      </c>
      <c r="C266" s="29" t="str">
        <f>IFERROR(IF(SUMIFS(tblDaily[Discharges],tblDaily[EntryDate],DATE(2026,7,26),tblDaily[WardCode],"ICU")=0,"",SUMIFS(tblDaily[Discharges],tblDaily[EntryDate],DATE(2026,7,26),tblDaily[WardCode],"ICU")),"")</f>
        <v/>
      </c>
      <c r="D266" s="29" t="str">
        <f>IFERROR(IF(SUMIFS(tblDaily[Deaths],tblDaily[EntryDate],DATE(2026,7,26),tblDaily[WardCode],"ICU")=0,"",SUMIFS(tblDaily[Deaths],tblDaily[EntryDate],DATE(2026,7,26),tblDaily[WardCode],"ICU")),"")</f>
        <v/>
      </c>
      <c r="E266" s="29" t="str">
        <f>IFERROR(IF(SUMIFS(tblDaily[DeathsUnder24Hrs],tblDaily[EntryDate],DATE(2026,7,26),tblDaily[WardCode],"ICU")=0,"",SUMIFS(tblDaily[DeathsUnder24Hrs],tblDaily[EntryDate],DATE(2026,7,26),tblDaily[WardCode],"ICU")),"")</f>
        <v/>
      </c>
      <c r="F266" s="29" t="str">
        <f>IFERROR(IF(SUMIFS(tblDaily[TransfersIn],tblDaily[EntryDate],DATE(2026,7,26),tblDaily[WardCode],"ICU")=0,"",SUMIFS(tblDaily[TransfersIn],tblDaily[EntryDate],DATE(2026,7,26),tblDaily[WardCode],"ICU")),"")</f>
        <v/>
      </c>
      <c r="G266" s="29" t="str">
        <f>IFERROR(IF(SUMIFS(tblDaily[TransfersOut],tblDaily[EntryDate],DATE(2026,7,26),tblDaily[WardCode],"ICU")=0,"",SUMIFS(tblDaily[TransfersOut],tblDaily[EntryDate],DATE(2026,7,26),tblDaily[WardCode],"ICU")),"")</f>
        <v/>
      </c>
      <c r="H266" s="29" t="str">
        <f>IFERROR(IF(SUMIFS(tblDaily[Remaining],tblDaily[EntryDate],DATE(2026,7,26),tblDaily[WardCode],"ICU")=0,"",SUMIFS(tblDaily[Remaining],tblDaily[EntryDate],DATE(2026,7,26),tblDaily[WardCode],"ICU")),"")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IFERROR(IF(SUMIFS(tblDaily[Admissions],tblDaily[EntryDate],DATE(2026,7,27),tblDaily[WardCode],"ICU")=0,"",SUMIFS(tblDaily[Admissions],tblDaily[EntryDate],DATE(2026,7,27),tblDaily[WardCode],"ICU")),"")</f>
        <v/>
      </c>
      <c r="C267" s="29" t="str">
        <f>IFERROR(IF(SUMIFS(tblDaily[Discharges],tblDaily[EntryDate],DATE(2026,7,27),tblDaily[WardCode],"ICU")=0,"",SUMIFS(tblDaily[Discharges],tblDaily[EntryDate],DATE(2026,7,27),tblDaily[WardCode],"ICU")),"")</f>
        <v/>
      </c>
      <c r="D267" s="29" t="str">
        <f>IFERROR(IF(SUMIFS(tblDaily[Deaths],tblDaily[EntryDate],DATE(2026,7,27),tblDaily[WardCode],"ICU")=0,"",SUMIFS(tblDaily[Deaths],tblDaily[EntryDate],DATE(2026,7,27),tblDaily[WardCode],"ICU")),"")</f>
        <v/>
      </c>
      <c r="E267" s="29" t="str">
        <f>IFERROR(IF(SUMIFS(tblDaily[DeathsUnder24Hrs],tblDaily[EntryDate],DATE(2026,7,27),tblDaily[WardCode],"ICU")=0,"",SUMIFS(tblDaily[DeathsUnder24Hrs],tblDaily[EntryDate],DATE(2026,7,27),tblDaily[WardCode],"ICU")),"")</f>
        <v/>
      </c>
      <c r="F267" s="29" t="str">
        <f>IFERROR(IF(SUMIFS(tblDaily[TransfersIn],tblDaily[EntryDate],DATE(2026,7,27),tblDaily[WardCode],"ICU")=0,"",SUMIFS(tblDaily[TransfersIn],tblDaily[EntryDate],DATE(2026,7,27),tblDaily[WardCode],"ICU")),"")</f>
        <v/>
      </c>
      <c r="G267" s="29" t="str">
        <f>IFERROR(IF(SUMIFS(tblDaily[TransfersOut],tblDaily[EntryDate],DATE(2026,7,27),tblDaily[WardCode],"ICU")=0,"",SUMIFS(tblDaily[TransfersOut],tblDaily[EntryDate],DATE(2026,7,27),tblDaily[WardCode],"ICU")),"")</f>
        <v/>
      </c>
      <c r="H267" s="29" t="str">
        <f>IFERROR(IF(SUMIFS(tblDaily[Remaining],tblDaily[EntryDate],DATE(2026,7,27),tblDaily[WardCode],"ICU")=0,"",SUMIFS(tblDaily[Remaining],tblDaily[EntryDate],DATE(2026,7,27),tblDaily[WardCode],"ICU")),"")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IFERROR(IF(SUMIFS(tblDaily[Admissions],tblDaily[EntryDate],DATE(2026,7,28),tblDaily[WardCode],"ICU")=0,"",SUMIFS(tblDaily[Admissions],tblDaily[EntryDate],DATE(2026,7,28),tblDaily[WardCode],"ICU")),"")</f>
        <v/>
      </c>
      <c r="C268" s="29" t="str">
        <f>IFERROR(IF(SUMIFS(tblDaily[Discharges],tblDaily[EntryDate],DATE(2026,7,28),tblDaily[WardCode],"ICU")=0,"",SUMIFS(tblDaily[Discharges],tblDaily[EntryDate],DATE(2026,7,28),tblDaily[WardCode],"ICU")),"")</f>
        <v/>
      </c>
      <c r="D268" s="29" t="str">
        <f>IFERROR(IF(SUMIFS(tblDaily[Deaths],tblDaily[EntryDate],DATE(2026,7,28),tblDaily[WardCode],"ICU")=0,"",SUMIFS(tblDaily[Deaths],tblDaily[EntryDate],DATE(2026,7,28),tblDaily[WardCode],"ICU")),"")</f>
        <v/>
      </c>
      <c r="E268" s="29" t="str">
        <f>IFERROR(IF(SUMIFS(tblDaily[DeathsUnder24Hrs],tblDaily[EntryDate],DATE(2026,7,28),tblDaily[WardCode],"ICU")=0,"",SUMIFS(tblDaily[DeathsUnder24Hrs],tblDaily[EntryDate],DATE(2026,7,28),tblDaily[WardCode],"ICU")),"")</f>
        <v/>
      </c>
      <c r="F268" s="29" t="str">
        <f>IFERROR(IF(SUMIFS(tblDaily[TransfersIn],tblDaily[EntryDate],DATE(2026,7,28),tblDaily[WardCode],"ICU")=0,"",SUMIFS(tblDaily[TransfersIn],tblDaily[EntryDate],DATE(2026,7,28),tblDaily[WardCode],"ICU")),"")</f>
        <v/>
      </c>
      <c r="G268" s="29" t="str">
        <f>IFERROR(IF(SUMIFS(tblDaily[TransfersOut],tblDaily[EntryDate],DATE(2026,7,28),tblDaily[WardCode],"ICU")=0,"",SUMIFS(tblDaily[TransfersOut],tblDaily[EntryDate],DATE(2026,7,28),tblDaily[WardCode],"ICU")),"")</f>
        <v/>
      </c>
      <c r="H268" s="29" t="str">
        <f>IFERROR(IF(SUMIFS(tblDaily[Remaining],tblDaily[EntryDate],DATE(2026,7,28),tblDaily[WardCode],"ICU")=0,"",SUMIFS(tblDaily[Remaining],tblDaily[EntryDate],DATE(2026,7,28),tblDaily[WardCode],"ICU")),"")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IFERROR(IF(SUMIFS(tblDaily[Admissions],tblDaily[EntryDate],DATE(2026,7,29),tblDaily[WardCode],"ICU")=0,"",SUMIFS(tblDaily[Admissions],tblDaily[EntryDate],DATE(2026,7,29),tblDaily[WardCode],"ICU")),"")</f>
        <v/>
      </c>
      <c r="C269" s="29" t="str">
        <f>IFERROR(IF(SUMIFS(tblDaily[Discharges],tblDaily[EntryDate],DATE(2026,7,29),tblDaily[WardCode],"ICU")=0,"",SUMIFS(tblDaily[Discharges],tblDaily[EntryDate],DATE(2026,7,29),tblDaily[WardCode],"ICU")),"")</f>
        <v/>
      </c>
      <c r="D269" s="29" t="str">
        <f>IFERROR(IF(SUMIFS(tblDaily[Deaths],tblDaily[EntryDate],DATE(2026,7,29),tblDaily[WardCode],"ICU")=0,"",SUMIFS(tblDaily[Deaths],tblDaily[EntryDate],DATE(2026,7,29),tblDaily[WardCode],"ICU")),"")</f>
        <v/>
      </c>
      <c r="E269" s="29" t="str">
        <f>IFERROR(IF(SUMIFS(tblDaily[DeathsUnder24Hrs],tblDaily[EntryDate],DATE(2026,7,29),tblDaily[WardCode],"ICU")=0,"",SUMIFS(tblDaily[DeathsUnder24Hrs],tblDaily[EntryDate],DATE(2026,7,29),tblDaily[WardCode],"ICU")),"")</f>
        <v/>
      </c>
      <c r="F269" s="29" t="str">
        <f>IFERROR(IF(SUMIFS(tblDaily[TransfersIn],tblDaily[EntryDate],DATE(2026,7,29),tblDaily[WardCode],"ICU")=0,"",SUMIFS(tblDaily[TransfersIn],tblDaily[EntryDate],DATE(2026,7,29),tblDaily[WardCode],"ICU")),"")</f>
        <v/>
      </c>
      <c r="G269" s="29" t="str">
        <f>IFERROR(IF(SUMIFS(tblDaily[TransfersOut],tblDaily[EntryDate],DATE(2026,7,29),tblDaily[WardCode],"ICU")=0,"",SUMIFS(tblDaily[TransfersOut],tblDaily[EntryDate],DATE(2026,7,29),tblDaily[WardCode],"ICU")),"")</f>
        <v/>
      </c>
      <c r="H269" s="29" t="str">
        <f>IFERROR(IF(SUMIFS(tblDaily[Remaining],tblDaily[EntryDate],DATE(2026,7,29),tblDaily[WardCode],"ICU")=0,"",SUMIFS(tblDaily[Remaining],tblDaily[EntryDate],DATE(2026,7,29),tblDaily[WardCode],"ICU")),"")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IFERROR(IF(SUMIFS(tblDaily[Admissions],tblDaily[EntryDate],DATE(2026,7,30),tblDaily[WardCode],"ICU")=0,"",SUMIFS(tblDaily[Admissions],tblDaily[EntryDate],DATE(2026,7,30),tblDaily[WardCode],"ICU")),"")</f>
        <v/>
      </c>
      <c r="C270" s="29" t="str">
        <f>IFERROR(IF(SUMIFS(tblDaily[Discharges],tblDaily[EntryDate],DATE(2026,7,30),tblDaily[WardCode],"ICU")=0,"",SUMIFS(tblDaily[Discharges],tblDaily[EntryDate],DATE(2026,7,30),tblDaily[WardCode],"ICU")),"")</f>
        <v/>
      </c>
      <c r="D270" s="29" t="str">
        <f>IFERROR(IF(SUMIFS(tblDaily[Deaths],tblDaily[EntryDate],DATE(2026,7,30),tblDaily[WardCode],"ICU")=0,"",SUMIFS(tblDaily[Deaths],tblDaily[EntryDate],DATE(2026,7,30),tblDaily[WardCode],"ICU")),"")</f>
        <v/>
      </c>
      <c r="E270" s="29" t="str">
        <f>IFERROR(IF(SUMIFS(tblDaily[DeathsUnder24Hrs],tblDaily[EntryDate],DATE(2026,7,30),tblDaily[WardCode],"ICU")=0,"",SUMIFS(tblDaily[DeathsUnder24Hrs],tblDaily[EntryDate],DATE(2026,7,30),tblDaily[WardCode],"ICU")),"")</f>
        <v/>
      </c>
      <c r="F270" s="29" t="str">
        <f>IFERROR(IF(SUMIFS(tblDaily[TransfersIn],tblDaily[EntryDate],DATE(2026,7,30),tblDaily[WardCode],"ICU")=0,"",SUMIFS(tblDaily[TransfersIn],tblDaily[EntryDate],DATE(2026,7,30),tblDaily[WardCode],"ICU")),"")</f>
        <v/>
      </c>
      <c r="G270" s="29" t="str">
        <f>IFERROR(IF(SUMIFS(tblDaily[TransfersOut],tblDaily[EntryDate],DATE(2026,7,30),tblDaily[WardCode],"ICU")=0,"",SUMIFS(tblDaily[TransfersOut],tblDaily[EntryDate],DATE(2026,7,30),tblDaily[WardCode],"ICU")),"")</f>
        <v/>
      </c>
      <c r="H270" s="29" t="str">
        <f>IFERROR(IF(SUMIFS(tblDaily[Remaining],tblDaily[EntryDate],DATE(2026,7,30),tblDaily[WardCode],"ICU")=0,"",SUMIFS(tblDaily[Remaining],tblDaily[EntryDate],DATE(2026,7,30),tblDaily[WardCode],"ICU")),"")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IFERROR(IF(SUMIFS(tblDaily[Admissions],tblDaily[EntryDate],DATE(2026,7,31),tblDaily[WardCode],"ICU")=0,"",SUMIFS(tblDaily[Admissions],tblDaily[EntryDate],DATE(2026,7,31),tblDaily[WardCode],"ICU")),"")</f>
        <v/>
      </c>
      <c r="C271" s="29" t="str">
        <f>IFERROR(IF(SUMIFS(tblDaily[Discharges],tblDaily[EntryDate],DATE(2026,7,31),tblDaily[WardCode],"ICU")=0,"",SUMIFS(tblDaily[Discharges],tblDaily[EntryDate],DATE(2026,7,31),tblDaily[WardCode],"ICU")),"")</f>
        <v/>
      </c>
      <c r="D271" s="29" t="str">
        <f>IFERROR(IF(SUMIFS(tblDaily[Deaths],tblDaily[EntryDate],DATE(2026,7,31),tblDaily[WardCode],"ICU")=0,"",SUMIFS(tblDaily[Deaths],tblDaily[EntryDate],DATE(2026,7,31),tblDaily[WardCode],"ICU")),"")</f>
        <v/>
      </c>
      <c r="E271" s="29" t="str">
        <f>IFERROR(IF(SUMIFS(tblDaily[DeathsUnder24Hrs],tblDaily[EntryDate],DATE(2026,7,31),tblDaily[WardCode],"ICU")=0,"",SUMIFS(tblDaily[DeathsUnder24Hrs],tblDaily[EntryDate],DATE(2026,7,31),tblDaily[WardCode],"ICU")),"")</f>
        <v/>
      </c>
      <c r="F271" s="29" t="str">
        <f>IFERROR(IF(SUMIFS(tblDaily[TransfersIn],tblDaily[EntryDate],DATE(2026,7,31),tblDaily[WardCode],"ICU")=0,"",SUMIFS(tblDaily[TransfersIn],tblDaily[EntryDate],DATE(2026,7,31),tblDaily[WardCode],"ICU")),"")</f>
        <v/>
      </c>
      <c r="G271" s="29" t="str">
        <f>IFERROR(IF(SUMIFS(tblDaily[TransfersOut],tblDaily[EntryDate],DATE(2026,7,31),tblDaily[WardCode],"ICU")=0,"",SUMIFS(tblDaily[TransfersOut],tblDaily[EntryDate],DATE(2026,7,31),tblDaily[WardCode],"ICU")),"")</f>
        <v/>
      </c>
      <c r="H271" s="29" t="str">
        <f>IFERROR(IF(SUMIFS(tblDaily[Remaining],tblDaily[EntryDate],DATE(2026,7,31),tblDaily[WardCode],"ICU")=0,"",SUMIFS(tblDaily[Remaining],tblDaily[EntryDate],DATE(2026,7,31),tblDaily[WardCode],"ICU")),"")</f>
        <v/>
      </c>
    </row>
    <row r="272" spans="1:8" x14ac:dyDescent="0.25">
      <c r="A272" s="30" t="s">
        <v>115</v>
      </c>
      <c r="B272" s="30">
        <f>SUMIFS(tblDaily[Admissions],tblDaily[Month],7,tblDaily[WardCode],"ICU") - SUMIFS(tblDaily[DeathsUnder24Hrs],tblDaily[Month],7,tblDaily[WardCode],"ICU")</f>
        <v>0</v>
      </c>
      <c r="C272" s="30">
        <f>SUMIFS(tblDaily[Discharges],tblDaily[Month],7,tblDaily[WardCode],"ICU")</f>
        <v>0</v>
      </c>
      <c r="D272" s="30">
        <f>SUMIFS(tblDaily[Deaths],tblDaily[Month],7,tblDaily[WardCode],"ICU")</f>
        <v>0</v>
      </c>
      <c r="E272" s="30">
        <f>SUMIFS(tblDaily[DeathsUnder24Hrs],tblDaily[Month],7,tblDaily[WardCode],"ICU")</f>
        <v>0</v>
      </c>
      <c r="F272" s="30">
        <f>SUMIFS(tblDaily[TransfersIn],tblDaily[Month],7,tblDaily[WardCode],"ICU")</f>
        <v>0</v>
      </c>
      <c r="G272" s="30">
        <f>SUMIFS(tblDaily[TransfersOut],tblDaily[Month],7,tblDaily[WardCode],"ICU")</f>
        <v>0</v>
      </c>
      <c r="H272" s="30">
        <f>SUMIFS(tblDaily[Remaining],tblDaily[Month],7,tblDaily[WardCode],"ICU")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104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105</v>
      </c>
      <c r="E276" s="25" t="s">
        <v>124</v>
      </c>
      <c r="F276" s="24" t="s">
        <v>107</v>
      </c>
      <c r="G276" s="25" t="s">
        <v>70</v>
      </c>
    </row>
    <row r="277" spans="1:8" x14ac:dyDescent="0.25">
      <c r="A277" s="24" t="s">
        <v>108</v>
      </c>
      <c r="H277" s="26">
        <f>IFERROR(SUMIFS(tblDaily[Remaining],tblDaily[EntryDate],DATE(2026,7,31),tblDaily[WardCode],"ICU"),0)</f>
        <v>0</v>
      </c>
    </row>
    <row r="278" spans="1:8" x14ac:dyDescent="0.25">
      <c r="A278" s="24" t="s">
        <v>109</v>
      </c>
      <c r="H278" s="27">
        <f>IFERROR(INDEX(tblWardConfig[BedComplement],MATCH("ICU",tblWardConfig[WardCode],0)),0)</f>
        <v>4</v>
      </c>
    </row>
    <row r="279" spans="1:8" ht="38.25" x14ac:dyDescent="0.25">
      <c r="A279" s="28" t="s">
        <v>110</v>
      </c>
      <c r="B279" s="28" t="s">
        <v>77</v>
      </c>
      <c r="C279" s="28" t="s">
        <v>78</v>
      </c>
      <c r="D279" s="28" t="s">
        <v>79</v>
      </c>
      <c r="E279" s="28" t="s">
        <v>111</v>
      </c>
      <c r="F279" s="28" t="s">
        <v>112</v>
      </c>
      <c r="G279" s="28" t="s">
        <v>113</v>
      </c>
      <c r="H279" s="28" t="s">
        <v>114</v>
      </c>
    </row>
    <row r="280" spans="1:8" x14ac:dyDescent="0.25">
      <c r="A280" s="29">
        <v>1</v>
      </c>
      <c r="B280" s="29" t="str">
        <f>IFERROR(IF(SUMIFS(tblDaily[Admissions],tblDaily[EntryDate],DATE(2026,8,1),tblDaily[WardCode],"ICU")=0,"",SUMIFS(tblDaily[Admissions],tblDaily[EntryDate],DATE(2026,8,1),tblDaily[WardCode],"ICU")),"")</f>
        <v/>
      </c>
      <c r="C280" s="29" t="str">
        <f>IFERROR(IF(SUMIFS(tblDaily[Discharges],tblDaily[EntryDate],DATE(2026,8,1),tblDaily[WardCode],"ICU")=0,"",SUMIFS(tblDaily[Discharges],tblDaily[EntryDate],DATE(2026,8,1),tblDaily[WardCode],"ICU")),"")</f>
        <v/>
      </c>
      <c r="D280" s="29" t="str">
        <f>IFERROR(IF(SUMIFS(tblDaily[Deaths],tblDaily[EntryDate],DATE(2026,8,1),tblDaily[WardCode],"ICU")=0,"",SUMIFS(tblDaily[Deaths],tblDaily[EntryDate],DATE(2026,8,1),tblDaily[WardCode],"ICU")),"")</f>
        <v/>
      </c>
      <c r="E280" s="29" t="str">
        <f>IFERROR(IF(SUMIFS(tblDaily[DeathsUnder24Hrs],tblDaily[EntryDate],DATE(2026,8,1),tblDaily[WardCode],"ICU")=0,"",SUMIFS(tblDaily[DeathsUnder24Hrs],tblDaily[EntryDate],DATE(2026,8,1),tblDaily[WardCode],"ICU")),"")</f>
        <v/>
      </c>
      <c r="F280" s="29" t="str">
        <f>IFERROR(IF(SUMIFS(tblDaily[TransfersIn],tblDaily[EntryDate],DATE(2026,8,1),tblDaily[WardCode],"ICU")=0,"",SUMIFS(tblDaily[TransfersIn],tblDaily[EntryDate],DATE(2026,8,1),tblDaily[WardCode],"ICU")),"")</f>
        <v/>
      </c>
      <c r="G280" s="29" t="str">
        <f>IFERROR(IF(SUMIFS(tblDaily[TransfersOut],tblDaily[EntryDate],DATE(2026,8,1),tblDaily[WardCode],"ICU")=0,"",SUMIFS(tblDaily[TransfersOut],tblDaily[EntryDate],DATE(2026,8,1),tblDaily[WardCode],"ICU")),"")</f>
        <v/>
      </c>
      <c r="H280" s="29" t="str">
        <f>IFERROR(IF(SUMIFS(tblDaily[Remaining],tblDaily[EntryDate],DATE(2026,8,1),tblDaily[WardCode],"ICU")=0,"",SUMIFS(tblDaily[Remaining],tblDaily[EntryDate],DATE(2026,8,1),tblDaily[WardCode],"ICU")),"")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IFERROR(IF(SUMIFS(tblDaily[Admissions],tblDaily[EntryDate],DATE(2026,8,2),tblDaily[WardCode],"ICU")=0,"",SUMIFS(tblDaily[Admissions],tblDaily[EntryDate],DATE(2026,8,2),tblDaily[WardCode],"ICU")),"")</f>
        <v/>
      </c>
      <c r="C281" s="29" t="str">
        <f>IFERROR(IF(SUMIFS(tblDaily[Discharges],tblDaily[EntryDate],DATE(2026,8,2),tblDaily[WardCode],"ICU")=0,"",SUMIFS(tblDaily[Discharges],tblDaily[EntryDate],DATE(2026,8,2),tblDaily[WardCode],"ICU")),"")</f>
        <v/>
      </c>
      <c r="D281" s="29" t="str">
        <f>IFERROR(IF(SUMIFS(tblDaily[Deaths],tblDaily[EntryDate],DATE(2026,8,2),tblDaily[WardCode],"ICU")=0,"",SUMIFS(tblDaily[Deaths],tblDaily[EntryDate],DATE(2026,8,2),tblDaily[WardCode],"ICU")),"")</f>
        <v/>
      </c>
      <c r="E281" s="29" t="str">
        <f>IFERROR(IF(SUMIFS(tblDaily[DeathsUnder24Hrs],tblDaily[EntryDate],DATE(2026,8,2),tblDaily[WardCode],"ICU")=0,"",SUMIFS(tblDaily[DeathsUnder24Hrs],tblDaily[EntryDate],DATE(2026,8,2),tblDaily[WardCode],"ICU")),"")</f>
        <v/>
      </c>
      <c r="F281" s="29" t="str">
        <f>IFERROR(IF(SUMIFS(tblDaily[TransfersIn],tblDaily[EntryDate],DATE(2026,8,2),tblDaily[WardCode],"ICU")=0,"",SUMIFS(tblDaily[TransfersIn],tblDaily[EntryDate],DATE(2026,8,2),tblDaily[WardCode],"ICU")),"")</f>
        <v/>
      </c>
      <c r="G281" s="29" t="str">
        <f>IFERROR(IF(SUMIFS(tblDaily[TransfersOut],tblDaily[EntryDate],DATE(2026,8,2),tblDaily[WardCode],"ICU")=0,"",SUMIFS(tblDaily[TransfersOut],tblDaily[EntryDate],DATE(2026,8,2),tblDaily[WardCode],"ICU")),"")</f>
        <v/>
      </c>
      <c r="H281" s="29" t="str">
        <f>IFERROR(IF(SUMIFS(tblDaily[Remaining],tblDaily[EntryDate],DATE(2026,8,2),tblDaily[WardCode],"ICU")=0,"",SUMIFS(tblDaily[Remaining],tblDaily[EntryDate],DATE(2026,8,2),tblDaily[WardCode],"ICU")),"")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IFERROR(IF(SUMIFS(tblDaily[Admissions],tblDaily[EntryDate],DATE(2026,8,3),tblDaily[WardCode],"ICU")=0,"",SUMIFS(tblDaily[Admissions],tblDaily[EntryDate],DATE(2026,8,3),tblDaily[WardCode],"ICU")),"")</f>
        <v/>
      </c>
      <c r="C282" s="29" t="str">
        <f>IFERROR(IF(SUMIFS(tblDaily[Discharges],tblDaily[EntryDate],DATE(2026,8,3),tblDaily[WardCode],"ICU")=0,"",SUMIFS(tblDaily[Discharges],tblDaily[EntryDate],DATE(2026,8,3),tblDaily[WardCode],"ICU")),"")</f>
        <v/>
      </c>
      <c r="D282" s="29" t="str">
        <f>IFERROR(IF(SUMIFS(tblDaily[Deaths],tblDaily[EntryDate],DATE(2026,8,3),tblDaily[WardCode],"ICU")=0,"",SUMIFS(tblDaily[Deaths],tblDaily[EntryDate],DATE(2026,8,3),tblDaily[WardCode],"ICU")),"")</f>
        <v/>
      </c>
      <c r="E282" s="29" t="str">
        <f>IFERROR(IF(SUMIFS(tblDaily[DeathsUnder24Hrs],tblDaily[EntryDate],DATE(2026,8,3),tblDaily[WardCode],"ICU")=0,"",SUMIFS(tblDaily[DeathsUnder24Hrs],tblDaily[EntryDate],DATE(2026,8,3),tblDaily[WardCode],"ICU")),"")</f>
        <v/>
      </c>
      <c r="F282" s="29" t="str">
        <f>IFERROR(IF(SUMIFS(tblDaily[TransfersIn],tblDaily[EntryDate],DATE(2026,8,3),tblDaily[WardCode],"ICU")=0,"",SUMIFS(tblDaily[TransfersIn],tblDaily[EntryDate],DATE(2026,8,3),tblDaily[WardCode],"ICU")),"")</f>
        <v/>
      </c>
      <c r="G282" s="29" t="str">
        <f>IFERROR(IF(SUMIFS(tblDaily[TransfersOut],tblDaily[EntryDate],DATE(2026,8,3),tblDaily[WardCode],"ICU")=0,"",SUMIFS(tblDaily[TransfersOut],tblDaily[EntryDate],DATE(2026,8,3),tblDaily[WardCode],"ICU")),"")</f>
        <v/>
      </c>
      <c r="H282" s="29" t="str">
        <f>IFERROR(IF(SUMIFS(tblDaily[Remaining],tblDaily[EntryDate],DATE(2026,8,3),tblDaily[WardCode],"ICU")=0,"",SUMIFS(tblDaily[Remaining],tblDaily[EntryDate],DATE(2026,8,3),tblDaily[WardCode],"ICU")),"")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IFERROR(IF(SUMIFS(tblDaily[Admissions],tblDaily[EntryDate],DATE(2026,8,4),tblDaily[WardCode],"ICU")=0,"",SUMIFS(tblDaily[Admissions],tblDaily[EntryDate],DATE(2026,8,4),tblDaily[WardCode],"ICU")),"")</f>
        <v/>
      </c>
      <c r="C283" s="29" t="str">
        <f>IFERROR(IF(SUMIFS(tblDaily[Discharges],tblDaily[EntryDate],DATE(2026,8,4),tblDaily[WardCode],"ICU")=0,"",SUMIFS(tblDaily[Discharges],tblDaily[EntryDate],DATE(2026,8,4),tblDaily[WardCode],"ICU")),"")</f>
        <v/>
      </c>
      <c r="D283" s="29" t="str">
        <f>IFERROR(IF(SUMIFS(tblDaily[Deaths],tblDaily[EntryDate],DATE(2026,8,4),tblDaily[WardCode],"ICU")=0,"",SUMIFS(tblDaily[Deaths],tblDaily[EntryDate],DATE(2026,8,4),tblDaily[WardCode],"ICU")),"")</f>
        <v/>
      </c>
      <c r="E283" s="29" t="str">
        <f>IFERROR(IF(SUMIFS(tblDaily[DeathsUnder24Hrs],tblDaily[EntryDate],DATE(2026,8,4),tblDaily[WardCode],"ICU")=0,"",SUMIFS(tblDaily[DeathsUnder24Hrs],tblDaily[EntryDate],DATE(2026,8,4),tblDaily[WardCode],"ICU")),"")</f>
        <v/>
      </c>
      <c r="F283" s="29" t="str">
        <f>IFERROR(IF(SUMIFS(tblDaily[TransfersIn],tblDaily[EntryDate],DATE(2026,8,4),tblDaily[WardCode],"ICU")=0,"",SUMIFS(tblDaily[TransfersIn],tblDaily[EntryDate],DATE(2026,8,4),tblDaily[WardCode],"ICU")),"")</f>
        <v/>
      </c>
      <c r="G283" s="29" t="str">
        <f>IFERROR(IF(SUMIFS(tblDaily[TransfersOut],tblDaily[EntryDate],DATE(2026,8,4),tblDaily[WardCode],"ICU")=0,"",SUMIFS(tblDaily[TransfersOut],tblDaily[EntryDate],DATE(2026,8,4),tblDaily[WardCode],"ICU")),"")</f>
        <v/>
      </c>
      <c r="H283" s="29" t="str">
        <f>IFERROR(IF(SUMIFS(tblDaily[Remaining],tblDaily[EntryDate],DATE(2026,8,4),tblDaily[WardCode],"ICU")=0,"",SUMIFS(tblDaily[Remaining],tblDaily[EntryDate],DATE(2026,8,4),tblDaily[WardCode],"ICU")),"")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IFERROR(IF(SUMIFS(tblDaily[Admissions],tblDaily[EntryDate],DATE(2026,8,5),tblDaily[WardCode],"ICU")=0,"",SUMIFS(tblDaily[Admissions],tblDaily[EntryDate],DATE(2026,8,5),tblDaily[WardCode],"ICU")),"")</f>
        <v/>
      </c>
      <c r="C284" s="29" t="str">
        <f>IFERROR(IF(SUMIFS(tblDaily[Discharges],tblDaily[EntryDate],DATE(2026,8,5),tblDaily[WardCode],"ICU")=0,"",SUMIFS(tblDaily[Discharges],tblDaily[EntryDate],DATE(2026,8,5),tblDaily[WardCode],"ICU")),"")</f>
        <v/>
      </c>
      <c r="D284" s="29" t="str">
        <f>IFERROR(IF(SUMIFS(tblDaily[Deaths],tblDaily[EntryDate],DATE(2026,8,5),tblDaily[WardCode],"ICU")=0,"",SUMIFS(tblDaily[Deaths],tblDaily[EntryDate],DATE(2026,8,5),tblDaily[WardCode],"ICU")),"")</f>
        <v/>
      </c>
      <c r="E284" s="29" t="str">
        <f>IFERROR(IF(SUMIFS(tblDaily[DeathsUnder24Hrs],tblDaily[EntryDate],DATE(2026,8,5),tblDaily[WardCode],"ICU")=0,"",SUMIFS(tblDaily[DeathsUnder24Hrs],tblDaily[EntryDate],DATE(2026,8,5),tblDaily[WardCode],"ICU")),"")</f>
        <v/>
      </c>
      <c r="F284" s="29" t="str">
        <f>IFERROR(IF(SUMIFS(tblDaily[TransfersIn],tblDaily[EntryDate],DATE(2026,8,5),tblDaily[WardCode],"ICU")=0,"",SUMIFS(tblDaily[TransfersIn],tblDaily[EntryDate],DATE(2026,8,5),tblDaily[WardCode],"ICU")),"")</f>
        <v/>
      </c>
      <c r="G284" s="29" t="str">
        <f>IFERROR(IF(SUMIFS(tblDaily[TransfersOut],tblDaily[EntryDate],DATE(2026,8,5),tblDaily[WardCode],"ICU")=0,"",SUMIFS(tblDaily[TransfersOut],tblDaily[EntryDate],DATE(2026,8,5),tblDaily[WardCode],"ICU")),"")</f>
        <v/>
      </c>
      <c r="H284" s="29" t="str">
        <f>IFERROR(IF(SUMIFS(tblDaily[Remaining],tblDaily[EntryDate],DATE(2026,8,5),tblDaily[WardCode],"ICU")=0,"",SUMIFS(tblDaily[Remaining],tblDaily[EntryDate],DATE(2026,8,5),tblDaily[WardCode],"ICU")),"")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IFERROR(IF(SUMIFS(tblDaily[Admissions],tblDaily[EntryDate],DATE(2026,8,6),tblDaily[WardCode],"ICU")=0,"",SUMIFS(tblDaily[Admissions],tblDaily[EntryDate],DATE(2026,8,6),tblDaily[WardCode],"ICU")),"")</f>
        <v/>
      </c>
      <c r="C285" s="29" t="str">
        <f>IFERROR(IF(SUMIFS(tblDaily[Discharges],tblDaily[EntryDate],DATE(2026,8,6),tblDaily[WardCode],"ICU")=0,"",SUMIFS(tblDaily[Discharges],tblDaily[EntryDate],DATE(2026,8,6),tblDaily[WardCode],"ICU")),"")</f>
        <v/>
      </c>
      <c r="D285" s="29" t="str">
        <f>IFERROR(IF(SUMIFS(tblDaily[Deaths],tblDaily[EntryDate],DATE(2026,8,6),tblDaily[WardCode],"ICU")=0,"",SUMIFS(tblDaily[Deaths],tblDaily[EntryDate],DATE(2026,8,6),tblDaily[WardCode],"ICU")),"")</f>
        <v/>
      </c>
      <c r="E285" s="29" t="str">
        <f>IFERROR(IF(SUMIFS(tblDaily[DeathsUnder24Hrs],tblDaily[EntryDate],DATE(2026,8,6),tblDaily[WardCode],"ICU")=0,"",SUMIFS(tblDaily[DeathsUnder24Hrs],tblDaily[EntryDate],DATE(2026,8,6),tblDaily[WardCode],"ICU")),"")</f>
        <v/>
      </c>
      <c r="F285" s="29" t="str">
        <f>IFERROR(IF(SUMIFS(tblDaily[TransfersIn],tblDaily[EntryDate],DATE(2026,8,6),tblDaily[WardCode],"ICU")=0,"",SUMIFS(tblDaily[TransfersIn],tblDaily[EntryDate],DATE(2026,8,6),tblDaily[WardCode],"ICU")),"")</f>
        <v/>
      </c>
      <c r="G285" s="29" t="str">
        <f>IFERROR(IF(SUMIFS(tblDaily[TransfersOut],tblDaily[EntryDate],DATE(2026,8,6),tblDaily[WardCode],"ICU")=0,"",SUMIFS(tblDaily[TransfersOut],tblDaily[EntryDate],DATE(2026,8,6),tblDaily[WardCode],"ICU")),"")</f>
        <v/>
      </c>
      <c r="H285" s="29" t="str">
        <f>IFERROR(IF(SUMIFS(tblDaily[Remaining],tblDaily[EntryDate],DATE(2026,8,6),tblDaily[WardCode],"ICU")=0,"",SUMIFS(tblDaily[Remaining],tblDaily[EntryDate],DATE(2026,8,6),tblDaily[WardCode],"ICU")),"")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IFERROR(IF(SUMIFS(tblDaily[Admissions],tblDaily[EntryDate],DATE(2026,8,7),tblDaily[WardCode],"ICU")=0,"",SUMIFS(tblDaily[Admissions],tblDaily[EntryDate],DATE(2026,8,7),tblDaily[WardCode],"ICU")),"")</f>
        <v/>
      </c>
      <c r="C286" s="29" t="str">
        <f>IFERROR(IF(SUMIFS(tblDaily[Discharges],tblDaily[EntryDate],DATE(2026,8,7),tblDaily[WardCode],"ICU")=0,"",SUMIFS(tblDaily[Discharges],tblDaily[EntryDate],DATE(2026,8,7),tblDaily[WardCode],"ICU")),"")</f>
        <v/>
      </c>
      <c r="D286" s="29" t="str">
        <f>IFERROR(IF(SUMIFS(tblDaily[Deaths],tblDaily[EntryDate],DATE(2026,8,7),tblDaily[WardCode],"ICU")=0,"",SUMIFS(tblDaily[Deaths],tblDaily[EntryDate],DATE(2026,8,7),tblDaily[WardCode],"ICU")),"")</f>
        <v/>
      </c>
      <c r="E286" s="29" t="str">
        <f>IFERROR(IF(SUMIFS(tblDaily[DeathsUnder24Hrs],tblDaily[EntryDate],DATE(2026,8,7),tblDaily[WardCode],"ICU")=0,"",SUMIFS(tblDaily[DeathsUnder24Hrs],tblDaily[EntryDate],DATE(2026,8,7),tblDaily[WardCode],"ICU")),"")</f>
        <v/>
      </c>
      <c r="F286" s="29" t="str">
        <f>IFERROR(IF(SUMIFS(tblDaily[TransfersIn],tblDaily[EntryDate],DATE(2026,8,7),tblDaily[WardCode],"ICU")=0,"",SUMIFS(tblDaily[TransfersIn],tblDaily[EntryDate],DATE(2026,8,7),tblDaily[WardCode],"ICU")),"")</f>
        <v/>
      </c>
      <c r="G286" s="29" t="str">
        <f>IFERROR(IF(SUMIFS(tblDaily[TransfersOut],tblDaily[EntryDate],DATE(2026,8,7),tblDaily[WardCode],"ICU")=0,"",SUMIFS(tblDaily[TransfersOut],tblDaily[EntryDate],DATE(2026,8,7),tblDaily[WardCode],"ICU")),"")</f>
        <v/>
      </c>
      <c r="H286" s="29" t="str">
        <f>IFERROR(IF(SUMIFS(tblDaily[Remaining],tblDaily[EntryDate],DATE(2026,8,7),tblDaily[WardCode],"ICU")=0,"",SUMIFS(tblDaily[Remaining],tblDaily[EntryDate],DATE(2026,8,7),tblDaily[WardCode],"ICU")),"")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IFERROR(IF(SUMIFS(tblDaily[Admissions],tblDaily[EntryDate],DATE(2026,8,8),tblDaily[WardCode],"ICU")=0,"",SUMIFS(tblDaily[Admissions],tblDaily[EntryDate],DATE(2026,8,8),tblDaily[WardCode],"ICU")),"")</f>
        <v/>
      </c>
      <c r="C287" s="29" t="str">
        <f>IFERROR(IF(SUMIFS(tblDaily[Discharges],tblDaily[EntryDate],DATE(2026,8,8),tblDaily[WardCode],"ICU")=0,"",SUMIFS(tblDaily[Discharges],tblDaily[EntryDate],DATE(2026,8,8),tblDaily[WardCode],"ICU")),"")</f>
        <v/>
      </c>
      <c r="D287" s="29" t="str">
        <f>IFERROR(IF(SUMIFS(tblDaily[Deaths],tblDaily[EntryDate],DATE(2026,8,8),tblDaily[WardCode],"ICU")=0,"",SUMIFS(tblDaily[Deaths],tblDaily[EntryDate],DATE(2026,8,8),tblDaily[WardCode],"ICU")),"")</f>
        <v/>
      </c>
      <c r="E287" s="29" t="str">
        <f>IFERROR(IF(SUMIFS(tblDaily[DeathsUnder24Hrs],tblDaily[EntryDate],DATE(2026,8,8),tblDaily[WardCode],"ICU")=0,"",SUMIFS(tblDaily[DeathsUnder24Hrs],tblDaily[EntryDate],DATE(2026,8,8),tblDaily[WardCode],"ICU")),"")</f>
        <v/>
      </c>
      <c r="F287" s="29" t="str">
        <f>IFERROR(IF(SUMIFS(tblDaily[TransfersIn],tblDaily[EntryDate],DATE(2026,8,8),tblDaily[WardCode],"ICU")=0,"",SUMIFS(tblDaily[TransfersIn],tblDaily[EntryDate],DATE(2026,8,8),tblDaily[WardCode],"ICU")),"")</f>
        <v/>
      </c>
      <c r="G287" s="29" t="str">
        <f>IFERROR(IF(SUMIFS(tblDaily[TransfersOut],tblDaily[EntryDate],DATE(2026,8,8),tblDaily[WardCode],"ICU")=0,"",SUMIFS(tblDaily[TransfersOut],tblDaily[EntryDate],DATE(2026,8,8),tblDaily[WardCode],"ICU")),"")</f>
        <v/>
      </c>
      <c r="H287" s="29" t="str">
        <f>IFERROR(IF(SUMIFS(tblDaily[Remaining],tblDaily[EntryDate],DATE(2026,8,8),tblDaily[WardCode],"ICU")=0,"",SUMIFS(tblDaily[Remaining],tblDaily[EntryDate],DATE(2026,8,8),tblDaily[WardCode],"ICU")),"")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IFERROR(IF(SUMIFS(tblDaily[Admissions],tblDaily[EntryDate],DATE(2026,8,9),tblDaily[WardCode],"ICU")=0,"",SUMIFS(tblDaily[Admissions],tblDaily[EntryDate],DATE(2026,8,9),tblDaily[WardCode],"ICU")),"")</f>
        <v/>
      </c>
      <c r="C288" s="29" t="str">
        <f>IFERROR(IF(SUMIFS(tblDaily[Discharges],tblDaily[EntryDate],DATE(2026,8,9),tblDaily[WardCode],"ICU")=0,"",SUMIFS(tblDaily[Discharges],tblDaily[EntryDate],DATE(2026,8,9),tblDaily[WardCode],"ICU")),"")</f>
        <v/>
      </c>
      <c r="D288" s="29" t="str">
        <f>IFERROR(IF(SUMIFS(tblDaily[Deaths],tblDaily[EntryDate],DATE(2026,8,9),tblDaily[WardCode],"ICU")=0,"",SUMIFS(tblDaily[Deaths],tblDaily[EntryDate],DATE(2026,8,9),tblDaily[WardCode],"ICU")),"")</f>
        <v/>
      </c>
      <c r="E288" s="29" t="str">
        <f>IFERROR(IF(SUMIFS(tblDaily[DeathsUnder24Hrs],tblDaily[EntryDate],DATE(2026,8,9),tblDaily[WardCode],"ICU")=0,"",SUMIFS(tblDaily[DeathsUnder24Hrs],tblDaily[EntryDate],DATE(2026,8,9),tblDaily[WardCode],"ICU")),"")</f>
        <v/>
      </c>
      <c r="F288" s="29" t="str">
        <f>IFERROR(IF(SUMIFS(tblDaily[TransfersIn],tblDaily[EntryDate],DATE(2026,8,9),tblDaily[WardCode],"ICU")=0,"",SUMIFS(tblDaily[TransfersIn],tblDaily[EntryDate],DATE(2026,8,9),tblDaily[WardCode],"ICU")),"")</f>
        <v/>
      </c>
      <c r="G288" s="29" t="str">
        <f>IFERROR(IF(SUMIFS(tblDaily[TransfersOut],tblDaily[EntryDate],DATE(2026,8,9),tblDaily[WardCode],"ICU")=0,"",SUMIFS(tblDaily[TransfersOut],tblDaily[EntryDate],DATE(2026,8,9),tblDaily[WardCode],"ICU")),"")</f>
        <v/>
      </c>
      <c r="H288" s="29" t="str">
        <f>IFERROR(IF(SUMIFS(tblDaily[Remaining],tblDaily[EntryDate],DATE(2026,8,9),tblDaily[WardCode],"ICU")=0,"",SUMIFS(tblDaily[Remaining],tblDaily[EntryDate],DATE(2026,8,9),tblDaily[WardCode],"ICU")),"")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IFERROR(IF(SUMIFS(tblDaily[Admissions],tblDaily[EntryDate],DATE(2026,8,10),tblDaily[WardCode],"ICU")=0,"",SUMIFS(tblDaily[Admissions],tblDaily[EntryDate],DATE(2026,8,10),tblDaily[WardCode],"ICU")),"")</f>
        <v/>
      </c>
      <c r="C289" s="29" t="str">
        <f>IFERROR(IF(SUMIFS(tblDaily[Discharges],tblDaily[EntryDate],DATE(2026,8,10),tblDaily[WardCode],"ICU")=0,"",SUMIFS(tblDaily[Discharges],tblDaily[EntryDate],DATE(2026,8,10),tblDaily[WardCode],"ICU")),"")</f>
        <v/>
      </c>
      <c r="D289" s="29" t="str">
        <f>IFERROR(IF(SUMIFS(tblDaily[Deaths],tblDaily[EntryDate],DATE(2026,8,10),tblDaily[WardCode],"ICU")=0,"",SUMIFS(tblDaily[Deaths],tblDaily[EntryDate],DATE(2026,8,10),tblDaily[WardCode],"ICU")),"")</f>
        <v/>
      </c>
      <c r="E289" s="29" t="str">
        <f>IFERROR(IF(SUMIFS(tblDaily[DeathsUnder24Hrs],tblDaily[EntryDate],DATE(2026,8,10),tblDaily[WardCode],"ICU")=0,"",SUMIFS(tblDaily[DeathsUnder24Hrs],tblDaily[EntryDate],DATE(2026,8,10),tblDaily[WardCode],"ICU")),"")</f>
        <v/>
      </c>
      <c r="F289" s="29" t="str">
        <f>IFERROR(IF(SUMIFS(tblDaily[TransfersIn],tblDaily[EntryDate],DATE(2026,8,10),tblDaily[WardCode],"ICU")=0,"",SUMIFS(tblDaily[TransfersIn],tblDaily[EntryDate],DATE(2026,8,10),tblDaily[WardCode],"ICU")),"")</f>
        <v/>
      </c>
      <c r="G289" s="29" t="str">
        <f>IFERROR(IF(SUMIFS(tblDaily[TransfersOut],tblDaily[EntryDate],DATE(2026,8,10),tblDaily[WardCode],"ICU")=0,"",SUMIFS(tblDaily[TransfersOut],tblDaily[EntryDate],DATE(2026,8,10),tblDaily[WardCode],"ICU")),"")</f>
        <v/>
      </c>
      <c r="H289" s="29" t="str">
        <f>IFERROR(IF(SUMIFS(tblDaily[Remaining],tblDaily[EntryDate],DATE(2026,8,10),tblDaily[WardCode],"ICU")=0,"",SUMIFS(tblDaily[Remaining],tblDaily[EntryDate],DATE(2026,8,10),tblDaily[WardCode],"ICU")),"")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IFERROR(IF(SUMIFS(tblDaily[Admissions],tblDaily[EntryDate],DATE(2026,8,11),tblDaily[WardCode],"ICU")=0,"",SUMIFS(tblDaily[Admissions],tblDaily[EntryDate],DATE(2026,8,11),tblDaily[WardCode],"ICU")),"")</f>
        <v/>
      </c>
      <c r="C290" s="29" t="str">
        <f>IFERROR(IF(SUMIFS(tblDaily[Discharges],tblDaily[EntryDate],DATE(2026,8,11),tblDaily[WardCode],"ICU")=0,"",SUMIFS(tblDaily[Discharges],tblDaily[EntryDate],DATE(2026,8,11),tblDaily[WardCode],"ICU")),"")</f>
        <v/>
      </c>
      <c r="D290" s="29" t="str">
        <f>IFERROR(IF(SUMIFS(tblDaily[Deaths],tblDaily[EntryDate],DATE(2026,8,11),tblDaily[WardCode],"ICU")=0,"",SUMIFS(tblDaily[Deaths],tblDaily[EntryDate],DATE(2026,8,11),tblDaily[WardCode],"ICU")),"")</f>
        <v/>
      </c>
      <c r="E290" s="29" t="str">
        <f>IFERROR(IF(SUMIFS(tblDaily[DeathsUnder24Hrs],tblDaily[EntryDate],DATE(2026,8,11),tblDaily[WardCode],"ICU")=0,"",SUMIFS(tblDaily[DeathsUnder24Hrs],tblDaily[EntryDate],DATE(2026,8,11),tblDaily[WardCode],"ICU")),"")</f>
        <v/>
      </c>
      <c r="F290" s="29" t="str">
        <f>IFERROR(IF(SUMIFS(tblDaily[TransfersIn],tblDaily[EntryDate],DATE(2026,8,11),tblDaily[WardCode],"ICU")=0,"",SUMIFS(tblDaily[TransfersIn],tblDaily[EntryDate],DATE(2026,8,11),tblDaily[WardCode],"ICU")),"")</f>
        <v/>
      </c>
      <c r="G290" s="29" t="str">
        <f>IFERROR(IF(SUMIFS(tblDaily[TransfersOut],tblDaily[EntryDate],DATE(2026,8,11),tblDaily[WardCode],"ICU")=0,"",SUMIFS(tblDaily[TransfersOut],tblDaily[EntryDate],DATE(2026,8,11),tblDaily[WardCode],"ICU")),"")</f>
        <v/>
      </c>
      <c r="H290" s="29" t="str">
        <f>IFERROR(IF(SUMIFS(tblDaily[Remaining],tblDaily[EntryDate],DATE(2026,8,11),tblDaily[WardCode],"ICU")=0,"",SUMIFS(tblDaily[Remaining],tblDaily[EntryDate],DATE(2026,8,11),tblDaily[WardCode],"ICU")),"")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IFERROR(IF(SUMIFS(tblDaily[Admissions],tblDaily[EntryDate],DATE(2026,8,12),tblDaily[WardCode],"ICU")=0,"",SUMIFS(tblDaily[Admissions],tblDaily[EntryDate],DATE(2026,8,12),tblDaily[WardCode],"ICU")),"")</f>
        <v/>
      </c>
      <c r="C291" s="29" t="str">
        <f>IFERROR(IF(SUMIFS(tblDaily[Discharges],tblDaily[EntryDate],DATE(2026,8,12),tblDaily[WardCode],"ICU")=0,"",SUMIFS(tblDaily[Discharges],tblDaily[EntryDate],DATE(2026,8,12),tblDaily[WardCode],"ICU")),"")</f>
        <v/>
      </c>
      <c r="D291" s="29" t="str">
        <f>IFERROR(IF(SUMIFS(tblDaily[Deaths],tblDaily[EntryDate],DATE(2026,8,12),tblDaily[WardCode],"ICU")=0,"",SUMIFS(tblDaily[Deaths],tblDaily[EntryDate],DATE(2026,8,12),tblDaily[WardCode],"ICU")),"")</f>
        <v/>
      </c>
      <c r="E291" s="29" t="str">
        <f>IFERROR(IF(SUMIFS(tblDaily[DeathsUnder24Hrs],tblDaily[EntryDate],DATE(2026,8,12),tblDaily[WardCode],"ICU")=0,"",SUMIFS(tblDaily[DeathsUnder24Hrs],tblDaily[EntryDate],DATE(2026,8,12),tblDaily[WardCode],"ICU")),"")</f>
        <v/>
      </c>
      <c r="F291" s="29" t="str">
        <f>IFERROR(IF(SUMIFS(tblDaily[TransfersIn],tblDaily[EntryDate],DATE(2026,8,12),tblDaily[WardCode],"ICU")=0,"",SUMIFS(tblDaily[TransfersIn],tblDaily[EntryDate],DATE(2026,8,12),tblDaily[WardCode],"ICU")),"")</f>
        <v/>
      </c>
      <c r="G291" s="29" t="str">
        <f>IFERROR(IF(SUMIFS(tblDaily[TransfersOut],tblDaily[EntryDate],DATE(2026,8,12),tblDaily[WardCode],"ICU")=0,"",SUMIFS(tblDaily[TransfersOut],tblDaily[EntryDate],DATE(2026,8,12),tblDaily[WardCode],"ICU")),"")</f>
        <v/>
      </c>
      <c r="H291" s="29" t="str">
        <f>IFERROR(IF(SUMIFS(tblDaily[Remaining],tblDaily[EntryDate],DATE(2026,8,12),tblDaily[WardCode],"ICU")=0,"",SUMIFS(tblDaily[Remaining],tblDaily[EntryDate],DATE(2026,8,12),tblDaily[WardCode],"ICU")),"")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IFERROR(IF(SUMIFS(tblDaily[Admissions],tblDaily[EntryDate],DATE(2026,8,13),tblDaily[WardCode],"ICU")=0,"",SUMIFS(tblDaily[Admissions],tblDaily[EntryDate],DATE(2026,8,13),tblDaily[WardCode],"ICU")),"")</f>
        <v/>
      </c>
      <c r="C292" s="29" t="str">
        <f>IFERROR(IF(SUMIFS(tblDaily[Discharges],tblDaily[EntryDate],DATE(2026,8,13),tblDaily[WardCode],"ICU")=0,"",SUMIFS(tblDaily[Discharges],tblDaily[EntryDate],DATE(2026,8,13),tblDaily[WardCode],"ICU")),"")</f>
        <v/>
      </c>
      <c r="D292" s="29" t="str">
        <f>IFERROR(IF(SUMIFS(tblDaily[Deaths],tblDaily[EntryDate],DATE(2026,8,13),tblDaily[WardCode],"ICU")=0,"",SUMIFS(tblDaily[Deaths],tblDaily[EntryDate],DATE(2026,8,13),tblDaily[WardCode],"ICU")),"")</f>
        <v/>
      </c>
      <c r="E292" s="29" t="str">
        <f>IFERROR(IF(SUMIFS(tblDaily[DeathsUnder24Hrs],tblDaily[EntryDate],DATE(2026,8,13),tblDaily[WardCode],"ICU")=0,"",SUMIFS(tblDaily[DeathsUnder24Hrs],tblDaily[EntryDate],DATE(2026,8,13),tblDaily[WardCode],"ICU")),"")</f>
        <v/>
      </c>
      <c r="F292" s="29" t="str">
        <f>IFERROR(IF(SUMIFS(tblDaily[TransfersIn],tblDaily[EntryDate],DATE(2026,8,13),tblDaily[WardCode],"ICU")=0,"",SUMIFS(tblDaily[TransfersIn],tblDaily[EntryDate],DATE(2026,8,13),tblDaily[WardCode],"ICU")),"")</f>
        <v/>
      </c>
      <c r="G292" s="29" t="str">
        <f>IFERROR(IF(SUMIFS(tblDaily[TransfersOut],tblDaily[EntryDate],DATE(2026,8,13),tblDaily[WardCode],"ICU")=0,"",SUMIFS(tblDaily[TransfersOut],tblDaily[EntryDate],DATE(2026,8,13),tblDaily[WardCode],"ICU")),"")</f>
        <v/>
      </c>
      <c r="H292" s="29" t="str">
        <f>IFERROR(IF(SUMIFS(tblDaily[Remaining],tblDaily[EntryDate],DATE(2026,8,13),tblDaily[WardCode],"ICU")=0,"",SUMIFS(tblDaily[Remaining],tblDaily[EntryDate],DATE(2026,8,13),tblDaily[WardCode],"ICU")),"")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IFERROR(IF(SUMIFS(tblDaily[Admissions],tblDaily[EntryDate],DATE(2026,8,14),tblDaily[WardCode],"ICU")=0,"",SUMIFS(tblDaily[Admissions],tblDaily[EntryDate],DATE(2026,8,14),tblDaily[WardCode],"ICU")),"")</f>
        <v/>
      </c>
      <c r="C293" s="29" t="str">
        <f>IFERROR(IF(SUMIFS(tblDaily[Discharges],tblDaily[EntryDate],DATE(2026,8,14),tblDaily[WardCode],"ICU")=0,"",SUMIFS(tblDaily[Discharges],tblDaily[EntryDate],DATE(2026,8,14),tblDaily[WardCode],"ICU")),"")</f>
        <v/>
      </c>
      <c r="D293" s="29" t="str">
        <f>IFERROR(IF(SUMIFS(tblDaily[Deaths],tblDaily[EntryDate],DATE(2026,8,14),tblDaily[WardCode],"ICU")=0,"",SUMIFS(tblDaily[Deaths],tblDaily[EntryDate],DATE(2026,8,14),tblDaily[WardCode],"ICU")),"")</f>
        <v/>
      </c>
      <c r="E293" s="29" t="str">
        <f>IFERROR(IF(SUMIFS(tblDaily[DeathsUnder24Hrs],tblDaily[EntryDate],DATE(2026,8,14),tblDaily[WardCode],"ICU")=0,"",SUMIFS(tblDaily[DeathsUnder24Hrs],tblDaily[EntryDate],DATE(2026,8,14),tblDaily[WardCode],"ICU")),"")</f>
        <v/>
      </c>
      <c r="F293" s="29" t="str">
        <f>IFERROR(IF(SUMIFS(tblDaily[TransfersIn],tblDaily[EntryDate],DATE(2026,8,14),tblDaily[WardCode],"ICU")=0,"",SUMIFS(tblDaily[TransfersIn],tblDaily[EntryDate],DATE(2026,8,14),tblDaily[WardCode],"ICU")),"")</f>
        <v/>
      </c>
      <c r="G293" s="29" t="str">
        <f>IFERROR(IF(SUMIFS(tblDaily[TransfersOut],tblDaily[EntryDate],DATE(2026,8,14),tblDaily[WardCode],"ICU")=0,"",SUMIFS(tblDaily[TransfersOut],tblDaily[EntryDate],DATE(2026,8,14),tblDaily[WardCode],"ICU")),"")</f>
        <v/>
      </c>
      <c r="H293" s="29" t="str">
        <f>IFERROR(IF(SUMIFS(tblDaily[Remaining],tblDaily[EntryDate],DATE(2026,8,14),tblDaily[WardCode],"ICU")=0,"",SUMIFS(tblDaily[Remaining],tblDaily[EntryDate],DATE(2026,8,14),tblDaily[WardCode],"ICU")),"")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IFERROR(IF(SUMIFS(tblDaily[Admissions],tblDaily[EntryDate],DATE(2026,8,15),tblDaily[WardCode],"ICU")=0,"",SUMIFS(tblDaily[Admissions],tblDaily[EntryDate],DATE(2026,8,15),tblDaily[WardCode],"ICU")),"")</f>
        <v/>
      </c>
      <c r="C294" s="29" t="str">
        <f>IFERROR(IF(SUMIFS(tblDaily[Discharges],tblDaily[EntryDate],DATE(2026,8,15),tblDaily[WardCode],"ICU")=0,"",SUMIFS(tblDaily[Discharges],tblDaily[EntryDate],DATE(2026,8,15),tblDaily[WardCode],"ICU")),"")</f>
        <v/>
      </c>
      <c r="D294" s="29" t="str">
        <f>IFERROR(IF(SUMIFS(tblDaily[Deaths],tblDaily[EntryDate],DATE(2026,8,15),tblDaily[WardCode],"ICU")=0,"",SUMIFS(tblDaily[Deaths],tblDaily[EntryDate],DATE(2026,8,15),tblDaily[WardCode],"ICU")),"")</f>
        <v/>
      </c>
      <c r="E294" s="29" t="str">
        <f>IFERROR(IF(SUMIFS(tblDaily[DeathsUnder24Hrs],tblDaily[EntryDate],DATE(2026,8,15),tblDaily[WardCode],"ICU")=0,"",SUMIFS(tblDaily[DeathsUnder24Hrs],tblDaily[EntryDate],DATE(2026,8,15),tblDaily[WardCode],"ICU")),"")</f>
        <v/>
      </c>
      <c r="F294" s="29" t="str">
        <f>IFERROR(IF(SUMIFS(tblDaily[TransfersIn],tblDaily[EntryDate],DATE(2026,8,15),tblDaily[WardCode],"ICU")=0,"",SUMIFS(tblDaily[TransfersIn],tblDaily[EntryDate],DATE(2026,8,15),tblDaily[WardCode],"ICU")),"")</f>
        <v/>
      </c>
      <c r="G294" s="29" t="str">
        <f>IFERROR(IF(SUMIFS(tblDaily[TransfersOut],tblDaily[EntryDate],DATE(2026,8,15),tblDaily[WardCode],"ICU")=0,"",SUMIFS(tblDaily[TransfersOut],tblDaily[EntryDate],DATE(2026,8,15),tblDaily[WardCode],"ICU")),"")</f>
        <v/>
      </c>
      <c r="H294" s="29" t="str">
        <f>IFERROR(IF(SUMIFS(tblDaily[Remaining],tblDaily[EntryDate],DATE(2026,8,15),tblDaily[WardCode],"ICU")=0,"",SUMIFS(tblDaily[Remaining],tblDaily[EntryDate],DATE(2026,8,15),tblDaily[WardCode],"ICU")),"")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IFERROR(IF(SUMIFS(tblDaily[Admissions],tblDaily[EntryDate],DATE(2026,8,16),tblDaily[WardCode],"ICU")=0,"",SUMIFS(tblDaily[Admissions],tblDaily[EntryDate],DATE(2026,8,16),tblDaily[WardCode],"ICU")),"")</f>
        <v/>
      </c>
      <c r="C295" s="29" t="str">
        <f>IFERROR(IF(SUMIFS(tblDaily[Discharges],tblDaily[EntryDate],DATE(2026,8,16),tblDaily[WardCode],"ICU")=0,"",SUMIFS(tblDaily[Discharges],tblDaily[EntryDate],DATE(2026,8,16),tblDaily[WardCode],"ICU")),"")</f>
        <v/>
      </c>
      <c r="D295" s="29" t="str">
        <f>IFERROR(IF(SUMIFS(tblDaily[Deaths],tblDaily[EntryDate],DATE(2026,8,16),tblDaily[WardCode],"ICU")=0,"",SUMIFS(tblDaily[Deaths],tblDaily[EntryDate],DATE(2026,8,16),tblDaily[WardCode],"ICU")),"")</f>
        <v/>
      </c>
      <c r="E295" s="29" t="str">
        <f>IFERROR(IF(SUMIFS(tblDaily[DeathsUnder24Hrs],tblDaily[EntryDate],DATE(2026,8,16),tblDaily[WardCode],"ICU")=0,"",SUMIFS(tblDaily[DeathsUnder24Hrs],tblDaily[EntryDate],DATE(2026,8,16),tblDaily[WardCode],"ICU")),"")</f>
        <v/>
      </c>
      <c r="F295" s="29" t="str">
        <f>IFERROR(IF(SUMIFS(tblDaily[TransfersIn],tblDaily[EntryDate],DATE(2026,8,16),tblDaily[WardCode],"ICU")=0,"",SUMIFS(tblDaily[TransfersIn],tblDaily[EntryDate],DATE(2026,8,16),tblDaily[WardCode],"ICU")),"")</f>
        <v/>
      </c>
      <c r="G295" s="29" t="str">
        <f>IFERROR(IF(SUMIFS(tblDaily[TransfersOut],tblDaily[EntryDate],DATE(2026,8,16),tblDaily[WardCode],"ICU")=0,"",SUMIFS(tblDaily[TransfersOut],tblDaily[EntryDate],DATE(2026,8,16),tblDaily[WardCode],"ICU")),"")</f>
        <v/>
      </c>
      <c r="H295" s="29" t="str">
        <f>IFERROR(IF(SUMIFS(tblDaily[Remaining],tblDaily[EntryDate],DATE(2026,8,16),tblDaily[WardCode],"ICU")=0,"",SUMIFS(tblDaily[Remaining],tblDaily[EntryDate],DATE(2026,8,16),tblDaily[WardCode],"ICU")),"")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IFERROR(IF(SUMIFS(tblDaily[Admissions],tblDaily[EntryDate],DATE(2026,8,17),tblDaily[WardCode],"ICU")=0,"",SUMIFS(tblDaily[Admissions],tblDaily[EntryDate],DATE(2026,8,17),tblDaily[WardCode],"ICU")),"")</f>
        <v/>
      </c>
      <c r="C296" s="29" t="str">
        <f>IFERROR(IF(SUMIFS(tblDaily[Discharges],tblDaily[EntryDate],DATE(2026,8,17),tblDaily[WardCode],"ICU")=0,"",SUMIFS(tblDaily[Discharges],tblDaily[EntryDate],DATE(2026,8,17),tblDaily[WardCode],"ICU")),"")</f>
        <v/>
      </c>
      <c r="D296" s="29" t="str">
        <f>IFERROR(IF(SUMIFS(tblDaily[Deaths],tblDaily[EntryDate],DATE(2026,8,17),tblDaily[WardCode],"ICU")=0,"",SUMIFS(tblDaily[Deaths],tblDaily[EntryDate],DATE(2026,8,17),tblDaily[WardCode],"ICU")),"")</f>
        <v/>
      </c>
      <c r="E296" s="29" t="str">
        <f>IFERROR(IF(SUMIFS(tblDaily[DeathsUnder24Hrs],tblDaily[EntryDate],DATE(2026,8,17),tblDaily[WardCode],"ICU")=0,"",SUMIFS(tblDaily[DeathsUnder24Hrs],tblDaily[EntryDate],DATE(2026,8,17),tblDaily[WardCode],"ICU")),"")</f>
        <v/>
      </c>
      <c r="F296" s="29" t="str">
        <f>IFERROR(IF(SUMIFS(tblDaily[TransfersIn],tblDaily[EntryDate],DATE(2026,8,17),tblDaily[WardCode],"ICU")=0,"",SUMIFS(tblDaily[TransfersIn],tblDaily[EntryDate],DATE(2026,8,17),tblDaily[WardCode],"ICU")),"")</f>
        <v/>
      </c>
      <c r="G296" s="29" t="str">
        <f>IFERROR(IF(SUMIFS(tblDaily[TransfersOut],tblDaily[EntryDate],DATE(2026,8,17),tblDaily[WardCode],"ICU")=0,"",SUMIFS(tblDaily[TransfersOut],tblDaily[EntryDate],DATE(2026,8,17),tblDaily[WardCode],"ICU")),"")</f>
        <v/>
      </c>
      <c r="H296" s="29" t="str">
        <f>IFERROR(IF(SUMIFS(tblDaily[Remaining],tblDaily[EntryDate],DATE(2026,8,17),tblDaily[WardCode],"ICU")=0,"",SUMIFS(tblDaily[Remaining],tblDaily[EntryDate],DATE(2026,8,17),tblDaily[WardCode],"ICU")),"")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IFERROR(IF(SUMIFS(tblDaily[Admissions],tblDaily[EntryDate],DATE(2026,8,18),tblDaily[WardCode],"ICU")=0,"",SUMIFS(tblDaily[Admissions],tblDaily[EntryDate],DATE(2026,8,18),tblDaily[WardCode],"ICU")),"")</f>
        <v/>
      </c>
      <c r="C297" s="29" t="str">
        <f>IFERROR(IF(SUMIFS(tblDaily[Discharges],tblDaily[EntryDate],DATE(2026,8,18),tblDaily[WardCode],"ICU")=0,"",SUMIFS(tblDaily[Discharges],tblDaily[EntryDate],DATE(2026,8,18),tblDaily[WardCode],"ICU")),"")</f>
        <v/>
      </c>
      <c r="D297" s="29" t="str">
        <f>IFERROR(IF(SUMIFS(tblDaily[Deaths],tblDaily[EntryDate],DATE(2026,8,18),tblDaily[WardCode],"ICU")=0,"",SUMIFS(tblDaily[Deaths],tblDaily[EntryDate],DATE(2026,8,18),tblDaily[WardCode],"ICU")),"")</f>
        <v/>
      </c>
      <c r="E297" s="29" t="str">
        <f>IFERROR(IF(SUMIFS(tblDaily[DeathsUnder24Hrs],tblDaily[EntryDate],DATE(2026,8,18),tblDaily[WardCode],"ICU")=0,"",SUMIFS(tblDaily[DeathsUnder24Hrs],tblDaily[EntryDate],DATE(2026,8,18),tblDaily[WardCode],"ICU")),"")</f>
        <v/>
      </c>
      <c r="F297" s="29" t="str">
        <f>IFERROR(IF(SUMIFS(tblDaily[TransfersIn],tblDaily[EntryDate],DATE(2026,8,18),tblDaily[WardCode],"ICU")=0,"",SUMIFS(tblDaily[TransfersIn],tblDaily[EntryDate],DATE(2026,8,18),tblDaily[WardCode],"ICU")),"")</f>
        <v/>
      </c>
      <c r="G297" s="29" t="str">
        <f>IFERROR(IF(SUMIFS(tblDaily[TransfersOut],tblDaily[EntryDate],DATE(2026,8,18),tblDaily[WardCode],"ICU")=0,"",SUMIFS(tblDaily[TransfersOut],tblDaily[EntryDate],DATE(2026,8,18),tblDaily[WardCode],"ICU")),"")</f>
        <v/>
      </c>
      <c r="H297" s="29" t="str">
        <f>IFERROR(IF(SUMIFS(tblDaily[Remaining],tblDaily[EntryDate],DATE(2026,8,18),tblDaily[WardCode],"ICU")=0,"",SUMIFS(tblDaily[Remaining],tblDaily[EntryDate],DATE(2026,8,18),tblDaily[WardCode],"ICU")),"")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IFERROR(IF(SUMIFS(tblDaily[Admissions],tblDaily[EntryDate],DATE(2026,8,19),tblDaily[WardCode],"ICU")=0,"",SUMIFS(tblDaily[Admissions],tblDaily[EntryDate],DATE(2026,8,19),tblDaily[WardCode],"ICU")),"")</f>
        <v/>
      </c>
      <c r="C298" s="29" t="str">
        <f>IFERROR(IF(SUMIFS(tblDaily[Discharges],tblDaily[EntryDate],DATE(2026,8,19),tblDaily[WardCode],"ICU")=0,"",SUMIFS(tblDaily[Discharges],tblDaily[EntryDate],DATE(2026,8,19),tblDaily[WardCode],"ICU")),"")</f>
        <v/>
      </c>
      <c r="D298" s="29" t="str">
        <f>IFERROR(IF(SUMIFS(tblDaily[Deaths],tblDaily[EntryDate],DATE(2026,8,19),tblDaily[WardCode],"ICU")=0,"",SUMIFS(tblDaily[Deaths],tblDaily[EntryDate],DATE(2026,8,19),tblDaily[WardCode],"ICU")),"")</f>
        <v/>
      </c>
      <c r="E298" s="29" t="str">
        <f>IFERROR(IF(SUMIFS(tblDaily[DeathsUnder24Hrs],tblDaily[EntryDate],DATE(2026,8,19),tblDaily[WardCode],"ICU")=0,"",SUMIFS(tblDaily[DeathsUnder24Hrs],tblDaily[EntryDate],DATE(2026,8,19),tblDaily[WardCode],"ICU")),"")</f>
        <v/>
      </c>
      <c r="F298" s="29" t="str">
        <f>IFERROR(IF(SUMIFS(tblDaily[TransfersIn],tblDaily[EntryDate],DATE(2026,8,19),tblDaily[WardCode],"ICU")=0,"",SUMIFS(tblDaily[TransfersIn],tblDaily[EntryDate],DATE(2026,8,19),tblDaily[WardCode],"ICU")),"")</f>
        <v/>
      </c>
      <c r="G298" s="29" t="str">
        <f>IFERROR(IF(SUMIFS(tblDaily[TransfersOut],tblDaily[EntryDate],DATE(2026,8,19),tblDaily[WardCode],"ICU")=0,"",SUMIFS(tblDaily[TransfersOut],tblDaily[EntryDate],DATE(2026,8,19),tblDaily[WardCode],"ICU")),"")</f>
        <v/>
      </c>
      <c r="H298" s="29" t="str">
        <f>IFERROR(IF(SUMIFS(tblDaily[Remaining],tblDaily[EntryDate],DATE(2026,8,19),tblDaily[WardCode],"ICU")=0,"",SUMIFS(tblDaily[Remaining],tblDaily[EntryDate],DATE(2026,8,19),tblDaily[WardCode],"ICU")),"")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IFERROR(IF(SUMIFS(tblDaily[Admissions],tblDaily[EntryDate],DATE(2026,8,20),tblDaily[WardCode],"ICU")=0,"",SUMIFS(tblDaily[Admissions],tblDaily[EntryDate],DATE(2026,8,20),tblDaily[WardCode],"ICU")),"")</f>
        <v/>
      </c>
      <c r="C299" s="29" t="str">
        <f>IFERROR(IF(SUMIFS(tblDaily[Discharges],tblDaily[EntryDate],DATE(2026,8,20),tblDaily[WardCode],"ICU")=0,"",SUMIFS(tblDaily[Discharges],tblDaily[EntryDate],DATE(2026,8,20),tblDaily[WardCode],"ICU")),"")</f>
        <v/>
      </c>
      <c r="D299" s="29" t="str">
        <f>IFERROR(IF(SUMIFS(tblDaily[Deaths],tblDaily[EntryDate],DATE(2026,8,20),tblDaily[WardCode],"ICU")=0,"",SUMIFS(tblDaily[Deaths],tblDaily[EntryDate],DATE(2026,8,20),tblDaily[WardCode],"ICU")),"")</f>
        <v/>
      </c>
      <c r="E299" s="29" t="str">
        <f>IFERROR(IF(SUMIFS(tblDaily[DeathsUnder24Hrs],tblDaily[EntryDate],DATE(2026,8,20),tblDaily[WardCode],"ICU")=0,"",SUMIFS(tblDaily[DeathsUnder24Hrs],tblDaily[EntryDate],DATE(2026,8,20),tblDaily[WardCode],"ICU")),"")</f>
        <v/>
      </c>
      <c r="F299" s="29" t="str">
        <f>IFERROR(IF(SUMIFS(tblDaily[TransfersIn],tblDaily[EntryDate],DATE(2026,8,20),tblDaily[WardCode],"ICU")=0,"",SUMIFS(tblDaily[TransfersIn],tblDaily[EntryDate],DATE(2026,8,20),tblDaily[WardCode],"ICU")),"")</f>
        <v/>
      </c>
      <c r="G299" s="29" t="str">
        <f>IFERROR(IF(SUMIFS(tblDaily[TransfersOut],tblDaily[EntryDate],DATE(2026,8,20),tblDaily[WardCode],"ICU")=0,"",SUMIFS(tblDaily[TransfersOut],tblDaily[EntryDate],DATE(2026,8,20),tblDaily[WardCode],"ICU")),"")</f>
        <v/>
      </c>
      <c r="H299" s="29" t="str">
        <f>IFERROR(IF(SUMIFS(tblDaily[Remaining],tblDaily[EntryDate],DATE(2026,8,20),tblDaily[WardCode],"ICU")=0,"",SUMIFS(tblDaily[Remaining],tblDaily[EntryDate],DATE(2026,8,20),tblDaily[WardCode],"ICU")),"")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IFERROR(IF(SUMIFS(tblDaily[Admissions],tblDaily[EntryDate],DATE(2026,8,21),tblDaily[WardCode],"ICU")=0,"",SUMIFS(tblDaily[Admissions],tblDaily[EntryDate],DATE(2026,8,21),tblDaily[WardCode],"ICU")),"")</f>
        <v/>
      </c>
      <c r="C300" s="29" t="str">
        <f>IFERROR(IF(SUMIFS(tblDaily[Discharges],tblDaily[EntryDate],DATE(2026,8,21),tblDaily[WardCode],"ICU")=0,"",SUMIFS(tblDaily[Discharges],tblDaily[EntryDate],DATE(2026,8,21),tblDaily[WardCode],"ICU")),"")</f>
        <v/>
      </c>
      <c r="D300" s="29" t="str">
        <f>IFERROR(IF(SUMIFS(tblDaily[Deaths],tblDaily[EntryDate],DATE(2026,8,21),tblDaily[WardCode],"ICU")=0,"",SUMIFS(tblDaily[Deaths],tblDaily[EntryDate],DATE(2026,8,21),tblDaily[WardCode],"ICU")),"")</f>
        <v/>
      </c>
      <c r="E300" s="29" t="str">
        <f>IFERROR(IF(SUMIFS(tblDaily[DeathsUnder24Hrs],tblDaily[EntryDate],DATE(2026,8,21),tblDaily[WardCode],"ICU")=0,"",SUMIFS(tblDaily[DeathsUnder24Hrs],tblDaily[EntryDate],DATE(2026,8,21),tblDaily[WardCode],"ICU")),"")</f>
        <v/>
      </c>
      <c r="F300" s="29" t="str">
        <f>IFERROR(IF(SUMIFS(tblDaily[TransfersIn],tblDaily[EntryDate],DATE(2026,8,21),tblDaily[WardCode],"ICU")=0,"",SUMIFS(tblDaily[TransfersIn],tblDaily[EntryDate],DATE(2026,8,21),tblDaily[WardCode],"ICU")),"")</f>
        <v/>
      </c>
      <c r="G300" s="29" t="str">
        <f>IFERROR(IF(SUMIFS(tblDaily[TransfersOut],tblDaily[EntryDate],DATE(2026,8,21),tblDaily[WardCode],"ICU")=0,"",SUMIFS(tblDaily[TransfersOut],tblDaily[EntryDate],DATE(2026,8,21),tblDaily[WardCode],"ICU")),"")</f>
        <v/>
      </c>
      <c r="H300" s="29" t="str">
        <f>IFERROR(IF(SUMIFS(tblDaily[Remaining],tblDaily[EntryDate],DATE(2026,8,21),tblDaily[WardCode],"ICU")=0,"",SUMIFS(tblDaily[Remaining],tblDaily[EntryDate],DATE(2026,8,21),tblDaily[WardCode],"ICU")),"")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IFERROR(IF(SUMIFS(tblDaily[Admissions],tblDaily[EntryDate],DATE(2026,8,22),tblDaily[WardCode],"ICU")=0,"",SUMIFS(tblDaily[Admissions],tblDaily[EntryDate],DATE(2026,8,22),tblDaily[WardCode],"ICU")),"")</f>
        <v/>
      </c>
      <c r="C301" s="29" t="str">
        <f>IFERROR(IF(SUMIFS(tblDaily[Discharges],tblDaily[EntryDate],DATE(2026,8,22),tblDaily[WardCode],"ICU")=0,"",SUMIFS(tblDaily[Discharges],tblDaily[EntryDate],DATE(2026,8,22),tblDaily[WardCode],"ICU")),"")</f>
        <v/>
      </c>
      <c r="D301" s="29" t="str">
        <f>IFERROR(IF(SUMIFS(tblDaily[Deaths],tblDaily[EntryDate],DATE(2026,8,22),tblDaily[WardCode],"ICU")=0,"",SUMIFS(tblDaily[Deaths],tblDaily[EntryDate],DATE(2026,8,22),tblDaily[WardCode],"ICU")),"")</f>
        <v/>
      </c>
      <c r="E301" s="29" t="str">
        <f>IFERROR(IF(SUMIFS(tblDaily[DeathsUnder24Hrs],tblDaily[EntryDate],DATE(2026,8,22),tblDaily[WardCode],"ICU")=0,"",SUMIFS(tblDaily[DeathsUnder24Hrs],tblDaily[EntryDate],DATE(2026,8,22),tblDaily[WardCode],"ICU")),"")</f>
        <v/>
      </c>
      <c r="F301" s="29" t="str">
        <f>IFERROR(IF(SUMIFS(tblDaily[TransfersIn],tblDaily[EntryDate],DATE(2026,8,22),tblDaily[WardCode],"ICU")=0,"",SUMIFS(tblDaily[TransfersIn],tblDaily[EntryDate],DATE(2026,8,22),tblDaily[WardCode],"ICU")),"")</f>
        <v/>
      </c>
      <c r="G301" s="29" t="str">
        <f>IFERROR(IF(SUMIFS(tblDaily[TransfersOut],tblDaily[EntryDate],DATE(2026,8,22),tblDaily[WardCode],"ICU")=0,"",SUMIFS(tblDaily[TransfersOut],tblDaily[EntryDate],DATE(2026,8,22),tblDaily[WardCode],"ICU")),"")</f>
        <v/>
      </c>
      <c r="H301" s="29" t="str">
        <f>IFERROR(IF(SUMIFS(tblDaily[Remaining],tblDaily[EntryDate],DATE(2026,8,22),tblDaily[WardCode],"ICU")=0,"",SUMIFS(tblDaily[Remaining],tblDaily[EntryDate],DATE(2026,8,22),tblDaily[WardCode],"ICU")),"")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IFERROR(IF(SUMIFS(tblDaily[Admissions],tblDaily[EntryDate],DATE(2026,8,23),tblDaily[WardCode],"ICU")=0,"",SUMIFS(tblDaily[Admissions],tblDaily[EntryDate],DATE(2026,8,23),tblDaily[WardCode],"ICU")),"")</f>
        <v/>
      </c>
      <c r="C302" s="29" t="str">
        <f>IFERROR(IF(SUMIFS(tblDaily[Discharges],tblDaily[EntryDate],DATE(2026,8,23),tblDaily[WardCode],"ICU")=0,"",SUMIFS(tblDaily[Discharges],tblDaily[EntryDate],DATE(2026,8,23),tblDaily[WardCode],"ICU")),"")</f>
        <v/>
      </c>
      <c r="D302" s="29" t="str">
        <f>IFERROR(IF(SUMIFS(tblDaily[Deaths],tblDaily[EntryDate],DATE(2026,8,23),tblDaily[WardCode],"ICU")=0,"",SUMIFS(tblDaily[Deaths],tblDaily[EntryDate],DATE(2026,8,23),tblDaily[WardCode],"ICU")),"")</f>
        <v/>
      </c>
      <c r="E302" s="29" t="str">
        <f>IFERROR(IF(SUMIFS(tblDaily[DeathsUnder24Hrs],tblDaily[EntryDate],DATE(2026,8,23),tblDaily[WardCode],"ICU")=0,"",SUMIFS(tblDaily[DeathsUnder24Hrs],tblDaily[EntryDate],DATE(2026,8,23),tblDaily[WardCode],"ICU")),"")</f>
        <v/>
      </c>
      <c r="F302" s="29" t="str">
        <f>IFERROR(IF(SUMIFS(tblDaily[TransfersIn],tblDaily[EntryDate],DATE(2026,8,23),tblDaily[WardCode],"ICU")=0,"",SUMIFS(tblDaily[TransfersIn],tblDaily[EntryDate],DATE(2026,8,23),tblDaily[WardCode],"ICU")),"")</f>
        <v/>
      </c>
      <c r="G302" s="29" t="str">
        <f>IFERROR(IF(SUMIFS(tblDaily[TransfersOut],tblDaily[EntryDate],DATE(2026,8,23),tblDaily[WardCode],"ICU")=0,"",SUMIFS(tblDaily[TransfersOut],tblDaily[EntryDate],DATE(2026,8,23),tblDaily[WardCode],"ICU")),"")</f>
        <v/>
      </c>
      <c r="H302" s="29" t="str">
        <f>IFERROR(IF(SUMIFS(tblDaily[Remaining],tblDaily[EntryDate],DATE(2026,8,23),tblDaily[WardCode],"ICU")=0,"",SUMIFS(tblDaily[Remaining],tblDaily[EntryDate],DATE(2026,8,23),tblDaily[WardCode],"ICU")),"")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IFERROR(IF(SUMIFS(tblDaily[Admissions],tblDaily[EntryDate],DATE(2026,8,24),tblDaily[WardCode],"ICU")=0,"",SUMIFS(tblDaily[Admissions],tblDaily[EntryDate],DATE(2026,8,24),tblDaily[WardCode],"ICU")),"")</f>
        <v/>
      </c>
      <c r="C303" s="29" t="str">
        <f>IFERROR(IF(SUMIFS(tblDaily[Discharges],tblDaily[EntryDate],DATE(2026,8,24),tblDaily[WardCode],"ICU")=0,"",SUMIFS(tblDaily[Discharges],tblDaily[EntryDate],DATE(2026,8,24),tblDaily[WardCode],"ICU")),"")</f>
        <v/>
      </c>
      <c r="D303" s="29" t="str">
        <f>IFERROR(IF(SUMIFS(tblDaily[Deaths],tblDaily[EntryDate],DATE(2026,8,24),tblDaily[WardCode],"ICU")=0,"",SUMIFS(tblDaily[Deaths],tblDaily[EntryDate],DATE(2026,8,24),tblDaily[WardCode],"ICU")),"")</f>
        <v/>
      </c>
      <c r="E303" s="29" t="str">
        <f>IFERROR(IF(SUMIFS(tblDaily[DeathsUnder24Hrs],tblDaily[EntryDate],DATE(2026,8,24),tblDaily[WardCode],"ICU")=0,"",SUMIFS(tblDaily[DeathsUnder24Hrs],tblDaily[EntryDate],DATE(2026,8,24),tblDaily[WardCode],"ICU")),"")</f>
        <v/>
      </c>
      <c r="F303" s="29" t="str">
        <f>IFERROR(IF(SUMIFS(tblDaily[TransfersIn],tblDaily[EntryDate],DATE(2026,8,24),tblDaily[WardCode],"ICU")=0,"",SUMIFS(tblDaily[TransfersIn],tblDaily[EntryDate],DATE(2026,8,24),tblDaily[WardCode],"ICU")),"")</f>
        <v/>
      </c>
      <c r="G303" s="29" t="str">
        <f>IFERROR(IF(SUMIFS(tblDaily[TransfersOut],tblDaily[EntryDate],DATE(2026,8,24),tblDaily[WardCode],"ICU")=0,"",SUMIFS(tblDaily[TransfersOut],tblDaily[EntryDate],DATE(2026,8,24),tblDaily[WardCode],"ICU")),"")</f>
        <v/>
      </c>
      <c r="H303" s="29" t="str">
        <f>IFERROR(IF(SUMIFS(tblDaily[Remaining],tblDaily[EntryDate],DATE(2026,8,24),tblDaily[WardCode],"ICU")=0,"",SUMIFS(tblDaily[Remaining],tblDaily[EntryDate],DATE(2026,8,24),tblDaily[WardCode],"ICU")),"")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IFERROR(IF(SUMIFS(tblDaily[Admissions],tblDaily[EntryDate],DATE(2026,8,25),tblDaily[WardCode],"ICU")=0,"",SUMIFS(tblDaily[Admissions],tblDaily[EntryDate],DATE(2026,8,25),tblDaily[WardCode],"ICU")),"")</f>
        <v/>
      </c>
      <c r="C304" s="29" t="str">
        <f>IFERROR(IF(SUMIFS(tblDaily[Discharges],tblDaily[EntryDate],DATE(2026,8,25),tblDaily[WardCode],"ICU")=0,"",SUMIFS(tblDaily[Discharges],tblDaily[EntryDate],DATE(2026,8,25),tblDaily[WardCode],"ICU")),"")</f>
        <v/>
      </c>
      <c r="D304" s="29" t="str">
        <f>IFERROR(IF(SUMIFS(tblDaily[Deaths],tblDaily[EntryDate],DATE(2026,8,25),tblDaily[WardCode],"ICU")=0,"",SUMIFS(tblDaily[Deaths],tblDaily[EntryDate],DATE(2026,8,25),tblDaily[WardCode],"ICU")),"")</f>
        <v/>
      </c>
      <c r="E304" s="29" t="str">
        <f>IFERROR(IF(SUMIFS(tblDaily[DeathsUnder24Hrs],tblDaily[EntryDate],DATE(2026,8,25),tblDaily[WardCode],"ICU")=0,"",SUMIFS(tblDaily[DeathsUnder24Hrs],tblDaily[EntryDate],DATE(2026,8,25),tblDaily[WardCode],"ICU")),"")</f>
        <v/>
      </c>
      <c r="F304" s="29" t="str">
        <f>IFERROR(IF(SUMIFS(tblDaily[TransfersIn],tblDaily[EntryDate],DATE(2026,8,25),tblDaily[WardCode],"ICU")=0,"",SUMIFS(tblDaily[TransfersIn],tblDaily[EntryDate],DATE(2026,8,25),tblDaily[WardCode],"ICU")),"")</f>
        <v/>
      </c>
      <c r="G304" s="29" t="str">
        <f>IFERROR(IF(SUMIFS(tblDaily[TransfersOut],tblDaily[EntryDate],DATE(2026,8,25),tblDaily[WardCode],"ICU")=0,"",SUMIFS(tblDaily[TransfersOut],tblDaily[EntryDate],DATE(2026,8,25),tblDaily[WardCode],"ICU")),"")</f>
        <v/>
      </c>
      <c r="H304" s="29" t="str">
        <f>IFERROR(IF(SUMIFS(tblDaily[Remaining],tblDaily[EntryDate],DATE(2026,8,25),tblDaily[WardCode],"ICU")=0,"",SUMIFS(tblDaily[Remaining],tblDaily[EntryDate],DATE(2026,8,25),tblDaily[WardCode],"ICU")),"")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IFERROR(IF(SUMIFS(tblDaily[Admissions],tblDaily[EntryDate],DATE(2026,8,26),tblDaily[WardCode],"ICU")=0,"",SUMIFS(tblDaily[Admissions],tblDaily[EntryDate],DATE(2026,8,26),tblDaily[WardCode],"ICU")),"")</f>
        <v/>
      </c>
      <c r="C305" s="29" t="str">
        <f>IFERROR(IF(SUMIFS(tblDaily[Discharges],tblDaily[EntryDate],DATE(2026,8,26),tblDaily[WardCode],"ICU")=0,"",SUMIFS(tblDaily[Discharges],tblDaily[EntryDate],DATE(2026,8,26),tblDaily[WardCode],"ICU")),"")</f>
        <v/>
      </c>
      <c r="D305" s="29" t="str">
        <f>IFERROR(IF(SUMIFS(tblDaily[Deaths],tblDaily[EntryDate],DATE(2026,8,26),tblDaily[WardCode],"ICU")=0,"",SUMIFS(tblDaily[Deaths],tblDaily[EntryDate],DATE(2026,8,26),tblDaily[WardCode],"ICU")),"")</f>
        <v/>
      </c>
      <c r="E305" s="29" t="str">
        <f>IFERROR(IF(SUMIFS(tblDaily[DeathsUnder24Hrs],tblDaily[EntryDate],DATE(2026,8,26),tblDaily[WardCode],"ICU")=0,"",SUMIFS(tblDaily[DeathsUnder24Hrs],tblDaily[EntryDate],DATE(2026,8,26),tblDaily[WardCode],"ICU")),"")</f>
        <v/>
      </c>
      <c r="F305" s="29" t="str">
        <f>IFERROR(IF(SUMIFS(tblDaily[TransfersIn],tblDaily[EntryDate],DATE(2026,8,26),tblDaily[WardCode],"ICU")=0,"",SUMIFS(tblDaily[TransfersIn],tblDaily[EntryDate],DATE(2026,8,26),tblDaily[WardCode],"ICU")),"")</f>
        <v/>
      </c>
      <c r="G305" s="29" t="str">
        <f>IFERROR(IF(SUMIFS(tblDaily[TransfersOut],tblDaily[EntryDate],DATE(2026,8,26),tblDaily[WardCode],"ICU")=0,"",SUMIFS(tblDaily[TransfersOut],tblDaily[EntryDate],DATE(2026,8,26),tblDaily[WardCode],"ICU")),"")</f>
        <v/>
      </c>
      <c r="H305" s="29" t="str">
        <f>IFERROR(IF(SUMIFS(tblDaily[Remaining],tblDaily[EntryDate],DATE(2026,8,26),tblDaily[WardCode],"ICU")=0,"",SUMIFS(tblDaily[Remaining],tblDaily[EntryDate],DATE(2026,8,26),tblDaily[WardCode],"ICU")),"")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IFERROR(IF(SUMIFS(tblDaily[Admissions],tblDaily[EntryDate],DATE(2026,8,27),tblDaily[WardCode],"ICU")=0,"",SUMIFS(tblDaily[Admissions],tblDaily[EntryDate],DATE(2026,8,27),tblDaily[WardCode],"ICU")),"")</f>
        <v/>
      </c>
      <c r="C306" s="29" t="str">
        <f>IFERROR(IF(SUMIFS(tblDaily[Discharges],tblDaily[EntryDate],DATE(2026,8,27),tblDaily[WardCode],"ICU")=0,"",SUMIFS(tblDaily[Discharges],tblDaily[EntryDate],DATE(2026,8,27),tblDaily[WardCode],"ICU")),"")</f>
        <v/>
      </c>
      <c r="D306" s="29" t="str">
        <f>IFERROR(IF(SUMIFS(tblDaily[Deaths],tblDaily[EntryDate],DATE(2026,8,27),tblDaily[WardCode],"ICU")=0,"",SUMIFS(tblDaily[Deaths],tblDaily[EntryDate],DATE(2026,8,27),tblDaily[WardCode],"ICU")),"")</f>
        <v/>
      </c>
      <c r="E306" s="29" t="str">
        <f>IFERROR(IF(SUMIFS(tblDaily[DeathsUnder24Hrs],tblDaily[EntryDate],DATE(2026,8,27),tblDaily[WardCode],"ICU")=0,"",SUMIFS(tblDaily[DeathsUnder24Hrs],tblDaily[EntryDate],DATE(2026,8,27),tblDaily[WardCode],"ICU")),"")</f>
        <v/>
      </c>
      <c r="F306" s="29" t="str">
        <f>IFERROR(IF(SUMIFS(tblDaily[TransfersIn],tblDaily[EntryDate],DATE(2026,8,27),tblDaily[WardCode],"ICU")=0,"",SUMIFS(tblDaily[TransfersIn],tblDaily[EntryDate],DATE(2026,8,27),tblDaily[WardCode],"ICU")),"")</f>
        <v/>
      </c>
      <c r="G306" s="29" t="str">
        <f>IFERROR(IF(SUMIFS(tblDaily[TransfersOut],tblDaily[EntryDate],DATE(2026,8,27),tblDaily[WardCode],"ICU")=0,"",SUMIFS(tblDaily[TransfersOut],tblDaily[EntryDate],DATE(2026,8,27),tblDaily[WardCode],"ICU")),"")</f>
        <v/>
      </c>
      <c r="H306" s="29" t="str">
        <f>IFERROR(IF(SUMIFS(tblDaily[Remaining],tblDaily[EntryDate],DATE(2026,8,27),tblDaily[WardCode],"ICU")=0,"",SUMIFS(tblDaily[Remaining],tblDaily[EntryDate],DATE(2026,8,27),tblDaily[WardCode],"ICU")),"")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IFERROR(IF(SUMIFS(tblDaily[Admissions],tblDaily[EntryDate],DATE(2026,8,28),tblDaily[WardCode],"ICU")=0,"",SUMIFS(tblDaily[Admissions],tblDaily[EntryDate],DATE(2026,8,28),tblDaily[WardCode],"ICU")),"")</f>
        <v/>
      </c>
      <c r="C307" s="29" t="str">
        <f>IFERROR(IF(SUMIFS(tblDaily[Discharges],tblDaily[EntryDate],DATE(2026,8,28),tblDaily[WardCode],"ICU")=0,"",SUMIFS(tblDaily[Discharges],tblDaily[EntryDate],DATE(2026,8,28),tblDaily[WardCode],"ICU")),"")</f>
        <v/>
      </c>
      <c r="D307" s="29" t="str">
        <f>IFERROR(IF(SUMIFS(tblDaily[Deaths],tblDaily[EntryDate],DATE(2026,8,28),tblDaily[WardCode],"ICU")=0,"",SUMIFS(tblDaily[Deaths],tblDaily[EntryDate],DATE(2026,8,28),tblDaily[WardCode],"ICU")),"")</f>
        <v/>
      </c>
      <c r="E307" s="29" t="str">
        <f>IFERROR(IF(SUMIFS(tblDaily[DeathsUnder24Hrs],tblDaily[EntryDate],DATE(2026,8,28),tblDaily[WardCode],"ICU")=0,"",SUMIFS(tblDaily[DeathsUnder24Hrs],tblDaily[EntryDate],DATE(2026,8,28),tblDaily[WardCode],"ICU")),"")</f>
        <v/>
      </c>
      <c r="F307" s="29" t="str">
        <f>IFERROR(IF(SUMIFS(tblDaily[TransfersIn],tblDaily[EntryDate],DATE(2026,8,28),tblDaily[WardCode],"ICU")=0,"",SUMIFS(tblDaily[TransfersIn],tblDaily[EntryDate],DATE(2026,8,28),tblDaily[WardCode],"ICU")),"")</f>
        <v/>
      </c>
      <c r="G307" s="29" t="str">
        <f>IFERROR(IF(SUMIFS(tblDaily[TransfersOut],tblDaily[EntryDate],DATE(2026,8,28),tblDaily[WardCode],"ICU")=0,"",SUMIFS(tblDaily[TransfersOut],tblDaily[EntryDate],DATE(2026,8,28),tblDaily[WardCode],"ICU")),"")</f>
        <v/>
      </c>
      <c r="H307" s="29" t="str">
        <f>IFERROR(IF(SUMIFS(tblDaily[Remaining],tblDaily[EntryDate],DATE(2026,8,28),tblDaily[WardCode],"ICU")=0,"",SUMIFS(tblDaily[Remaining],tblDaily[EntryDate],DATE(2026,8,28),tblDaily[WardCode],"ICU")),"")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IFERROR(IF(SUMIFS(tblDaily[Admissions],tblDaily[EntryDate],DATE(2026,8,29),tblDaily[WardCode],"ICU")=0,"",SUMIFS(tblDaily[Admissions],tblDaily[EntryDate],DATE(2026,8,29),tblDaily[WardCode],"ICU")),"")</f>
        <v/>
      </c>
      <c r="C308" s="29" t="str">
        <f>IFERROR(IF(SUMIFS(tblDaily[Discharges],tblDaily[EntryDate],DATE(2026,8,29),tblDaily[WardCode],"ICU")=0,"",SUMIFS(tblDaily[Discharges],tblDaily[EntryDate],DATE(2026,8,29),tblDaily[WardCode],"ICU")),"")</f>
        <v/>
      </c>
      <c r="D308" s="29" t="str">
        <f>IFERROR(IF(SUMIFS(tblDaily[Deaths],tblDaily[EntryDate],DATE(2026,8,29),tblDaily[WardCode],"ICU")=0,"",SUMIFS(tblDaily[Deaths],tblDaily[EntryDate],DATE(2026,8,29),tblDaily[WardCode],"ICU")),"")</f>
        <v/>
      </c>
      <c r="E308" s="29" t="str">
        <f>IFERROR(IF(SUMIFS(tblDaily[DeathsUnder24Hrs],tblDaily[EntryDate],DATE(2026,8,29),tblDaily[WardCode],"ICU")=0,"",SUMIFS(tblDaily[DeathsUnder24Hrs],tblDaily[EntryDate],DATE(2026,8,29),tblDaily[WardCode],"ICU")),"")</f>
        <v/>
      </c>
      <c r="F308" s="29" t="str">
        <f>IFERROR(IF(SUMIFS(tblDaily[TransfersIn],tblDaily[EntryDate],DATE(2026,8,29),tblDaily[WardCode],"ICU")=0,"",SUMIFS(tblDaily[TransfersIn],tblDaily[EntryDate],DATE(2026,8,29),tblDaily[WardCode],"ICU")),"")</f>
        <v/>
      </c>
      <c r="G308" s="29" t="str">
        <f>IFERROR(IF(SUMIFS(tblDaily[TransfersOut],tblDaily[EntryDate],DATE(2026,8,29),tblDaily[WardCode],"ICU")=0,"",SUMIFS(tblDaily[TransfersOut],tblDaily[EntryDate],DATE(2026,8,29),tblDaily[WardCode],"ICU")),"")</f>
        <v/>
      </c>
      <c r="H308" s="29" t="str">
        <f>IFERROR(IF(SUMIFS(tblDaily[Remaining],tblDaily[EntryDate],DATE(2026,8,29),tblDaily[WardCode],"ICU")=0,"",SUMIFS(tblDaily[Remaining],tblDaily[EntryDate],DATE(2026,8,29),tblDaily[WardCode],"ICU")),"")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IFERROR(IF(SUMIFS(tblDaily[Admissions],tblDaily[EntryDate],DATE(2026,8,30),tblDaily[WardCode],"ICU")=0,"",SUMIFS(tblDaily[Admissions],tblDaily[EntryDate],DATE(2026,8,30),tblDaily[WardCode],"ICU")),"")</f>
        <v/>
      </c>
      <c r="C309" s="29" t="str">
        <f>IFERROR(IF(SUMIFS(tblDaily[Discharges],tblDaily[EntryDate],DATE(2026,8,30),tblDaily[WardCode],"ICU")=0,"",SUMIFS(tblDaily[Discharges],tblDaily[EntryDate],DATE(2026,8,30),tblDaily[WardCode],"ICU")),"")</f>
        <v/>
      </c>
      <c r="D309" s="29" t="str">
        <f>IFERROR(IF(SUMIFS(tblDaily[Deaths],tblDaily[EntryDate],DATE(2026,8,30),tblDaily[WardCode],"ICU")=0,"",SUMIFS(tblDaily[Deaths],tblDaily[EntryDate],DATE(2026,8,30),tblDaily[WardCode],"ICU")),"")</f>
        <v/>
      </c>
      <c r="E309" s="29" t="str">
        <f>IFERROR(IF(SUMIFS(tblDaily[DeathsUnder24Hrs],tblDaily[EntryDate],DATE(2026,8,30),tblDaily[WardCode],"ICU")=0,"",SUMIFS(tblDaily[DeathsUnder24Hrs],tblDaily[EntryDate],DATE(2026,8,30),tblDaily[WardCode],"ICU")),"")</f>
        <v/>
      </c>
      <c r="F309" s="29" t="str">
        <f>IFERROR(IF(SUMIFS(tblDaily[TransfersIn],tblDaily[EntryDate],DATE(2026,8,30),tblDaily[WardCode],"ICU")=0,"",SUMIFS(tblDaily[TransfersIn],tblDaily[EntryDate],DATE(2026,8,30),tblDaily[WardCode],"ICU")),"")</f>
        <v/>
      </c>
      <c r="G309" s="29" t="str">
        <f>IFERROR(IF(SUMIFS(tblDaily[TransfersOut],tblDaily[EntryDate],DATE(2026,8,30),tblDaily[WardCode],"ICU")=0,"",SUMIFS(tblDaily[TransfersOut],tblDaily[EntryDate],DATE(2026,8,30),tblDaily[WardCode],"ICU")),"")</f>
        <v/>
      </c>
      <c r="H309" s="29" t="str">
        <f>IFERROR(IF(SUMIFS(tblDaily[Remaining],tblDaily[EntryDate],DATE(2026,8,30),tblDaily[WardCode],"ICU")=0,"",SUMIFS(tblDaily[Remaining],tblDaily[EntryDate],DATE(2026,8,30),tblDaily[WardCode],"ICU")),"")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IFERROR(IF(SUMIFS(tblDaily[Admissions],tblDaily[EntryDate],DATE(2026,8,31),tblDaily[WardCode],"ICU")=0,"",SUMIFS(tblDaily[Admissions],tblDaily[EntryDate],DATE(2026,8,31),tblDaily[WardCode],"ICU")),"")</f>
        <v/>
      </c>
      <c r="C310" s="29" t="str">
        <f>IFERROR(IF(SUMIFS(tblDaily[Discharges],tblDaily[EntryDate],DATE(2026,8,31),tblDaily[WardCode],"ICU")=0,"",SUMIFS(tblDaily[Discharges],tblDaily[EntryDate],DATE(2026,8,31),tblDaily[WardCode],"ICU")),"")</f>
        <v/>
      </c>
      <c r="D310" s="29" t="str">
        <f>IFERROR(IF(SUMIFS(tblDaily[Deaths],tblDaily[EntryDate],DATE(2026,8,31),tblDaily[WardCode],"ICU")=0,"",SUMIFS(tblDaily[Deaths],tblDaily[EntryDate],DATE(2026,8,31),tblDaily[WardCode],"ICU")),"")</f>
        <v/>
      </c>
      <c r="E310" s="29" t="str">
        <f>IFERROR(IF(SUMIFS(tblDaily[DeathsUnder24Hrs],tblDaily[EntryDate],DATE(2026,8,31),tblDaily[WardCode],"ICU")=0,"",SUMIFS(tblDaily[DeathsUnder24Hrs],tblDaily[EntryDate],DATE(2026,8,31),tblDaily[WardCode],"ICU")),"")</f>
        <v/>
      </c>
      <c r="F310" s="29" t="str">
        <f>IFERROR(IF(SUMIFS(tblDaily[TransfersIn],tblDaily[EntryDate],DATE(2026,8,31),tblDaily[WardCode],"ICU")=0,"",SUMIFS(tblDaily[TransfersIn],tblDaily[EntryDate],DATE(2026,8,31),tblDaily[WardCode],"ICU")),"")</f>
        <v/>
      </c>
      <c r="G310" s="29" t="str">
        <f>IFERROR(IF(SUMIFS(tblDaily[TransfersOut],tblDaily[EntryDate],DATE(2026,8,31),tblDaily[WardCode],"ICU")=0,"",SUMIFS(tblDaily[TransfersOut],tblDaily[EntryDate],DATE(2026,8,31),tblDaily[WardCode],"ICU")),"")</f>
        <v/>
      </c>
      <c r="H310" s="29" t="str">
        <f>IFERROR(IF(SUMIFS(tblDaily[Remaining],tblDaily[EntryDate],DATE(2026,8,31),tblDaily[WardCode],"ICU")=0,"",SUMIFS(tblDaily[Remaining],tblDaily[EntryDate],DATE(2026,8,31),tblDaily[WardCode],"ICU")),"")</f>
        <v/>
      </c>
    </row>
    <row r="311" spans="1:8" x14ac:dyDescent="0.25">
      <c r="A311" s="30" t="s">
        <v>115</v>
      </c>
      <c r="B311" s="30">
        <f>SUMIFS(tblDaily[Admissions],tblDaily[Month],8,tblDaily[WardCode],"ICU") - SUMIFS(tblDaily[DeathsUnder24Hrs],tblDaily[Month],8,tblDaily[WardCode],"ICU")</f>
        <v>0</v>
      </c>
      <c r="C311" s="30">
        <f>SUMIFS(tblDaily[Discharges],tblDaily[Month],8,tblDaily[WardCode],"ICU")</f>
        <v>0</v>
      </c>
      <c r="D311" s="30">
        <f>SUMIFS(tblDaily[Deaths],tblDaily[Month],8,tblDaily[WardCode],"ICU")</f>
        <v>0</v>
      </c>
      <c r="E311" s="30">
        <f>SUMIFS(tblDaily[DeathsUnder24Hrs],tblDaily[Month],8,tblDaily[WardCode],"ICU")</f>
        <v>0</v>
      </c>
      <c r="F311" s="30">
        <f>SUMIFS(tblDaily[TransfersIn],tblDaily[Month],8,tblDaily[WardCode],"ICU")</f>
        <v>0</v>
      </c>
      <c r="G311" s="30">
        <f>SUMIFS(tblDaily[TransfersOut],tblDaily[Month],8,tblDaily[WardCode],"ICU")</f>
        <v>0</v>
      </c>
      <c r="H311" s="30">
        <f>SUMIFS(tblDaily[Remaining],tblDaily[Month],8,tblDaily[WardCode],"ICU")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104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105</v>
      </c>
      <c r="E315" s="25" t="s">
        <v>124</v>
      </c>
      <c r="F315" s="24" t="s">
        <v>107</v>
      </c>
      <c r="G315" s="25" t="s">
        <v>71</v>
      </c>
    </row>
    <row r="316" spans="1:8" x14ac:dyDescent="0.25">
      <c r="A316" s="24" t="s">
        <v>108</v>
      </c>
      <c r="H316" s="26">
        <f>IFERROR(SUMIFS(tblDaily[Remaining],tblDaily[EntryDate],DATE(2026,8,31),tblDaily[WardCode],"ICU"),0)</f>
        <v>0</v>
      </c>
    </row>
    <row r="317" spans="1:8" x14ac:dyDescent="0.25">
      <c r="A317" s="24" t="s">
        <v>109</v>
      </c>
      <c r="H317" s="27">
        <f>IFERROR(INDEX(tblWardConfig[BedComplement],MATCH("ICU",tblWardConfig[WardCode],0)),0)</f>
        <v>4</v>
      </c>
    </row>
    <row r="318" spans="1:8" ht="38.25" x14ac:dyDescent="0.25">
      <c r="A318" s="28" t="s">
        <v>110</v>
      </c>
      <c r="B318" s="28" t="s">
        <v>77</v>
      </c>
      <c r="C318" s="28" t="s">
        <v>78</v>
      </c>
      <c r="D318" s="28" t="s">
        <v>79</v>
      </c>
      <c r="E318" s="28" t="s">
        <v>111</v>
      </c>
      <c r="F318" s="28" t="s">
        <v>112</v>
      </c>
      <c r="G318" s="28" t="s">
        <v>113</v>
      </c>
      <c r="H318" s="28" t="s">
        <v>114</v>
      </c>
    </row>
    <row r="319" spans="1:8" x14ac:dyDescent="0.25">
      <c r="A319" s="29">
        <v>1</v>
      </c>
      <c r="B319" s="29" t="str">
        <f>IFERROR(IF(SUMIFS(tblDaily[Admissions],tblDaily[EntryDate],DATE(2026,9,1),tblDaily[WardCode],"ICU")=0,"",SUMIFS(tblDaily[Admissions],tblDaily[EntryDate],DATE(2026,9,1),tblDaily[WardCode],"ICU")),"")</f>
        <v/>
      </c>
      <c r="C319" s="29" t="str">
        <f>IFERROR(IF(SUMIFS(tblDaily[Discharges],tblDaily[EntryDate],DATE(2026,9,1),tblDaily[WardCode],"ICU")=0,"",SUMIFS(tblDaily[Discharges],tblDaily[EntryDate],DATE(2026,9,1),tblDaily[WardCode],"ICU")),"")</f>
        <v/>
      </c>
      <c r="D319" s="29" t="str">
        <f>IFERROR(IF(SUMIFS(tblDaily[Deaths],tblDaily[EntryDate],DATE(2026,9,1),tblDaily[WardCode],"ICU")=0,"",SUMIFS(tblDaily[Deaths],tblDaily[EntryDate],DATE(2026,9,1),tblDaily[WardCode],"ICU")),"")</f>
        <v/>
      </c>
      <c r="E319" s="29" t="str">
        <f>IFERROR(IF(SUMIFS(tblDaily[DeathsUnder24Hrs],tblDaily[EntryDate],DATE(2026,9,1),tblDaily[WardCode],"ICU")=0,"",SUMIFS(tblDaily[DeathsUnder24Hrs],tblDaily[EntryDate],DATE(2026,9,1),tblDaily[WardCode],"ICU")),"")</f>
        <v/>
      </c>
      <c r="F319" s="29" t="str">
        <f>IFERROR(IF(SUMIFS(tblDaily[TransfersIn],tblDaily[EntryDate],DATE(2026,9,1),tblDaily[WardCode],"ICU")=0,"",SUMIFS(tblDaily[TransfersIn],tblDaily[EntryDate],DATE(2026,9,1),tblDaily[WardCode],"ICU")),"")</f>
        <v/>
      </c>
      <c r="G319" s="29" t="str">
        <f>IFERROR(IF(SUMIFS(tblDaily[TransfersOut],tblDaily[EntryDate],DATE(2026,9,1),tblDaily[WardCode],"ICU")=0,"",SUMIFS(tblDaily[TransfersOut],tblDaily[EntryDate],DATE(2026,9,1),tblDaily[WardCode],"ICU")),"")</f>
        <v/>
      </c>
      <c r="H319" s="29" t="str">
        <f>IFERROR(IF(SUMIFS(tblDaily[Remaining],tblDaily[EntryDate],DATE(2026,9,1),tblDaily[WardCode],"ICU")=0,"",SUMIFS(tblDaily[Remaining],tblDaily[EntryDate],DATE(2026,9,1),tblDaily[WardCode],"ICU")),"")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IFERROR(IF(SUMIFS(tblDaily[Admissions],tblDaily[EntryDate],DATE(2026,9,2),tblDaily[WardCode],"ICU")=0,"",SUMIFS(tblDaily[Admissions],tblDaily[EntryDate],DATE(2026,9,2),tblDaily[WardCode],"ICU")),"")</f>
        <v/>
      </c>
      <c r="C320" s="29" t="str">
        <f>IFERROR(IF(SUMIFS(tblDaily[Discharges],tblDaily[EntryDate],DATE(2026,9,2),tblDaily[WardCode],"ICU")=0,"",SUMIFS(tblDaily[Discharges],tblDaily[EntryDate],DATE(2026,9,2),tblDaily[WardCode],"ICU")),"")</f>
        <v/>
      </c>
      <c r="D320" s="29" t="str">
        <f>IFERROR(IF(SUMIFS(tblDaily[Deaths],tblDaily[EntryDate],DATE(2026,9,2),tblDaily[WardCode],"ICU")=0,"",SUMIFS(tblDaily[Deaths],tblDaily[EntryDate],DATE(2026,9,2),tblDaily[WardCode],"ICU")),"")</f>
        <v/>
      </c>
      <c r="E320" s="29" t="str">
        <f>IFERROR(IF(SUMIFS(tblDaily[DeathsUnder24Hrs],tblDaily[EntryDate],DATE(2026,9,2),tblDaily[WardCode],"ICU")=0,"",SUMIFS(tblDaily[DeathsUnder24Hrs],tblDaily[EntryDate],DATE(2026,9,2),tblDaily[WardCode],"ICU")),"")</f>
        <v/>
      </c>
      <c r="F320" s="29" t="str">
        <f>IFERROR(IF(SUMIFS(tblDaily[TransfersIn],tblDaily[EntryDate],DATE(2026,9,2),tblDaily[WardCode],"ICU")=0,"",SUMIFS(tblDaily[TransfersIn],tblDaily[EntryDate],DATE(2026,9,2),tblDaily[WardCode],"ICU")),"")</f>
        <v/>
      </c>
      <c r="G320" s="29" t="str">
        <f>IFERROR(IF(SUMIFS(tblDaily[TransfersOut],tblDaily[EntryDate],DATE(2026,9,2),tblDaily[WardCode],"ICU")=0,"",SUMIFS(tblDaily[TransfersOut],tblDaily[EntryDate],DATE(2026,9,2),tblDaily[WardCode],"ICU")),"")</f>
        <v/>
      </c>
      <c r="H320" s="29" t="str">
        <f>IFERROR(IF(SUMIFS(tblDaily[Remaining],tblDaily[EntryDate],DATE(2026,9,2),tblDaily[WardCode],"ICU")=0,"",SUMIFS(tblDaily[Remaining],tblDaily[EntryDate],DATE(2026,9,2),tblDaily[WardCode],"ICU")),"")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IFERROR(IF(SUMIFS(tblDaily[Admissions],tblDaily[EntryDate],DATE(2026,9,3),tblDaily[WardCode],"ICU")=0,"",SUMIFS(tblDaily[Admissions],tblDaily[EntryDate],DATE(2026,9,3),tblDaily[WardCode],"ICU")),"")</f>
        <v/>
      </c>
      <c r="C321" s="29" t="str">
        <f>IFERROR(IF(SUMIFS(tblDaily[Discharges],tblDaily[EntryDate],DATE(2026,9,3),tblDaily[WardCode],"ICU")=0,"",SUMIFS(tblDaily[Discharges],tblDaily[EntryDate],DATE(2026,9,3),tblDaily[WardCode],"ICU")),"")</f>
        <v/>
      </c>
      <c r="D321" s="29" t="str">
        <f>IFERROR(IF(SUMIFS(tblDaily[Deaths],tblDaily[EntryDate],DATE(2026,9,3),tblDaily[WardCode],"ICU")=0,"",SUMIFS(tblDaily[Deaths],tblDaily[EntryDate],DATE(2026,9,3),tblDaily[WardCode],"ICU")),"")</f>
        <v/>
      </c>
      <c r="E321" s="29" t="str">
        <f>IFERROR(IF(SUMIFS(tblDaily[DeathsUnder24Hrs],tblDaily[EntryDate],DATE(2026,9,3),tblDaily[WardCode],"ICU")=0,"",SUMIFS(tblDaily[DeathsUnder24Hrs],tblDaily[EntryDate],DATE(2026,9,3),tblDaily[WardCode],"ICU")),"")</f>
        <v/>
      </c>
      <c r="F321" s="29" t="str">
        <f>IFERROR(IF(SUMIFS(tblDaily[TransfersIn],tblDaily[EntryDate],DATE(2026,9,3),tblDaily[WardCode],"ICU")=0,"",SUMIFS(tblDaily[TransfersIn],tblDaily[EntryDate],DATE(2026,9,3),tblDaily[WardCode],"ICU")),"")</f>
        <v/>
      </c>
      <c r="G321" s="29" t="str">
        <f>IFERROR(IF(SUMIFS(tblDaily[TransfersOut],tblDaily[EntryDate],DATE(2026,9,3),tblDaily[WardCode],"ICU")=0,"",SUMIFS(tblDaily[TransfersOut],tblDaily[EntryDate],DATE(2026,9,3),tblDaily[WardCode],"ICU")),"")</f>
        <v/>
      </c>
      <c r="H321" s="29" t="str">
        <f>IFERROR(IF(SUMIFS(tblDaily[Remaining],tblDaily[EntryDate],DATE(2026,9,3),tblDaily[WardCode],"ICU")=0,"",SUMIFS(tblDaily[Remaining],tblDaily[EntryDate],DATE(2026,9,3),tblDaily[WardCode],"ICU")),"")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IFERROR(IF(SUMIFS(tblDaily[Admissions],tblDaily[EntryDate],DATE(2026,9,4),tblDaily[WardCode],"ICU")=0,"",SUMIFS(tblDaily[Admissions],tblDaily[EntryDate],DATE(2026,9,4),tblDaily[WardCode],"ICU")),"")</f>
        <v/>
      </c>
      <c r="C322" s="29" t="str">
        <f>IFERROR(IF(SUMIFS(tblDaily[Discharges],tblDaily[EntryDate],DATE(2026,9,4),tblDaily[WardCode],"ICU")=0,"",SUMIFS(tblDaily[Discharges],tblDaily[EntryDate],DATE(2026,9,4),tblDaily[WardCode],"ICU")),"")</f>
        <v/>
      </c>
      <c r="D322" s="29" t="str">
        <f>IFERROR(IF(SUMIFS(tblDaily[Deaths],tblDaily[EntryDate],DATE(2026,9,4),tblDaily[WardCode],"ICU")=0,"",SUMIFS(tblDaily[Deaths],tblDaily[EntryDate],DATE(2026,9,4),tblDaily[WardCode],"ICU")),"")</f>
        <v/>
      </c>
      <c r="E322" s="29" t="str">
        <f>IFERROR(IF(SUMIFS(tblDaily[DeathsUnder24Hrs],tblDaily[EntryDate],DATE(2026,9,4),tblDaily[WardCode],"ICU")=0,"",SUMIFS(tblDaily[DeathsUnder24Hrs],tblDaily[EntryDate],DATE(2026,9,4),tblDaily[WardCode],"ICU")),"")</f>
        <v/>
      </c>
      <c r="F322" s="29" t="str">
        <f>IFERROR(IF(SUMIFS(tblDaily[TransfersIn],tblDaily[EntryDate],DATE(2026,9,4),tblDaily[WardCode],"ICU")=0,"",SUMIFS(tblDaily[TransfersIn],tblDaily[EntryDate],DATE(2026,9,4),tblDaily[WardCode],"ICU")),"")</f>
        <v/>
      </c>
      <c r="G322" s="29" t="str">
        <f>IFERROR(IF(SUMIFS(tblDaily[TransfersOut],tblDaily[EntryDate],DATE(2026,9,4),tblDaily[WardCode],"ICU")=0,"",SUMIFS(tblDaily[TransfersOut],tblDaily[EntryDate],DATE(2026,9,4),tblDaily[WardCode],"ICU")),"")</f>
        <v/>
      </c>
      <c r="H322" s="29" t="str">
        <f>IFERROR(IF(SUMIFS(tblDaily[Remaining],tblDaily[EntryDate],DATE(2026,9,4),tblDaily[WardCode],"ICU")=0,"",SUMIFS(tblDaily[Remaining],tblDaily[EntryDate],DATE(2026,9,4),tblDaily[WardCode],"ICU")),"")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IFERROR(IF(SUMIFS(tblDaily[Admissions],tblDaily[EntryDate],DATE(2026,9,5),tblDaily[WardCode],"ICU")=0,"",SUMIFS(tblDaily[Admissions],tblDaily[EntryDate],DATE(2026,9,5),tblDaily[WardCode],"ICU")),"")</f>
        <v/>
      </c>
      <c r="C323" s="29" t="str">
        <f>IFERROR(IF(SUMIFS(tblDaily[Discharges],tblDaily[EntryDate],DATE(2026,9,5),tblDaily[WardCode],"ICU")=0,"",SUMIFS(tblDaily[Discharges],tblDaily[EntryDate],DATE(2026,9,5),tblDaily[WardCode],"ICU")),"")</f>
        <v/>
      </c>
      <c r="D323" s="29" t="str">
        <f>IFERROR(IF(SUMIFS(tblDaily[Deaths],tblDaily[EntryDate],DATE(2026,9,5),tblDaily[WardCode],"ICU")=0,"",SUMIFS(tblDaily[Deaths],tblDaily[EntryDate],DATE(2026,9,5),tblDaily[WardCode],"ICU")),"")</f>
        <v/>
      </c>
      <c r="E323" s="29" t="str">
        <f>IFERROR(IF(SUMIFS(tblDaily[DeathsUnder24Hrs],tblDaily[EntryDate],DATE(2026,9,5),tblDaily[WardCode],"ICU")=0,"",SUMIFS(tblDaily[DeathsUnder24Hrs],tblDaily[EntryDate],DATE(2026,9,5),tblDaily[WardCode],"ICU")),"")</f>
        <v/>
      </c>
      <c r="F323" s="29" t="str">
        <f>IFERROR(IF(SUMIFS(tblDaily[TransfersIn],tblDaily[EntryDate],DATE(2026,9,5),tblDaily[WardCode],"ICU")=0,"",SUMIFS(tblDaily[TransfersIn],tblDaily[EntryDate],DATE(2026,9,5),tblDaily[WardCode],"ICU")),"")</f>
        <v/>
      </c>
      <c r="G323" s="29" t="str">
        <f>IFERROR(IF(SUMIFS(tblDaily[TransfersOut],tblDaily[EntryDate],DATE(2026,9,5),tblDaily[WardCode],"ICU")=0,"",SUMIFS(tblDaily[TransfersOut],tblDaily[EntryDate],DATE(2026,9,5),tblDaily[WardCode],"ICU")),"")</f>
        <v/>
      </c>
      <c r="H323" s="29" t="str">
        <f>IFERROR(IF(SUMIFS(tblDaily[Remaining],tblDaily[EntryDate],DATE(2026,9,5),tblDaily[WardCode],"ICU")=0,"",SUMIFS(tblDaily[Remaining],tblDaily[EntryDate],DATE(2026,9,5),tblDaily[WardCode],"ICU")),"")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IFERROR(IF(SUMIFS(tblDaily[Admissions],tblDaily[EntryDate],DATE(2026,9,6),tblDaily[WardCode],"ICU")=0,"",SUMIFS(tblDaily[Admissions],tblDaily[EntryDate],DATE(2026,9,6),tblDaily[WardCode],"ICU")),"")</f>
        <v/>
      </c>
      <c r="C324" s="29" t="str">
        <f>IFERROR(IF(SUMIFS(tblDaily[Discharges],tblDaily[EntryDate],DATE(2026,9,6),tblDaily[WardCode],"ICU")=0,"",SUMIFS(tblDaily[Discharges],tblDaily[EntryDate],DATE(2026,9,6),tblDaily[WardCode],"ICU")),"")</f>
        <v/>
      </c>
      <c r="D324" s="29" t="str">
        <f>IFERROR(IF(SUMIFS(tblDaily[Deaths],tblDaily[EntryDate],DATE(2026,9,6),tblDaily[WardCode],"ICU")=0,"",SUMIFS(tblDaily[Deaths],tblDaily[EntryDate],DATE(2026,9,6),tblDaily[WardCode],"ICU")),"")</f>
        <v/>
      </c>
      <c r="E324" s="29" t="str">
        <f>IFERROR(IF(SUMIFS(tblDaily[DeathsUnder24Hrs],tblDaily[EntryDate],DATE(2026,9,6),tblDaily[WardCode],"ICU")=0,"",SUMIFS(tblDaily[DeathsUnder24Hrs],tblDaily[EntryDate],DATE(2026,9,6),tblDaily[WardCode],"ICU")),"")</f>
        <v/>
      </c>
      <c r="F324" s="29" t="str">
        <f>IFERROR(IF(SUMIFS(tblDaily[TransfersIn],tblDaily[EntryDate],DATE(2026,9,6),tblDaily[WardCode],"ICU")=0,"",SUMIFS(tblDaily[TransfersIn],tblDaily[EntryDate],DATE(2026,9,6),tblDaily[WardCode],"ICU")),"")</f>
        <v/>
      </c>
      <c r="G324" s="29" t="str">
        <f>IFERROR(IF(SUMIFS(tblDaily[TransfersOut],tblDaily[EntryDate],DATE(2026,9,6),tblDaily[WardCode],"ICU")=0,"",SUMIFS(tblDaily[TransfersOut],tblDaily[EntryDate],DATE(2026,9,6),tblDaily[WardCode],"ICU")),"")</f>
        <v/>
      </c>
      <c r="H324" s="29" t="str">
        <f>IFERROR(IF(SUMIFS(tblDaily[Remaining],tblDaily[EntryDate],DATE(2026,9,6),tblDaily[WardCode],"ICU")=0,"",SUMIFS(tblDaily[Remaining],tblDaily[EntryDate],DATE(2026,9,6),tblDaily[WardCode],"ICU")),"")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IFERROR(IF(SUMIFS(tblDaily[Admissions],tblDaily[EntryDate],DATE(2026,9,7),tblDaily[WardCode],"ICU")=0,"",SUMIFS(tblDaily[Admissions],tblDaily[EntryDate],DATE(2026,9,7),tblDaily[WardCode],"ICU")),"")</f>
        <v/>
      </c>
      <c r="C325" s="29" t="str">
        <f>IFERROR(IF(SUMIFS(tblDaily[Discharges],tblDaily[EntryDate],DATE(2026,9,7),tblDaily[WardCode],"ICU")=0,"",SUMIFS(tblDaily[Discharges],tblDaily[EntryDate],DATE(2026,9,7),tblDaily[WardCode],"ICU")),"")</f>
        <v/>
      </c>
      <c r="D325" s="29" t="str">
        <f>IFERROR(IF(SUMIFS(tblDaily[Deaths],tblDaily[EntryDate],DATE(2026,9,7),tblDaily[WardCode],"ICU")=0,"",SUMIFS(tblDaily[Deaths],tblDaily[EntryDate],DATE(2026,9,7),tblDaily[WardCode],"ICU")),"")</f>
        <v/>
      </c>
      <c r="E325" s="29" t="str">
        <f>IFERROR(IF(SUMIFS(tblDaily[DeathsUnder24Hrs],tblDaily[EntryDate],DATE(2026,9,7),tblDaily[WardCode],"ICU")=0,"",SUMIFS(tblDaily[DeathsUnder24Hrs],tblDaily[EntryDate],DATE(2026,9,7),tblDaily[WardCode],"ICU")),"")</f>
        <v/>
      </c>
      <c r="F325" s="29" t="str">
        <f>IFERROR(IF(SUMIFS(tblDaily[TransfersIn],tblDaily[EntryDate],DATE(2026,9,7),tblDaily[WardCode],"ICU")=0,"",SUMIFS(tblDaily[TransfersIn],tblDaily[EntryDate],DATE(2026,9,7),tblDaily[WardCode],"ICU")),"")</f>
        <v/>
      </c>
      <c r="G325" s="29" t="str">
        <f>IFERROR(IF(SUMIFS(tblDaily[TransfersOut],tblDaily[EntryDate],DATE(2026,9,7),tblDaily[WardCode],"ICU")=0,"",SUMIFS(tblDaily[TransfersOut],tblDaily[EntryDate],DATE(2026,9,7),tblDaily[WardCode],"ICU")),"")</f>
        <v/>
      </c>
      <c r="H325" s="29" t="str">
        <f>IFERROR(IF(SUMIFS(tblDaily[Remaining],tblDaily[EntryDate],DATE(2026,9,7),tblDaily[WardCode],"ICU")=0,"",SUMIFS(tblDaily[Remaining],tblDaily[EntryDate],DATE(2026,9,7),tblDaily[WardCode],"ICU")),"")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IFERROR(IF(SUMIFS(tblDaily[Admissions],tblDaily[EntryDate],DATE(2026,9,8),tblDaily[WardCode],"ICU")=0,"",SUMIFS(tblDaily[Admissions],tblDaily[EntryDate],DATE(2026,9,8),tblDaily[WardCode],"ICU")),"")</f>
        <v/>
      </c>
      <c r="C326" s="29" t="str">
        <f>IFERROR(IF(SUMIFS(tblDaily[Discharges],tblDaily[EntryDate],DATE(2026,9,8),tblDaily[WardCode],"ICU")=0,"",SUMIFS(tblDaily[Discharges],tblDaily[EntryDate],DATE(2026,9,8),tblDaily[WardCode],"ICU")),"")</f>
        <v/>
      </c>
      <c r="D326" s="29" t="str">
        <f>IFERROR(IF(SUMIFS(tblDaily[Deaths],tblDaily[EntryDate],DATE(2026,9,8),tblDaily[WardCode],"ICU")=0,"",SUMIFS(tblDaily[Deaths],tblDaily[EntryDate],DATE(2026,9,8),tblDaily[WardCode],"ICU")),"")</f>
        <v/>
      </c>
      <c r="E326" s="29" t="str">
        <f>IFERROR(IF(SUMIFS(tblDaily[DeathsUnder24Hrs],tblDaily[EntryDate],DATE(2026,9,8),tblDaily[WardCode],"ICU")=0,"",SUMIFS(tblDaily[DeathsUnder24Hrs],tblDaily[EntryDate],DATE(2026,9,8),tblDaily[WardCode],"ICU")),"")</f>
        <v/>
      </c>
      <c r="F326" s="29" t="str">
        <f>IFERROR(IF(SUMIFS(tblDaily[TransfersIn],tblDaily[EntryDate],DATE(2026,9,8),tblDaily[WardCode],"ICU")=0,"",SUMIFS(tblDaily[TransfersIn],tblDaily[EntryDate],DATE(2026,9,8),tblDaily[WardCode],"ICU")),"")</f>
        <v/>
      </c>
      <c r="G326" s="29" t="str">
        <f>IFERROR(IF(SUMIFS(tblDaily[TransfersOut],tblDaily[EntryDate],DATE(2026,9,8),tblDaily[WardCode],"ICU")=0,"",SUMIFS(tblDaily[TransfersOut],tblDaily[EntryDate],DATE(2026,9,8),tblDaily[WardCode],"ICU")),"")</f>
        <v/>
      </c>
      <c r="H326" s="29" t="str">
        <f>IFERROR(IF(SUMIFS(tblDaily[Remaining],tblDaily[EntryDate],DATE(2026,9,8),tblDaily[WardCode],"ICU")=0,"",SUMIFS(tblDaily[Remaining],tblDaily[EntryDate],DATE(2026,9,8),tblDaily[WardCode],"ICU")),"")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IFERROR(IF(SUMIFS(tblDaily[Admissions],tblDaily[EntryDate],DATE(2026,9,9),tblDaily[WardCode],"ICU")=0,"",SUMIFS(tblDaily[Admissions],tblDaily[EntryDate],DATE(2026,9,9),tblDaily[WardCode],"ICU")),"")</f>
        <v/>
      </c>
      <c r="C327" s="29" t="str">
        <f>IFERROR(IF(SUMIFS(tblDaily[Discharges],tblDaily[EntryDate],DATE(2026,9,9),tblDaily[WardCode],"ICU")=0,"",SUMIFS(tblDaily[Discharges],tblDaily[EntryDate],DATE(2026,9,9),tblDaily[WardCode],"ICU")),"")</f>
        <v/>
      </c>
      <c r="D327" s="29" t="str">
        <f>IFERROR(IF(SUMIFS(tblDaily[Deaths],tblDaily[EntryDate],DATE(2026,9,9),tblDaily[WardCode],"ICU")=0,"",SUMIFS(tblDaily[Deaths],tblDaily[EntryDate],DATE(2026,9,9),tblDaily[WardCode],"ICU")),"")</f>
        <v/>
      </c>
      <c r="E327" s="29" t="str">
        <f>IFERROR(IF(SUMIFS(tblDaily[DeathsUnder24Hrs],tblDaily[EntryDate],DATE(2026,9,9),tblDaily[WardCode],"ICU")=0,"",SUMIFS(tblDaily[DeathsUnder24Hrs],tblDaily[EntryDate],DATE(2026,9,9),tblDaily[WardCode],"ICU")),"")</f>
        <v/>
      </c>
      <c r="F327" s="29" t="str">
        <f>IFERROR(IF(SUMIFS(tblDaily[TransfersIn],tblDaily[EntryDate],DATE(2026,9,9),tblDaily[WardCode],"ICU")=0,"",SUMIFS(tblDaily[TransfersIn],tblDaily[EntryDate],DATE(2026,9,9),tblDaily[WardCode],"ICU")),"")</f>
        <v/>
      </c>
      <c r="G327" s="29" t="str">
        <f>IFERROR(IF(SUMIFS(tblDaily[TransfersOut],tblDaily[EntryDate],DATE(2026,9,9),tblDaily[WardCode],"ICU")=0,"",SUMIFS(tblDaily[TransfersOut],tblDaily[EntryDate],DATE(2026,9,9),tblDaily[WardCode],"ICU")),"")</f>
        <v/>
      </c>
      <c r="H327" s="29" t="str">
        <f>IFERROR(IF(SUMIFS(tblDaily[Remaining],tblDaily[EntryDate],DATE(2026,9,9),tblDaily[WardCode],"ICU")=0,"",SUMIFS(tblDaily[Remaining],tblDaily[EntryDate],DATE(2026,9,9),tblDaily[WardCode],"ICU")),"")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IFERROR(IF(SUMIFS(tblDaily[Admissions],tblDaily[EntryDate],DATE(2026,9,10),tblDaily[WardCode],"ICU")=0,"",SUMIFS(tblDaily[Admissions],tblDaily[EntryDate],DATE(2026,9,10),tblDaily[WardCode],"ICU")),"")</f>
        <v/>
      </c>
      <c r="C328" s="29" t="str">
        <f>IFERROR(IF(SUMIFS(tblDaily[Discharges],tblDaily[EntryDate],DATE(2026,9,10),tblDaily[WardCode],"ICU")=0,"",SUMIFS(tblDaily[Discharges],tblDaily[EntryDate],DATE(2026,9,10),tblDaily[WardCode],"ICU")),"")</f>
        <v/>
      </c>
      <c r="D328" s="29" t="str">
        <f>IFERROR(IF(SUMIFS(tblDaily[Deaths],tblDaily[EntryDate],DATE(2026,9,10),tblDaily[WardCode],"ICU")=0,"",SUMIFS(tblDaily[Deaths],tblDaily[EntryDate],DATE(2026,9,10),tblDaily[WardCode],"ICU")),"")</f>
        <v/>
      </c>
      <c r="E328" s="29" t="str">
        <f>IFERROR(IF(SUMIFS(tblDaily[DeathsUnder24Hrs],tblDaily[EntryDate],DATE(2026,9,10),tblDaily[WardCode],"ICU")=0,"",SUMIFS(tblDaily[DeathsUnder24Hrs],tblDaily[EntryDate],DATE(2026,9,10),tblDaily[WardCode],"ICU")),"")</f>
        <v/>
      </c>
      <c r="F328" s="29" t="str">
        <f>IFERROR(IF(SUMIFS(tblDaily[TransfersIn],tblDaily[EntryDate],DATE(2026,9,10),tblDaily[WardCode],"ICU")=0,"",SUMIFS(tblDaily[TransfersIn],tblDaily[EntryDate],DATE(2026,9,10),tblDaily[WardCode],"ICU")),"")</f>
        <v/>
      </c>
      <c r="G328" s="29" t="str">
        <f>IFERROR(IF(SUMIFS(tblDaily[TransfersOut],tblDaily[EntryDate],DATE(2026,9,10),tblDaily[WardCode],"ICU")=0,"",SUMIFS(tblDaily[TransfersOut],tblDaily[EntryDate],DATE(2026,9,10),tblDaily[WardCode],"ICU")),"")</f>
        <v/>
      </c>
      <c r="H328" s="29" t="str">
        <f>IFERROR(IF(SUMIFS(tblDaily[Remaining],tblDaily[EntryDate],DATE(2026,9,10),tblDaily[WardCode],"ICU")=0,"",SUMIFS(tblDaily[Remaining],tblDaily[EntryDate],DATE(2026,9,10),tblDaily[WardCode],"ICU")),"")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IFERROR(IF(SUMIFS(tblDaily[Admissions],tblDaily[EntryDate],DATE(2026,9,11),tblDaily[WardCode],"ICU")=0,"",SUMIFS(tblDaily[Admissions],tblDaily[EntryDate],DATE(2026,9,11),tblDaily[WardCode],"ICU")),"")</f>
        <v/>
      </c>
      <c r="C329" s="29" t="str">
        <f>IFERROR(IF(SUMIFS(tblDaily[Discharges],tblDaily[EntryDate],DATE(2026,9,11),tblDaily[WardCode],"ICU")=0,"",SUMIFS(tblDaily[Discharges],tblDaily[EntryDate],DATE(2026,9,11),tblDaily[WardCode],"ICU")),"")</f>
        <v/>
      </c>
      <c r="D329" s="29" t="str">
        <f>IFERROR(IF(SUMIFS(tblDaily[Deaths],tblDaily[EntryDate],DATE(2026,9,11),tblDaily[WardCode],"ICU")=0,"",SUMIFS(tblDaily[Deaths],tblDaily[EntryDate],DATE(2026,9,11),tblDaily[WardCode],"ICU")),"")</f>
        <v/>
      </c>
      <c r="E329" s="29" t="str">
        <f>IFERROR(IF(SUMIFS(tblDaily[DeathsUnder24Hrs],tblDaily[EntryDate],DATE(2026,9,11),tblDaily[WardCode],"ICU")=0,"",SUMIFS(tblDaily[DeathsUnder24Hrs],tblDaily[EntryDate],DATE(2026,9,11),tblDaily[WardCode],"ICU")),"")</f>
        <v/>
      </c>
      <c r="F329" s="29" t="str">
        <f>IFERROR(IF(SUMIFS(tblDaily[TransfersIn],tblDaily[EntryDate],DATE(2026,9,11),tblDaily[WardCode],"ICU")=0,"",SUMIFS(tblDaily[TransfersIn],tblDaily[EntryDate],DATE(2026,9,11),tblDaily[WardCode],"ICU")),"")</f>
        <v/>
      </c>
      <c r="G329" s="29" t="str">
        <f>IFERROR(IF(SUMIFS(tblDaily[TransfersOut],tblDaily[EntryDate],DATE(2026,9,11),tblDaily[WardCode],"ICU")=0,"",SUMIFS(tblDaily[TransfersOut],tblDaily[EntryDate],DATE(2026,9,11),tblDaily[WardCode],"ICU")),"")</f>
        <v/>
      </c>
      <c r="H329" s="29" t="str">
        <f>IFERROR(IF(SUMIFS(tblDaily[Remaining],tblDaily[EntryDate],DATE(2026,9,11),tblDaily[WardCode],"ICU")=0,"",SUMIFS(tblDaily[Remaining],tblDaily[EntryDate],DATE(2026,9,11),tblDaily[WardCode],"ICU")),"")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IFERROR(IF(SUMIFS(tblDaily[Admissions],tblDaily[EntryDate],DATE(2026,9,12),tblDaily[WardCode],"ICU")=0,"",SUMIFS(tblDaily[Admissions],tblDaily[EntryDate],DATE(2026,9,12),tblDaily[WardCode],"ICU")),"")</f>
        <v/>
      </c>
      <c r="C330" s="29" t="str">
        <f>IFERROR(IF(SUMIFS(tblDaily[Discharges],tblDaily[EntryDate],DATE(2026,9,12),tblDaily[WardCode],"ICU")=0,"",SUMIFS(tblDaily[Discharges],tblDaily[EntryDate],DATE(2026,9,12),tblDaily[WardCode],"ICU")),"")</f>
        <v/>
      </c>
      <c r="D330" s="29" t="str">
        <f>IFERROR(IF(SUMIFS(tblDaily[Deaths],tblDaily[EntryDate],DATE(2026,9,12),tblDaily[WardCode],"ICU")=0,"",SUMIFS(tblDaily[Deaths],tblDaily[EntryDate],DATE(2026,9,12),tblDaily[WardCode],"ICU")),"")</f>
        <v/>
      </c>
      <c r="E330" s="29" t="str">
        <f>IFERROR(IF(SUMIFS(tblDaily[DeathsUnder24Hrs],tblDaily[EntryDate],DATE(2026,9,12),tblDaily[WardCode],"ICU")=0,"",SUMIFS(tblDaily[DeathsUnder24Hrs],tblDaily[EntryDate],DATE(2026,9,12),tblDaily[WardCode],"ICU")),"")</f>
        <v/>
      </c>
      <c r="F330" s="29" t="str">
        <f>IFERROR(IF(SUMIFS(tblDaily[TransfersIn],tblDaily[EntryDate],DATE(2026,9,12),tblDaily[WardCode],"ICU")=0,"",SUMIFS(tblDaily[TransfersIn],tblDaily[EntryDate],DATE(2026,9,12),tblDaily[WardCode],"ICU")),"")</f>
        <v/>
      </c>
      <c r="G330" s="29" t="str">
        <f>IFERROR(IF(SUMIFS(tblDaily[TransfersOut],tblDaily[EntryDate],DATE(2026,9,12),tblDaily[WardCode],"ICU")=0,"",SUMIFS(tblDaily[TransfersOut],tblDaily[EntryDate],DATE(2026,9,12),tblDaily[WardCode],"ICU")),"")</f>
        <v/>
      </c>
      <c r="H330" s="29" t="str">
        <f>IFERROR(IF(SUMIFS(tblDaily[Remaining],tblDaily[EntryDate],DATE(2026,9,12),tblDaily[WardCode],"ICU")=0,"",SUMIFS(tblDaily[Remaining],tblDaily[EntryDate],DATE(2026,9,12),tblDaily[WardCode],"ICU")),"")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IFERROR(IF(SUMIFS(tblDaily[Admissions],tblDaily[EntryDate],DATE(2026,9,13),tblDaily[WardCode],"ICU")=0,"",SUMIFS(tblDaily[Admissions],tblDaily[EntryDate],DATE(2026,9,13),tblDaily[WardCode],"ICU")),"")</f>
        <v/>
      </c>
      <c r="C331" s="29" t="str">
        <f>IFERROR(IF(SUMIFS(tblDaily[Discharges],tblDaily[EntryDate],DATE(2026,9,13),tblDaily[WardCode],"ICU")=0,"",SUMIFS(tblDaily[Discharges],tblDaily[EntryDate],DATE(2026,9,13),tblDaily[WardCode],"ICU")),"")</f>
        <v/>
      </c>
      <c r="D331" s="29" t="str">
        <f>IFERROR(IF(SUMIFS(tblDaily[Deaths],tblDaily[EntryDate],DATE(2026,9,13),tblDaily[WardCode],"ICU")=0,"",SUMIFS(tblDaily[Deaths],tblDaily[EntryDate],DATE(2026,9,13),tblDaily[WardCode],"ICU")),"")</f>
        <v/>
      </c>
      <c r="E331" s="29" t="str">
        <f>IFERROR(IF(SUMIFS(tblDaily[DeathsUnder24Hrs],tblDaily[EntryDate],DATE(2026,9,13),tblDaily[WardCode],"ICU")=0,"",SUMIFS(tblDaily[DeathsUnder24Hrs],tblDaily[EntryDate],DATE(2026,9,13),tblDaily[WardCode],"ICU")),"")</f>
        <v/>
      </c>
      <c r="F331" s="29" t="str">
        <f>IFERROR(IF(SUMIFS(tblDaily[TransfersIn],tblDaily[EntryDate],DATE(2026,9,13),tblDaily[WardCode],"ICU")=0,"",SUMIFS(tblDaily[TransfersIn],tblDaily[EntryDate],DATE(2026,9,13),tblDaily[WardCode],"ICU")),"")</f>
        <v/>
      </c>
      <c r="G331" s="29" t="str">
        <f>IFERROR(IF(SUMIFS(tblDaily[TransfersOut],tblDaily[EntryDate],DATE(2026,9,13),tblDaily[WardCode],"ICU")=0,"",SUMIFS(tblDaily[TransfersOut],tblDaily[EntryDate],DATE(2026,9,13),tblDaily[WardCode],"ICU")),"")</f>
        <v/>
      </c>
      <c r="H331" s="29" t="str">
        <f>IFERROR(IF(SUMIFS(tblDaily[Remaining],tblDaily[EntryDate],DATE(2026,9,13),tblDaily[WardCode],"ICU")=0,"",SUMIFS(tblDaily[Remaining],tblDaily[EntryDate],DATE(2026,9,13),tblDaily[WardCode],"ICU")),"")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IFERROR(IF(SUMIFS(tblDaily[Admissions],tblDaily[EntryDate],DATE(2026,9,14),tblDaily[WardCode],"ICU")=0,"",SUMIFS(tblDaily[Admissions],tblDaily[EntryDate],DATE(2026,9,14),tblDaily[WardCode],"ICU")),"")</f>
        <v/>
      </c>
      <c r="C332" s="29" t="str">
        <f>IFERROR(IF(SUMIFS(tblDaily[Discharges],tblDaily[EntryDate],DATE(2026,9,14),tblDaily[WardCode],"ICU")=0,"",SUMIFS(tblDaily[Discharges],tblDaily[EntryDate],DATE(2026,9,14),tblDaily[WardCode],"ICU")),"")</f>
        <v/>
      </c>
      <c r="D332" s="29" t="str">
        <f>IFERROR(IF(SUMIFS(tblDaily[Deaths],tblDaily[EntryDate],DATE(2026,9,14),tblDaily[WardCode],"ICU")=0,"",SUMIFS(tblDaily[Deaths],tblDaily[EntryDate],DATE(2026,9,14),tblDaily[WardCode],"ICU")),"")</f>
        <v/>
      </c>
      <c r="E332" s="29" t="str">
        <f>IFERROR(IF(SUMIFS(tblDaily[DeathsUnder24Hrs],tblDaily[EntryDate],DATE(2026,9,14),tblDaily[WardCode],"ICU")=0,"",SUMIFS(tblDaily[DeathsUnder24Hrs],tblDaily[EntryDate],DATE(2026,9,14),tblDaily[WardCode],"ICU")),"")</f>
        <v/>
      </c>
      <c r="F332" s="29" t="str">
        <f>IFERROR(IF(SUMIFS(tblDaily[TransfersIn],tblDaily[EntryDate],DATE(2026,9,14),tblDaily[WardCode],"ICU")=0,"",SUMIFS(tblDaily[TransfersIn],tblDaily[EntryDate],DATE(2026,9,14),tblDaily[WardCode],"ICU")),"")</f>
        <v/>
      </c>
      <c r="G332" s="29" t="str">
        <f>IFERROR(IF(SUMIFS(tblDaily[TransfersOut],tblDaily[EntryDate],DATE(2026,9,14),tblDaily[WardCode],"ICU")=0,"",SUMIFS(tblDaily[TransfersOut],tblDaily[EntryDate],DATE(2026,9,14),tblDaily[WardCode],"ICU")),"")</f>
        <v/>
      </c>
      <c r="H332" s="29" t="str">
        <f>IFERROR(IF(SUMIFS(tblDaily[Remaining],tblDaily[EntryDate],DATE(2026,9,14),tblDaily[WardCode],"ICU")=0,"",SUMIFS(tblDaily[Remaining],tblDaily[EntryDate],DATE(2026,9,14),tblDaily[WardCode],"ICU")),"")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IFERROR(IF(SUMIFS(tblDaily[Admissions],tblDaily[EntryDate],DATE(2026,9,15),tblDaily[WardCode],"ICU")=0,"",SUMIFS(tblDaily[Admissions],tblDaily[EntryDate],DATE(2026,9,15),tblDaily[WardCode],"ICU")),"")</f>
        <v/>
      </c>
      <c r="C333" s="29" t="str">
        <f>IFERROR(IF(SUMIFS(tblDaily[Discharges],tblDaily[EntryDate],DATE(2026,9,15),tblDaily[WardCode],"ICU")=0,"",SUMIFS(tblDaily[Discharges],tblDaily[EntryDate],DATE(2026,9,15),tblDaily[WardCode],"ICU")),"")</f>
        <v/>
      </c>
      <c r="D333" s="29" t="str">
        <f>IFERROR(IF(SUMIFS(tblDaily[Deaths],tblDaily[EntryDate],DATE(2026,9,15),tblDaily[WardCode],"ICU")=0,"",SUMIFS(tblDaily[Deaths],tblDaily[EntryDate],DATE(2026,9,15),tblDaily[WardCode],"ICU")),"")</f>
        <v/>
      </c>
      <c r="E333" s="29" t="str">
        <f>IFERROR(IF(SUMIFS(tblDaily[DeathsUnder24Hrs],tblDaily[EntryDate],DATE(2026,9,15),tblDaily[WardCode],"ICU")=0,"",SUMIFS(tblDaily[DeathsUnder24Hrs],tblDaily[EntryDate],DATE(2026,9,15),tblDaily[WardCode],"ICU")),"")</f>
        <v/>
      </c>
      <c r="F333" s="29" t="str">
        <f>IFERROR(IF(SUMIFS(tblDaily[TransfersIn],tblDaily[EntryDate],DATE(2026,9,15),tblDaily[WardCode],"ICU")=0,"",SUMIFS(tblDaily[TransfersIn],tblDaily[EntryDate],DATE(2026,9,15),tblDaily[WardCode],"ICU")),"")</f>
        <v/>
      </c>
      <c r="G333" s="29" t="str">
        <f>IFERROR(IF(SUMIFS(tblDaily[TransfersOut],tblDaily[EntryDate],DATE(2026,9,15),tblDaily[WardCode],"ICU")=0,"",SUMIFS(tblDaily[TransfersOut],tblDaily[EntryDate],DATE(2026,9,15),tblDaily[WardCode],"ICU")),"")</f>
        <v/>
      </c>
      <c r="H333" s="29" t="str">
        <f>IFERROR(IF(SUMIFS(tblDaily[Remaining],tblDaily[EntryDate],DATE(2026,9,15),tblDaily[WardCode],"ICU")=0,"",SUMIFS(tblDaily[Remaining],tblDaily[EntryDate],DATE(2026,9,15),tblDaily[WardCode],"ICU")),"")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IFERROR(IF(SUMIFS(tblDaily[Admissions],tblDaily[EntryDate],DATE(2026,9,16),tblDaily[WardCode],"ICU")=0,"",SUMIFS(tblDaily[Admissions],tblDaily[EntryDate],DATE(2026,9,16),tblDaily[WardCode],"ICU")),"")</f>
        <v/>
      </c>
      <c r="C334" s="29" t="str">
        <f>IFERROR(IF(SUMIFS(tblDaily[Discharges],tblDaily[EntryDate],DATE(2026,9,16),tblDaily[WardCode],"ICU")=0,"",SUMIFS(tblDaily[Discharges],tblDaily[EntryDate],DATE(2026,9,16),tblDaily[WardCode],"ICU")),"")</f>
        <v/>
      </c>
      <c r="D334" s="29" t="str">
        <f>IFERROR(IF(SUMIFS(tblDaily[Deaths],tblDaily[EntryDate],DATE(2026,9,16),tblDaily[WardCode],"ICU")=0,"",SUMIFS(tblDaily[Deaths],tblDaily[EntryDate],DATE(2026,9,16),tblDaily[WardCode],"ICU")),"")</f>
        <v/>
      </c>
      <c r="E334" s="29" t="str">
        <f>IFERROR(IF(SUMIFS(tblDaily[DeathsUnder24Hrs],tblDaily[EntryDate],DATE(2026,9,16),tblDaily[WardCode],"ICU")=0,"",SUMIFS(tblDaily[DeathsUnder24Hrs],tblDaily[EntryDate],DATE(2026,9,16),tblDaily[WardCode],"ICU")),"")</f>
        <v/>
      </c>
      <c r="F334" s="29" t="str">
        <f>IFERROR(IF(SUMIFS(tblDaily[TransfersIn],tblDaily[EntryDate],DATE(2026,9,16),tblDaily[WardCode],"ICU")=0,"",SUMIFS(tblDaily[TransfersIn],tblDaily[EntryDate],DATE(2026,9,16),tblDaily[WardCode],"ICU")),"")</f>
        <v/>
      </c>
      <c r="G334" s="29" t="str">
        <f>IFERROR(IF(SUMIFS(tblDaily[TransfersOut],tblDaily[EntryDate],DATE(2026,9,16),tblDaily[WardCode],"ICU")=0,"",SUMIFS(tblDaily[TransfersOut],tblDaily[EntryDate],DATE(2026,9,16),tblDaily[WardCode],"ICU")),"")</f>
        <v/>
      </c>
      <c r="H334" s="29" t="str">
        <f>IFERROR(IF(SUMIFS(tblDaily[Remaining],tblDaily[EntryDate],DATE(2026,9,16),tblDaily[WardCode],"ICU")=0,"",SUMIFS(tblDaily[Remaining],tblDaily[EntryDate],DATE(2026,9,16),tblDaily[WardCode],"ICU")),"")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IFERROR(IF(SUMIFS(tblDaily[Admissions],tblDaily[EntryDate],DATE(2026,9,17),tblDaily[WardCode],"ICU")=0,"",SUMIFS(tblDaily[Admissions],tblDaily[EntryDate],DATE(2026,9,17),tblDaily[WardCode],"ICU")),"")</f>
        <v/>
      </c>
      <c r="C335" s="29" t="str">
        <f>IFERROR(IF(SUMIFS(tblDaily[Discharges],tblDaily[EntryDate],DATE(2026,9,17),tblDaily[WardCode],"ICU")=0,"",SUMIFS(tblDaily[Discharges],tblDaily[EntryDate],DATE(2026,9,17),tblDaily[WardCode],"ICU")),"")</f>
        <v/>
      </c>
      <c r="D335" s="29" t="str">
        <f>IFERROR(IF(SUMIFS(tblDaily[Deaths],tblDaily[EntryDate],DATE(2026,9,17),tblDaily[WardCode],"ICU")=0,"",SUMIFS(tblDaily[Deaths],tblDaily[EntryDate],DATE(2026,9,17),tblDaily[WardCode],"ICU")),"")</f>
        <v/>
      </c>
      <c r="E335" s="29" t="str">
        <f>IFERROR(IF(SUMIFS(tblDaily[DeathsUnder24Hrs],tblDaily[EntryDate],DATE(2026,9,17),tblDaily[WardCode],"ICU")=0,"",SUMIFS(tblDaily[DeathsUnder24Hrs],tblDaily[EntryDate],DATE(2026,9,17),tblDaily[WardCode],"ICU")),"")</f>
        <v/>
      </c>
      <c r="F335" s="29" t="str">
        <f>IFERROR(IF(SUMIFS(tblDaily[TransfersIn],tblDaily[EntryDate],DATE(2026,9,17),tblDaily[WardCode],"ICU")=0,"",SUMIFS(tblDaily[TransfersIn],tblDaily[EntryDate],DATE(2026,9,17),tblDaily[WardCode],"ICU")),"")</f>
        <v/>
      </c>
      <c r="G335" s="29" t="str">
        <f>IFERROR(IF(SUMIFS(tblDaily[TransfersOut],tblDaily[EntryDate],DATE(2026,9,17),tblDaily[WardCode],"ICU")=0,"",SUMIFS(tblDaily[TransfersOut],tblDaily[EntryDate],DATE(2026,9,17),tblDaily[WardCode],"ICU")),"")</f>
        <v/>
      </c>
      <c r="H335" s="29" t="str">
        <f>IFERROR(IF(SUMIFS(tblDaily[Remaining],tblDaily[EntryDate],DATE(2026,9,17),tblDaily[WardCode],"ICU")=0,"",SUMIFS(tblDaily[Remaining],tblDaily[EntryDate],DATE(2026,9,17),tblDaily[WardCode],"ICU")),"")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IFERROR(IF(SUMIFS(tblDaily[Admissions],tblDaily[EntryDate],DATE(2026,9,18),tblDaily[WardCode],"ICU")=0,"",SUMIFS(tblDaily[Admissions],tblDaily[EntryDate],DATE(2026,9,18),tblDaily[WardCode],"ICU")),"")</f>
        <v/>
      </c>
      <c r="C336" s="29" t="str">
        <f>IFERROR(IF(SUMIFS(tblDaily[Discharges],tblDaily[EntryDate],DATE(2026,9,18),tblDaily[WardCode],"ICU")=0,"",SUMIFS(tblDaily[Discharges],tblDaily[EntryDate],DATE(2026,9,18),tblDaily[WardCode],"ICU")),"")</f>
        <v/>
      </c>
      <c r="D336" s="29" t="str">
        <f>IFERROR(IF(SUMIFS(tblDaily[Deaths],tblDaily[EntryDate],DATE(2026,9,18),tblDaily[WardCode],"ICU")=0,"",SUMIFS(tblDaily[Deaths],tblDaily[EntryDate],DATE(2026,9,18),tblDaily[WardCode],"ICU")),"")</f>
        <v/>
      </c>
      <c r="E336" s="29" t="str">
        <f>IFERROR(IF(SUMIFS(tblDaily[DeathsUnder24Hrs],tblDaily[EntryDate],DATE(2026,9,18),tblDaily[WardCode],"ICU")=0,"",SUMIFS(tblDaily[DeathsUnder24Hrs],tblDaily[EntryDate],DATE(2026,9,18),tblDaily[WardCode],"ICU")),"")</f>
        <v/>
      </c>
      <c r="F336" s="29" t="str">
        <f>IFERROR(IF(SUMIFS(tblDaily[TransfersIn],tblDaily[EntryDate],DATE(2026,9,18),tblDaily[WardCode],"ICU")=0,"",SUMIFS(tblDaily[TransfersIn],tblDaily[EntryDate],DATE(2026,9,18),tblDaily[WardCode],"ICU")),"")</f>
        <v/>
      </c>
      <c r="G336" s="29" t="str">
        <f>IFERROR(IF(SUMIFS(tblDaily[TransfersOut],tblDaily[EntryDate],DATE(2026,9,18),tblDaily[WardCode],"ICU")=0,"",SUMIFS(tblDaily[TransfersOut],tblDaily[EntryDate],DATE(2026,9,18),tblDaily[WardCode],"ICU")),"")</f>
        <v/>
      </c>
      <c r="H336" s="29" t="str">
        <f>IFERROR(IF(SUMIFS(tblDaily[Remaining],tblDaily[EntryDate],DATE(2026,9,18),tblDaily[WardCode],"ICU")=0,"",SUMIFS(tblDaily[Remaining],tblDaily[EntryDate],DATE(2026,9,18),tblDaily[WardCode],"ICU")),"")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IFERROR(IF(SUMIFS(tblDaily[Admissions],tblDaily[EntryDate],DATE(2026,9,19),tblDaily[WardCode],"ICU")=0,"",SUMIFS(tblDaily[Admissions],tblDaily[EntryDate],DATE(2026,9,19),tblDaily[WardCode],"ICU")),"")</f>
        <v/>
      </c>
      <c r="C337" s="29" t="str">
        <f>IFERROR(IF(SUMIFS(tblDaily[Discharges],tblDaily[EntryDate],DATE(2026,9,19),tblDaily[WardCode],"ICU")=0,"",SUMIFS(tblDaily[Discharges],tblDaily[EntryDate],DATE(2026,9,19),tblDaily[WardCode],"ICU")),"")</f>
        <v/>
      </c>
      <c r="D337" s="29" t="str">
        <f>IFERROR(IF(SUMIFS(tblDaily[Deaths],tblDaily[EntryDate],DATE(2026,9,19),tblDaily[WardCode],"ICU")=0,"",SUMIFS(tblDaily[Deaths],tblDaily[EntryDate],DATE(2026,9,19),tblDaily[WardCode],"ICU")),"")</f>
        <v/>
      </c>
      <c r="E337" s="29" t="str">
        <f>IFERROR(IF(SUMIFS(tblDaily[DeathsUnder24Hrs],tblDaily[EntryDate],DATE(2026,9,19),tblDaily[WardCode],"ICU")=0,"",SUMIFS(tblDaily[DeathsUnder24Hrs],tblDaily[EntryDate],DATE(2026,9,19),tblDaily[WardCode],"ICU")),"")</f>
        <v/>
      </c>
      <c r="F337" s="29" t="str">
        <f>IFERROR(IF(SUMIFS(tblDaily[TransfersIn],tblDaily[EntryDate],DATE(2026,9,19),tblDaily[WardCode],"ICU")=0,"",SUMIFS(tblDaily[TransfersIn],tblDaily[EntryDate],DATE(2026,9,19),tblDaily[WardCode],"ICU")),"")</f>
        <v/>
      </c>
      <c r="G337" s="29" t="str">
        <f>IFERROR(IF(SUMIFS(tblDaily[TransfersOut],tblDaily[EntryDate],DATE(2026,9,19),tblDaily[WardCode],"ICU")=0,"",SUMIFS(tblDaily[TransfersOut],tblDaily[EntryDate],DATE(2026,9,19),tblDaily[WardCode],"ICU")),"")</f>
        <v/>
      </c>
      <c r="H337" s="29" t="str">
        <f>IFERROR(IF(SUMIFS(tblDaily[Remaining],tblDaily[EntryDate],DATE(2026,9,19),tblDaily[WardCode],"ICU")=0,"",SUMIFS(tblDaily[Remaining],tblDaily[EntryDate],DATE(2026,9,19),tblDaily[WardCode],"ICU")),"")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IFERROR(IF(SUMIFS(tblDaily[Admissions],tblDaily[EntryDate],DATE(2026,9,20),tblDaily[WardCode],"ICU")=0,"",SUMIFS(tblDaily[Admissions],tblDaily[EntryDate],DATE(2026,9,20),tblDaily[WardCode],"ICU")),"")</f>
        <v/>
      </c>
      <c r="C338" s="29" t="str">
        <f>IFERROR(IF(SUMIFS(tblDaily[Discharges],tblDaily[EntryDate],DATE(2026,9,20),tblDaily[WardCode],"ICU")=0,"",SUMIFS(tblDaily[Discharges],tblDaily[EntryDate],DATE(2026,9,20),tblDaily[WardCode],"ICU")),"")</f>
        <v/>
      </c>
      <c r="D338" s="29" t="str">
        <f>IFERROR(IF(SUMIFS(tblDaily[Deaths],tblDaily[EntryDate],DATE(2026,9,20),tblDaily[WardCode],"ICU")=0,"",SUMIFS(tblDaily[Deaths],tblDaily[EntryDate],DATE(2026,9,20),tblDaily[WardCode],"ICU")),"")</f>
        <v/>
      </c>
      <c r="E338" s="29" t="str">
        <f>IFERROR(IF(SUMIFS(tblDaily[DeathsUnder24Hrs],tblDaily[EntryDate],DATE(2026,9,20),tblDaily[WardCode],"ICU")=0,"",SUMIFS(tblDaily[DeathsUnder24Hrs],tblDaily[EntryDate],DATE(2026,9,20),tblDaily[WardCode],"ICU")),"")</f>
        <v/>
      </c>
      <c r="F338" s="29" t="str">
        <f>IFERROR(IF(SUMIFS(tblDaily[TransfersIn],tblDaily[EntryDate],DATE(2026,9,20),tblDaily[WardCode],"ICU")=0,"",SUMIFS(tblDaily[TransfersIn],tblDaily[EntryDate],DATE(2026,9,20),tblDaily[WardCode],"ICU")),"")</f>
        <v/>
      </c>
      <c r="G338" s="29" t="str">
        <f>IFERROR(IF(SUMIFS(tblDaily[TransfersOut],tblDaily[EntryDate],DATE(2026,9,20),tblDaily[WardCode],"ICU")=0,"",SUMIFS(tblDaily[TransfersOut],tblDaily[EntryDate],DATE(2026,9,20),tblDaily[WardCode],"ICU")),"")</f>
        <v/>
      </c>
      <c r="H338" s="29" t="str">
        <f>IFERROR(IF(SUMIFS(tblDaily[Remaining],tblDaily[EntryDate],DATE(2026,9,20),tblDaily[WardCode],"ICU")=0,"",SUMIFS(tblDaily[Remaining],tblDaily[EntryDate],DATE(2026,9,20),tblDaily[WardCode],"ICU")),"")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IFERROR(IF(SUMIFS(tblDaily[Admissions],tblDaily[EntryDate],DATE(2026,9,21),tblDaily[WardCode],"ICU")=0,"",SUMIFS(tblDaily[Admissions],tblDaily[EntryDate],DATE(2026,9,21),tblDaily[WardCode],"ICU")),"")</f>
        <v/>
      </c>
      <c r="C339" s="29" t="str">
        <f>IFERROR(IF(SUMIFS(tblDaily[Discharges],tblDaily[EntryDate],DATE(2026,9,21),tblDaily[WardCode],"ICU")=0,"",SUMIFS(tblDaily[Discharges],tblDaily[EntryDate],DATE(2026,9,21),tblDaily[WardCode],"ICU")),"")</f>
        <v/>
      </c>
      <c r="D339" s="29" t="str">
        <f>IFERROR(IF(SUMIFS(tblDaily[Deaths],tblDaily[EntryDate],DATE(2026,9,21),tblDaily[WardCode],"ICU")=0,"",SUMIFS(tblDaily[Deaths],tblDaily[EntryDate],DATE(2026,9,21),tblDaily[WardCode],"ICU")),"")</f>
        <v/>
      </c>
      <c r="E339" s="29" t="str">
        <f>IFERROR(IF(SUMIFS(tblDaily[DeathsUnder24Hrs],tblDaily[EntryDate],DATE(2026,9,21),tblDaily[WardCode],"ICU")=0,"",SUMIFS(tblDaily[DeathsUnder24Hrs],tblDaily[EntryDate],DATE(2026,9,21),tblDaily[WardCode],"ICU")),"")</f>
        <v/>
      </c>
      <c r="F339" s="29" t="str">
        <f>IFERROR(IF(SUMIFS(tblDaily[TransfersIn],tblDaily[EntryDate],DATE(2026,9,21),tblDaily[WardCode],"ICU")=0,"",SUMIFS(tblDaily[TransfersIn],tblDaily[EntryDate],DATE(2026,9,21),tblDaily[WardCode],"ICU")),"")</f>
        <v/>
      </c>
      <c r="G339" s="29" t="str">
        <f>IFERROR(IF(SUMIFS(tblDaily[TransfersOut],tblDaily[EntryDate],DATE(2026,9,21),tblDaily[WardCode],"ICU")=0,"",SUMIFS(tblDaily[TransfersOut],tblDaily[EntryDate],DATE(2026,9,21),tblDaily[WardCode],"ICU")),"")</f>
        <v/>
      </c>
      <c r="H339" s="29" t="str">
        <f>IFERROR(IF(SUMIFS(tblDaily[Remaining],tblDaily[EntryDate],DATE(2026,9,21),tblDaily[WardCode],"ICU")=0,"",SUMIFS(tblDaily[Remaining],tblDaily[EntryDate],DATE(2026,9,21),tblDaily[WardCode],"ICU")),"")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IFERROR(IF(SUMIFS(tblDaily[Admissions],tblDaily[EntryDate],DATE(2026,9,22),tblDaily[WardCode],"ICU")=0,"",SUMIFS(tblDaily[Admissions],tblDaily[EntryDate],DATE(2026,9,22),tblDaily[WardCode],"ICU")),"")</f>
        <v/>
      </c>
      <c r="C340" s="29" t="str">
        <f>IFERROR(IF(SUMIFS(tblDaily[Discharges],tblDaily[EntryDate],DATE(2026,9,22),tblDaily[WardCode],"ICU")=0,"",SUMIFS(tblDaily[Discharges],tblDaily[EntryDate],DATE(2026,9,22),tblDaily[WardCode],"ICU")),"")</f>
        <v/>
      </c>
      <c r="D340" s="29" t="str">
        <f>IFERROR(IF(SUMIFS(tblDaily[Deaths],tblDaily[EntryDate],DATE(2026,9,22),tblDaily[WardCode],"ICU")=0,"",SUMIFS(tblDaily[Deaths],tblDaily[EntryDate],DATE(2026,9,22),tblDaily[WardCode],"ICU")),"")</f>
        <v/>
      </c>
      <c r="E340" s="29" t="str">
        <f>IFERROR(IF(SUMIFS(tblDaily[DeathsUnder24Hrs],tblDaily[EntryDate],DATE(2026,9,22),tblDaily[WardCode],"ICU")=0,"",SUMIFS(tblDaily[DeathsUnder24Hrs],tblDaily[EntryDate],DATE(2026,9,22),tblDaily[WardCode],"ICU")),"")</f>
        <v/>
      </c>
      <c r="F340" s="29" t="str">
        <f>IFERROR(IF(SUMIFS(tblDaily[TransfersIn],tblDaily[EntryDate],DATE(2026,9,22),tblDaily[WardCode],"ICU")=0,"",SUMIFS(tblDaily[TransfersIn],tblDaily[EntryDate],DATE(2026,9,22),tblDaily[WardCode],"ICU")),"")</f>
        <v/>
      </c>
      <c r="G340" s="29" t="str">
        <f>IFERROR(IF(SUMIFS(tblDaily[TransfersOut],tblDaily[EntryDate],DATE(2026,9,22),tblDaily[WardCode],"ICU")=0,"",SUMIFS(tblDaily[TransfersOut],tblDaily[EntryDate],DATE(2026,9,22),tblDaily[WardCode],"ICU")),"")</f>
        <v/>
      </c>
      <c r="H340" s="29" t="str">
        <f>IFERROR(IF(SUMIFS(tblDaily[Remaining],tblDaily[EntryDate],DATE(2026,9,22),tblDaily[WardCode],"ICU")=0,"",SUMIFS(tblDaily[Remaining],tblDaily[EntryDate],DATE(2026,9,22),tblDaily[WardCode],"ICU")),"")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IFERROR(IF(SUMIFS(tblDaily[Admissions],tblDaily[EntryDate],DATE(2026,9,23),tblDaily[WardCode],"ICU")=0,"",SUMIFS(tblDaily[Admissions],tblDaily[EntryDate],DATE(2026,9,23),tblDaily[WardCode],"ICU")),"")</f>
        <v/>
      </c>
      <c r="C341" s="29" t="str">
        <f>IFERROR(IF(SUMIFS(tblDaily[Discharges],tblDaily[EntryDate],DATE(2026,9,23),tblDaily[WardCode],"ICU")=0,"",SUMIFS(tblDaily[Discharges],tblDaily[EntryDate],DATE(2026,9,23),tblDaily[WardCode],"ICU")),"")</f>
        <v/>
      </c>
      <c r="D341" s="29" t="str">
        <f>IFERROR(IF(SUMIFS(tblDaily[Deaths],tblDaily[EntryDate],DATE(2026,9,23),tblDaily[WardCode],"ICU")=0,"",SUMIFS(tblDaily[Deaths],tblDaily[EntryDate],DATE(2026,9,23),tblDaily[WardCode],"ICU")),"")</f>
        <v/>
      </c>
      <c r="E341" s="29" t="str">
        <f>IFERROR(IF(SUMIFS(tblDaily[DeathsUnder24Hrs],tblDaily[EntryDate],DATE(2026,9,23),tblDaily[WardCode],"ICU")=0,"",SUMIFS(tblDaily[DeathsUnder24Hrs],tblDaily[EntryDate],DATE(2026,9,23),tblDaily[WardCode],"ICU")),"")</f>
        <v/>
      </c>
      <c r="F341" s="29" t="str">
        <f>IFERROR(IF(SUMIFS(tblDaily[TransfersIn],tblDaily[EntryDate],DATE(2026,9,23),tblDaily[WardCode],"ICU")=0,"",SUMIFS(tblDaily[TransfersIn],tblDaily[EntryDate],DATE(2026,9,23),tblDaily[WardCode],"ICU")),"")</f>
        <v/>
      </c>
      <c r="G341" s="29" t="str">
        <f>IFERROR(IF(SUMIFS(tblDaily[TransfersOut],tblDaily[EntryDate],DATE(2026,9,23),tblDaily[WardCode],"ICU")=0,"",SUMIFS(tblDaily[TransfersOut],tblDaily[EntryDate],DATE(2026,9,23),tblDaily[WardCode],"ICU")),"")</f>
        <v/>
      </c>
      <c r="H341" s="29" t="str">
        <f>IFERROR(IF(SUMIFS(tblDaily[Remaining],tblDaily[EntryDate],DATE(2026,9,23),tblDaily[WardCode],"ICU")=0,"",SUMIFS(tblDaily[Remaining],tblDaily[EntryDate],DATE(2026,9,23),tblDaily[WardCode],"ICU")),"")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IFERROR(IF(SUMIFS(tblDaily[Admissions],tblDaily[EntryDate],DATE(2026,9,24),tblDaily[WardCode],"ICU")=0,"",SUMIFS(tblDaily[Admissions],tblDaily[EntryDate],DATE(2026,9,24),tblDaily[WardCode],"ICU")),"")</f>
        <v/>
      </c>
      <c r="C342" s="29" t="str">
        <f>IFERROR(IF(SUMIFS(tblDaily[Discharges],tblDaily[EntryDate],DATE(2026,9,24),tblDaily[WardCode],"ICU")=0,"",SUMIFS(tblDaily[Discharges],tblDaily[EntryDate],DATE(2026,9,24),tblDaily[WardCode],"ICU")),"")</f>
        <v/>
      </c>
      <c r="D342" s="29" t="str">
        <f>IFERROR(IF(SUMIFS(tblDaily[Deaths],tblDaily[EntryDate],DATE(2026,9,24),tblDaily[WardCode],"ICU")=0,"",SUMIFS(tblDaily[Deaths],tblDaily[EntryDate],DATE(2026,9,24),tblDaily[WardCode],"ICU")),"")</f>
        <v/>
      </c>
      <c r="E342" s="29" t="str">
        <f>IFERROR(IF(SUMIFS(tblDaily[DeathsUnder24Hrs],tblDaily[EntryDate],DATE(2026,9,24),tblDaily[WardCode],"ICU")=0,"",SUMIFS(tblDaily[DeathsUnder24Hrs],tblDaily[EntryDate],DATE(2026,9,24),tblDaily[WardCode],"ICU")),"")</f>
        <v/>
      </c>
      <c r="F342" s="29" t="str">
        <f>IFERROR(IF(SUMIFS(tblDaily[TransfersIn],tblDaily[EntryDate],DATE(2026,9,24),tblDaily[WardCode],"ICU")=0,"",SUMIFS(tblDaily[TransfersIn],tblDaily[EntryDate],DATE(2026,9,24),tblDaily[WardCode],"ICU")),"")</f>
        <v/>
      </c>
      <c r="G342" s="29" t="str">
        <f>IFERROR(IF(SUMIFS(tblDaily[TransfersOut],tblDaily[EntryDate],DATE(2026,9,24),tblDaily[WardCode],"ICU")=0,"",SUMIFS(tblDaily[TransfersOut],tblDaily[EntryDate],DATE(2026,9,24),tblDaily[WardCode],"ICU")),"")</f>
        <v/>
      </c>
      <c r="H342" s="29" t="str">
        <f>IFERROR(IF(SUMIFS(tblDaily[Remaining],tblDaily[EntryDate],DATE(2026,9,24),tblDaily[WardCode],"ICU")=0,"",SUMIFS(tblDaily[Remaining],tblDaily[EntryDate],DATE(2026,9,24),tblDaily[WardCode],"ICU")),"")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IFERROR(IF(SUMIFS(tblDaily[Admissions],tblDaily[EntryDate],DATE(2026,9,25),tblDaily[WardCode],"ICU")=0,"",SUMIFS(tblDaily[Admissions],tblDaily[EntryDate],DATE(2026,9,25),tblDaily[WardCode],"ICU")),"")</f>
        <v/>
      </c>
      <c r="C343" s="29" t="str">
        <f>IFERROR(IF(SUMIFS(tblDaily[Discharges],tblDaily[EntryDate],DATE(2026,9,25),tblDaily[WardCode],"ICU")=0,"",SUMIFS(tblDaily[Discharges],tblDaily[EntryDate],DATE(2026,9,25),tblDaily[WardCode],"ICU")),"")</f>
        <v/>
      </c>
      <c r="D343" s="29" t="str">
        <f>IFERROR(IF(SUMIFS(tblDaily[Deaths],tblDaily[EntryDate],DATE(2026,9,25),tblDaily[WardCode],"ICU")=0,"",SUMIFS(tblDaily[Deaths],tblDaily[EntryDate],DATE(2026,9,25),tblDaily[WardCode],"ICU")),"")</f>
        <v/>
      </c>
      <c r="E343" s="29" t="str">
        <f>IFERROR(IF(SUMIFS(tblDaily[DeathsUnder24Hrs],tblDaily[EntryDate],DATE(2026,9,25),tblDaily[WardCode],"ICU")=0,"",SUMIFS(tblDaily[DeathsUnder24Hrs],tblDaily[EntryDate],DATE(2026,9,25),tblDaily[WardCode],"ICU")),"")</f>
        <v/>
      </c>
      <c r="F343" s="29" t="str">
        <f>IFERROR(IF(SUMIFS(tblDaily[TransfersIn],tblDaily[EntryDate],DATE(2026,9,25),tblDaily[WardCode],"ICU")=0,"",SUMIFS(tblDaily[TransfersIn],tblDaily[EntryDate],DATE(2026,9,25),tblDaily[WardCode],"ICU")),"")</f>
        <v/>
      </c>
      <c r="G343" s="29" t="str">
        <f>IFERROR(IF(SUMIFS(tblDaily[TransfersOut],tblDaily[EntryDate],DATE(2026,9,25),tblDaily[WardCode],"ICU")=0,"",SUMIFS(tblDaily[TransfersOut],tblDaily[EntryDate],DATE(2026,9,25),tblDaily[WardCode],"ICU")),"")</f>
        <v/>
      </c>
      <c r="H343" s="29" t="str">
        <f>IFERROR(IF(SUMIFS(tblDaily[Remaining],tblDaily[EntryDate],DATE(2026,9,25),tblDaily[WardCode],"ICU")=0,"",SUMIFS(tblDaily[Remaining],tblDaily[EntryDate],DATE(2026,9,25),tblDaily[WardCode],"ICU")),"")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IFERROR(IF(SUMIFS(tblDaily[Admissions],tblDaily[EntryDate],DATE(2026,9,26),tblDaily[WardCode],"ICU")=0,"",SUMIFS(tblDaily[Admissions],tblDaily[EntryDate],DATE(2026,9,26),tblDaily[WardCode],"ICU")),"")</f>
        <v/>
      </c>
      <c r="C344" s="29" t="str">
        <f>IFERROR(IF(SUMIFS(tblDaily[Discharges],tblDaily[EntryDate],DATE(2026,9,26),tblDaily[WardCode],"ICU")=0,"",SUMIFS(tblDaily[Discharges],tblDaily[EntryDate],DATE(2026,9,26),tblDaily[WardCode],"ICU")),"")</f>
        <v/>
      </c>
      <c r="D344" s="29" t="str">
        <f>IFERROR(IF(SUMIFS(tblDaily[Deaths],tblDaily[EntryDate],DATE(2026,9,26),tblDaily[WardCode],"ICU")=0,"",SUMIFS(tblDaily[Deaths],tblDaily[EntryDate],DATE(2026,9,26),tblDaily[WardCode],"ICU")),"")</f>
        <v/>
      </c>
      <c r="E344" s="29" t="str">
        <f>IFERROR(IF(SUMIFS(tblDaily[DeathsUnder24Hrs],tblDaily[EntryDate],DATE(2026,9,26),tblDaily[WardCode],"ICU")=0,"",SUMIFS(tblDaily[DeathsUnder24Hrs],tblDaily[EntryDate],DATE(2026,9,26),tblDaily[WardCode],"ICU")),"")</f>
        <v/>
      </c>
      <c r="F344" s="29" t="str">
        <f>IFERROR(IF(SUMIFS(tblDaily[TransfersIn],tblDaily[EntryDate],DATE(2026,9,26),tblDaily[WardCode],"ICU")=0,"",SUMIFS(tblDaily[TransfersIn],tblDaily[EntryDate],DATE(2026,9,26),tblDaily[WardCode],"ICU")),"")</f>
        <v/>
      </c>
      <c r="G344" s="29" t="str">
        <f>IFERROR(IF(SUMIFS(tblDaily[TransfersOut],tblDaily[EntryDate],DATE(2026,9,26),tblDaily[WardCode],"ICU")=0,"",SUMIFS(tblDaily[TransfersOut],tblDaily[EntryDate],DATE(2026,9,26),tblDaily[WardCode],"ICU")),"")</f>
        <v/>
      </c>
      <c r="H344" s="29" t="str">
        <f>IFERROR(IF(SUMIFS(tblDaily[Remaining],tblDaily[EntryDate],DATE(2026,9,26),tblDaily[WardCode],"ICU")=0,"",SUMIFS(tblDaily[Remaining],tblDaily[EntryDate],DATE(2026,9,26),tblDaily[WardCode],"ICU")),"")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IFERROR(IF(SUMIFS(tblDaily[Admissions],tblDaily[EntryDate],DATE(2026,9,27),tblDaily[WardCode],"ICU")=0,"",SUMIFS(tblDaily[Admissions],tblDaily[EntryDate],DATE(2026,9,27),tblDaily[WardCode],"ICU")),"")</f>
        <v/>
      </c>
      <c r="C345" s="29" t="str">
        <f>IFERROR(IF(SUMIFS(tblDaily[Discharges],tblDaily[EntryDate],DATE(2026,9,27),tblDaily[WardCode],"ICU")=0,"",SUMIFS(tblDaily[Discharges],tblDaily[EntryDate],DATE(2026,9,27),tblDaily[WardCode],"ICU")),"")</f>
        <v/>
      </c>
      <c r="D345" s="29" t="str">
        <f>IFERROR(IF(SUMIFS(tblDaily[Deaths],tblDaily[EntryDate],DATE(2026,9,27),tblDaily[WardCode],"ICU")=0,"",SUMIFS(tblDaily[Deaths],tblDaily[EntryDate],DATE(2026,9,27),tblDaily[WardCode],"ICU")),"")</f>
        <v/>
      </c>
      <c r="E345" s="29" t="str">
        <f>IFERROR(IF(SUMIFS(tblDaily[DeathsUnder24Hrs],tblDaily[EntryDate],DATE(2026,9,27),tblDaily[WardCode],"ICU")=0,"",SUMIFS(tblDaily[DeathsUnder24Hrs],tblDaily[EntryDate],DATE(2026,9,27),tblDaily[WardCode],"ICU")),"")</f>
        <v/>
      </c>
      <c r="F345" s="29" t="str">
        <f>IFERROR(IF(SUMIFS(tblDaily[TransfersIn],tblDaily[EntryDate],DATE(2026,9,27),tblDaily[WardCode],"ICU")=0,"",SUMIFS(tblDaily[TransfersIn],tblDaily[EntryDate],DATE(2026,9,27),tblDaily[WardCode],"ICU")),"")</f>
        <v/>
      </c>
      <c r="G345" s="29" t="str">
        <f>IFERROR(IF(SUMIFS(tblDaily[TransfersOut],tblDaily[EntryDate],DATE(2026,9,27),tblDaily[WardCode],"ICU")=0,"",SUMIFS(tblDaily[TransfersOut],tblDaily[EntryDate],DATE(2026,9,27),tblDaily[WardCode],"ICU")),"")</f>
        <v/>
      </c>
      <c r="H345" s="29" t="str">
        <f>IFERROR(IF(SUMIFS(tblDaily[Remaining],tblDaily[EntryDate],DATE(2026,9,27),tblDaily[WardCode],"ICU")=0,"",SUMIFS(tblDaily[Remaining],tblDaily[EntryDate],DATE(2026,9,27),tblDaily[WardCode],"ICU")),"")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IFERROR(IF(SUMIFS(tblDaily[Admissions],tblDaily[EntryDate],DATE(2026,9,28),tblDaily[WardCode],"ICU")=0,"",SUMIFS(tblDaily[Admissions],tblDaily[EntryDate],DATE(2026,9,28),tblDaily[WardCode],"ICU")),"")</f>
        <v/>
      </c>
      <c r="C346" s="29" t="str">
        <f>IFERROR(IF(SUMIFS(tblDaily[Discharges],tblDaily[EntryDate],DATE(2026,9,28),tblDaily[WardCode],"ICU")=0,"",SUMIFS(tblDaily[Discharges],tblDaily[EntryDate],DATE(2026,9,28),tblDaily[WardCode],"ICU")),"")</f>
        <v/>
      </c>
      <c r="D346" s="29" t="str">
        <f>IFERROR(IF(SUMIFS(tblDaily[Deaths],tblDaily[EntryDate],DATE(2026,9,28),tblDaily[WardCode],"ICU")=0,"",SUMIFS(tblDaily[Deaths],tblDaily[EntryDate],DATE(2026,9,28),tblDaily[WardCode],"ICU")),"")</f>
        <v/>
      </c>
      <c r="E346" s="29" t="str">
        <f>IFERROR(IF(SUMIFS(tblDaily[DeathsUnder24Hrs],tblDaily[EntryDate],DATE(2026,9,28),tblDaily[WardCode],"ICU")=0,"",SUMIFS(tblDaily[DeathsUnder24Hrs],tblDaily[EntryDate],DATE(2026,9,28),tblDaily[WardCode],"ICU")),"")</f>
        <v/>
      </c>
      <c r="F346" s="29" t="str">
        <f>IFERROR(IF(SUMIFS(tblDaily[TransfersIn],tblDaily[EntryDate],DATE(2026,9,28),tblDaily[WardCode],"ICU")=0,"",SUMIFS(tblDaily[TransfersIn],tblDaily[EntryDate],DATE(2026,9,28),tblDaily[WardCode],"ICU")),"")</f>
        <v/>
      </c>
      <c r="G346" s="29" t="str">
        <f>IFERROR(IF(SUMIFS(tblDaily[TransfersOut],tblDaily[EntryDate],DATE(2026,9,28),tblDaily[WardCode],"ICU")=0,"",SUMIFS(tblDaily[TransfersOut],tblDaily[EntryDate],DATE(2026,9,28),tblDaily[WardCode],"ICU")),"")</f>
        <v/>
      </c>
      <c r="H346" s="29" t="str">
        <f>IFERROR(IF(SUMIFS(tblDaily[Remaining],tblDaily[EntryDate],DATE(2026,9,28),tblDaily[WardCode],"ICU")=0,"",SUMIFS(tblDaily[Remaining],tblDaily[EntryDate],DATE(2026,9,28),tblDaily[WardCode],"ICU")),"")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IFERROR(IF(SUMIFS(tblDaily[Admissions],tblDaily[EntryDate],DATE(2026,9,29),tblDaily[WardCode],"ICU")=0,"",SUMIFS(tblDaily[Admissions],tblDaily[EntryDate],DATE(2026,9,29),tblDaily[WardCode],"ICU")),"")</f>
        <v/>
      </c>
      <c r="C347" s="29" t="str">
        <f>IFERROR(IF(SUMIFS(tblDaily[Discharges],tblDaily[EntryDate],DATE(2026,9,29),tblDaily[WardCode],"ICU")=0,"",SUMIFS(tblDaily[Discharges],tblDaily[EntryDate],DATE(2026,9,29),tblDaily[WardCode],"ICU")),"")</f>
        <v/>
      </c>
      <c r="D347" s="29" t="str">
        <f>IFERROR(IF(SUMIFS(tblDaily[Deaths],tblDaily[EntryDate],DATE(2026,9,29),tblDaily[WardCode],"ICU")=0,"",SUMIFS(tblDaily[Deaths],tblDaily[EntryDate],DATE(2026,9,29),tblDaily[WardCode],"ICU")),"")</f>
        <v/>
      </c>
      <c r="E347" s="29" t="str">
        <f>IFERROR(IF(SUMIFS(tblDaily[DeathsUnder24Hrs],tblDaily[EntryDate],DATE(2026,9,29),tblDaily[WardCode],"ICU")=0,"",SUMIFS(tblDaily[DeathsUnder24Hrs],tblDaily[EntryDate],DATE(2026,9,29),tblDaily[WardCode],"ICU")),"")</f>
        <v/>
      </c>
      <c r="F347" s="29" t="str">
        <f>IFERROR(IF(SUMIFS(tblDaily[TransfersIn],tblDaily[EntryDate],DATE(2026,9,29),tblDaily[WardCode],"ICU")=0,"",SUMIFS(tblDaily[TransfersIn],tblDaily[EntryDate],DATE(2026,9,29),tblDaily[WardCode],"ICU")),"")</f>
        <v/>
      </c>
      <c r="G347" s="29" t="str">
        <f>IFERROR(IF(SUMIFS(tblDaily[TransfersOut],tblDaily[EntryDate],DATE(2026,9,29),tblDaily[WardCode],"ICU")=0,"",SUMIFS(tblDaily[TransfersOut],tblDaily[EntryDate],DATE(2026,9,29),tblDaily[WardCode],"ICU")),"")</f>
        <v/>
      </c>
      <c r="H347" s="29" t="str">
        <f>IFERROR(IF(SUMIFS(tblDaily[Remaining],tblDaily[EntryDate],DATE(2026,9,29),tblDaily[WardCode],"ICU")=0,"",SUMIFS(tblDaily[Remaining],tblDaily[EntryDate],DATE(2026,9,29),tblDaily[WardCode],"ICU")),"")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IFERROR(IF(SUMIFS(tblDaily[Admissions],tblDaily[EntryDate],DATE(2026,9,30),tblDaily[WardCode],"ICU")=0,"",SUMIFS(tblDaily[Admissions],tblDaily[EntryDate],DATE(2026,9,30),tblDaily[WardCode],"ICU")),"")</f>
        <v/>
      </c>
      <c r="C348" s="29" t="str">
        <f>IFERROR(IF(SUMIFS(tblDaily[Discharges],tblDaily[EntryDate],DATE(2026,9,30),tblDaily[WardCode],"ICU")=0,"",SUMIFS(tblDaily[Discharges],tblDaily[EntryDate],DATE(2026,9,30),tblDaily[WardCode],"ICU")),"")</f>
        <v/>
      </c>
      <c r="D348" s="29" t="str">
        <f>IFERROR(IF(SUMIFS(tblDaily[Deaths],tblDaily[EntryDate],DATE(2026,9,30),tblDaily[WardCode],"ICU")=0,"",SUMIFS(tblDaily[Deaths],tblDaily[EntryDate],DATE(2026,9,30),tblDaily[WardCode],"ICU")),"")</f>
        <v/>
      </c>
      <c r="E348" s="29" t="str">
        <f>IFERROR(IF(SUMIFS(tblDaily[DeathsUnder24Hrs],tblDaily[EntryDate],DATE(2026,9,30),tblDaily[WardCode],"ICU")=0,"",SUMIFS(tblDaily[DeathsUnder24Hrs],tblDaily[EntryDate],DATE(2026,9,30),tblDaily[WardCode],"ICU")),"")</f>
        <v/>
      </c>
      <c r="F348" s="29" t="str">
        <f>IFERROR(IF(SUMIFS(tblDaily[TransfersIn],tblDaily[EntryDate],DATE(2026,9,30),tblDaily[WardCode],"ICU")=0,"",SUMIFS(tblDaily[TransfersIn],tblDaily[EntryDate],DATE(2026,9,30),tblDaily[WardCode],"ICU")),"")</f>
        <v/>
      </c>
      <c r="G348" s="29" t="str">
        <f>IFERROR(IF(SUMIFS(tblDaily[TransfersOut],tblDaily[EntryDate],DATE(2026,9,30),tblDaily[WardCode],"ICU")=0,"",SUMIFS(tblDaily[TransfersOut],tblDaily[EntryDate],DATE(2026,9,30),tblDaily[WardCode],"ICU")),"")</f>
        <v/>
      </c>
      <c r="H348" s="29" t="str">
        <f>IFERROR(IF(SUMIFS(tblDaily[Remaining],tblDaily[EntryDate],DATE(2026,9,30),tblDaily[WardCode],"ICU")=0,"",SUMIFS(tblDaily[Remaining],tblDaily[EntryDate],DATE(2026,9,30),tblDaily[WardCode],"ICU")),"")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115</v>
      </c>
      <c r="B350" s="30">
        <f>SUMIFS(tblDaily[Admissions],tblDaily[Month],9,tblDaily[WardCode],"ICU") - SUMIFS(tblDaily[DeathsUnder24Hrs],tblDaily[Month],9,tblDaily[WardCode],"ICU")</f>
        <v>0</v>
      </c>
      <c r="C350" s="30">
        <f>SUMIFS(tblDaily[Discharges],tblDaily[Month],9,tblDaily[WardCode],"ICU")</f>
        <v>0</v>
      </c>
      <c r="D350" s="30">
        <f>SUMIFS(tblDaily[Deaths],tblDaily[Month],9,tblDaily[WardCode],"ICU")</f>
        <v>0</v>
      </c>
      <c r="E350" s="30">
        <f>SUMIFS(tblDaily[DeathsUnder24Hrs],tblDaily[Month],9,tblDaily[WardCode],"ICU")</f>
        <v>0</v>
      </c>
      <c r="F350" s="30">
        <f>SUMIFS(tblDaily[TransfersIn],tblDaily[Month],9,tblDaily[WardCode],"ICU")</f>
        <v>0</v>
      </c>
      <c r="G350" s="30">
        <f>SUMIFS(tblDaily[TransfersOut],tblDaily[Month],9,tblDaily[WardCode],"ICU")</f>
        <v>0</v>
      </c>
      <c r="H350" s="30">
        <f>SUMIFS(tblDaily[Remaining],tblDaily[Month],9,tblDaily[WardCode],"ICU")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104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105</v>
      </c>
      <c r="E354" s="25" t="s">
        <v>124</v>
      </c>
      <c r="F354" s="24" t="s">
        <v>107</v>
      </c>
      <c r="G354" s="25" t="s">
        <v>72</v>
      </c>
    </row>
    <row r="355" spans="1:8" x14ac:dyDescent="0.25">
      <c r="A355" s="24" t="s">
        <v>108</v>
      </c>
      <c r="H355" s="26">
        <f>IFERROR(SUMIFS(tblDaily[Remaining],tblDaily[EntryDate],DATE(2026,9,30),tblDaily[WardCode],"ICU"),0)</f>
        <v>0</v>
      </c>
    </row>
    <row r="356" spans="1:8" x14ac:dyDescent="0.25">
      <c r="A356" s="24" t="s">
        <v>109</v>
      </c>
      <c r="H356" s="27">
        <f>IFERROR(INDEX(tblWardConfig[BedComplement],MATCH("ICU",tblWardConfig[WardCode],0)),0)</f>
        <v>4</v>
      </c>
    </row>
    <row r="357" spans="1:8" ht="38.25" x14ac:dyDescent="0.25">
      <c r="A357" s="28" t="s">
        <v>110</v>
      </c>
      <c r="B357" s="28" t="s">
        <v>77</v>
      </c>
      <c r="C357" s="28" t="s">
        <v>78</v>
      </c>
      <c r="D357" s="28" t="s">
        <v>79</v>
      </c>
      <c r="E357" s="28" t="s">
        <v>111</v>
      </c>
      <c r="F357" s="28" t="s">
        <v>112</v>
      </c>
      <c r="G357" s="28" t="s">
        <v>113</v>
      </c>
      <c r="H357" s="28" t="s">
        <v>114</v>
      </c>
    </row>
    <row r="358" spans="1:8" x14ac:dyDescent="0.25">
      <c r="A358" s="29">
        <v>1</v>
      </c>
      <c r="B358" s="29" t="str">
        <f>IFERROR(IF(SUMIFS(tblDaily[Admissions],tblDaily[EntryDate],DATE(2026,10,1),tblDaily[WardCode],"ICU")=0,"",SUMIFS(tblDaily[Admissions],tblDaily[EntryDate],DATE(2026,10,1),tblDaily[WardCode],"ICU")),"")</f>
        <v/>
      </c>
      <c r="C358" s="29" t="str">
        <f>IFERROR(IF(SUMIFS(tblDaily[Discharges],tblDaily[EntryDate],DATE(2026,10,1),tblDaily[WardCode],"ICU")=0,"",SUMIFS(tblDaily[Discharges],tblDaily[EntryDate],DATE(2026,10,1),tblDaily[WardCode],"ICU")),"")</f>
        <v/>
      </c>
      <c r="D358" s="29" t="str">
        <f>IFERROR(IF(SUMIFS(tblDaily[Deaths],tblDaily[EntryDate],DATE(2026,10,1),tblDaily[WardCode],"ICU")=0,"",SUMIFS(tblDaily[Deaths],tblDaily[EntryDate],DATE(2026,10,1),tblDaily[WardCode],"ICU")),"")</f>
        <v/>
      </c>
      <c r="E358" s="29" t="str">
        <f>IFERROR(IF(SUMIFS(tblDaily[DeathsUnder24Hrs],tblDaily[EntryDate],DATE(2026,10,1),tblDaily[WardCode],"ICU")=0,"",SUMIFS(tblDaily[DeathsUnder24Hrs],tblDaily[EntryDate],DATE(2026,10,1),tblDaily[WardCode],"ICU")),"")</f>
        <v/>
      </c>
      <c r="F358" s="29" t="str">
        <f>IFERROR(IF(SUMIFS(tblDaily[TransfersIn],tblDaily[EntryDate],DATE(2026,10,1),tblDaily[WardCode],"ICU")=0,"",SUMIFS(tblDaily[TransfersIn],tblDaily[EntryDate],DATE(2026,10,1),tblDaily[WardCode],"ICU")),"")</f>
        <v/>
      </c>
      <c r="G358" s="29" t="str">
        <f>IFERROR(IF(SUMIFS(tblDaily[TransfersOut],tblDaily[EntryDate],DATE(2026,10,1),tblDaily[WardCode],"ICU")=0,"",SUMIFS(tblDaily[TransfersOut],tblDaily[EntryDate],DATE(2026,10,1),tblDaily[WardCode],"ICU")),"")</f>
        <v/>
      </c>
      <c r="H358" s="29" t="str">
        <f>IFERROR(IF(SUMIFS(tblDaily[Remaining],tblDaily[EntryDate],DATE(2026,10,1),tblDaily[WardCode],"ICU")=0,"",SUMIFS(tblDaily[Remaining],tblDaily[EntryDate],DATE(2026,10,1),tblDaily[WardCode],"ICU")),"")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IFERROR(IF(SUMIFS(tblDaily[Admissions],tblDaily[EntryDate],DATE(2026,10,2),tblDaily[WardCode],"ICU")=0,"",SUMIFS(tblDaily[Admissions],tblDaily[EntryDate],DATE(2026,10,2),tblDaily[WardCode],"ICU")),"")</f>
        <v/>
      </c>
      <c r="C359" s="29" t="str">
        <f>IFERROR(IF(SUMIFS(tblDaily[Discharges],tblDaily[EntryDate],DATE(2026,10,2),tblDaily[WardCode],"ICU")=0,"",SUMIFS(tblDaily[Discharges],tblDaily[EntryDate],DATE(2026,10,2),tblDaily[WardCode],"ICU")),"")</f>
        <v/>
      </c>
      <c r="D359" s="29" t="str">
        <f>IFERROR(IF(SUMIFS(tblDaily[Deaths],tblDaily[EntryDate],DATE(2026,10,2),tblDaily[WardCode],"ICU")=0,"",SUMIFS(tblDaily[Deaths],tblDaily[EntryDate],DATE(2026,10,2),tblDaily[WardCode],"ICU")),"")</f>
        <v/>
      </c>
      <c r="E359" s="29" t="str">
        <f>IFERROR(IF(SUMIFS(tblDaily[DeathsUnder24Hrs],tblDaily[EntryDate],DATE(2026,10,2),tblDaily[WardCode],"ICU")=0,"",SUMIFS(tblDaily[DeathsUnder24Hrs],tblDaily[EntryDate],DATE(2026,10,2),tblDaily[WardCode],"ICU")),"")</f>
        <v/>
      </c>
      <c r="F359" s="29" t="str">
        <f>IFERROR(IF(SUMIFS(tblDaily[TransfersIn],tblDaily[EntryDate],DATE(2026,10,2),tblDaily[WardCode],"ICU")=0,"",SUMIFS(tblDaily[TransfersIn],tblDaily[EntryDate],DATE(2026,10,2),tblDaily[WardCode],"ICU")),"")</f>
        <v/>
      </c>
      <c r="G359" s="29" t="str">
        <f>IFERROR(IF(SUMIFS(tblDaily[TransfersOut],tblDaily[EntryDate],DATE(2026,10,2),tblDaily[WardCode],"ICU")=0,"",SUMIFS(tblDaily[TransfersOut],tblDaily[EntryDate],DATE(2026,10,2),tblDaily[WardCode],"ICU")),"")</f>
        <v/>
      </c>
      <c r="H359" s="29" t="str">
        <f>IFERROR(IF(SUMIFS(tblDaily[Remaining],tblDaily[EntryDate],DATE(2026,10,2),tblDaily[WardCode],"ICU")=0,"",SUMIFS(tblDaily[Remaining],tblDaily[EntryDate],DATE(2026,10,2),tblDaily[WardCode],"ICU")),"")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IFERROR(IF(SUMIFS(tblDaily[Admissions],tblDaily[EntryDate],DATE(2026,10,3),tblDaily[WardCode],"ICU")=0,"",SUMIFS(tblDaily[Admissions],tblDaily[EntryDate],DATE(2026,10,3),tblDaily[WardCode],"ICU")),"")</f>
        <v/>
      </c>
      <c r="C360" s="29" t="str">
        <f>IFERROR(IF(SUMIFS(tblDaily[Discharges],tblDaily[EntryDate],DATE(2026,10,3),tblDaily[WardCode],"ICU")=0,"",SUMIFS(tblDaily[Discharges],tblDaily[EntryDate],DATE(2026,10,3),tblDaily[WardCode],"ICU")),"")</f>
        <v/>
      </c>
      <c r="D360" s="29" t="str">
        <f>IFERROR(IF(SUMIFS(tblDaily[Deaths],tblDaily[EntryDate],DATE(2026,10,3),tblDaily[WardCode],"ICU")=0,"",SUMIFS(tblDaily[Deaths],tblDaily[EntryDate],DATE(2026,10,3),tblDaily[WardCode],"ICU")),"")</f>
        <v/>
      </c>
      <c r="E360" s="29" t="str">
        <f>IFERROR(IF(SUMIFS(tblDaily[DeathsUnder24Hrs],tblDaily[EntryDate],DATE(2026,10,3),tblDaily[WardCode],"ICU")=0,"",SUMIFS(tblDaily[DeathsUnder24Hrs],tblDaily[EntryDate],DATE(2026,10,3),tblDaily[WardCode],"ICU")),"")</f>
        <v/>
      </c>
      <c r="F360" s="29" t="str">
        <f>IFERROR(IF(SUMIFS(tblDaily[TransfersIn],tblDaily[EntryDate],DATE(2026,10,3),tblDaily[WardCode],"ICU")=0,"",SUMIFS(tblDaily[TransfersIn],tblDaily[EntryDate],DATE(2026,10,3),tblDaily[WardCode],"ICU")),"")</f>
        <v/>
      </c>
      <c r="G360" s="29" t="str">
        <f>IFERROR(IF(SUMIFS(tblDaily[TransfersOut],tblDaily[EntryDate],DATE(2026,10,3),tblDaily[WardCode],"ICU")=0,"",SUMIFS(tblDaily[TransfersOut],tblDaily[EntryDate],DATE(2026,10,3),tblDaily[WardCode],"ICU")),"")</f>
        <v/>
      </c>
      <c r="H360" s="29" t="str">
        <f>IFERROR(IF(SUMIFS(tblDaily[Remaining],tblDaily[EntryDate],DATE(2026,10,3),tblDaily[WardCode],"ICU")=0,"",SUMIFS(tblDaily[Remaining],tblDaily[EntryDate],DATE(2026,10,3),tblDaily[WardCode],"ICU")),"")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IFERROR(IF(SUMIFS(tblDaily[Admissions],tblDaily[EntryDate],DATE(2026,10,4),tblDaily[WardCode],"ICU")=0,"",SUMIFS(tblDaily[Admissions],tblDaily[EntryDate],DATE(2026,10,4),tblDaily[WardCode],"ICU")),"")</f>
        <v/>
      </c>
      <c r="C361" s="29" t="str">
        <f>IFERROR(IF(SUMIFS(tblDaily[Discharges],tblDaily[EntryDate],DATE(2026,10,4),tblDaily[WardCode],"ICU")=0,"",SUMIFS(tblDaily[Discharges],tblDaily[EntryDate],DATE(2026,10,4),tblDaily[WardCode],"ICU")),"")</f>
        <v/>
      </c>
      <c r="D361" s="29" t="str">
        <f>IFERROR(IF(SUMIFS(tblDaily[Deaths],tblDaily[EntryDate],DATE(2026,10,4),tblDaily[WardCode],"ICU")=0,"",SUMIFS(tblDaily[Deaths],tblDaily[EntryDate],DATE(2026,10,4),tblDaily[WardCode],"ICU")),"")</f>
        <v/>
      </c>
      <c r="E361" s="29" t="str">
        <f>IFERROR(IF(SUMIFS(tblDaily[DeathsUnder24Hrs],tblDaily[EntryDate],DATE(2026,10,4),tblDaily[WardCode],"ICU")=0,"",SUMIFS(tblDaily[DeathsUnder24Hrs],tblDaily[EntryDate],DATE(2026,10,4),tblDaily[WardCode],"ICU")),"")</f>
        <v/>
      </c>
      <c r="F361" s="29" t="str">
        <f>IFERROR(IF(SUMIFS(tblDaily[TransfersIn],tblDaily[EntryDate],DATE(2026,10,4),tblDaily[WardCode],"ICU")=0,"",SUMIFS(tblDaily[TransfersIn],tblDaily[EntryDate],DATE(2026,10,4),tblDaily[WardCode],"ICU")),"")</f>
        <v/>
      </c>
      <c r="G361" s="29" t="str">
        <f>IFERROR(IF(SUMIFS(tblDaily[TransfersOut],tblDaily[EntryDate],DATE(2026,10,4),tblDaily[WardCode],"ICU")=0,"",SUMIFS(tblDaily[TransfersOut],tblDaily[EntryDate],DATE(2026,10,4),tblDaily[WardCode],"ICU")),"")</f>
        <v/>
      </c>
      <c r="H361" s="29" t="str">
        <f>IFERROR(IF(SUMIFS(tblDaily[Remaining],tblDaily[EntryDate],DATE(2026,10,4),tblDaily[WardCode],"ICU")=0,"",SUMIFS(tblDaily[Remaining],tblDaily[EntryDate],DATE(2026,10,4),tblDaily[WardCode],"ICU")),"")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IFERROR(IF(SUMIFS(tblDaily[Admissions],tblDaily[EntryDate],DATE(2026,10,5),tblDaily[WardCode],"ICU")=0,"",SUMIFS(tblDaily[Admissions],tblDaily[EntryDate],DATE(2026,10,5),tblDaily[WardCode],"ICU")),"")</f>
        <v/>
      </c>
      <c r="C362" s="29" t="str">
        <f>IFERROR(IF(SUMIFS(tblDaily[Discharges],tblDaily[EntryDate],DATE(2026,10,5),tblDaily[WardCode],"ICU")=0,"",SUMIFS(tblDaily[Discharges],tblDaily[EntryDate],DATE(2026,10,5),tblDaily[WardCode],"ICU")),"")</f>
        <v/>
      </c>
      <c r="D362" s="29" t="str">
        <f>IFERROR(IF(SUMIFS(tblDaily[Deaths],tblDaily[EntryDate],DATE(2026,10,5),tblDaily[WardCode],"ICU")=0,"",SUMIFS(tblDaily[Deaths],tblDaily[EntryDate],DATE(2026,10,5),tblDaily[WardCode],"ICU")),"")</f>
        <v/>
      </c>
      <c r="E362" s="29" t="str">
        <f>IFERROR(IF(SUMIFS(tblDaily[DeathsUnder24Hrs],tblDaily[EntryDate],DATE(2026,10,5),tblDaily[WardCode],"ICU")=0,"",SUMIFS(tblDaily[DeathsUnder24Hrs],tblDaily[EntryDate],DATE(2026,10,5),tblDaily[WardCode],"ICU")),"")</f>
        <v/>
      </c>
      <c r="F362" s="29" t="str">
        <f>IFERROR(IF(SUMIFS(tblDaily[TransfersIn],tblDaily[EntryDate],DATE(2026,10,5),tblDaily[WardCode],"ICU")=0,"",SUMIFS(tblDaily[TransfersIn],tblDaily[EntryDate],DATE(2026,10,5),tblDaily[WardCode],"ICU")),"")</f>
        <v/>
      </c>
      <c r="G362" s="29" t="str">
        <f>IFERROR(IF(SUMIFS(tblDaily[TransfersOut],tblDaily[EntryDate],DATE(2026,10,5),tblDaily[WardCode],"ICU")=0,"",SUMIFS(tblDaily[TransfersOut],tblDaily[EntryDate],DATE(2026,10,5),tblDaily[WardCode],"ICU")),"")</f>
        <v/>
      </c>
      <c r="H362" s="29" t="str">
        <f>IFERROR(IF(SUMIFS(tblDaily[Remaining],tblDaily[EntryDate],DATE(2026,10,5),tblDaily[WardCode],"ICU")=0,"",SUMIFS(tblDaily[Remaining],tblDaily[EntryDate],DATE(2026,10,5),tblDaily[WardCode],"ICU")),"")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IFERROR(IF(SUMIFS(tblDaily[Admissions],tblDaily[EntryDate],DATE(2026,10,6),tblDaily[WardCode],"ICU")=0,"",SUMIFS(tblDaily[Admissions],tblDaily[EntryDate],DATE(2026,10,6),tblDaily[WardCode],"ICU")),"")</f>
        <v/>
      </c>
      <c r="C363" s="29" t="str">
        <f>IFERROR(IF(SUMIFS(tblDaily[Discharges],tblDaily[EntryDate],DATE(2026,10,6),tblDaily[WardCode],"ICU")=0,"",SUMIFS(tblDaily[Discharges],tblDaily[EntryDate],DATE(2026,10,6),tblDaily[WardCode],"ICU")),"")</f>
        <v/>
      </c>
      <c r="D363" s="29" t="str">
        <f>IFERROR(IF(SUMIFS(tblDaily[Deaths],tblDaily[EntryDate],DATE(2026,10,6),tblDaily[WardCode],"ICU")=0,"",SUMIFS(tblDaily[Deaths],tblDaily[EntryDate],DATE(2026,10,6),tblDaily[WardCode],"ICU")),"")</f>
        <v/>
      </c>
      <c r="E363" s="29" t="str">
        <f>IFERROR(IF(SUMIFS(tblDaily[DeathsUnder24Hrs],tblDaily[EntryDate],DATE(2026,10,6),tblDaily[WardCode],"ICU")=0,"",SUMIFS(tblDaily[DeathsUnder24Hrs],tblDaily[EntryDate],DATE(2026,10,6),tblDaily[WardCode],"ICU")),"")</f>
        <v/>
      </c>
      <c r="F363" s="29" t="str">
        <f>IFERROR(IF(SUMIFS(tblDaily[TransfersIn],tblDaily[EntryDate],DATE(2026,10,6),tblDaily[WardCode],"ICU")=0,"",SUMIFS(tblDaily[TransfersIn],tblDaily[EntryDate],DATE(2026,10,6),tblDaily[WardCode],"ICU")),"")</f>
        <v/>
      </c>
      <c r="G363" s="29" t="str">
        <f>IFERROR(IF(SUMIFS(tblDaily[TransfersOut],tblDaily[EntryDate],DATE(2026,10,6),tblDaily[WardCode],"ICU")=0,"",SUMIFS(tblDaily[TransfersOut],tblDaily[EntryDate],DATE(2026,10,6),tblDaily[WardCode],"ICU")),"")</f>
        <v/>
      </c>
      <c r="H363" s="29" t="str">
        <f>IFERROR(IF(SUMIFS(tblDaily[Remaining],tblDaily[EntryDate],DATE(2026,10,6),tblDaily[WardCode],"ICU")=0,"",SUMIFS(tblDaily[Remaining],tblDaily[EntryDate],DATE(2026,10,6),tblDaily[WardCode],"ICU")),"")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IFERROR(IF(SUMIFS(tblDaily[Admissions],tblDaily[EntryDate],DATE(2026,10,7),tblDaily[WardCode],"ICU")=0,"",SUMIFS(tblDaily[Admissions],tblDaily[EntryDate],DATE(2026,10,7),tblDaily[WardCode],"ICU")),"")</f>
        <v/>
      </c>
      <c r="C364" s="29" t="str">
        <f>IFERROR(IF(SUMIFS(tblDaily[Discharges],tblDaily[EntryDate],DATE(2026,10,7),tblDaily[WardCode],"ICU")=0,"",SUMIFS(tblDaily[Discharges],tblDaily[EntryDate],DATE(2026,10,7),tblDaily[WardCode],"ICU")),"")</f>
        <v/>
      </c>
      <c r="D364" s="29" t="str">
        <f>IFERROR(IF(SUMIFS(tblDaily[Deaths],tblDaily[EntryDate],DATE(2026,10,7),tblDaily[WardCode],"ICU")=0,"",SUMIFS(tblDaily[Deaths],tblDaily[EntryDate],DATE(2026,10,7),tblDaily[WardCode],"ICU")),"")</f>
        <v/>
      </c>
      <c r="E364" s="29" t="str">
        <f>IFERROR(IF(SUMIFS(tblDaily[DeathsUnder24Hrs],tblDaily[EntryDate],DATE(2026,10,7),tblDaily[WardCode],"ICU")=0,"",SUMIFS(tblDaily[DeathsUnder24Hrs],tblDaily[EntryDate],DATE(2026,10,7),tblDaily[WardCode],"ICU")),"")</f>
        <v/>
      </c>
      <c r="F364" s="29" t="str">
        <f>IFERROR(IF(SUMIFS(tblDaily[TransfersIn],tblDaily[EntryDate],DATE(2026,10,7),tblDaily[WardCode],"ICU")=0,"",SUMIFS(tblDaily[TransfersIn],tblDaily[EntryDate],DATE(2026,10,7),tblDaily[WardCode],"ICU")),"")</f>
        <v/>
      </c>
      <c r="G364" s="29" t="str">
        <f>IFERROR(IF(SUMIFS(tblDaily[TransfersOut],tblDaily[EntryDate],DATE(2026,10,7),tblDaily[WardCode],"ICU")=0,"",SUMIFS(tblDaily[TransfersOut],tblDaily[EntryDate],DATE(2026,10,7),tblDaily[WardCode],"ICU")),"")</f>
        <v/>
      </c>
      <c r="H364" s="29" t="str">
        <f>IFERROR(IF(SUMIFS(tblDaily[Remaining],tblDaily[EntryDate],DATE(2026,10,7),tblDaily[WardCode],"ICU")=0,"",SUMIFS(tblDaily[Remaining],tblDaily[EntryDate],DATE(2026,10,7),tblDaily[WardCode],"ICU")),"")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IFERROR(IF(SUMIFS(tblDaily[Admissions],tblDaily[EntryDate],DATE(2026,10,8),tblDaily[WardCode],"ICU")=0,"",SUMIFS(tblDaily[Admissions],tblDaily[EntryDate],DATE(2026,10,8),tblDaily[WardCode],"ICU")),"")</f>
        <v/>
      </c>
      <c r="C365" s="29" t="str">
        <f>IFERROR(IF(SUMIFS(tblDaily[Discharges],tblDaily[EntryDate],DATE(2026,10,8),tblDaily[WardCode],"ICU")=0,"",SUMIFS(tblDaily[Discharges],tblDaily[EntryDate],DATE(2026,10,8),tblDaily[WardCode],"ICU")),"")</f>
        <v/>
      </c>
      <c r="D365" s="29" t="str">
        <f>IFERROR(IF(SUMIFS(tblDaily[Deaths],tblDaily[EntryDate],DATE(2026,10,8),tblDaily[WardCode],"ICU")=0,"",SUMIFS(tblDaily[Deaths],tblDaily[EntryDate],DATE(2026,10,8),tblDaily[WardCode],"ICU")),"")</f>
        <v/>
      </c>
      <c r="E365" s="29" t="str">
        <f>IFERROR(IF(SUMIFS(tblDaily[DeathsUnder24Hrs],tblDaily[EntryDate],DATE(2026,10,8),tblDaily[WardCode],"ICU")=0,"",SUMIFS(tblDaily[DeathsUnder24Hrs],tblDaily[EntryDate],DATE(2026,10,8),tblDaily[WardCode],"ICU")),"")</f>
        <v/>
      </c>
      <c r="F365" s="29" t="str">
        <f>IFERROR(IF(SUMIFS(tblDaily[TransfersIn],tblDaily[EntryDate],DATE(2026,10,8),tblDaily[WardCode],"ICU")=0,"",SUMIFS(tblDaily[TransfersIn],tblDaily[EntryDate],DATE(2026,10,8),tblDaily[WardCode],"ICU")),"")</f>
        <v/>
      </c>
      <c r="G365" s="29" t="str">
        <f>IFERROR(IF(SUMIFS(tblDaily[TransfersOut],tblDaily[EntryDate],DATE(2026,10,8),tblDaily[WardCode],"ICU")=0,"",SUMIFS(tblDaily[TransfersOut],tblDaily[EntryDate],DATE(2026,10,8),tblDaily[WardCode],"ICU")),"")</f>
        <v/>
      </c>
      <c r="H365" s="29" t="str">
        <f>IFERROR(IF(SUMIFS(tblDaily[Remaining],tblDaily[EntryDate],DATE(2026,10,8),tblDaily[WardCode],"ICU")=0,"",SUMIFS(tblDaily[Remaining],tblDaily[EntryDate],DATE(2026,10,8),tblDaily[WardCode],"ICU")),"")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IFERROR(IF(SUMIFS(tblDaily[Admissions],tblDaily[EntryDate],DATE(2026,10,9),tblDaily[WardCode],"ICU")=0,"",SUMIFS(tblDaily[Admissions],tblDaily[EntryDate],DATE(2026,10,9),tblDaily[WardCode],"ICU")),"")</f>
        <v/>
      </c>
      <c r="C366" s="29" t="str">
        <f>IFERROR(IF(SUMIFS(tblDaily[Discharges],tblDaily[EntryDate],DATE(2026,10,9),tblDaily[WardCode],"ICU")=0,"",SUMIFS(tblDaily[Discharges],tblDaily[EntryDate],DATE(2026,10,9),tblDaily[WardCode],"ICU")),"")</f>
        <v/>
      </c>
      <c r="D366" s="29" t="str">
        <f>IFERROR(IF(SUMIFS(tblDaily[Deaths],tblDaily[EntryDate],DATE(2026,10,9),tblDaily[WardCode],"ICU")=0,"",SUMIFS(tblDaily[Deaths],tblDaily[EntryDate],DATE(2026,10,9),tblDaily[WardCode],"ICU")),"")</f>
        <v/>
      </c>
      <c r="E366" s="29" t="str">
        <f>IFERROR(IF(SUMIFS(tblDaily[DeathsUnder24Hrs],tblDaily[EntryDate],DATE(2026,10,9),tblDaily[WardCode],"ICU")=0,"",SUMIFS(tblDaily[DeathsUnder24Hrs],tblDaily[EntryDate],DATE(2026,10,9),tblDaily[WardCode],"ICU")),"")</f>
        <v/>
      </c>
      <c r="F366" s="29" t="str">
        <f>IFERROR(IF(SUMIFS(tblDaily[TransfersIn],tblDaily[EntryDate],DATE(2026,10,9),tblDaily[WardCode],"ICU")=0,"",SUMIFS(tblDaily[TransfersIn],tblDaily[EntryDate],DATE(2026,10,9),tblDaily[WardCode],"ICU")),"")</f>
        <v/>
      </c>
      <c r="G366" s="29" t="str">
        <f>IFERROR(IF(SUMIFS(tblDaily[TransfersOut],tblDaily[EntryDate],DATE(2026,10,9),tblDaily[WardCode],"ICU")=0,"",SUMIFS(tblDaily[TransfersOut],tblDaily[EntryDate],DATE(2026,10,9),tblDaily[WardCode],"ICU")),"")</f>
        <v/>
      </c>
      <c r="H366" s="29" t="str">
        <f>IFERROR(IF(SUMIFS(tblDaily[Remaining],tblDaily[EntryDate],DATE(2026,10,9),tblDaily[WardCode],"ICU")=0,"",SUMIFS(tblDaily[Remaining],tblDaily[EntryDate],DATE(2026,10,9),tblDaily[WardCode],"ICU")),"")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IFERROR(IF(SUMIFS(tblDaily[Admissions],tblDaily[EntryDate],DATE(2026,10,10),tblDaily[WardCode],"ICU")=0,"",SUMIFS(tblDaily[Admissions],tblDaily[EntryDate],DATE(2026,10,10),tblDaily[WardCode],"ICU")),"")</f>
        <v/>
      </c>
      <c r="C367" s="29" t="str">
        <f>IFERROR(IF(SUMIFS(tblDaily[Discharges],tblDaily[EntryDate],DATE(2026,10,10),tblDaily[WardCode],"ICU")=0,"",SUMIFS(tblDaily[Discharges],tblDaily[EntryDate],DATE(2026,10,10),tblDaily[WardCode],"ICU")),"")</f>
        <v/>
      </c>
      <c r="D367" s="29" t="str">
        <f>IFERROR(IF(SUMIFS(tblDaily[Deaths],tblDaily[EntryDate],DATE(2026,10,10),tblDaily[WardCode],"ICU")=0,"",SUMIFS(tblDaily[Deaths],tblDaily[EntryDate],DATE(2026,10,10),tblDaily[WardCode],"ICU")),"")</f>
        <v/>
      </c>
      <c r="E367" s="29" t="str">
        <f>IFERROR(IF(SUMIFS(tblDaily[DeathsUnder24Hrs],tblDaily[EntryDate],DATE(2026,10,10),tblDaily[WardCode],"ICU")=0,"",SUMIFS(tblDaily[DeathsUnder24Hrs],tblDaily[EntryDate],DATE(2026,10,10),tblDaily[WardCode],"ICU")),"")</f>
        <v/>
      </c>
      <c r="F367" s="29" t="str">
        <f>IFERROR(IF(SUMIFS(tblDaily[TransfersIn],tblDaily[EntryDate],DATE(2026,10,10),tblDaily[WardCode],"ICU")=0,"",SUMIFS(tblDaily[TransfersIn],tblDaily[EntryDate],DATE(2026,10,10),tblDaily[WardCode],"ICU")),"")</f>
        <v/>
      </c>
      <c r="G367" s="29" t="str">
        <f>IFERROR(IF(SUMIFS(tblDaily[TransfersOut],tblDaily[EntryDate],DATE(2026,10,10),tblDaily[WardCode],"ICU")=0,"",SUMIFS(tblDaily[TransfersOut],tblDaily[EntryDate],DATE(2026,10,10),tblDaily[WardCode],"ICU")),"")</f>
        <v/>
      </c>
      <c r="H367" s="29" t="str">
        <f>IFERROR(IF(SUMIFS(tblDaily[Remaining],tblDaily[EntryDate],DATE(2026,10,10),tblDaily[WardCode],"ICU")=0,"",SUMIFS(tblDaily[Remaining],tblDaily[EntryDate],DATE(2026,10,10),tblDaily[WardCode],"ICU")),"")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IFERROR(IF(SUMIFS(tblDaily[Admissions],tblDaily[EntryDate],DATE(2026,10,11),tblDaily[WardCode],"ICU")=0,"",SUMIFS(tblDaily[Admissions],tblDaily[EntryDate],DATE(2026,10,11),tblDaily[WardCode],"ICU")),"")</f>
        <v/>
      </c>
      <c r="C368" s="29" t="str">
        <f>IFERROR(IF(SUMIFS(tblDaily[Discharges],tblDaily[EntryDate],DATE(2026,10,11),tblDaily[WardCode],"ICU")=0,"",SUMIFS(tblDaily[Discharges],tblDaily[EntryDate],DATE(2026,10,11),tblDaily[WardCode],"ICU")),"")</f>
        <v/>
      </c>
      <c r="D368" s="29" t="str">
        <f>IFERROR(IF(SUMIFS(tblDaily[Deaths],tblDaily[EntryDate],DATE(2026,10,11),tblDaily[WardCode],"ICU")=0,"",SUMIFS(tblDaily[Deaths],tblDaily[EntryDate],DATE(2026,10,11),tblDaily[WardCode],"ICU")),"")</f>
        <v/>
      </c>
      <c r="E368" s="29" t="str">
        <f>IFERROR(IF(SUMIFS(tblDaily[DeathsUnder24Hrs],tblDaily[EntryDate],DATE(2026,10,11),tblDaily[WardCode],"ICU")=0,"",SUMIFS(tblDaily[DeathsUnder24Hrs],tblDaily[EntryDate],DATE(2026,10,11),tblDaily[WardCode],"ICU")),"")</f>
        <v/>
      </c>
      <c r="F368" s="29" t="str">
        <f>IFERROR(IF(SUMIFS(tblDaily[TransfersIn],tblDaily[EntryDate],DATE(2026,10,11),tblDaily[WardCode],"ICU")=0,"",SUMIFS(tblDaily[TransfersIn],tblDaily[EntryDate],DATE(2026,10,11),tblDaily[WardCode],"ICU")),"")</f>
        <v/>
      </c>
      <c r="G368" s="29" t="str">
        <f>IFERROR(IF(SUMIFS(tblDaily[TransfersOut],tblDaily[EntryDate],DATE(2026,10,11),tblDaily[WardCode],"ICU")=0,"",SUMIFS(tblDaily[TransfersOut],tblDaily[EntryDate],DATE(2026,10,11),tblDaily[WardCode],"ICU")),"")</f>
        <v/>
      </c>
      <c r="H368" s="29" t="str">
        <f>IFERROR(IF(SUMIFS(tblDaily[Remaining],tblDaily[EntryDate],DATE(2026,10,11),tblDaily[WardCode],"ICU")=0,"",SUMIFS(tblDaily[Remaining],tblDaily[EntryDate],DATE(2026,10,11),tblDaily[WardCode],"ICU")),"")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IFERROR(IF(SUMIFS(tblDaily[Admissions],tblDaily[EntryDate],DATE(2026,10,12),tblDaily[WardCode],"ICU")=0,"",SUMIFS(tblDaily[Admissions],tblDaily[EntryDate],DATE(2026,10,12),tblDaily[WardCode],"ICU")),"")</f>
        <v/>
      </c>
      <c r="C369" s="29" t="str">
        <f>IFERROR(IF(SUMIFS(tblDaily[Discharges],tblDaily[EntryDate],DATE(2026,10,12),tblDaily[WardCode],"ICU")=0,"",SUMIFS(tblDaily[Discharges],tblDaily[EntryDate],DATE(2026,10,12),tblDaily[WardCode],"ICU")),"")</f>
        <v/>
      </c>
      <c r="D369" s="29" t="str">
        <f>IFERROR(IF(SUMIFS(tblDaily[Deaths],tblDaily[EntryDate],DATE(2026,10,12),tblDaily[WardCode],"ICU")=0,"",SUMIFS(tblDaily[Deaths],tblDaily[EntryDate],DATE(2026,10,12),tblDaily[WardCode],"ICU")),"")</f>
        <v/>
      </c>
      <c r="E369" s="29" t="str">
        <f>IFERROR(IF(SUMIFS(tblDaily[DeathsUnder24Hrs],tblDaily[EntryDate],DATE(2026,10,12),tblDaily[WardCode],"ICU")=0,"",SUMIFS(tblDaily[DeathsUnder24Hrs],tblDaily[EntryDate],DATE(2026,10,12),tblDaily[WardCode],"ICU")),"")</f>
        <v/>
      </c>
      <c r="F369" s="29" t="str">
        <f>IFERROR(IF(SUMIFS(tblDaily[TransfersIn],tblDaily[EntryDate],DATE(2026,10,12),tblDaily[WardCode],"ICU")=0,"",SUMIFS(tblDaily[TransfersIn],tblDaily[EntryDate],DATE(2026,10,12),tblDaily[WardCode],"ICU")),"")</f>
        <v/>
      </c>
      <c r="G369" s="29" t="str">
        <f>IFERROR(IF(SUMIFS(tblDaily[TransfersOut],tblDaily[EntryDate],DATE(2026,10,12),tblDaily[WardCode],"ICU")=0,"",SUMIFS(tblDaily[TransfersOut],tblDaily[EntryDate],DATE(2026,10,12),tblDaily[WardCode],"ICU")),"")</f>
        <v/>
      </c>
      <c r="H369" s="29" t="str">
        <f>IFERROR(IF(SUMIFS(tblDaily[Remaining],tblDaily[EntryDate],DATE(2026,10,12),tblDaily[WardCode],"ICU")=0,"",SUMIFS(tblDaily[Remaining],tblDaily[EntryDate],DATE(2026,10,12),tblDaily[WardCode],"ICU")),"")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IFERROR(IF(SUMIFS(tblDaily[Admissions],tblDaily[EntryDate],DATE(2026,10,13),tblDaily[WardCode],"ICU")=0,"",SUMIFS(tblDaily[Admissions],tblDaily[EntryDate],DATE(2026,10,13),tblDaily[WardCode],"ICU")),"")</f>
        <v/>
      </c>
      <c r="C370" s="29" t="str">
        <f>IFERROR(IF(SUMIFS(tblDaily[Discharges],tblDaily[EntryDate],DATE(2026,10,13),tblDaily[WardCode],"ICU")=0,"",SUMIFS(tblDaily[Discharges],tblDaily[EntryDate],DATE(2026,10,13),tblDaily[WardCode],"ICU")),"")</f>
        <v/>
      </c>
      <c r="D370" s="29" t="str">
        <f>IFERROR(IF(SUMIFS(tblDaily[Deaths],tblDaily[EntryDate],DATE(2026,10,13),tblDaily[WardCode],"ICU")=0,"",SUMIFS(tblDaily[Deaths],tblDaily[EntryDate],DATE(2026,10,13),tblDaily[WardCode],"ICU")),"")</f>
        <v/>
      </c>
      <c r="E370" s="29" t="str">
        <f>IFERROR(IF(SUMIFS(tblDaily[DeathsUnder24Hrs],tblDaily[EntryDate],DATE(2026,10,13),tblDaily[WardCode],"ICU")=0,"",SUMIFS(tblDaily[DeathsUnder24Hrs],tblDaily[EntryDate],DATE(2026,10,13),tblDaily[WardCode],"ICU")),"")</f>
        <v/>
      </c>
      <c r="F370" s="29" t="str">
        <f>IFERROR(IF(SUMIFS(tblDaily[TransfersIn],tblDaily[EntryDate],DATE(2026,10,13),tblDaily[WardCode],"ICU")=0,"",SUMIFS(tblDaily[TransfersIn],tblDaily[EntryDate],DATE(2026,10,13),tblDaily[WardCode],"ICU")),"")</f>
        <v/>
      </c>
      <c r="G370" s="29" t="str">
        <f>IFERROR(IF(SUMIFS(tblDaily[TransfersOut],tblDaily[EntryDate],DATE(2026,10,13),tblDaily[WardCode],"ICU")=0,"",SUMIFS(tblDaily[TransfersOut],tblDaily[EntryDate],DATE(2026,10,13),tblDaily[WardCode],"ICU")),"")</f>
        <v/>
      </c>
      <c r="H370" s="29" t="str">
        <f>IFERROR(IF(SUMIFS(tblDaily[Remaining],tblDaily[EntryDate],DATE(2026,10,13),tblDaily[WardCode],"ICU")=0,"",SUMIFS(tblDaily[Remaining],tblDaily[EntryDate],DATE(2026,10,13),tblDaily[WardCode],"ICU")),"")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IFERROR(IF(SUMIFS(tblDaily[Admissions],tblDaily[EntryDate],DATE(2026,10,14),tblDaily[WardCode],"ICU")=0,"",SUMIFS(tblDaily[Admissions],tblDaily[EntryDate],DATE(2026,10,14),tblDaily[WardCode],"ICU")),"")</f>
        <v/>
      </c>
      <c r="C371" s="29" t="str">
        <f>IFERROR(IF(SUMIFS(tblDaily[Discharges],tblDaily[EntryDate],DATE(2026,10,14),tblDaily[WardCode],"ICU")=0,"",SUMIFS(tblDaily[Discharges],tblDaily[EntryDate],DATE(2026,10,14),tblDaily[WardCode],"ICU")),"")</f>
        <v/>
      </c>
      <c r="D371" s="29" t="str">
        <f>IFERROR(IF(SUMIFS(tblDaily[Deaths],tblDaily[EntryDate],DATE(2026,10,14),tblDaily[WardCode],"ICU")=0,"",SUMIFS(tblDaily[Deaths],tblDaily[EntryDate],DATE(2026,10,14),tblDaily[WardCode],"ICU")),"")</f>
        <v/>
      </c>
      <c r="E371" s="29" t="str">
        <f>IFERROR(IF(SUMIFS(tblDaily[DeathsUnder24Hrs],tblDaily[EntryDate],DATE(2026,10,14),tblDaily[WardCode],"ICU")=0,"",SUMIFS(tblDaily[DeathsUnder24Hrs],tblDaily[EntryDate],DATE(2026,10,14),tblDaily[WardCode],"ICU")),"")</f>
        <v/>
      </c>
      <c r="F371" s="29" t="str">
        <f>IFERROR(IF(SUMIFS(tblDaily[TransfersIn],tblDaily[EntryDate],DATE(2026,10,14),tblDaily[WardCode],"ICU")=0,"",SUMIFS(tblDaily[TransfersIn],tblDaily[EntryDate],DATE(2026,10,14),tblDaily[WardCode],"ICU")),"")</f>
        <v/>
      </c>
      <c r="G371" s="29" t="str">
        <f>IFERROR(IF(SUMIFS(tblDaily[TransfersOut],tblDaily[EntryDate],DATE(2026,10,14),tblDaily[WardCode],"ICU")=0,"",SUMIFS(tblDaily[TransfersOut],tblDaily[EntryDate],DATE(2026,10,14),tblDaily[WardCode],"ICU")),"")</f>
        <v/>
      </c>
      <c r="H371" s="29" t="str">
        <f>IFERROR(IF(SUMIFS(tblDaily[Remaining],tblDaily[EntryDate],DATE(2026,10,14),tblDaily[WardCode],"ICU")=0,"",SUMIFS(tblDaily[Remaining],tblDaily[EntryDate],DATE(2026,10,14),tblDaily[WardCode],"ICU")),"")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IFERROR(IF(SUMIFS(tblDaily[Admissions],tblDaily[EntryDate],DATE(2026,10,15),tblDaily[WardCode],"ICU")=0,"",SUMIFS(tblDaily[Admissions],tblDaily[EntryDate],DATE(2026,10,15),tblDaily[WardCode],"ICU")),"")</f>
        <v/>
      </c>
      <c r="C372" s="29" t="str">
        <f>IFERROR(IF(SUMIFS(tblDaily[Discharges],tblDaily[EntryDate],DATE(2026,10,15),tblDaily[WardCode],"ICU")=0,"",SUMIFS(tblDaily[Discharges],tblDaily[EntryDate],DATE(2026,10,15),tblDaily[WardCode],"ICU")),"")</f>
        <v/>
      </c>
      <c r="D372" s="29" t="str">
        <f>IFERROR(IF(SUMIFS(tblDaily[Deaths],tblDaily[EntryDate],DATE(2026,10,15),tblDaily[WardCode],"ICU")=0,"",SUMIFS(tblDaily[Deaths],tblDaily[EntryDate],DATE(2026,10,15),tblDaily[WardCode],"ICU")),"")</f>
        <v/>
      </c>
      <c r="E372" s="29" t="str">
        <f>IFERROR(IF(SUMIFS(tblDaily[DeathsUnder24Hrs],tblDaily[EntryDate],DATE(2026,10,15),tblDaily[WardCode],"ICU")=0,"",SUMIFS(tblDaily[DeathsUnder24Hrs],tblDaily[EntryDate],DATE(2026,10,15),tblDaily[WardCode],"ICU")),"")</f>
        <v/>
      </c>
      <c r="F372" s="29" t="str">
        <f>IFERROR(IF(SUMIFS(tblDaily[TransfersIn],tblDaily[EntryDate],DATE(2026,10,15),tblDaily[WardCode],"ICU")=0,"",SUMIFS(tblDaily[TransfersIn],tblDaily[EntryDate],DATE(2026,10,15),tblDaily[WardCode],"ICU")),"")</f>
        <v/>
      </c>
      <c r="G372" s="29" t="str">
        <f>IFERROR(IF(SUMIFS(tblDaily[TransfersOut],tblDaily[EntryDate],DATE(2026,10,15),tblDaily[WardCode],"ICU")=0,"",SUMIFS(tblDaily[TransfersOut],tblDaily[EntryDate],DATE(2026,10,15),tblDaily[WardCode],"ICU")),"")</f>
        <v/>
      </c>
      <c r="H372" s="29" t="str">
        <f>IFERROR(IF(SUMIFS(tblDaily[Remaining],tblDaily[EntryDate],DATE(2026,10,15),tblDaily[WardCode],"ICU")=0,"",SUMIFS(tblDaily[Remaining],tblDaily[EntryDate],DATE(2026,10,15),tblDaily[WardCode],"ICU")),"")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IFERROR(IF(SUMIFS(tblDaily[Admissions],tblDaily[EntryDate],DATE(2026,10,16),tblDaily[WardCode],"ICU")=0,"",SUMIFS(tblDaily[Admissions],tblDaily[EntryDate],DATE(2026,10,16),tblDaily[WardCode],"ICU")),"")</f>
        <v/>
      </c>
      <c r="C373" s="29" t="str">
        <f>IFERROR(IF(SUMIFS(tblDaily[Discharges],tblDaily[EntryDate],DATE(2026,10,16),tblDaily[WardCode],"ICU")=0,"",SUMIFS(tblDaily[Discharges],tblDaily[EntryDate],DATE(2026,10,16),tblDaily[WardCode],"ICU")),"")</f>
        <v/>
      </c>
      <c r="D373" s="29" t="str">
        <f>IFERROR(IF(SUMIFS(tblDaily[Deaths],tblDaily[EntryDate],DATE(2026,10,16),tblDaily[WardCode],"ICU")=0,"",SUMIFS(tblDaily[Deaths],tblDaily[EntryDate],DATE(2026,10,16),tblDaily[WardCode],"ICU")),"")</f>
        <v/>
      </c>
      <c r="E373" s="29" t="str">
        <f>IFERROR(IF(SUMIFS(tblDaily[DeathsUnder24Hrs],tblDaily[EntryDate],DATE(2026,10,16),tblDaily[WardCode],"ICU")=0,"",SUMIFS(tblDaily[DeathsUnder24Hrs],tblDaily[EntryDate],DATE(2026,10,16),tblDaily[WardCode],"ICU")),"")</f>
        <v/>
      </c>
      <c r="F373" s="29" t="str">
        <f>IFERROR(IF(SUMIFS(tblDaily[TransfersIn],tblDaily[EntryDate],DATE(2026,10,16),tblDaily[WardCode],"ICU")=0,"",SUMIFS(tblDaily[TransfersIn],tblDaily[EntryDate],DATE(2026,10,16),tblDaily[WardCode],"ICU")),"")</f>
        <v/>
      </c>
      <c r="G373" s="29" t="str">
        <f>IFERROR(IF(SUMIFS(tblDaily[TransfersOut],tblDaily[EntryDate],DATE(2026,10,16),tblDaily[WardCode],"ICU")=0,"",SUMIFS(tblDaily[TransfersOut],tblDaily[EntryDate],DATE(2026,10,16),tblDaily[WardCode],"ICU")),"")</f>
        <v/>
      </c>
      <c r="H373" s="29" t="str">
        <f>IFERROR(IF(SUMIFS(tblDaily[Remaining],tblDaily[EntryDate],DATE(2026,10,16),tblDaily[WardCode],"ICU")=0,"",SUMIFS(tblDaily[Remaining],tblDaily[EntryDate],DATE(2026,10,16),tblDaily[WardCode],"ICU")),"")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IFERROR(IF(SUMIFS(tblDaily[Admissions],tblDaily[EntryDate],DATE(2026,10,17),tblDaily[WardCode],"ICU")=0,"",SUMIFS(tblDaily[Admissions],tblDaily[EntryDate],DATE(2026,10,17),tblDaily[WardCode],"ICU")),"")</f>
        <v/>
      </c>
      <c r="C374" s="29" t="str">
        <f>IFERROR(IF(SUMIFS(tblDaily[Discharges],tblDaily[EntryDate],DATE(2026,10,17),tblDaily[WardCode],"ICU")=0,"",SUMIFS(tblDaily[Discharges],tblDaily[EntryDate],DATE(2026,10,17),tblDaily[WardCode],"ICU")),"")</f>
        <v/>
      </c>
      <c r="D374" s="29" t="str">
        <f>IFERROR(IF(SUMIFS(tblDaily[Deaths],tblDaily[EntryDate],DATE(2026,10,17),tblDaily[WardCode],"ICU")=0,"",SUMIFS(tblDaily[Deaths],tblDaily[EntryDate],DATE(2026,10,17),tblDaily[WardCode],"ICU")),"")</f>
        <v/>
      </c>
      <c r="E374" s="29" t="str">
        <f>IFERROR(IF(SUMIFS(tblDaily[DeathsUnder24Hrs],tblDaily[EntryDate],DATE(2026,10,17),tblDaily[WardCode],"ICU")=0,"",SUMIFS(tblDaily[DeathsUnder24Hrs],tblDaily[EntryDate],DATE(2026,10,17),tblDaily[WardCode],"ICU")),"")</f>
        <v/>
      </c>
      <c r="F374" s="29" t="str">
        <f>IFERROR(IF(SUMIFS(tblDaily[TransfersIn],tblDaily[EntryDate],DATE(2026,10,17),tblDaily[WardCode],"ICU")=0,"",SUMIFS(tblDaily[TransfersIn],tblDaily[EntryDate],DATE(2026,10,17),tblDaily[WardCode],"ICU")),"")</f>
        <v/>
      </c>
      <c r="G374" s="29" t="str">
        <f>IFERROR(IF(SUMIFS(tblDaily[TransfersOut],tblDaily[EntryDate],DATE(2026,10,17),tblDaily[WardCode],"ICU")=0,"",SUMIFS(tblDaily[TransfersOut],tblDaily[EntryDate],DATE(2026,10,17),tblDaily[WardCode],"ICU")),"")</f>
        <v/>
      </c>
      <c r="H374" s="29" t="str">
        <f>IFERROR(IF(SUMIFS(tblDaily[Remaining],tblDaily[EntryDate],DATE(2026,10,17),tblDaily[WardCode],"ICU")=0,"",SUMIFS(tblDaily[Remaining],tblDaily[EntryDate],DATE(2026,10,17),tblDaily[WardCode],"ICU")),"")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IFERROR(IF(SUMIFS(tblDaily[Admissions],tblDaily[EntryDate],DATE(2026,10,18),tblDaily[WardCode],"ICU")=0,"",SUMIFS(tblDaily[Admissions],tblDaily[EntryDate],DATE(2026,10,18),tblDaily[WardCode],"ICU")),"")</f>
        <v/>
      </c>
      <c r="C375" s="29" t="str">
        <f>IFERROR(IF(SUMIFS(tblDaily[Discharges],tblDaily[EntryDate],DATE(2026,10,18),tblDaily[WardCode],"ICU")=0,"",SUMIFS(tblDaily[Discharges],tblDaily[EntryDate],DATE(2026,10,18),tblDaily[WardCode],"ICU")),"")</f>
        <v/>
      </c>
      <c r="D375" s="29" t="str">
        <f>IFERROR(IF(SUMIFS(tblDaily[Deaths],tblDaily[EntryDate],DATE(2026,10,18),tblDaily[WardCode],"ICU")=0,"",SUMIFS(tblDaily[Deaths],tblDaily[EntryDate],DATE(2026,10,18),tblDaily[WardCode],"ICU")),"")</f>
        <v/>
      </c>
      <c r="E375" s="29" t="str">
        <f>IFERROR(IF(SUMIFS(tblDaily[DeathsUnder24Hrs],tblDaily[EntryDate],DATE(2026,10,18),tblDaily[WardCode],"ICU")=0,"",SUMIFS(tblDaily[DeathsUnder24Hrs],tblDaily[EntryDate],DATE(2026,10,18),tblDaily[WardCode],"ICU")),"")</f>
        <v/>
      </c>
      <c r="F375" s="29" t="str">
        <f>IFERROR(IF(SUMIFS(tblDaily[TransfersIn],tblDaily[EntryDate],DATE(2026,10,18),tblDaily[WardCode],"ICU")=0,"",SUMIFS(tblDaily[TransfersIn],tblDaily[EntryDate],DATE(2026,10,18),tblDaily[WardCode],"ICU")),"")</f>
        <v/>
      </c>
      <c r="G375" s="29" t="str">
        <f>IFERROR(IF(SUMIFS(tblDaily[TransfersOut],tblDaily[EntryDate],DATE(2026,10,18),tblDaily[WardCode],"ICU")=0,"",SUMIFS(tblDaily[TransfersOut],tblDaily[EntryDate],DATE(2026,10,18),tblDaily[WardCode],"ICU")),"")</f>
        <v/>
      </c>
      <c r="H375" s="29" t="str">
        <f>IFERROR(IF(SUMIFS(tblDaily[Remaining],tblDaily[EntryDate],DATE(2026,10,18),tblDaily[WardCode],"ICU")=0,"",SUMIFS(tblDaily[Remaining],tblDaily[EntryDate],DATE(2026,10,18),tblDaily[WardCode],"ICU")),"")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IFERROR(IF(SUMIFS(tblDaily[Admissions],tblDaily[EntryDate],DATE(2026,10,19),tblDaily[WardCode],"ICU")=0,"",SUMIFS(tblDaily[Admissions],tblDaily[EntryDate],DATE(2026,10,19),tblDaily[WardCode],"ICU")),"")</f>
        <v/>
      </c>
      <c r="C376" s="29" t="str">
        <f>IFERROR(IF(SUMIFS(tblDaily[Discharges],tblDaily[EntryDate],DATE(2026,10,19),tblDaily[WardCode],"ICU")=0,"",SUMIFS(tblDaily[Discharges],tblDaily[EntryDate],DATE(2026,10,19),tblDaily[WardCode],"ICU")),"")</f>
        <v/>
      </c>
      <c r="D376" s="29" t="str">
        <f>IFERROR(IF(SUMIFS(tblDaily[Deaths],tblDaily[EntryDate],DATE(2026,10,19),tblDaily[WardCode],"ICU")=0,"",SUMIFS(tblDaily[Deaths],tblDaily[EntryDate],DATE(2026,10,19),tblDaily[WardCode],"ICU")),"")</f>
        <v/>
      </c>
      <c r="E376" s="29" t="str">
        <f>IFERROR(IF(SUMIFS(tblDaily[DeathsUnder24Hrs],tblDaily[EntryDate],DATE(2026,10,19),tblDaily[WardCode],"ICU")=0,"",SUMIFS(tblDaily[DeathsUnder24Hrs],tblDaily[EntryDate],DATE(2026,10,19),tblDaily[WardCode],"ICU")),"")</f>
        <v/>
      </c>
      <c r="F376" s="29" t="str">
        <f>IFERROR(IF(SUMIFS(tblDaily[TransfersIn],tblDaily[EntryDate],DATE(2026,10,19),tblDaily[WardCode],"ICU")=0,"",SUMIFS(tblDaily[TransfersIn],tblDaily[EntryDate],DATE(2026,10,19),tblDaily[WardCode],"ICU")),"")</f>
        <v/>
      </c>
      <c r="G376" s="29" t="str">
        <f>IFERROR(IF(SUMIFS(tblDaily[TransfersOut],tblDaily[EntryDate],DATE(2026,10,19),tblDaily[WardCode],"ICU")=0,"",SUMIFS(tblDaily[TransfersOut],tblDaily[EntryDate],DATE(2026,10,19),tblDaily[WardCode],"ICU")),"")</f>
        <v/>
      </c>
      <c r="H376" s="29" t="str">
        <f>IFERROR(IF(SUMIFS(tblDaily[Remaining],tblDaily[EntryDate],DATE(2026,10,19),tblDaily[WardCode],"ICU")=0,"",SUMIFS(tblDaily[Remaining],tblDaily[EntryDate],DATE(2026,10,19),tblDaily[WardCode],"ICU")),"")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IFERROR(IF(SUMIFS(tblDaily[Admissions],tblDaily[EntryDate],DATE(2026,10,20),tblDaily[WardCode],"ICU")=0,"",SUMIFS(tblDaily[Admissions],tblDaily[EntryDate],DATE(2026,10,20),tblDaily[WardCode],"ICU")),"")</f>
        <v/>
      </c>
      <c r="C377" s="29" t="str">
        <f>IFERROR(IF(SUMIFS(tblDaily[Discharges],tblDaily[EntryDate],DATE(2026,10,20),tblDaily[WardCode],"ICU")=0,"",SUMIFS(tblDaily[Discharges],tblDaily[EntryDate],DATE(2026,10,20),tblDaily[WardCode],"ICU")),"")</f>
        <v/>
      </c>
      <c r="D377" s="29" t="str">
        <f>IFERROR(IF(SUMIFS(tblDaily[Deaths],tblDaily[EntryDate],DATE(2026,10,20),tblDaily[WardCode],"ICU")=0,"",SUMIFS(tblDaily[Deaths],tblDaily[EntryDate],DATE(2026,10,20),tblDaily[WardCode],"ICU")),"")</f>
        <v/>
      </c>
      <c r="E377" s="29" t="str">
        <f>IFERROR(IF(SUMIFS(tblDaily[DeathsUnder24Hrs],tblDaily[EntryDate],DATE(2026,10,20),tblDaily[WardCode],"ICU")=0,"",SUMIFS(tblDaily[DeathsUnder24Hrs],tblDaily[EntryDate],DATE(2026,10,20),tblDaily[WardCode],"ICU")),"")</f>
        <v/>
      </c>
      <c r="F377" s="29" t="str">
        <f>IFERROR(IF(SUMIFS(tblDaily[TransfersIn],tblDaily[EntryDate],DATE(2026,10,20),tblDaily[WardCode],"ICU")=0,"",SUMIFS(tblDaily[TransfersIn],tblDaily[EntryDate],DATE(2026,10,20),tblDaily[WardCode],"ICU")),"")</f>
        <v/>
      </c>
      <c r="G377" s="29" t="str">
        <f>IFERROR(IF(SUMIFS(tblDaily[TransfersOut],tblDaily[EntryDate],DATE(2026,10,20),tblDaily[WardCode],"ICU")=0,"",SUMIFS(tblDaily[TransfersOut],tblDaily[EntryDate],DATE(2026,10,20),tblDaily[WardCode],"ICU")),"")</f>
        <v/>
      </c>
      <c r="H377" s="29" t="str">
        <f>IFERROR(IF(SUMIFS(tblDaily[Remaining],tblDaily[EntryDate],DATE(2026,10,20),tblDaily[WardCode],"ICU")=0,"",SUMIFS(tblDaily[Remaining],tblDaily[EntryDate],DATE(2026,10,20),tblDaily[WardCode],"ICU")),"")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IFERROR(IF(SUMIFS(tblDaily[Admissions],tblDaily[EntryDate],DATE(2026,10,21),tblDaily[WardCode],"ICU")=0,"",SUMIFS(tblDaily[Admissions],tblDaily[EntryDate],DATE(2026,10,21),tblDaily[WardCode],"ICU")),"")</f>
        <v/>
      </c>
      <c r="C378" s="29" t="str">
        <f>IFERROR(IF(SUMIFS(tblDaily[Discharges],tblDaily[EntryDate],DATE(2026,10,21),tblDaily[WardCode],"ICU")=0,"",SUMIFS(tblDaily[Discharges],tblDaily[EntryDate],DATE(2026,10,21),tblDaily[WardCode],"ICU")),"")</f>
        <v/>
      </c>
      <c r="D378" s="29" t="str">
        <f>IFERROR(IF(SUMIFS(tblDaily[Deaths],tblDaily[EntryDate],DATE(2026,10,21),tblDaily[WardCode],"ICU")=0,"",SUMIFS(tblDaily[Deaths],tblDaily[EntryDate],DATE(2026,10,21),tblDaily[WardCode],"ICU")),"")</f>
        <v/>
      </c>
      <c r="E378" s="29" t="str">
        <f>IFERROR(IF(SUMIFS(tblDaily[DeathsUnder24Hrs],tblDaily[EntryDate],DATE(2026,10,21),tblDaily[WardCode],"ICU")=0,"",SUMIFS(tblDaily[DeathsUnder24Hrs],tblDaily[EntryDate],DATE(2026,10,21),tblDaily[WardCode],"ICU")),"")</f>
        <v/>
      </c>
      <c r="F378" s="29" t="str">
        <f>IFERROR(IF(SUMIFS(tblDaily[TransfersIn],tblDaily[EntryDate],DATE(2026,10,21),tblDaily[WardCode],"ICU")=0,"",SUMIFS(tblDaily[TransfersIn],tblDaily[EntryDate],DATE(2026,10,21),tblDaily[WardCode],"ICU")),"")</f>
        <v/>
      </c>
      <c r="G378" s="29" t="str">
        <f>IFERROR(IF(SUMIFS(tblDaily[TransfersOut],tblDaily[EntryDate],DATE(2026,10,21),tblDaily[WardCode],"ICU")=0,"",SUMIFS(tblDaily[TransfersOut],tblDaily[EntryDate],DATE(2026,10,21),tblDaily[WardCode],"ICU")),"")</f>
        <v/>
      </c>
      <c r="H378" s="29" t="str">
        <f>IFERROR(IF(SUMIFS(tblDaily[Remaining],tblDaily[EntryDate],DATE(2026,10,21),tblDaily[WardCode],"ICU")=0,"",SUMIFS(tblDaily[Remaining],tblDaily[EntryDate],DATE(2026,10,21),tblDaily[WardCode],"ICU")),"")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IFERROR(IF(SUMIFS(tblDaily[Admissions],tblDaily[EntryDate],DATE(2026,10,22),tblDaily[WardCode],"ICU")=0,"",SUMIFS(tblDaily[Admissions],tblDaily[EntryDate],DATE(2026,10,22),tblDaily[WardCode],"ICU")),"")</f>
        <v/>
      </c>
      <c r="C379" s="29" t="str">
        <f>IFERROR(IF(SUMIFS(tblDaily[Discharges],tblDaily[EntryDate],DATE(2026,10,22),tblDaily[WardCode],"ICU")=0,"",SUMIFS(tblDaily[Discharges],tblDaily[EntryDate],DATE(2026,10,22),tblDaily[WardCode],"ICU")),"")</f>
        <v/>
      </c>
      <c r="D379" s="29" t="str">
        <f>IFERROR(IF(SUMIFS(tblDaily[Deaths],tblDaily[EntryDate],DATE(2026,10,22),tblDaily[WardCode],"ICU")=0,"",SUMIFS(tblDaily[Deaths],tblDaily[EntryDate],DATE(2026,10,22),tblDaily[WardCode],"ICU")),"")</f>
        <v/>
      </c>
      <c r="E379" s="29" t="str">
        <f>IFERROR(IF(SUMIFS(tblDaily[DeathsUnder24Hrs],tblDaily[EntryDate],DATE(2026,10,22),tblDaily[WardCode],"ICU")=0,"",SUMIFS(tblDaily[DeathsUnder24Hrs],tblDaily[EntryDate],DATE(2026,10,22),tblDaily[WardCode],"ICU")),"")</f>
        <v/>
      </c>
      <c r="F379" s="29" t="str">
        <f>IFERROR(IF(SUMIFS(tblDaily[TransfersIn],tblDaily[EntryDate],DATE(2026,10,22),tblDaily[WardCode],"ICU")=0,"",SUMIFS(tblDaily[TransfersIn],tblDaily[EntryDate],DATE(2026,10,22),tblDaily[WardCode],"ICU")),"")</f>
        <v/>
      </c>
      <c r="G379" s="29" t="str">
        <f>IFERROR(IF(SUMIFS(tblDaily[TransfersOut],tblDaily[EntryDate],DATE(2026,10,22),tblDaily[WardCode],"ICU")=0,"",SUMIFS(tblDaily[TransfersOut],tblDaily[EntryDate],DATE(2026,10,22),tblDaily[WardCode],"ICU")),"")</f>
        <v/>
      </c>
      <c r="H379" s="29" t="str">
        <f>IFERROR(IF(SUMIFS(tblDaily[Remaining],tblDaily[EntryDate],DATE(2026,10,22),tblDaily[WardCode],"ICU")=0,"",SUMIFS(tblDaily[Remaining],tblDaily[EntryDate],DATE(2026,10,22),tblDaily[WardCode],"ICU")),"")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IFERROR(IF(SUMIFS(tblDaily[Admissions],tblDaily[EntryDate],DATE(2026,10,23),tblDaily[WardCode],"ICU")=0,"",SUMIFS(tblDaily[Admissions],tblDaily[EntryDate],DATE(2026,10,23),tblDaily[WardCode],"ICU")),"")</f>
        <v/>
      </c>
      <c r="C380" s="29" t="str">
        <f>IFERROR(IF(SUMIFS(tblDaily[Discharges],tblDaily[EntryDate],DATE(2026,10,23),tblDaily[WardCode],"ICU")=0,"",SUMIFS(tblDaily[Discharges],tblDaily[EntryDate],DATE(2026,10,23),tblDaily[WardCode],"ICU")),"")</f>
        <v/>
      </c>
      <c r="D380" s="29" t="str">
        <f>IFERROR(IF(SUMIFS(tblDaily[Deaths],tblDaily[EntryDate],DATE(2026,10,23),tblDaily[WardCode],"ICU")=0,"",SUMIFS(tblDaily[Deaths],tblDaily[EntryDate],DATE(2026,10,23),tblDaily[WardCode],"ICU")),"")</f>
        <v/>
      </c>
      <c r="E380" s="29" t="str">
        <f>IFERROR(IF(SUMIFS(tblDaily[DeathsUnder24Hrs],tblDaily[EntryDate],DATE(2026,10,23),tblDaily[WardCode],"ICU")=0,"",SUMIFS(tblDaily[DeathsUnder24Hrs],tblDaily[EntryDate],DATE(2026,10,23),tblDaily[WardCode],"ICU")),"")</f>
        <v/>
      </c>
      <c r="F380" s="29" t="str">
        <f>IFERROR(IF(SUMIFS(tblDaily[TransfersIn],tblDaily[EntryDate],DATE(2026,10,23),tblDaily[WardCode],"ICU")=0,"",SUMIFS(tblDaily[TransfersIn],tblDaily[EntryDate],DATE(2026,10,23),tblDaily[WardCode],"ICU")),"")</f>
        <v/>
      </c>
      <c r="G380" s="29" t="str">
        <f>IFERROR(IF(SUMIFS(tblDaily[TransfersOut],tblDaily[EntryDate],DATE(2026,10,23),tblDaily[WardCode],"ICU")=0,"",SUMIFS(tblDaily[TransfersOut],tblDaily[EntryDate],DATE(2026,10,23),tblDaily[WardCode],"ICU")),"")</f>
        <v/>
      </c>
      <c r="H380" s="29" t="str">
        <f>IFERROR(IF(SUMIFS(tblDaily[Remaining],tblDaily[EntryDate],DATE(2026,10,23),tblDaily[WardCode],"ICU")=0,"",SUMIFS(tblDaily[Remaining],tblDaily[EntryDate],DATE(2026,10,23),tblDaily[WardCode],"ICU")),"")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IFERROR(IF(SUMIFS(tblDaily[Admissions],tblDaily[EntryDate],DATE(2026,10,24),tblDaily[WardCode],"ICU")=0,"",SUMIFS(tblDaily[Admissions],tblDaily[EntryDate],DATE(2026,10,24),tblDaily[WardCode],"ICU")),"")</f>
        <v/>
      </c>
      <c r="C381" s="29" t="str">
        <f>IFERROR(IF(SUMIFS(tblDaily[Discharges],tblDaily[EntryDate],DATE(2026,10,24),tblDaily[WardCode],"ICU")=0,"",SUMIFS(tblDaily[Discharges],tblDaily[EntryDate],DATE(2026,10,24),tblDaily[WardCode],"ICU")),"")</f>
        <v/>
      </c>
      <c r="D381" s="29" t="str">
        <f>IFERROR(IF(SUMIFS(tblDaily[Deaths],tblDaily[EntryDate],DATE(2026,10,24),tblDaily[WardCode],"ICU")=0,"",SUMIFS(tblDaily[Deaths],tblDaily[EntryDate],DATE(2026,10,24),tblDaily[WardCode],"ICU")),"")</f>
        <v/>
      </c>
      <c r="E381" s="29" t="str">
        <f>IFERROR(IF(SUMIFS(tblDaily[DeathsUnder24Hrs],tblDaily[EntryDate],DATE(2026,10,24),tblDaily[WardCode],"ICU")=0,"",SUMIFS(tblDaily[DeathsUnder24Hrs],tblDaily[EntryDate],DATE(2026,10,24),tblDaily[WardCode],"ICU")),"")</f>
        <v/>
      </c>
      <c r="F381" s="29" t="str">
        <f>IFERROR(IF(SUMIFS(tblDaily[TransfersIn],tblDaily[EntryDate],DATE(2026,10,24),tblDaily[WardCode],"ICU")=0,"",SUMIFS(tblDaily[TransfersIn],tblDaily[EntryDate],DATE(2026,10,24),tblDaily[WardCode],"ICU")),"")</f>
        <v/>
      </c>
      <c r="G381" s="29" t="str">
        <f>IFERROR(IF(SUMIFS(tblDaily[TransfersOut],tblDaily[EntryDate],DATE(2026,10,24),tblDaily[WardCode],"ICU")=0,"",SUMIFS(tblDaily[TransfersOut],tblDaily[EntryDate],DATE(2026,10,24),tblDaily[WardCode],"ICU")),"")</f>
        <v/>
      </c>
      <c r="H381" s="29" t="str">
        <f>IFERROR(IF(SUMIFS(tblDaily[Remaining],tblDaily[EntryDate],DATE(2026,10,24),tblDaily[WardCode],"ICU")=0,"",SUMIFS(tblDaily[Remaining],tblDaily[EntryDate],DATE(2026,10,24),tblDaily[WardCode],"ICU")),"")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IFERROR(IF(SUMIFS(tblDaily[Admissions],tblDaily[EntryDate],DATE(2026,10,25),tblDaily[WardCode],"ICU")=0,"",SUMIFS(tblDaily[Admissions],tblDaily[EntryDate],DATE(2026,10,25),tblDaily[WardCode],"ICU")),"")</f>
        <v/>
      </c>
      <c r="C382" s="29" t="str">
        <f>IFERROR(IF(SUMIFS(tblDaily[Discharges],tblDaily[EntryDate],DATE(2026,10,25),tblDaily[WardCode],"ICU")=0,"",SUMIFS(tblDaily[Discharges],tblDaily[EntryDate],DATE(2026,10,25),tblDaily[WardCode],"ICU")),"")</f>
        <v/>
      </c>
      <c r="D382" s="29" t="str">
        <f>IFERROR(IF(SUMIFS(tblDaily[Deaths],tblDaily[EntryDate],DATE(2026,10,25),tblDaily[WardCode],"ICU")=0,"",SUMIFS(tblDaily[Deaths],tblDaily[EntryDate],DATE(2026,10,25),tblDaily[WardCode],"ICU")),"")</f>
        <v/>
      </c>
      <c r="E382" s="29" t="str">
        <f>IFERROR(IF(SUMIFS(tblDaily[DeathsUnder24Hrs],tblDaily[EntryDate],DATE(2026,10,25),tblDaily[WardCode],"ICU")=0,"",SUMIFS(tblDaily[DeathsUnder24Hrs],tblDaily[EntryDate],DATE(2026,10,25),tblDaily[WardCode],"ICU")),"")</f>
        <v/>
      </c>
      <c r="F382" s="29" t="str">
        <f>IFERROR(IF(SUMIFS(tblDaily[TransfersIn],tblDaily[EntryDate],DATE(2026,10,25),tblDaily[WardCode],"ICU")=0,"",SUMIFS(tblDaily[TransfersIn],tblDaily[EntryDate],DATE(2026,10,25),tblDaily[WardCode],"ICU")),"")</f>
        <v/>
      </c>
      <c r="G382" s="29" t="str">
        <f>IFERROR(IF(SUMIFS(tblDaily[TransfersOut],tblDaily[EntryDate],DATE(2026,10,25),tblDaily[WardCode],"ICU")=0,"",SUMIFS(tblDaily[TransfersOut],tblDaily[EntryDate],DATE(2026,10,25),tblDaily[WardCode],"ICU")),"")</f>
        <v/>
      </c>
      <c r="H382" s="29" t="str">
        <f>IFERROR(IF(SUMIFS(tblDaily[Remaining],tblDaily[EntryDate],DATE(2026,10,25),tblDaily[WardCode],"ICU")=0,"",SUMIFS(tblDaily[Remaining],tblDaily[EntryDate],DATE(2026,10,25),tblDaily[WardCode],"ICU")),"")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IFERROR(IF(SUMIFS(tblDaily[Admissions],tblDaily[EntryDate],DATE(2026,10,26),tblDaily[WardCode],"ICU")=0,"",SUMIFS(tblDaily[Admissions],tblDaily[EntryDate],DATE(2026,10,26),tblDaily[WardCode],"ICU")),"")</f>
        <v/>
      </c>
      <c r="C383" s="29" t="str">
        <f>IFERROR(IF(SUMIFS(tblDaily[Discharges],tblDaily[EntryDate],DATE(2026,10,26),tblDaily[WardCode],"ICU")=0,"",SUMIFS(tblDaily[Discharges],tblDaily[EntryDate],DATE(2026,10,26),tblDaily[WardCode],"ICU")),"")</f>
        <v/>
      </c>
      <c r="D383" s="29" t="str">
        <f>IFERROR(IF(SUMIFS(tblDaily[Deaths],tblDaily[EntryDate],DATE(2026,10,26),tblDaily[WardCode],"ICU")=0,"",SUMIFS(tblDaily[Deaths],tblDaily[EntryDate],DATE(2026,10,26),tblDaily[WardCode],"ICU")),"")</f>
        <v/>
      </c>
      <c r="E383" s="29" t="str">
        <f>IFERROR(IF(SUMIFS(tblDaily[DeathsUnder24Hrs],tblDaily[EntryDate],DATE(2026,10,26),tblDaily[WardCode],"ICU")=0,"",SUMIFS(tblDaily[DeathsUnder24Hrs],tblDaily[EntryDate],DATE(2026,10,26),tblDaily[WardCode],"ICU")),"")</f>
        <v/>
      </c>
      <c r="F383" s="29" t="str">
        <f>IFERROR(IF(SUMIFS(tblDaily[TransfersIn],tblDaily[EntryDate],DATE(2026,10,26),tblDaily[WardCode],"ICU")=0,"",SUMIFS(tblDaily[TransfersIn],tblDaily[EntryDate],DATE(2026,10,26),tblDaily[WardCode],"ICU")),"")</f>
        <v/>
      </c>
      <c r="G383" s="29" t="str">
        <f>IFERROR(IF(SUMIFS(tblDaily[TransfersOut],tblDaily[EntryDate],DATE(2026,10,26),tblDaily[WardCode],"ICU")=0,"",SUMIFS(tblDaily[TransfersOut],tblDaily[EntryDate],DATE(2026,10,26),tblDaily[WardCode],"ICU")),"")</f>
        <v/>
      </c>
      <c r="H383" s="29" t="str">
        <f>IFERROR(IF(SUMIFS(tblDaily[Remaining],tblDaily[EntryDate],DATE(2026,10,26),tblDaily[WardCode],"ICU")=0,"",SUMIFS(tblDaily[Remaining],tblDaily[EntryDate],DATE(2026,10,26),tblDaily[WardCode],"ICU")),"")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IFERROR(IF(SUMIFS(tblDaily[Admissions],tblDaily[EntryDate],DATE(2026,10,27),tblDaily[WardCode],"ICU")=0,"",SUMIFS(tblDaily[Admissions],tblDaily[EntryDate],DATE(2026,10,27),tblDaily[WardCode],"ICU")),"")</f>
        <v/>
      </c>
      <c r="C384" s="29" t="str">
        <f>IFERROR(IF(SUMIFS(tblDaily[Discharges],tblDaily[EntryDate],DATE(2026,10,27),tblDaily[WardCode],"ICU")=0,"",SUMIFS(tblDaily[Discharges],tblDaily[EntryDate],DATE(2026,10,27),tblDaily[WardCode],"ICU")),"")</f>
        <v/>
      </c>
      <c r="D384" s="29" t="str">
        <f>IFERROR(IF(SUMIFS(tblDaily[Deaths],tblDaily[EntryDate],DATE(2026,10,27),tblDaily[WardCode],"ICU")=0,"",SUMIFS(tblDaily[Deaths],tblDaily[EntryDate],DATE(2026,10,27),tblDaily[WardCode],"ICU")),"")</f>
        <v/>
      </c>
      <c r="E384" s="29" t="str">
        <f>IFERROR(IF(SUMIFS(tblDaily[DeathsUnder24Hrs],tblDaily[EntryDate],DATE(2026,10,27),tblDaily[WardCode],"ICU")=0,"",SUMIFS(tblDaily[DeathsUnder24Hrs],tblDaily[EntryDate],DATE(2026,10,27),tblDaily[WardCode],"ICU")),"")</f>
        <v/>
      </c>
      <c r="F384" s="29" t="str">
        <f>IFERROR(IF(SUMIFS(tblDaily[TransfersIn],tblDaily[EntryDate],DATE(2026,10,27),tblDaily[WardCode],"ICU")=0,"",SUMIFS(tblDaily[TransfersIn],tblDaily[EntryDate],DATE(2026,10,27),tblDaily[WardCode],"ICU")),"")</f>
        <v/>
      </c>
      <c r="G384" s="29" t="str">
        <f>IFERROR(IF(SUMIFS(tblDaily[TransfersOut],tblDaily[EntryDate],DATE(2026,10,27),tblDaily[WardCode],"ICU")=0,"",SUMIFS(tblDaily[TransfersOut],tblDaily[EntryDate],DATE(2026,10,27),tblDaily[WardCode],"ICU")),"")</f>
        <v/>
      </c>
      <c r="H384" s="29" t="str">
        <f>IFERROR(IF(SUMIFS(tblDaily[Remaining],tblDaily[EntryDate],DATE(2026,10,27),tblDaily[WardCode],"ICU")=0,"",SUMIFS(tblDaily[Remaining],tblDaily[EntryDate],DATE(2026,10,27),tblDaily[WardCode],"ICU")),"")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IFERROR(IF(SUMIFS(tblDaily[Admissions],tblDaily[EntryDate],DATE(2026,10,28),tblDaily[WardCode],"ICU")=0,"",SUMIFS(tblDaily[Admissions],tblDaily[EntryDate],DATE(2026,10,28),tblDaily[WardCode],"ICU")),"")</f>
        <v/>
      </c>
      <c r="C385" s="29" t="str">
        <f>IFERROR(IF(SUMIFS(tblDaily[Discharges],tblDaily[EntryDate],DATE(2026,10,28),tblDaily[WardCode],"ICU")=0,"",SUMIFS(tblDaily[Discharges],tblDaily[EntryDate],DATE(2026,10,28),tblDaily[WardCode],"ICU")),"")</f>
        <v/>
      </c>
      <c r="D385" s="29" t="str">
        <f>IFERROR(IF(SUMIFS(tblDaily[Deaths],tblDaily[EntryDate],DATE(2026,10,28),tblDaily[WardCode],"ICU")=0,"",SUMIFS(tblDaily[Deaths],tblDaily[EntryDate],DATE(2026,10,28),tblDaily[WardCode],"ICU")),"")</f>
        <v/>
      </c>
      <c r="E385" s="29" t="str">
        <f>IFERROR(IF(SUMIFS(tblDaily[DeathsUnder24Hrs],tblDaily[EntryDate],DATE(2026,10,28),tblDaily[WardCode],"ICU")=0,"",SUMIFS(tblDaily[DeathsUnder24Hrs],tblDaily[EntryDate],DATE(2026,10,28),tblDaily[WardCode],"ICU")),"")</f>
        <v/>
      </c>
      <c r="F385" s="29" t="str">
        <f>IFERROR(IF(SUMIFS(tblDaily[TransfersIn],tblDaily[EntryDate],DATE(2026,10,28),tblDaily[WardCode],"ICU")=0,"",SUMIFS(tblDaily[TransfersIn],tblDaily[EntryDate],DATE(2026,10,28),tblDaily[WardCode],"ICU")),"")</f>
        <v/>
      </c>
      <c r="G385" s="29" t="str">
        <f>IFERROR(IF(SUMIFS(tblDaily[TransfersOut],tblDaily[EntryDate],DATE(2026,10,28),tblDaily[WardCode],"ICU")=0,"",SUMIFS(tblDaily[TransfersOut],tblDaily[EntryDate],DATE(2026,10,28),tblDaily[WardCode],"ICU")),"")</f>
        <v/>
      </c>
      <c r="H385" s="29" t="str">
        <f>IFERROR(IF(SUMIFS(tblDaily[Remaining],tblDaily[EntryDate],DATE(2026,10,28),tblDaily[WardCode],"ICU")=0,"",SUMIFS(tblDaily[Remaining],tblDaily[EntryDate],DATE(2026,10,28),tblDaily[WardCode],"ICU")),"")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IFERROR(IF(SUMIFS(tblDaily[Admissions],tblDaily[EntryDate],DATE(2026,10,29),tblDaily[WardCode],"ICU")=0,"",SUMIFS(tblDaily[Admissions],tblDaily[EntryDate],DATE(2026,10,29),tblDaily[WardCode],"ICU")),"")</f>
        <v/>
      </c>
      <c r="C386" s="29" t="str">
        <f>IFERROR(IF(SUMIFS(tblDaily[Discharges],tblDaily[EntryDate],DATE(2026,10,29),tblDaily[WardCode],"ICU")=0,"",SUMIFS(tblDaily[Discharges],tblDaily[EntryDate],DATE(2026,10,29),tblDaily[WardCode],"ICU")),"")</f>
        <v/>
      </c>
      <c r="D386" s="29" t="str">
        <f>IFERROR(IF(SUMIFS(tblDaily[Deaths],tblDaily[EntryDate],DATE(2026,10,29),tblDaily[WardCode],"ICU")=0,"",SUMIFS(tblDaily[Deaths],tblDaily[EntryDate],DATE(2026,10,29),tblDaily[WardCode],"ICU")),"")</f>
        <v/>
      </c>
      <c r="E386" s="29" t="str">
        <f>IFERROR(IF(SUMIFS(tblDaily[DeathsUnder24Hrs],tblDaily[EntryDate],DATE(2026,10,29),tblDaily[WardCode],"ICU")=0,"",SUMIFS(tblDaily[DeathsUnder24Hrs],tblDaily[EntryDate],DATE(2026,10,29),tblDaily[WardCode],"ICU")),"")</f>
        <v/>
      </c>
      <c r="F386" s="29" t="str">
        <f>IFERROR(IF(SUMIFS(tblDaily[TransfersIn],tblDaily[EntryDate],DATE(2026,10,29),tblDaily[WardCode],"ICU")=0,"",SUMIFS(tblDaily[TransfersIn],tblDaily[EntryDate],DATE(2026,10,29),tblDaily[WardCode],"ICU")),"")</f>
        <v/>
      </c>
      <c r="G386" s="29" t="str">
        <f>IFERROR(IF(SUMIFS(tblDaily[TransfersOut],tblDaily[EntryDate],DATE(2026,10,29),tblDaily[WardCode],"ICU")=0,"",SUMIFS(tblDaily[TransfersOut],tblDaily[EntryDate],DATE(2026,10,29),tblDaily[WardCode],"ICU")),"")</f>
        <v/>
      </c>
      <c r="H386" s="29" t="str">
        <f>IFERROR(IF(SUMIFS(tblDaily[Remaining],tblDaily[EntryDate],DATE(2026,10,29),tblDaily[WardCode],"ICU")=0,"",SUMIFS(tblDaily[Remaining],tblDaily[EntryDate],DATE(2026,10,29),tblDaily[WardCode],"ICU")),"")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IFERROR(IF(SUMIFS(tblDaily[Admissions],tblDaily[EntryDate],DATE(2026,10,30),tblDaily[WardCode],"ICU")=0,"",SUMIFS(tblDaily[Admissions],tblDaily[EntryDate],DATE(2026,10,30),tblDaily[WardCode],"ICU")),"")</f>
        <v/>
      </c>
      <c r="C387" s="29" t="str">
        <f>IFERROR(IF(SUMIFS(tblDaily[Discharges],tblDaily[EntryDate],DATE(2026,10,30),tblDaily[WardCode],"ICU")=0,"",SUMIFS(tblDaily[Discharges],tblDaily[EntryDate],DATE(2026,10,30),tblDaily[WardCode],"ICU")),"")</f>
        <v/>
      </c>
      <c r="D387" s="29" t="str">
        <f>IFERROR(IF(SUMIFS(tblDaily[Deaths],tblDaily[EntryDate],DATE(2026,10,30),tblDaily[WardCode],"ICU")=0,"",SUMIFS(tblDaily[Deaths],tblDaily[EntryDate],DATE(2026,10,30),tblDaily[WardCode],"ICU")),"")</f>
        <v/>
      </c>
      <c r="E387" s="29" t="str">
        <f>IFERROR(IF(SUMIFS(tblDaily[DeathsUnder24Hrs],tblDaily[EntryDate],DATE(2026,10,30),tblDaily[WardCode],"ICU")=0,"",SUMIFS(tblDaily[DeathsUnder24Hrs],tblDaily[EntryDate],DATE(2026,10,30),tblDaily[WardCode],"ICU")),"")</f>
        <v/>
      </c>
      <c r="F387" s="29" t="str">
        <f>IFERROR(IF(SUMIFS(tblDaily[TransfersIn],tblDaily[EntryDate],DATE(2026,10,30),tblDaily[WardCode],"ICU")=0,"",SUMIFS(tblDaily[TransfersIn],tblDaily[EntryDate],DATE(2026,10,30),tblDaily[WardCode],"ICU")),"")</f>
        <v/>
      </c>
      <c r="G387" s="29" t="str">
        <f>IFERROR(IF(SUMIFS(tblDaily[TransfersOut],tblDaily[EntryDate],DATE(2026,10,30),tblDaily[WardCode],"ICU")=0,"",SUMIFS(tblDaily[TransfersOut],tblDaily[EntryDate],DATE(2026,10,30),tblDaily[WardCode],"ICU")),"")</f>
        <v/>
      </c>
      <c r="H387" s="29" t="str">
        <f>IFERROR(IF(SUMIFS(tblDaily[Remaining],tblDaily[EntryDate],DATE(2026,10,30),tblDaily[WardCode],"ICU")=0,"",SUMIFS(tblDaily[Remaining],tblDaily[EntryDate],DATE(2026,10,30),tblDaily[WardCode],"ICU")),"")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IFERROR(IF(SUMIFS(tblDaily[Admissions],tblDaily[EntryDate],DATE(2026,10,31),tblDaily[WardCode],"ICU")=0,"",SUMIFS(tblDaily[Admissions],tblDaily[EntryDate],DATE(2026,10,31),tblDaily[WardCode],"ICU")),"")</f>
        <v/>
      </c>
      <c r="C388" s="29" t="str">
        <f>IFERROR(IF(SUMIFS(tblDaily[Discharges],tblDaily[EntryDate],DATE(2026,10,31),tblDaily[WardCode],"ICU")=0,"",SUMIFS(tblDaily[Discharges],tblDaily[EntryDate],DATE(2026,10,31),tblDaily[WardCode],"ICU")),"")</f>
        <v/>
      </c>
      <c r="D388" s="29" t="str">
        <f>IFERROR(IF(SUMIFS(tblDaily[Deaths],tblDaily[EntryDate],DATE(2026,10,31),tblDaily[WardCode],"ICU")=0,"",SUMIFS(tblDaily[Deaths],tblDaily[EntryDate],DATE(2026,10,31),tblDaily[WardCode],"ICU")),"")</f>
        <v/>
      </c>
      <c r="E388" s="29" t="str">
        <f>IFERROR(IF(SUMIFS(tblDaily[DeathsUnder24Hrs],tblDaily[EntryDate],DATE(2026,10,31),tblDaily[WardCode],"ICU")=0,"",SUMIFS(tblDaily[DeathsUnder24Hrs],tblDaily[EntryDate],DATE(2026,10,31),tblDaily[WardCode],"ICU")),"")</f>
        <v/>
      </c>
      <c r="F388" s="29" t="str">
        <f>IFERROR(IF(SUMIFS(tblDaily[TransfersIn],tblDaily[EntryDate],DATE(2026,10,31),tblDaily[WardCode],"ICU")=0,"",SUMIFS(tblDaily[TransfersIn],tblDaily[EntryDate],DATE(2026,10,31),tblDaily[WardCode],"ICU")),"")</f>
        <v/>
      </c>
      <c r="G388" s="29" t="str">
        <f>IFERROR(IF(SUMIFS(tblDaily[TransfersOut],tblDaily[EntryDate],DATE(2026,10,31),tblDaily[WardCode],"ICU")=0,"",SUMIFS(tblDaily[TransfersOut],tblDaily[EntryDate],DATE(2026,10,31),tblDaily[WardCode],"ICU")),"")</f>
        <v/>
      </c>
      <c r="H388" s="29" t="str">
        <f>IFERROR(IF(SUMIFS(tblDaily[Remaining],tblDaily[EntryDate],DATE(2026,10,31),tblDaily[WardCode],"ICU")=0,"",SUMIFS(tblDaily[Remaining],tblDaily[EntryDate],DATE(2026,10,31),tblDaily[WardCode],"ICU")),"")</f>
        <v/>
      </c>
    </row>
    <row r="389" spans="1:8" x14ac:dyDescent="0.25">
      <c r="A389" s="30" t="s">
        <v>115</v>
      </c>
      <c r="B389" s="30">
        <f>SUMIFS(tblDaily[Admissions],tblDaily[Month],10,tblDaily[WardCode],"ICU") - SUMIFS(tblDaily[DeathsUnder24Hrs],tblDaily[Month],10,tblDaily[WardCode],"ICU")</f>
        <v>0</v>
      </c>
      <c r="C389" s="30">
        <f>SUMIFS(tblDaily[Discharges],tblDaily[Month],10,tblDaily[WardCode],"ICU")</f>
        <v>0</v>
      </c>
      <c r="D389" s="30">
        <f>SUMIFS(tblDaily[Deaths],tblDaily[Month],10,tblDaily[WardCode],"ICU")</f>
        <v>0</v>
      </c>
      <c r="E389" s="30">
        <f>SUMIFS(tblDaily[DeathsUnder24Hrs],tblDaily[Month],10,tblDaily[WardCode],"ICU")</f>
        <v>0</v>
      </c>
      <c r="F389" s="30">
        <f>SUMIFS(tblDaily[TransfersIn],tblDaily[Month],10,tblDaily[WardCode],"ICU")</f>
        <v>0</v>
      </c>
      <c r="G389" s="30">
        <f>SUMIFS(tblDaily[TransfersOut],tblDaily[Month],10,tblDaily[WardCode],"ICU")</f>
        <v>0</v>
      </c>
      <c r="H389" s="30">
        <f>SUMIFS(tblDaily[Remaining],tblDaily[Month],10,tblDaily[WardCode],"ICU")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104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105</v>
      </c>
      <c r="E393" s="25" t="s">
        <v>124</v>
      </c>
      <c r="F393" s="24" t="s">
        <v>107</v>
      </c>
      <c r="G393" s="25" t="s">
        <v>73</v>
      </c>
    </row>
    <row r="394" spans="1:8" x14ac:dyDescent="0.25">
      <c r="A394" s="24" t="s">
        <v>108</v>
      </c>
      <c r="H394" s="26">
        <f>IFERROR(SUMIFS(tblDaily[Remaining],tblDaily[EntryDate],DATE(2026,10,31),tblDaily[WardCode],"ICU"),0)</f>
        <v>0</v>
      </c>
    </row>
    <row r="395" spans="1:8" x14ac:dyDescent="0.25">
      <c r="A395" s="24" t="s">
        <v>109</v>
      </c>
      <c r="H395" s="27">
        <f>IFERROR(INDEX(tblWardConfig[BedComplement],MATCH("ICU",tblWardConfig[WardCode],0)),0)</f>
        <v>4</v>
      </c>
    </row>
    <row r="396" spans="1:8" ht="38.25" x14ac:dyDescent="0.25">
      <c r="A396" s="28" t="s">
        <v>110</v>
      </c>
      <c r="B396" s="28" t="s">
        <v>77</v>
      </c>
      <c r="C396" s="28" t="s">
        <v>78</v>
      </c>
      <c r="D396" s="28" t="s">
        <v>79</v>
      </c>
      <c r="E396" s="28" t="s">
        <v>111</v>
      </c>
      <c r="F396" s="28" t="s">
        <v>112</v>
      </c>
      <c r="G396" s="28" t="s">
        <v>113</v>
      </c>
      <c r="H396" s="28" t="s">
        <v>114</v>
      </c>
    </row>
    <row r="397" spans="1:8" x14ac:dyDescent="0.25">
      <c r="A397" s="29">
        <v>1</v>
      </c>
      <c r="B397" s="29" t="str">
        <f>IFERROR(IF(SUMIFS(tblDaily[Admissions],tblDaily[EntryDate],DATE(2026,11,1),tblDaily[WardCode],"ICU")=0,"",SUMIFS(tblDaily[Admissions],tblDaily[EntryDate],DATE(2026,11,1),tblDaily[WardCode],"ICU")),"")</f>
        <v/>
      </c>
      <c r="C397" s="29" t="str">
        <f>IFERROR(IF(SUMIFS(tblDaily[Discharges],tblDaily[EntryDate],DATE(2026,11,1),tblDaily[WardCode],"ICU")=0,"",SUMIFS(tblDaily[Discharges],tblDaily[EntryDate],DATE(2026,11,1),tblDaily[WardCode],"ICU")),"")</f>
        <v/>
      </c>
      <c r="D397" s="29" t="str">
        <f>IFERROR(IF(SUMIFS(tblDaily[Deaths],tblDaily[EntryDate],DATE(2026,11,1),tblDaily[WardCode],"ICU")=0,"",SUMIFS(tblDaily[Deaths],tblDaily[EntryDate],DATE(2026,11,1),tblDaily[WardCode],"ICU")),"")</f>
        <v/>
      </c>
      <c r="E397" s="29" t="str">
        <f>IFERROR(IF(SUMIFS(tblDaily[DeathsUnder24Hrs],tblDaily[EntryDate],DATE(2026,11,1),tblDaily[WardCode],"ICU")=0,"",SUMIFS(tblDaily[DeathsUnder24Hrs],tblDaily[EntryDate],DATE(2026,11,1),tblDaily[WardCode],"ICU")),"")</f>
        <v/>
      </c>
      <c r="F397" s="29" t="str">
        <f>IFERROR(IF(SUMIFS(tblDaily[TransfersIn],tblDaily[EntryDate],DATE(2026,11,1),tblDaily[WardCode],"ICU")=0,"",SUMIFS(tblDaily[TransfersIn],tblDaily[EntryDate],DATE(2026,11,1),tblDaily[WardCode],"ICU")),"")</f>
        <v/>
      </c>
      <c r="G397" s="29" t="str">
        <f>IFERROR(IF(SUMIFS(tblDaily[TransfersOut],tblDaily[EntryDate],DATE(2026,11,1),tblDaily[WardCode],"ICU")=0,"",SUMIFS(tblDaily[TransfersOut],tblDaily[EntryDate],DATE(2026,11,1),tblDaily[WardCode],"ICU")),"")</f>
        <v/>
      </c>
      <c r="H397" s="29" t="str">
        <f>IFERROR(IF(SUMIFS(tblDaily[Remaining],tblDaily[EntryDate],DATE(2026,11,1),tblDaily[WardCode],"ICU")=0,"",SUMIFS(tblDaily[Remaining],tblDaily[EntryDate],DATE(2026,11,1),tblDaily[WardCode],"ICU")),"")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IFERROR(IF(SUMIFS(tblDaily[Admissions],tblDaily[EntryDate],DATE(2026,11,2),tblDaily[WardCode],"ICU")=0,"",SUMIFS(tblDaily[Admissions],tblDaily[EntryDate],DATE(2026,11,2),tblDaily[WardCode],"ICU")),"")</f>
        <v/>
      </c>
      <c r="C398" s="29" t="str">
        <f>IFERROR(IF(SUMIFS(tblDaily[Discharges],tblDaily[EntryDate],DATE(2026,11,2),tblDaily[WardCode],"ICU")=0,"",SUMIFS(tblDaily[Discharges],tblDaily[EntryDate],DATE(2026,11,2),tblDaily[WardCode],"ICU")),"")</f>
        <v/>
      </c>
      <c r="D398" s="29" t="str">
        <f>IFERROR(IF(SUMIFS(tblDaily[Deaths],tblDaily[EntryDate],DATE(2026,11,2),tblDaily[WardCode],"ICU")=0,"",SUMIFS(tblDaily[Deaths],tblDaily[EntryDate],DATE(2026,11,2),tblDaily[WardCode],"ICU")),"")</f>
        <v/>
      </c>
      <c r="E398" s="29" t="str">
        <f>IFERROR(IF(SUMIFS(tblDaily[DeathsUnder24Hrs],tblDaily[EntryDate],DATE(2026,11,2),tblDaily[WardCode],"ICU")=0,"",SUMIFS(tblDaily[DeathsUnder24Hrs],tblDaily[EntryDate],DATE(2026,11,2),tblDaily[WardCode],"ICU")),"")</f>
        <v/>
      </c>
      <c r="F398" s="29" t="str">
        <f>IFERROR(IF(SUMIFS(tblDaily[TransfersIn],tblDaily[EntryDate],DATE(2026,11,2),tblDaily[WardCode],"ICU")=0,"",SUMIFS(tblDaily[TransfersIn],tblDaily[EntryDate],DATE(2026,11,2),tblDaily[WardCode],"ICU")),"")</f>
        <v/>
      </c>
      <c r="G398" s="29" t="str">
        <f>IFERROR(IF(SUMIFS(tblDaily[TransfersOut],tblDaily[EntryDate],DATE(2026,11,2),tblDaily[WardCode],"ICU")=0,"",SUMIFS(tblDaily[TransfersOut],tblDaily[EntryDate],DATE(2026,11,2),tblDaily[WardCode],"ICU")),"")</f>
        <v/>
      </c>
      <c r="H398" s="29" t="str">
        <f>IFERROR(IF(SUMIFS(tblDaily[Remaining],tblDaily[EntryDate],DATE(2026,11,2),tblDaily[WardCode],"ICU")=0,"",SUMIFS(tblDaily[Remaining],tblDaily[EntryDate],DATE(2026,11,2),tblDaily[WardCode],"ICU")),"")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IFERROR(IF(SUMIFS(tblDaily[Admissions],tblDaily[EntryDate],DATE(2026,11,3),tblDaily[WardCode],"ICU")=0,"",SUMIFS(tblDaily[Admissions],tblDaily[EntryDate],DATE(2026,11,3),tblDaily[WardCode],"ICU")),"")</f>
        <v/>
      </c>
      <c r="C399" s="29" t="str">
        <f>IFERROR(IF(SUMIFS(tblDaily[Discharges],tblDaily[EntryDate],DATE(2026,11,3),tblDaily[WardCode],"ICU")=0,"",SUMIFS(tblDaily[Discharges],tblDaily[EntryDate],DATE(2026,11,3),tblDaily[WardCode],"ICU")),"")</f>
        <v/>
      </c>
      <c r="D399" s="29" t="str">
        <f>IFERROR(IF(SUMIFS(tblDaily[Deaths],tblDaily[EntryDate],DATE(2026,11,3),tblDaily[WardCode],"ICU")=0,"",SUMIFS(tblDaily[Deaths],tblDaily[EntryDate],DATE(2026,11,3),tblDaily[WardCode],"ICU")),"")</f>
        <v/>
      </c>
      <c r="E399" s="29" t="str">
        <f>IFERROR(IF(SUMIFS(tblDaily[DeathsUnder24Hrs],tblDaily[EntryDate],DATE(2026,11,3),tblDaily[WardCode],"ICU")=0,"",SUMIFS(tblDaily[DeathsUnder24Hrs],tblDaily[EntryDate],DATE(2026,11,3),tblDaily[WardCode],"ICU")),"")</f>
        <v/>
      </c>
      <c r="F399" s="29" t="str">
        <f>IFERROR(IF(SUMIFS(tblDaily[TransfersIn],tblDaily[EntryDate],DATE(2026,11,3),tblDaily[WardCode],"ICU")=0,"",SUMIFS(tblDaily[TransfersIn],tblDaily[EntryDate],DATE(2026,11,3),tblDaily[WardCode],"ICU")),"")</f>
        <v/>
      </c>
      <c r="G399" s="29" t="str">
        <f>IFERROR(IF(SUMIFS(tblDaily[TransfersOut],tblDaily[EntryDate],DATE(2026,11,3),tblDaily[WardCode],"ICU")=0,"",SUMIFS(tblDaily[TransfersOut],tblDaily[EntryDate],DATE(2026,11,3),tblDaily[WardCode],"ICU")),"")</f>
        <v/>
      </c>
      <c r="H399" s="29" t="str">
        <f>IFERROR(IF(SUMIFS(tblDaily[Remaining],tblDaily[EntryDate],DATE(2026,11,3),tblDaily[WardCode],"ICU")=0,"",SUMIFS(tblDaily[Remaining],tblDaily[EntryDate],DATE(2026,11,3),tblDaily[WardCode],"ICU")),"")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IFERROR(IF(SUMIFS(tblDaily[Admissions],tblDaily[EntryDate],DATE(2026,11,4),tblDaily[WardCode],"ICU")=0,"",SUMIFS(tblDaily[Admissions],tblDaily[EntryDate],DATE(2026,11,4),tblDaily[WardCode],"ICU")),"")</f>
        <v/>
      </c>
      <c r="C400" s="29" t="str">
        <f>IFERROR(IF(SUMIFS(tblDaily[Discharges],tblDaily[EntryDate],DATE(2026,11,4),tblDaily[WardCode],"ICU")=0,"",SUMIFS(tblDaily[Discharges],tblDaily[EntryDate],DATE(2026,11,4),tblDaily[WardCode],"ICU")),"")</f>
        <v/>
      </c>
      <c r="D400" s="29" t="str">
        <f>IFERROR(IF(SUMIFS(tblDaily[Deaths],tblDaily[EntryDate],DATE(2026,11,4),tblDaily[WardCode],"ICU")=0,"",SUMIFS(tblDaily[Deaths],tblDaily[EntryDate],DATE(2026,11,4),tblDaily[WardCode],"ICU")),"")</f>
        <v/>
      </c>
      <c r="E400" s="29" t="str">
        <f>IFERROR(IF(SUMIFS(tblDaily[DeathsUnder24Hrs],tblDaily[EntryDate],DATE(2026,11,4),tblDaily[WardCode],"ICU")=0,"",SUMIFS(tblDaily[DeathsUnder24Hrs],tblDaily[EntryDate],DATE(2026,11,4),tblDaily[WardCode],"ICU")),"")</f>
        <v/>
      </c>
      <c r="F400" s="29" t="str">
        <f>IFERROR(IF(SUMIFS(tblDaily[TransfersIn],tblDaily[EntryDate],DATE(2026,11,4),tblDaily[WardCode],"ICU")=0,"",SUMIFS(tblDaily[TransfersIn],tblDaily[EntryDate],DATE(2026,11,4),tblDaily[WardCode],"ICU")),"")</f>
        <v/>
      </c>
      <c r="G400" s="29" t="str">
        <f>IFERROR(IF(SUMIFS(tblDaily[TransfersOut],tblDaily[EntryDate],DATE(2026,11,4),tblDaily[WardCode],"ICU")=0,"",SUMIFS(tblDaily[TransfersOut],tblDaily[EntryDate],DATE(2026,11,4),tblDaily[WardCode],"ICU")),"")</f>
        <v/>
      </c>
      <c r="H400" s="29" t="str">
        <f>IFERROR(IF(SUMIFS(tblDaily[Remaining],tblDaily[EntryDate],DATE(2026,11,4),tblDaily[WardCode],"ICU")=0,"",SUMIFS(tblDaily[Remaining],tblDaily[EntryDate],DATE(2026,11,4),tblDaily[WardCode],"ICU")),"")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IFERROR(IF(SUMIFS(tblDaily[Admissions],tblDaily[EntryDate],DATE(2026,11,5),tblDaily[WardCode],"ICU")=0,"",SUMIFS(tblDaily[Admissions],tblDaily[EntryDate],DATE(2026,11,5),tblDaily[WardCode],"ICU")),"")</f>
        <v/>
      </c>
      <c r="C401" s="29" t="str">
        <f>IFERROR(IF(SUMIFS(tblDaily[Discharges],tblDaily[EntryDate],DATE(2026,11,5),tblDaily[WardCode],"ICU")=0,"",SUMIFS(tblDaily[Discharges],tblDaily[EntryDate],DATE(2026,11,5),tblDaily[WardCode],"ICU")),"")</f>
        <v/>
      </c>
      <c r="D401" s="29" t="str">
        <f>IFERROR(IF(SUMIFS(tblDaily[Deaths],tblDaily[EntryDate],DATE(2026,11,5),tblDaily[WardCode],"ICU")=0,"",SUMIFS(tblDaily[Deaths],tblDaily[EntryDate],DATE(2026,11,5),tblDaily[WardCode],"ICU")),"")</f>
        <v/>
      </c>
      <c r="E401" s="29" t="str">
        <f>IFERROR(IF(SUMIFS(tblDaily[DeathsUnder24Hrs],tblDaily[EntryDate],DATE(2026,11,5),tblDaily[WardCode],"ICU")=0,"",SUMIFS(tblDaily[DeathsUnder24Hrs],tblDaily[EntryDate],DATE(2026,11,5),tblDaily[WardCode],"ICU")),"")</f>
        <v/>
      </c>
      <c r="F401" s="29" t="str">
        <f>IFERROR(IF(SUMIFS(tblDaily[TransfersIn],tblDaily[EntryDate],DATE(2026,11,5),tblDaily[WardCode],"ICU")=0,"",SUMIFS(tblDaily[TransfersIn],tblDaily[EntryDate],DATE(2026,11,5),tblDaily[WardCode],"ICU")),"")</f>
        <v/>
      </c>
      <c r="G401" s="29" t="str">
        <f>IFERROR(IF(SUMIFS(tblDaily[TransfersOut],tblDaily[EntryDate],DATE(2026,11,5),tblDaily[WardCode],"ICU")=0,"",SUMIFS(tblDaily[TransfersOut],tblDaily[EntryDate],DATE(2026,11,5),tblDaily[WardCode],"ICU")),"")</f>
        <v/>
      </c>
      <c r="H401" s="29" t="str">
        <f>IFERROR(IF(SUMIFS(tblDaily[Remaining],tblDaily[EntryDate],DATE(2026,11,5),tblDaily[WardCode],"ICU")=0,"",SUMIFS(tblDaily[Remaining],tblDaily[EntryDate],DATE(2026,11,5),tblDaily[WardCode],"ICU")),"")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IFERROR(IF(SUMIFS(tblDaily[Admissions],tblDaily[EntryDate],DATE(2026,11,6),tblDaily[WardCode],"ICU")=0,"",SUMIFS(tblDaily[Admissions],tblDaily[EntryDate],DATE(2026,11,6),tblDaily[WardCode],"ICU")),"")</f>
        <v/>
      </c>
      <c r="C402" s="29" t="str">
        <f>IFERROR(IF(SUMIFS(tblDaily[Discharges],tblDaily[EntryDate],DATE(2026,11,6),tblDaily[WardCode],"ICU")=0,"",SUMIFS(tblDaily[Discharges],tblDaily[EntryDate],DATE(2026,11,6),tblDaily[WardCode],"ICU")),"")</f>
        <v/>
      </c>
      <c r="D402" s="29" t="str">
        <f>IFERROR(IF(SUMIFS(tblDaily[Deaths],tblDaily[EntryDate],DATE(2026,11,6),tblDaily[WardCode],"ICU")=0,"",SUMIFS(tblDaily[Deaths],tblDaily[EntryDate],DATE(2026,11,6),tblDaily[WardCode],"ICU")),"")</f>
        <v/>
      </c>
      <c r="E402" s="29" t="str">
        <f>IFERROR(IF(SUMIFS(tblDaily[DeathsUnder24Hrs],tblDaily[EntryDate],DATE(2026,11,6),tblDaily[WardCode],"ICU")=0,"",SUMIFS(tblDaily[DeathsUnder24Hrs],tblDaily[EntryDate],DATE(2026,11,6),tblDaily[WardCode],"ICU")),"")</f>
        <v/>
      </c>
      <c r="F402" s="29" t="str">
        <f>IFERROR(IF(SUMIFS(tblDaily[TransfersIn],tblDaily[EntryDate],DATE(2026,11,6),tblDaily[WardCode],"ICU")=0,"",SUMIFS(tblDaily[TransfersIn],tblDaily[EntryDate],DATE(2026,11,6),tblDaily[WardCode],"ICU")),"")</f>
        <v/>
      </c>
      <c r="G402" s="29" t="str">
        <f>IFERROR(IF(SUMIFS(tblDaily[TransfersOut],tblDaily[EntryDate],DATE(2026,11,6),tblDaily[WardCode],"ICU")=0,"",SUMIFS(tblDaily[TransfersOut],tblDaily[EntryDate],DATE(2026,11,6),tblDaily[WardCode],"ICU")),"")</f>
        <v/>
      </c>
      <c r="H402" s="29" t="str">
        <f>IFERROR(IF(SUMIFS(tblDaily[Remaining],tblDaily[EntryDate],DATE(2026,11,6),tblDaily[WardCode],"ICU")=0,"",SUMIFS(tblDaily[Remaining],tblDaily[EntryDate],DATE(2026,11,6),tblDaily[WardCode],"ICU")),"")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IFERROR(IF(SUMIFS(tblDaily[Admissions],tblDaily[EntryDate],DATE(2026,11,7),tblDaily[WardCode],"ICU")=0,"",SUMIFS(tblDaily[Admissions],tblDaily[EntryDate],DATE(2026,11,7),tblDaily[WardCode],"ICU")),"")</f>
        <v/>
      </c>
      <c r="C403" s="29" t="str">
        <f>IFERROR(IF(SUMIFS(tblDaily[Discharges],tblDaily[EntryDate],DATE(2026,11,7),tblDaily[WardCode],"ICU")=0,"",SUMIFS(tblDaily[Discharges],tblDaily[EntryDate],DATE(2026,11,7),tblDaily[WardCode],"ICU")),"")</f>
        <v/>
      </c>
      <c r="D403" s="29" t="str">
        <f>IFERROR(IF(SUMIFS(tblDaily[Deaths],tblDaily[EntryDate],DATE(2026,11,7),tblDaily[WardCode],"ICU")=0,"",SUMIFS(tblDaily[Deaths],tblDaily[EntryDate],DATE(2026,11,7),tblDaily[WardCode],"ICU")),"")</f>
        <v/>
      </c>
      <c r="E403" s="29" t="str">
        <f>IFERROR(IF(SUMIFS(tblDaily[DeathsUnder24Hrs],tblDaily[EntryDate],DATE(2026,11,7),tblDaily[WardCode],"ICU")=0,"",SUMIFS(tblDaily[DeathsUnder24Hrs],tblDaily[EntryDate],DATE(2026,11,7),tblDaily[WardCode],"ICU")),"")</f>
        <v/>
      </c>
      <c r="F403" s="29" t="str">
        <f>IFERROR(IF(SUMIFS(tblDaily[TransfersIn],tblDaily[EntryDate],DATE(2026,11,7),tblDaily[WardCode],"ICU")=0,"",SUMIFS(tblDaily[TransfersIn],tblDaily[EntryDate],DATE(2026,11,7),tblDaily[WardCode],"ICU")),"")</f>
        <v/>
      </c>
      <c r="G403" s="29" t="str">
        <f>IFERROR(IF(SUMIFS(tblDaily[TransfersOut],tblDaily[EntryDate],DATE(2026,11,7),tblDaily[WardCode],"ICU")=0,"",SUMIFS(tblDaily[TransfersOut],tblDaily[EntryDate],DATE(2026,11,7),tblDaily[WardCode],"ICU")),"")</f>
        <v/>
      </c>
      <c r="H403" s="29" t="str">
        <f>IFERROR(IF(SUMIFS(tblDaily[Remaining],tblDaily[EntryDate],DATE(2026,11,7),tblDaily[WardCode],"ICU")=0,"",SUMIFS(tblDaily[Remaining],tblDaily[EntryDate],DATE(2026,11,7),tblDaily[WardCode],"ICU")),"")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IFERROR(IF(SUMIFS(tblDaily[Admissions],tblDaily[EntryDate],DATE(2026,11,8),tblDaily[WardCode],"ICU")=0,"",SUMIFS(tblDaily[Admissions],tblDaily[EntryDate],DATE(2026,11,8),tblDaily[WardCode],"ICU")),"")</f>
        <v/>
      </c>
      <c r="C404" s="29" t="str">
        <f>IFERROR(IF(SUMIFS(tblDaily[Discharges],tblDaily[EntryDate],DATE(2026,11,8),tblDaily[WardCode],"ICU")=0,"",SUMIFS(tblDaily[Discharges],tblDaily[EntryDate],DATE(2026,11,8),tblDaily[WardCode],"ICU")),"")</f>
        <v/>
      </c>
      <c r="D404" s="29" t="str">
        <f>IFERROR(IF(SUMIFS(tblDaily[Deaths],tblDaily[EntryDate],DATE(2026,11,8),tblDaily[WardCode],"ICU")=0,"",SUMIFS(tblDaily[Deaths],tblDaily[EntryDate],DATE(2026,11,8),tblDaily[WardCode],"ICU")),"")</f>
        <v/>
      </c>
      <c r="E404" s="29" t="str">
        <f>IFERROR(IF(SUMIFS(tblDaily[DeathsUnder24Hrs],tblDaily[EntryDate],DATE(2026,11,8),tblDaily[WardCode],"ICU")=0,"",SUMIFS(tblDaily[DeathsUnder24Hrs],tblDaily[EntryDate],DATE(2026,11,8),tblDaily[WardCode],"ICU")),"")</f>
        <v/>
      </c>
      <c r="F404" s="29" t="str">
        <f>IFERROR(IF(SUMIFS(tblDaily[TransfersIn],tblDaily[EntryDate],DATE(2026,11,8),tblDaily[WardCode],"ICU")=0,"",SUMIFS(tblDaily[TransfersIn],tblDaily[EntryDate],DATE(2026,11,8),tblDaily[WardCode],"ICU")),"")</f>
        <v/>
      </c>
      <c r="G404" s="29" t="str">
        <f>IFERROR(IF(SUMIFS(tblDaily[TransfersOut],tblDaily[EntryDate],DATE(2026,11,8),tblDaily[WardCode],"ICU")=0,"",SUMIFS(tblDaily[TransfersOut],tblDaily[EntryDate],DATE(2026,11,8),tblDaily[WardCode],"ICU")),"")</f>
        <v/>
      </c>
      <c r="H404" s="29" t="str">
        <f>IFERROR(IF(SUMIFS(tblDaily[Remaining],tblDaily[EntryDate],DATE(2026,11,8),tblDaily[WardCode],"ICU")=0,"",SUMIFS(tblDaily[Remaining],tblDaily[EntryDate],DATE(2026,11,8),tblDaily[WardCode],"ICU")),"")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IFERROR(IF(SUMIFS(tblDaily[Admissions],tblDaily[EntryDate],DATE(2026,11,9),tblDaily[WardCode],"ICU")=0,"",SUMIFS(tblDaily[Admissions],tblDaily[EntryDate],DATE(2026,11,9),tblDaily[WardCode],"ICU")),"")</f>
        <v/>
      </c>
      <c r="C405" s="29" t="str">
        <f>IFERROR(IF(SUMIFS(tblDaily[Discharges],tblDaily[EntryDate],DATE(2026,11,9),tblDaily[WardCode],"ICU")=0,"",SUMIFS(tblDaily[Discharges],tblDaily[EntryDate],DATE(2026,11,9),tblDaily[WardCode],"ICU")),"")</f>
        <v/>
      </c>
      <c r="D405" s="29" t="str">
        <f>IFERROR(IF(SUMIFS(tblDaily[Deaths],tblDaily[EntryDate],DATE(2026,11,9),tblDaily[WardCode],"ICU")=0,"",SUMIFS(tblDaily[Deaths],tblDaily[EntryDate],DATE(2026,11,9),tblDaily[WardCode],"ICU")),"")</f>
        <v/>
      </c>
      <c r="E405" s="29" t="str">
        <f>IFERROR(IF(SUMIFS(tblDaily[DeathsUnder24Hrs],tblDaily[EntryDate],DATE(2026,11,9),tblDaily[WardCode],"ICU")=0,"",SUMIFS(tblDaily[DeathsUnder24Hrs],tblDaily[EntryDate],DATE(2026,11,9),tblDaily[WardCode],"ICU")),"")</f>
        <v/>
      </c>
      <c r="F405" s="29" t="str">
        <f>IFERROR(IF(SUMIFS(tblDaily[TransfersIn],tblDaily[EntryDate],DATE(2026,11,9),tblDaily[WardCode],"ICU")=0,"",SUMIFS(tblDaily[TransfersIn],tblDaily[EntryDate],DATE(2026,11,9),tblDaily[WardCode],"ICU")),"")</f>
        <v/>
      </c>
      <c r="G405" s="29" t="str">
        <f>IFERROR(IF(SUMIFS(tblDaily[TransfersOut],tblDaily[EntryDate],DATE(2026,11,9),tblDaily[WardCode],"ICU")=0,"",SUMIFS(tblDaily[TransfersOut],tblDaily[EntryDate],DATE(2026,11,9),tblDaily[WardCode],"ICU")),"")</f>
        <v/>
      </c>
      <c r="H405" s="29" t="str">
        <f>IFERROR(IF(SUMIFS(tblDaily[Remaining],tblDaily[EntryDate],DATE(2026,11,9),tblDaily[WardCode],"ICU")=0,"",SUMIFS(tblDaily[Remaining],tblDaily[EntryDate],DATE(2026,11,9),tblDaily[WardCode],"ICU")),"")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IFERROR(IF(SUMIFS(tblDaily[Admissions],tblDaily[EntryDate],DATE(2026,11,10),tblDaily[WardCode],"ICU")=0,"",SUMIFS(tblDaily[Admissions],tblDaily[EntryDate],DATE(2026,11,10),tblDaily[WardCode],"ICU")),"")</f>
        <v/>
      </c>
      <c r="C406" s="29" t="str">
        <f>IFERROR(IF(SUMIFS(tblDaily[Discharges],tblDaily[EntryDate],DATE(2026,11,10),tblDaily[WardCode],"ICU")=0,"",SUMIFS(tblDaily[Discharges],tblDaily[EntryDate],DATE(2026,11,10),tblDaily[WardCode],"ICU")),"")</f>
        <v/>
      </c>
      <c r="D406" s="29" t="str">
        <f>IFERROR(IF(SUMIFS(tblDaily[Deaths],tblDaily[EntryDate],DATE(2026,11,10),tblDaily[WardCode],"ICU")=0,"",SUMIFS(tblDaily[Deaths],tblDaily[EntryDate],DATE(2026,11,10),tblDaily[WardCode],"ICU")),"")</f>
        <v/>
      </c>
      <c r="E406" s="29" t="str">
        <f>IFERROR(IF(SUMIFS(tblDaily[DeathsUnder24Hrs],tblDaily[EntryDate],DATE(2026,11,10),tblDaily[WardCode],"ICU")=0,"",SUMIFS(tblDaily[DeathsUnder24Hrs],tblDaily[EntryDate],DATE(2026,11,10),tblDaily[WardCode],"ICU")),"")</f>
        <v/>
      </c>
      <c r="F406" s="29" t="str">
        <f>IFERROR(IF(SUMIFS(tblDaily[TransfersIn],tblDaily[EntryDate],DATE(2026,11,10),tblDaily[WardCode],"ICU")=0,"",SUMIFS(tblDaily[TransfersIn],tblDaily[EntryDate],DATE(2026,11,10),tblDaily[WardCode],"ICU")),"")</f>
        <v/>
      </c>
      <c r="G406" s="29" t="str">
        <f>IFERROR(IF(SUMIFS(tblDaily[TransfersOut],tblDaily[EntryDate],DATE(2026,11,10),tblDaily[WardCode],"ICU")=0,"",SUMIFS(tblDaily[TransfersOut],tblDaily[EntryDate],DATE(2026,11,10),tblDaily[WardCode],"ICU")),"")</f>
        <v/>
      </c>
      <c r="H406" s="29" t="str">
        <f>IFERROR(IF(SUMIFS(tblDaily[Remaining],tblDaily[EntryDate],DATE(2026,11,10),tblDaily[WardCode],"ICU")=0,"",SUMIFS(tblDaily[Remaining],tblDaily[EntryDate],DATE(2026,11,10),tblDaily[WardCode],"ICU")),"")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IFERROR(IF(SUMIFS(tblDaily[Admissions],tblDaily[EntryDate],DATE(2026,11,11),tblDaily[WardCode],"ICU")=0,"",SUMIFS(tblDaily[Admissions],tblDaily[EntryDate],DATE(2026,11,11),tblDaily[WardCode],"ICU")),"")</f>
        <v/>
      </c>
      <c r="C407" s="29" t="str">
        <f>IFERROR(IF(SUMIFS(tblDaily[Discharges],tblDaily[EntryDate],DATE(2026,11,11),tblDaily[WardCode],"ICU")=0,"",SUMIFS(tblDaily[Discharges],tblDaily[EntryDate],DATE(2026,11,11),tblDaily[WardCode],"ICU")),"")</f>
        <v/>
      </c>
      <c r="D407" s="29" t="str">
        <f>IFERROR(IF(SUMIFS(tblDaily[Deaths],tblDaily[EntryDate],DATE(2026,11,11),tblDaily[WardCode],"ICU")=0,"",SUMIFS(tblDaily[Deaths],tblDaily[EntryDate],DATE(2026,11,11),tblDaily[WardCode],"ICU")),"")</f>
        <v/>
      </c>
      <c r="E407" s="29" t="str">
        <f>IFERROR(IF(SUMIFS(tblDaily[DeathsUnder24Hrs],tblDaily[EntryDate],DATE(2026,11,11),tblDaily[WardCode],"ICU")=0,"",SUMIFS(tblDaily[DeathsUnder24Hrs],tblDaily[EntryDate],DATE(2026,11,11),tblDaily[WardCode],"ICU")),"")</f>
        <v/>
      </c>
      <c r="F407" s="29" t="str">
        <f>IFERROR(IF(SUMIFS(tblDaily[TransfersIn],tblDaily[EntryDate],DATE(2026,11,11),tblDaily[WardCode],"ICU")=0,"",SUMIFS(tblDaily[TransfersIn],tblDaily[EntryDate],DATE(2026,11,11),tblDaily[WardCode],"ICU")),"")</f>
        <v/>
      </c>
      <c r="G407" s="29" t="str">
        <f>IFERROR(IF(SUMIFS(tblDaily[TransfersOut],tblDaily[EntryDate],DATE(2026,11,11),tblDaily[WardCode],"ICU")=0,"",SUMIFS(tblDaily[TransfersOut],tblDaily[EntryDate],DATE(2026,11,11),tblDaily[WardCode],"ICU")),"")</f>
        <v/>
      </c>
      <c r="H407" s="29" t="str">
        <f>IFERROR(IF(SUMIFS(tblDaily[Remaining],tblDaily[EntryDate],DATE(2026,11,11),tblDaily[WardCode],"ICU")=0,"",SUMIFS(tblDaily[Remaining],tblDaily[EntryDate],DATE(2026,11,11),tblDaily[WardCode],"ICU")),"")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IFERROR(IF(SUMIFS(tblDaily[Admissions],tblDaily[EntryDate],DATE(2026,11,12),tblDaily[WardCode],"ICU")=0,"",SUMIFS(tblDaily[Admissions],tblDaily[EntryDate],DATE(2026,11,12),tblDaily[WardCode],"ICU")),"")</f>
        <v/>
      </c>
      <c r="C408" s="29" t="str">
        <f>IFERROR(IF(SUMIFS(tblDaily[Discharges],tblDaily[EntryDate],DATE(2026,11,12),tblDaily[WardCode],"ICU")=0,"",SUMIFS(tblDaily[Discharges],tblDaily[EntryDate],DATE(2026,11,12),tblDaily[WardCode],"ICU")),"")</f>
        <v/>
      </c>
      <c r="D408" s="29" t="str">
        <f>IFERROR(IF(SUMIFS(tblDaily[Deaths],tblDaily[EntryDate],DATE(2026,11,12),tblDaily[WardCode],"ICU")=0,"",SUMIFS(tblDaily[Deaths],tblDaily[EntryDate],DATE(2026,11,12),tblDaily[WardCode],"ICU")),"")</f>
        <v/>
      </c>
      <c r="E408" s="29" t="str">
        <f>IFERROR(IF(SUMIFS(tblDaily[DeathsUnder24Hrs],tblDaily[EntryDate],DATE(2026,11,12),tblDaily[WardCode],"ICU")=0,"",SUMIFS(tblDaily[DeathsUnder24Hrs],tblDaily[EntryDate],DATE(2026,11,12),tblDaily[WardCode],"ICU")),"")</f>
        <v/>
      </c>
      <c r="F408" s="29" t="str">
        <f>IFERROR(IF(SUMIFS(tblDaily[TransfersIn],tblDaily[EntryDate],DATE(2026,11,12),tblDaily[WardCode],"ICU")=0,"",SUMIFS(tblDaily[TransfersIn],tblDaily[EntryDate],DATE(2026,11,12),tblDaily[WardCode],"ICU")),"")</f>
        <v/>
      </c>
      <c r="G408" s="29" t="str">
        <f>IFERROR(IF(SUMIFS(tblDaily[TransfersOut],tblDaily[EntryDate],DATE(2026,11,12),tblDaily[WardCode],"ICU")=0,"",SUMIFS(tblDaily[TransfersOut],tblDaily[EntryDate],DATE(2026,11,12),tblDaily[WardCode],"ICU")),"")</f>
        <v/>
      </c>
      <c r="H408" s="29" t="str">
        <f>IFERROR(IF(SUMIFS(tblDaily[Remaining],tblDaily[EntryDate],DATE(2026,11,12),tblDaily[WardCode],"ICU")=0,"",SUMIFS(tblDaily[Remaining],tblDaily[EntryDate],DATE(2026,11,12),tblDaily[WardCode],"ICU")),"")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IFERROR(IF(SUMIFS(tblDaily[Admissions],tblDaily[EntryDate],DATE(2026,11,13),tblDaily[WardCode],"ICU")=0,"",SUMIFS(tblDaily[Admissions],tblDaily[EntryDate],DATE(2026,11,13),tblDaily[WardCode],"ICU")),"")</f>
        <v/>
      </c>
      <c r="C409" s="29" t="str">
        <f>IFERROR(IF(SUMIFS(tblDaily[Discharges],tblDaily[EntryDate],DATE(2026,11,13),tblDaily[WardCode],"ICU")=0,"",SUMIFS(tblDaily[Discharges],tblDaily[EntryDate],DATE(2026,11,13),tblDaily[WardCode],"ICU")),"")</f>
        <v/>
      </c>
      <c r="D409" s="29" t="str">
        <f>IFERROR(IF(SUMIFS(tblDaily[Deaths],tblDaily[EntryDate],DATE(2026,11,13),tblDaily[WardCode],"ICU")=0,"",SUMIFS(tblDaily[Deaths],tblDaily[EntryDate],DATE(2026,11,13),tblDaily[WardCode],"ICU")),"")</f>
        <v/>
      </c>
      <c r="E409" s="29" t="str">
        <f>IFERROR(IF(SUMIFS(tblDaily[DeathsUnder24Hrs],tblDaily[EntryDate],DATE(2026,11,13),tblDaily[WardCode],"ICU")=0,"",SUMIFS(tblDaily[DeathsUnder24Hrs],tblDaily[EntryDate],DATE(2026,11,13),tblDaily[WardCode],"ICU")),"")</f>
        <v/>
      </c>
      <c r="F409" s="29" t="str">
        <f>IFERROR(IF(SUMIFS(tblDaily[TransfersIn],tblDaily[EntryDate],DATE(2026,11,13),tblDaily[WardCode],"ICU")=0,"",SUMIFS(tblDaily[TransfersIn],tblDaily[EntryDate],DATE(2026,11,13),tblDaily[WardCode],"ICU")),"")</f>
        <v/>
      </c>
      <c r="G409" s="29" t="str">
        <f>IFERROR(IF(SUMIFS(tblDaily[TransfersOut],tblDaily[EntryDate],DATE(2026,11,13),tblDaily[WardCode],"ICU")=0,"",SUMIFS(tblDaily[TransfersOut],tblDaily[EntryDate],DATE(2026,11,13),tblDaily[WardCode],"ICU")),"")</f>
        <v/>
      </c>
      <c r="H409" s="29" t="str">
        <f>IFERROR(IF(SUMIFS(tblDaily[Remaining],tblDaily[EntryDate],DATE(2026,11,13),tblDaily[WardCode],"ICU")=0,"",SUMIFS(tblDaily[Remaining],tblDaily[EntryDate],DATE(2026,11,13),tblDaily[WardCode],"ICU")),"")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IFERROR(IF(SUMIFS(tblDaily[Admissions],tblDaily[EntryDate],DATE(2026,11,14),tblDaily[WardCode],"ICU")=0,"",SUMIFS(tblDaily[Admissions],tblDaily[EntryDate],DATE(2026,11,14),tblDaily[WardCode],"ICU")),"")</f>
        <v/>
      </c>
      <c r="C410" s="29" t="str">
        <f>IFERROR(IF(SUMIFS(tblDaily[Discharges],tblDaily[EntryDate],DATE(2026,11,14),tblDaily[WardCode],"ICU")=0,"",SUMIFS(tblDaily[Discharges],tblDaily[EntryDate],DATE(2026,11,14),tblDaily[WardCode],"ICU")),"")</f>
        <v/>
      </c>
      <c r="D410" s="29" t="str">
        <f>IFERROR(IF(SUMIFS(tblDaily[Deaths],tblDaily[EntryDate],DATE(2026,11,14),tblDaily[WardCode],"ICU")=0,"",SUMIFS(tblDaily[Deaths],tblDaily[EntryDate],DATE(2026,11,14),tblDaily[WardCode],"ICU")),"")</f>
        <v/>
      </c>
      <c r="E410" s="29" t="str">
        <f>IFERROR(IF(SUMIFS(tblDaily[DeathsUnder24Hrs],tblDaily[EntryDate],DATE(2026,11,14),tblDaily[WardCode],"ICU")=0,"",SUMIFS(tblDaily[DeathsUnder24Hrs],tblDaily[EntryDate],DATE(2026,11,14),tblDaily[WardCode],"ICU")),"")</f>
        <v/>
      </c>
      <c r="F410" s="29" t="str">
        <f>IFERROR(IF(SUMIFS(tblDaily[TransfersIn],tblDaily[EntryDate],DATE(2026,11,14),tblDaily[WardCode],"ICU")=0,"",SUMIFS(tblDaily[TransfersIn],tblDaily[EntryDate],DATE(2026,11,14),tblDaily[WardCode],"ICU")),"")</f>
        <v/>
      </c>
      <c r="G410" s="29" t="str">
        <f>IFERROR(IF(SUMIFS(tblDaily[TransfersOut],tblDaily[EntryDate],DATE(2026,11,14),tblDaily[WardCode],"ICU")=0,"",SUMIFS(tblDaily[TransfersOut],tblDaily[EntryDate],DATE(2026,11,14),tblDaily[WardCode],"ICU")),"")</f>
        <v/>
      </c>
      <c r="H410" s="29" t="str">
        <f>IFERROR(IF(SUMIFS(tblDaily[Remaining],tblDaily[EntryDate],DATE(2026,11,14),tblDaily[WardCode],"ICU")=0,"",SUMIFS(tblDaily[Remaining],tblDaily[EntryDate],DATE(2026,11,14),tblDaily[WardCode],"ICU")),"")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IFERROR(IF(SUMIFS(tblDaily[Admissions],tblDaily[EntryDate],DATE(2026,11,15),tblDaily[WardCode],"ICU")=0,"",SUMIFS(tblDaily[Admissions],tblDaily[EntryDate],DATE(2026,11,15),tblDaily[WardCode],"ICU")),"")</f>
        <v/>
      </c>
      <c r="C411" s="29" t="str">
        <f>IFERROR(IF(SUMIFS(tblDaily[Discharges],tblDaily[EntryDate],DATE(2026,11,15),tblDaily[WardCode],"ICU")=0,"",SUMIFS(tblDaily[Discharges],tblDaily[EntryDate],DATE(2026,11,15),tblDaily[WardCode],"ICU")),"")</f>
        <v/>
      </c>
      <c r="D411" s="29" t="str">
        <f>IFERROR(IF(SUMIFS(tblDaily[Deaths],tblDaily[EntryDate],DATE(2026,11,15),tblDaily[WardCode],"ICU")=0,"",SUMIFS(tblDaily[Deaths],tblDaily[EntryDate],DATE(2026,11,15),tblDaily[WardCode],"ICU")),"")</f>
        <v/>
      </c>
      <c r="E411" s="29" t="str">
        <f>IFERROR(IF(SUMIFS(tblDaily[DeathsUnder24Hrs],tblDaily[EntryDate],DATE(2026,11,15),tblDaily[WardCode],"ICU")=0,"",SUMIFS(tblDaily[DeathsUnder24Hrs],tblDaily[EntryDate],DATE(2026,11,15),tblDaily[WardCode],"ICU")),"")</f>
        <v/>
      </c>
      <c r="F411" s="29" t="str">
        <f>IFERROR(IF(SUMIFS(tblDaily[TransfersIn],tblDaily[EntryDate],DATE(2026,11,15),tblDaily[WardCode],"ICU")=0,"",SUMIFS(tblDaily[TransfersIn],tblDaily[EntryDate],DATE(2026,11,15),tblDaily[WardCode],"ICU")),"")</f>
        <v/>
      </c>
      <c r="G411" s="29" t="str">
        <f>IFERROR(IF(SUMIFS(tblDaily[TransfersOut],tblDaily[EntryDate],DATE(2026,11,15),tblDaily[WardCode],"ICU")=0,"",SUMIFS(tblDaily[TransfersOut],tblDaily[EntryDate],DATE(2026,11,15),tblDaily[WardCode],"ICU")),"")</f>
        <v/>
      </c>
      <c r="H411" s="29" t="str">
        <f>IFERROR(IF(SUMIFS(tblDaily[Remaining],tblDaily[EntryDate],DATE(2026,11,15),tblDaily[WardCode],"ICU")=0,"",SUMIFS(tblDaily[Remaining],tblDaily[EntryDate],DATE(2026,11,15),tblDaily[WardCode],"ICU")),"")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IFERROR(IF(SUMIFS(tblDaily[Admissions],tblDaily[EntryDate],DATE(2026,11,16),tblDaily[WardCode],"ICU")=0,"",SUMIFS(tblDaily[Admissions],tblDaily[EntryDate],DATE(2026,11,16),tblDaily[WardCode],"ICU")),"")</f>
        <v/>
      </c>
      <c r="C412" s="29" t="str">
        <f>IFERROR(IF(SUMIFS(tblDaily[Discharges],tblDaily[EntryDate],DATE(2026,11,16),tblDaily[WardCode],"ICU")=0,"",SUMIFS(tblDaily[Discharges],tblDaily[EntryDate],DATE(2026,11,16),tblDaily[WardCode],"ICU")),"")</f>
        <v/>
      </c>
      <c r="D412" s="29" t="str">
        <f>IFERROR(IF(SUMIFS(tblDaily[Deaths],tblDaily[EntryDate],DATE(2026,11,16),tblDaily[WardCode],"ICU")=0,"",SUMIFS(tblDaily[Deaths],tblDaily[EntryDate],DATE(2026,11,16),tblDaily[WardCode],"ICU")),"")</f>
        <v/>
      </c>
      <c r="E412" s="29" t="str">
        <f>IFERROR(IF(SUMIFS(tblDaily[DeathsUnder24Hrs],tblDaily[EntryDate],DATE(2026,11,16),tblDaily[WardCode],"ICU")=0,"",SUMIFS(tblDaily[DeathsUnder24Hrs],tblDaily[EntryDate],DATE(2026,11,16),tblDaily[WardCode],"ICU")),"")</f>
        <v/>
      </c>
      <c r="F412" s="29" t="str">
        <f>IFERROR(IF(SUMIFS(tblDaily[TransfersIn],tblDaily[EntryDate],DATE(2026,11,16),tblDaily[WardCode],"ICU")=0,"",SUMIFS(tblDaily[TransfersIn],tblDaily[EntryDate],DATE(2026,11,16),tblDaily[WardCode],"ICU")),"")</f>
        <v/>
      </c>
      <c r="G412" s="29" t="str">
        <f>IFERROR(IF(SUMIFS(tblDaily[TransfersOut],tblDaily[EntryDate],DATE(2026,11,16),tblDaily[WardCode],"ICU")=0,"",SUMIFS(tblDaily[TransfersOut],tblDaily[EntryDate],DATE(2026,11,16),tblDaily[WardCode],"ICU")),"")</f>
        <v/>
      </c>
      <c r="H412" s="29" t="str">
        <f>IFERROR(IF(SUMIFS(tblDaily[Remaining],tblDaily[EntryDate],DATE(2026,11,16),tblDaily[WardCode],"ICU")=0,"",SUMIFS(tblDaily[Remaining],tblDaily[EntryDate],DATE(2026,11,16),tblDaily[WardCode],"ICU")),"")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IFERROR(IF(SUMIFS(tblDaily[Admissions],tblDaily[EntryDate],DATE(2026,11,17),tblDaily[WardCode],"ICU")=0,"",SUMIFS(tblDaily[Admissions],tblDaily[EntryDate],DATE(2026,11,17),tblDaily[WardCode],"ICU")),"")</f>
        <v/>
      </c>
      <c r="C413" s="29" t="str">
        <f>IFERROR(IF(SUMIFS(tblDaily[Discharges],tblDaily[EntryDate],DATE(2026,11,17),tblDaily[WardCode],"ICU")=0,"",SUMIFS(tblDaily[Discharges],tblDaily[EntryDate],DATE(2026,11,17),tblDaily[WardCode],"ICU")),"")</f>
        <v/>
      </c>
      <c r="D413" s="29" t="str">
        <f>IFERROR(IF(SUMIFS(tblDaily[Deaths],tblDaily[EntryDate],DATE(2026,11,17),tblDaily[WardCode],"ICU")=0,"",SUMIFS(tblDaily[Deaths],tblDaily[EntryDate],DATE(2026,11,17),tblDaily[WardCode],"ICU")),"")</f>
        <v/>
      </c>
      <c r="E413" s="29" t="str">
        <f>IFERROR(IF(SUMIFS(tblDaily[DeathsUnder24Hrs],tblDaily[EntryDate],DATE(2026,11,17),tblDaily[WardCode],"ICU")=0,"",SUMIFS(tblDaily[DeathsUnder24Hrs],tblDaily[EntryDate],DATE(2026,11,17),tblDaily[WardCode],"ICU")),"")</f>
        <v/>
      </c>
      <c r="F413" s="29" t="str">
        <f>IFERROR(IF(SUMIFS(tblDaily[TransfersIn],tblDaily[EntryDate],DATE(2026,11,17),tblDaily[WardCode],"ICU")=0,"",SUMIFS(tblDaily[TransfersIn],tblDaily[EntryDate],DATE(2026,11,17),tblDaily[WardCode],"ICU")),"")</f>
        <v/>
      </c>
      <c r="G413" s="29" t="str">
        <f>IFERROR(IF(SUMIFS(tblDaily[TransfersOut],tblDaily[EntryDate],DATE(2026,11,17),tblDaily[WardCode],"ICU")=0,"",SUMIFS(tblDaily[TransfersOut],tblDaily[EntryDate],DATE(2026,11,17),tblDaily[WardCode],"ICU")),"")</f>
        <v/>
      </c>
      <c r="H413" s="29" t="str">
        <f>IFERROR(IF(SUMIFS(tblDaily[Remaining],tblDaily[EntryDate],DATE(2026,11,17),tblDaily[WardCode],"ICU")=0,"",SUMIFS(tblDaily[Remaining],tblDaily[EntryDate],DATE(2026,11,17),tblDaily[WardCode],"ICU")),"")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IFERROR(IF(SUMIFS(tblDaily[Admissions],tblDaily[EntryDate],DATE(2026,11,18),tblDaily[WardCode],"ICU")=0,"",SUMIFS(tblDaily[Admissions],tblDaily[EntryDate],DATE(2026,11,18),tblDaily[WardCode],"ICU")),"")</f>
        <v/>
      </c>
      <c r="C414" s="29" t="str">
        <f>IFERROR(IF(SUMIFS(tblDaily[Discharges],tblDaily[EntryDate],DATE(2026,11,18),tblDaily[WardCode],"ICU")=0,"",SUMIFS(tblDaily[Discharges],tblDaily[EntryDate],DATE(2026,11,18),tblDaily[WardCode],"ICU")),"")</f>
        <v/>
      </c>
      <c r="D414" s="29" t="str">
        <f>IFERROR(IF(SUMIFS(tblDaily[Deaths],tblDaily[EntryDate],DATE(2026,11,18),tblDaily[WardCode],"ICU")=0,"",SUMIFS(tblDaily[Deaths],tblDaily[EntryDate],DATE(2026,11,18),tblDaily[WardCode],"ICU")),"")</f>
        <v/>
      </c>
      <c r="E414" s="29" t="str">
        <f>IFERROR(IF(SUMIFS(tblDaily[DeathsUnder24Hrs],tblDaily[EntryDate],DATE(2026,11,18),tblDaily[WardCode],"ICU")=0,"",SUMIFS(tblDaily[DeathsUnder24Hrs],tblDaily[EntryDate],DATE(2026,11,18),tblDaily[WardCode],"ICU")),"")</f>
        <v/>
      </c>
      <c r="F414" s="29" t="str">
        <f>IFERROR(IF(SUMIFS(tblDaily[TransfersIn],tblDaily[EntryDate],DATE(2026,11,18),tblDaily[WardCode],"ICU")=0,"",SUMIFS(tblDaily[TransfersIn],tblDaily[EntryDate],DATE(2026,11,18),tblDaily[WardCode],"ICU")),"")</f>
        <v/>
      </c>
      <c r="G414" s="29" t="str">
        <f>IFERROR(IF(SUMIFS(tblDaily[TransfersOut],tblDaily[EntryDate],DATE(2026,11,18),tblDaily[WardCode],"ICU")=0,"",SUMIFS(tblDaily[TransfersOut],tblDaily[EntryDate],DATE(2026,11,18),tblDaily[WardCode],"ICU")),"")</f>
        <v/>
      </c>
      <c r="H414" s="29" t="str">
        <f>IFERROR(IF(SUMIFS(tblDaily[Remaining],tblDaily[EntryDate],DATE(2026,11,18),tblDaily[WardCode],"ICU")=0,"",SUMIFS(tblDaily[Remaining],tblDaily[EntryDate],DATE(2026,11,18),tblDaily[WardCode],"ICU")),"")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IFERROR(IF(SUMIFS(tblDaily[Admissions],tblDaily[EntryDate],DATE(2026,11,19),tblDaily[WardCode],"ICU")=0,"",SUMIFS(tblDaily[Admissions],tblDaily[EntryDate],DATE(2026,11,19),tblDaily[WardCode],"ICU")),"")</f>
        <v/>
      </c>
      <c r="C415" s="29" t="str">
        <f>IFERROR(IF(SUMIFS(tblDaily[Discharges],tblDaily[EntryDate],DATE(2026,11,19),tblDaily[WardCode],"ICU")=0,"",SUMIFS(tblDaily[Discharges],tblDaily[EntryDate],DATE(2026,11,19),tblDaily[WardCode],"ICU")),"")</f>
        <v/>
      </c>
      <c r="D415" s="29" t="str">
        <f>IFERROR(IF(SUMIFS(tblDaily[Deaths],tblDaily[EntryDate],DATE(2026,11,19),tblDaily[WardCode],"ICU")=0,"",SUMIFS(tblDaily[Deaths],tblDaily[EntryDate],DATE(2026,11,19),tblDaily[WardCode],"ICU")),"")</f>
        <v/>
      </c>
      <c r="E415" s="29" t="str">
        <f>IFERROR(IF(SUMIFS(tblDaily[DeathsUnder24Hrs],tblDaily[EntryDate],DATE(2026,11,19),tblDaily[WardCode],"ICU")=0,"",SUMIFS(tblDaily[DeathsUnder24Hrs],tblDaily[EntryDate],DATE(2026,11,19),tblDaily[WardCode],"ICU")),"")</f>
        <v/>
      </c>
      <c r="F415" s="29" t="str">
        <f>IFERROR(IF(SUMIFS(tblDaily[TransfersIn],tblDaily[EntryDate],DATE(2026,11,19),tblDaily[WardCode],"ICU")=0,"",SUMIFS(tblDaily[TransfersIn],tblDaily[EntryDate],DATE(2026,11,19),tblDaily[WardCode],"ICU")),"")</f>
        <v/>
      </c>
      <c r="G415" s="29" t="str">
        <f>IFERROR(IF(SUMIFS(tblDaily[TransfersOut],tblDaily[EntryDate],DATE(2026,11,19),tblDaily[WardCode],"ICU")=0,"",SUMIFS(tblDaily[TransfersOut],tblDaily[EntryDate],DATE(2026,11,19),tblDaily[WardCode],"ICU")),"")</f>
        <v/>
      </c>
      <c r="H415" s="29" t="str">
        <f>IFERROR(IF(SUMIFS(tblDaily[Remaining],tblDaily[EntryDate],DATE(2026,11,19),tblDaily[WardCode],"ICU")=0,"",SUMIFS(tblDaily[Remaining],tblDaily[EntryDate],DATE(2026,11,19),tblDaily[WardCode],"ICU")),"")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IFERROR(IF(SUMIFS(tblDaily[Admissions],tblDaily[EntryDate],DATE(2026,11,20),tblDaily[WardCode],"ICU")=0,"",SUMIFS(tblDaily[Admissions],tblDaily[EntryDate],DATE(2026,11,20),tblDaily[WardCode],"ICU")),"")</f>
        <v/>
      </c>
      <c r="C416" s="29" t="str">
        <f>IFERROR(IF(SUMIFS(tblDaily[Discharges],tblDaily[EntryDate],DATE(2026,11,20),tblDaily[WardCode],"ICU")=0,"",SUMIFS(tblDaily[Discharges],tblDaily[EntryDate],DATE(2026,11,20),tblDaily[WardCode],"ICU")),"")</f>
        <v/>
      </c>
      <c r="D416" s="29" t="str">
        <f>IFERROR(IF(SUMIFS(tblDaily[Deaths],tblDaily[EntryDate],DATE(2026,11,20),tblDaily[WardCode],"ICU")=0,"",SUMIFS(tblDaily[Deaths],tblDaily[EntryDate],DATE(2026,11,20),tblDaily[WardCode],"ICU")),"")</f>
        <v/>
      </c>
      <c r="E416" s="29" t="str">
        <f>IFERROR(IF(SUMIFS(tblDaily[DeathsUnder24Hrs],tblDaily[EntryDate],DATE(2026,11,20),tblDaily[WardCode],"ICU")=0,"",SUMIFS(tblDaily[DeathsUnder24Hrs],tblDaily[EntryDate],DATE(2026,11,20),tblDaily[WardCode],"ICU")),"")</f>
        <v/>
      </c>
      <c r="F416" s="29" t="str">
        <f>IFERROR(IF(SUMIFS(tblDaily[TransfersIn],tblDaily[EntryDate],DATE(2026,11,20),tblDaily[WardCode],"ICU")=0,"",SUMIFS(tblDaily[TransfersIn],tblDaily[EntryDate],DATE(2026,11,20),tblDaily[WardCode],"ICU")),"")</f>
        <v/>
      </c>
      <c r="G416" s="29" t="str">
        <f>IFERROR(IF(SUMIFS(tblDaily[TransfersOut],tblDaily[EntryDate],DATE(2026,11,20),tblDaily[WardCode],"ICU")=0,"",SUMIFS(tblDaily[TransfersOut],tblDaily[EntryDate],DATE(2026,11,20),tblDaily[WardCode],"ICU")),"")</f>
        <v/>
      </c>
      <c r="H416" s="29" t="str">
        <f>IFERROR(IF(SUMIFS(tblDaily[Remaining],tblDaily[EntryDate],DATE(2026,11,20),tblDaily[WardCode],"ICU")=0,"",SUMIFS(tblDaily[Remaining],tblDaily[EntryDate],DATE(2026,11,20),tblDaily[WardCode],"ICU")),"")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IFERROR(IF(SUMIFS(tblDaily[Admissions],tblDaily[EntryDate],DATE(2026,11,21),tblDaily[WardCode],"ICU")=0,"",SUMIFS(tblDaily[Admissions],tblDaily[EntryDate],DATE(2026,11,21),tblDaily[WardCode],"ICU")),"")</f>
        <v/>
      </c>
      <c r="C417" s="29" t="str">
        <f>IFERROR(IF(SUMIFS(tblDaily[Discharges],tblDaily[EntryDate],DATE(2026,11,21),tblDaily[WardCode],"ICU")=0,"",SUMIFS(tblDaily[Discharges],tblDaily[EntryDate],DATE(2026,11,21),tblDaily[WardCode],"ICU")),"")</f>
        <v/>
      </c>
      <c r="D417" s="29" t="str">
        <f>IFERROR(IF(SUMIFS(tblDaily[Deaths],tblDaily[EntryDate],DATE(2026,11,21),tblDaily[WardCode],"ICU")=0,"",SUMIFS(tblDaily[Deaths],tblDaily[EntryDate],DATE(2026,11,21),tblDaily[WardCode],"ICU")),"")</f>
        <v/>
      </c>
      <c r="E417" s="29" t="str">
        <f>IFERROR(IF(SUMIFS(tblDaily[DeathsUnder24Hrs],tblDaily[EntryDate],DATE(2026,11,21),tblDaily[WardCode],"ICU")=0,"",SUMIFS(tblDaily[DeathsUnder24Hrs],tblDaily[EntryDate],DATE(2026,11,21),tblDaily[WardCode],"ICU")),"")</f>
        <v/>
      </c>
      <c r="F417" s="29" t="str">
        <f>IFERROR(IF(SUMIFS(tblDaily[TransfersIn],tblDaily[EntryDate],DATE(2026,11,21),tblDaily[WardCode],"ICU")=0,"",SUMIFS(tblDaily[TransfersIn],tblDaily[EntryDate],DATE(2026,11,21),tblDaily[WardCode],"ICU")),"")</f>
        <v/>
      </c>
      <c r="G417" s="29" t="str">
        <f>IFERROR(IF(SUMIFS(tblDaily[TransfersOut],tblDaily[EntryDate],DATE(2026,11,21),tblDaily[WardCode],"ICU")=0,"",SUMIFS(tblDaily[TransfersOut],tblDaily[EntryDate],DATE(2026,11,21),tblDaily[WardCode],"ICU")),"")</f>
        <v/>
      </c>
      <c r="H417" s="29" t="str">
        <f>IFERROR(IF(SUMIFS(tblDaily[Remaining],tblDaily[EntryDate],DATE(2026,11,21),tblDaily[WardCode],"ICU")=0,"",SUMIFS(tblDaily[Remaining],tblDaily[EntryDate],DATE(2026,11,21),tblDaily[WardCode],"ICU")),"")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IFERROR(IF(SUMIFS(tblDaily[Admissions],tblDaily[EntryDate],DATE(2026,11,22),tblDaily[WardCode],"ICU")=0,"",SUMIFS(tblDaily[Admissions],tblDaily[EntryDate],DATE(2026,11,22),tblDaily[WardCode],"ICU")),"")</f>
        <v/>
      </c>
      <c r="C418" s="29" t="str">
        <f>IFERROR(IF(SUMIFS(tblDaily[Discharges],tblDaily[EntryDate],DATE(2026,11,22),tblDaily[WardCode],"ICU")=0,"",SUMIFS(tblDaily[Discharges],tblDaily[EntryDate],DATE(2026,11,22),tblDaily[WardCode],"ICU")),"")</f>
        <v/>
      </c>
      <c r="D418" s="29" t="str">
        <f>IFERROR(IF(SUMIFS(tblDaily[Deaths],tblDaily[EntryDate],DATE(2026,11,22),tblDaily[WardCode],"ICU")=0,"",SUMIFS(tblDaily[Deaths],tblDaily[EntryDate],DATE(2026,11,22),tblDaily[WardCode],"ICU")),"")</f>
        <v/>
      </c>
      <c r="E418" s="29" t="str">
        <f>IFERROR(IF(SUMIFS(tblDaily[DeathsUnder24Hrs],tblDaily[EntryDate],DATE(2026,11,22),tblDaily[WardCode],"ICU")=0,"",SUMIFS(tblDaily[DeathsUnder24Hrs],tblDaily[EntryDate],DATE(2026,11,22),tblDaily[WardCode],"ICU")),"")</f>
        <v/>
      </c>
      <c r="F418" s="29" t="str">
        <f>IFERROR(IF(SUMIFS(tblDaily[TransfersIn],tblDaily[EntryDate],DATE(2026,11,22),tblDaily[WardCode],"ICU")=0,"",SUMIFS(tblDaily[TransfersIn],tblDaily[EntryDate],DATE(2026,11,22),tblDaily[WardCode],"ICU")),"")</f>
        <v/>
      </c>
      <c r="G418" s="29" t="str">
        <f>IFERROR(IF(SUMIFS(tblDaily[TransfersOut],tblDaily[EntryDate],DATE(2026,11,22),tblDaily[WardCode],"ICU")=0,"",SUMIFS(tblDaily[TransfersOut],tblDaily[EntryDate],DATE(2026,11,22),tblDaily[WardCode],"ICU")),"")</f>
        <v/>
      </c>
      <c r="H418" s="29" t="str">
        <f>IFERROR(IF(SUMIFS(tblDaily[Remaining],tblDaily[EntryDate],DATE(2026,11,22),tblDaily[WardCode],"ICU")=0,"",SUMIFS(tblDaily[Remaining],tblDaily[EntryDate],DATE(2026,11,22),tblDaily[WardCode],"ICU")),"")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IFERROR(IF(SUMIFS(tblDaily[Admissions],tblDaily[EntryDate],DATE(2026,11,23),tblDaily[WardCode],"ICU")=0,"",SUMIFS(tblDaily[Admissions],tblDaily[EntryDate],DATE(2026,11,23),tblDaily[WardCode],"ICU")),"")</f>
        <v/>
      </c>
      <c r="C419" s="29" t="str">
        <f>IFERROR(IF(SUMIFS(tblDaily[Discharges],tblDaily[EntryDate],DATE(2026,11,23),tblDaily[WardCode],"ICU")=0,"",SUMIFS(tblDaily[Discharges],tblDaily[EntryDate],DATE(2026,11,23),tblDaily[WardCode],"ICU")),"")</f>
        <v/>
      </c>
      <c r="D419" s="29" t="str">
        <f>IFERROR(IF(SUMIFS(tblDaily[Deaths],tblDaily[EntryDate],DATE(2026,11,23),tblDaily[WardCode],"ICU")=0,"",SUMIFS(tblDaily[Deaths],tblDaily[EntryDate],DATE(2026,11,23),tblDaily[WardCode],"ICU")),"")</f>
        <v/>
      </c>
      <c r="E419" s="29" t="str">
        <f>IFERROR(IF(SUMIFS(tblDaily[DeathsUnder24Hrs],tblDaily[EntryDate],DATE(2026,11,23),tblDaily[WardCode],"ICU")=0,"",SUMIFS(tblDaily[DeathsUnder24Hrs],tblDaily[EntryDate],DATE(2026,11,23),tblDaily[WardCode],"ICU")),"")</f>
        <v/>
      </c>
      <c r="F419" s="29" t="str">
        <f>IFERROR(IF(SUMIFS(tblDaily[TransfersIn],tblDaily[EntryDate],DATE(2026,11,23),tblDaily[WardCode],"ICU")=0,"",SUMIFS(tblDaily[TransfersIn],tblDaily[EntryDate],DATE(2026,11,23),tblDaily[WardCode],"ICU")),"")</f>
        <v/>
      </c>
      <c r="G419" s="29" t="str">
        <f>IFERROR(IF(SUMIFS(tblDaily[TransfersOut],tblDaily[EntryDate],DATE(2026,11,23),tblDaily[WardCode],"ICU")=0,"",SUMIFS(tblDaily[TransfersOut],tblDaily[EntryDate],DATE(2026,11,23),tblDaily[WardCode],"ICU")),"")</f>
        <v/>
      </c>
      <c r="H419" s="29" t="str">
        <f>IFERROR(IF(SUMIFS(tblDaily[Remaining],tblDaily[EntryDate],DATE(2026,11,23),tblDaily[WardCode],"ICU")=0,"",SUMIFS(tblDaily[Remaining],tblDaily[EntryDate],DATE(2026,11,23),tblDaily[WardCode],"ICU")),"")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IFERROR(IF(SUMIFS(tblDaily[Admissions],tblDaily[EntryDate],DATE(2026,11,24),tblDaily[WardCode],"ICU")=0,"",SUMIFS(tblDaily[Admissions],tblDaily[EntryDate],DATE(2026,11,24),tblDaily[WardCode],"ICU")),"")</f>
        <v/>
      </c>
      <c r="C420" s="29" t="str">
        <f>IFERROR(IF(SUMIFS(tblDaily[Discharges],tblDaily[EntryDate],DATE(2026,11,24),tblDaily[WardCode],"ICU")=0,"",SUMIFS(tblDaily[Discharges],tblDaily[EntryDate],DATE(2026,11,24),tblDaily[WardCode],"ICU")),"")</f>
        <v/>
      </c>
      <c r="D420" s="29" t="str">
        <f>IFERROR(IF(SUMIFS(tblDaily[Deaths],tblDaily[EntryDate],DATE(2026,11,24),tblDaily[WardCode],"ICU")=0,"",SUMIFS(tblDaily[Deaths],tblDaily[EntryDate],DATE(2026,11,24),tblDaily[WardCode],"ICU")),"")</f>
        <v/>
      </c>
      <c r="E420" s="29" t="str">
        <f>IFERROR(IF(SUMIFS(tblDaily[DeathsUnder24Hrs],tblDaily[EntryDate],DATE(2026,11,24),tblDaily[WardCode],"ICU")=0,"",SUMIFS(tblDaily[DeathsUnder24Hrs],tblDaily[EntryDate],DATE(2026,11,24),tblDaily[WardCode],"ICU")),"")</f>
        <v/>
      </c>
      <c r="F420" s="29" t="str">
        <f>IFERROR(IF(SUMIFS(tblDaily[TransfersIn],tblDaily[EntryDate],DATE(2026,11,24),tblDaily[WardCode],"ICU")=0,"",SUMIFS(tblDaily[TransfersIn],tblDaily[EntryDate],DATE(2026,11,24),tblDaily[WardCode],"ICU")),"")</f>
        <v/>
      </c>
      <c r="G420" s="29" t="str">
        <f>IFERROR(IF(SUMIFS(tblDaily[TransfersOut],tblDaily[EntryDate],DATE(2026,11,24),tblDaily[WardCode],"ICU")=0,"",SUMIFS(tblDaily[TransfersOut],tblDaily[EntryDate],DATE(2026,11,24),tblDaily[WardCode],"ICU")),"")</f>
        <v/>
      </c>
      <c r="H420" s="29" t="str">
        <f>IFERROR(IF(SUMIFS(tblDaily[Remaining],tblDaily[EntryDate],DATE(2026,11,24),tblDaily[WardCode],"ICU")=0,"",SUMIFS(tblDaily[Remaining],tblDaily[EntryDate],DATE(2026,11,24),tblDaily[WardCode],"ICU")),"")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IFERROR(IF(SUMIFS(tblDaily[Admissions],tblDaily[EntryDate],DATE(2026,11,25),tblDaily[WardCode],"ICU")=0,"",SUMIFS(tblDaily[Admissions],tblDaily[EntryDate],DATE(2026,11,25),tblDaily[WardCode],"ICU")),"")</f>
        <v/>
      </c>
      <c r="C421" s="29" t="str">
        <f>IFERROR(IF(SUMIFS(tblDaily[Discharges],tblDaily[EntryDate],DATE(2026,11,25),tblDaily[WardCode],"ICU")=0,"",SUMIFS(tblDaily[Discharges],tblDaily[EntryDate],DATE(2026,11,25),tblDaily[WardCode],"ICU")),"")</f>
        <v/>
      </c>
      <c r="D421" s="29" t="str">
        <f>IFERROR(IF(SUMIFS(tblDaily[Deaths],tblDaily[EntryDate],DATE(2026,11,25),tblDaily[WardCode],"ICU")=0,"",SUMIFS(tblDaily[Deaths],tblDaily[EntryDate],DATE(2026,11,25),tblDaily[WardCode],"ICU")),"")</f>
        <v/>
      </c>
      <c r="E421" s="29" t="str">
        <f>IFERROR(IF(SUMIFS(tblDaily[DeathsUnder24Hrs],tblDaily[EntryDate],DATE(2026,11,25),tblDaily[WardCode],"ICU")=0,"",SUMIFS(tblDaily[DeathsUnder24Hrs],tblDaily[EntryDate],DATE(2026,11,25),tblDaily[WardCode],"ICU")),"")</f>
        <v/>
      </c>
      <c r="F421" s="29" t="str">
        <f>IFERROR(IF(SUMIFS(tblDaily[TransfersIn],tblDaily[EntryDate],DATE(2026,11,25),tblDaily[WardCode],"ICU")=0,"",SUMIFS(tblDaily[TransfersIn],tblDaily[EntryDate],DATE(2026,11,25),tblDaily[WardCode],"ICU")),"")</f>
        <v/>
      </c>
      <c r="G421" s="29" t="str">
        <f>IFERROR(IF(SUMIFS(tblDaily[TransfersOut],tblDaily[EntryDate],DATE(2026,11,25),tblDaily[WardCode],"ICU")=0,"",SUMIFS(tblDaily[TransfersOut],tblDaily[EntryDate],DATE(2026,11,25),tblDaily[WardCode],"ICU")),"")</f>
        <v/>
      </c>
      <c r="H421" s="29" t="str">
        <f>IFERROR(IF(SUMIFS(tblDaily[Remaining],tblDaily[EntryDate],DATE(2026,11,25),tblDaily[WardCode],"ICU")=0,"",SUMIFS(tblDaily[Remaining],tblDaily[EntryDate],DATE(2026,11,25),tblDaily[WardCode],"ICU")),"")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IFERROR(IF(SUMIFS(tblDaily[Admissions],tblDaily[EntryDate],DATE(2026,11,26),tblDaily[WardCode],"ICU")=0,"",SUMIFS(tblDaily[Admissions],tblDaily[EntryDate],DATE(2026,11,26),tblDaily[WardCode],"ICU")),"")</f>
        <v/>
      </c>
      <c r="C422" s="29" t="str">
        <f>IFERROR(IF(SUMIFS(tblDaily[Discharges],tblDaily[EntryDate],DATE(2026,11,26),tblDaily[WardCode],"ICU")=0,"",SUMIFS(tblDaily[Discharges],tblDaily[EntryDate],DATE(2026,11,26),tblDaily[WardCode],"ICU")),"")</f>
        <v/>
      </c>
      <c r="D422" s="29" t="str">
        <f>IFERROR(IF(SUMIFS(tblDaily[Deaths],tblDaily[EntryDate],DATE(2026,11,26),tblDaily[WardCode],"ICU")=0,"",SUMIFS(tblDaily[Deaths],tblDaily[EntryDate],DATE(2026,11,26),tblDaily[WardCode],"ICU")),"")</f>
        <v/>
      </c>
      <c r="E422" s="29" t="str">
        <f>IFERROR(IF(SUMIFS(tblDaily[DeathsUnder24Hrs],tblDaily[EntryDate],DATE(2026,11,26),tblDaily[WardCode],"ICU")=0,"",SUMIFS(tblDaily[DeathsUnder24Hrs],tblDaily[EntryDate],DATE(2026,11,26),tblDaily[WardCode],"ICU")),"")</f>
        <v/>
      </c>
      <c r="F422" s="29" t="str">
        <f>IFERROR(IF(SUMIFS(tblDaily[TransfersIn],tblDaily[EntryDate],DATE(2026,11,26),tblDaily[WardCode],"ICU")=0,"",SUMIFS(tblDaily[TransfersIn],tblDaily[EntryDate],DATE(2026,11,26),tblDaily[WardCode],"ICU")),"")</f>
        <v/>
      </c>
      <c r="G422" s="29" t="str">
        <f>IFERROR(IF(SUMIFS(tblDaily[TransfersOut],tblDaily[EntryDate],DATE(2026,11,26),tblDaily[WardCode],"ICU")=0,"",SUMIFS(tblDaily[TransfersOut],tblDaily[EntryDate],DATE(2026,11,26),tblDaily[WardCode],"ICU")),"")</f>
        <v/>
      </c>
      <c r="H422" s="29" t="str">
        <f>IFERROR(IF(SUMIFS(tblDaily[Remaining],tblDaily[EntryDate],DATE(2026,11,26),tblDaily[WardCode],"ICU")=0,"",SUMIFS(tblDaily[Remaining],tblDaily[EntryDate],DATE(2026,11,26),tblDaily[WardCode],"ICU")),"")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IFERROR(IF(SUMIFS(tblDaily[Admissions],tblDaily[EntryDate],DATE(2026,11,27),tblDaily[WardCode],"ICU")=0,"",SUMIFS(tblDaily[Admissions],tblDaily[EntryDate],DATE(2026,11,27),tblDaily[WardCode],"ICU")),"")</f>
        <v/>
      </c>
      <c r="C423" s="29" t="str">
        <f>IFERROR(IF(SUMIFS(tblDaily[Discharges],tblDaily[EntryDate],DATE(2026,11,27),tblDaily[WardCode],"ICU")=0,"",SUMIFS(tblDaily[Discharges],tblDaily[EntryDate],DATE(2026,11,27),tblDaily[WardCode],"ICU")),"")</f>
        <v/>
      </c>
      <c r="D423" s="29" t="str">
        <f>IFERROR(IF(SUMIFS(tblDaily[Deaths],tblDaily[EntryDate],DATE(2026,11,27),tblDaily[WardCode],"ICU")=0,"",SUMIFS(tblDaily[Deaths],tblDaily[EntryDate],DATE(2026,11,27),tblDaily[WardCode],"ICU")),"")</f>
        <v/>
      </c>
      <c r="E423" s="29" t="str">
        <f>IFERROR(IF(SUMIFS(tblDaily[DeathsUnder24Hrs],tblDaily[EntryDate],DATE(2026,11,27),tblDaily[WardCode],"ICU")=0,"",SUMIFS(tblDaily[DeathsUnder24Hrs],tblDaily[EntryDate],DATE(2026,11,27),tblDaily[WardCode],"ICU")),"")</f>
        <v/>
      </c>
      <c r="F423" s="29" t="str">
        <f>IFERROR(IF(SUMIFS(tblDaily[TransfersIn],tblDaily[EntryDate],DATE(2026,11,27),tblDaily[WardCode],"ICU")=0,"",SUMIFS(tblDaily[TransfersIn],tblDaily[EntryDate],DATE(2026,11,27),tblDaily[WardCode],"ICU")),"")</f>
        <v/>
      </c>
      <c r="G423" s="29" t="str">
        <f>IFERROR(IF(SUMIFS(tblDaily[TransfersOut],tblDaily[EntryDate],DATE(2026,11,27),tblDaily[WardCode],"ICU")=0,"",SUMIFS(tblDaily[TransfersOut],tblDaily[EntryDate],DATE(2026,11,27),tblDaily[WardCode],"ICU")),"")</f>
        <v/>
      </c>
      <c r="H423" s="29" t="str">
        <f>IFERROR(IF(SUMIFS(tblDaily[Remaining],tblDaily[EntryDate],DATE(2026,11,27),tblDaily[WardCode],"ICU")=0,"",SUMIFS(tblDaily[Remaining],tblDaily[EntryDate],DATE(2026,11,27),tblDaily[WardCode],"ICU")),"")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IFERROR(IF(SUMIFS(tblDaily[Admissions],tblDaily[EntryDate],DATE(2026,11,28),tblDaily[WardCode],"ICU")=0,"",SUMIFS(tblDaily[Admissions],tblDaily[EntryDate],DATE(2026,11,28),tblDaily[WardCode],"ICU")),"")</f>
        <v/>
      </c>
      <c r="C424" s="29" t="str">
        <f>IFERROR(IF(SUMIFS(tblDaily[Discharges],tblDaily[EntryDate],DATE(2026,11,28),tblDaily[WardCode],"ICU")=0,"",SUMIFS(tblDaily[Discharges],tblDaily[EntryDate],DATE(2026,11,28),tblDaily[WardCode],"ICU")),"")</f>
        <v/>
      </c>
      <c r="D424" s="29" t="str">
        <f>IFERROR(IF(SUMIFS(tblDaily[Deaths],tblDaily[EntryDate],DATE(2026,11,28),tblDaily[WardCode],"ICU")=0,"",SUMIFS(tblDaily[Deaths],tblDaily[EntryDate],DATE(2026,11,28),tblDaily[WardCode],"ICU")),"")</f>
        <v/>
      </c>
      <c r="E424" s="29" t="str">
        <f>IFERROR(IF(SUMIFS(tblDaily[DeathsUnder24Hrs],tblDaily[EntryDate],DATE(2026,11,28),tblDaily[WardCode],"ICU")=0,"",SUMIFS(tblDaily[DeathsUnder24Hrs],tblDaily[EntryDate],DATE(2026,11,28),tblDaily[WardCode],"ICU")),"")</f>
        <v/>
      </c>
      <c r="F424" s="29" t="str">
        <f>IFERROR(IF(SUMIFS(tblDaily[TransfersIn],tblDaily[EntryDate],DATE(2026,11,28),tblDaily[WardCode],"ICU")=0,"",SUMIFS(tblDaily[TransfersIn],tblDaily[EntryDate],DATE(2026,11,28),tblDaily[WardCode],"ICU")),"")</f>
        <v/>
      </c>
      <c r="G424" s="29" t="str">
        <f>IFERROR(IF(SUMIFS(tblDaily[TransfersOut],tblDaily[EntryDate],DATE(2026,11,28),tblDaily[WardCode],"ICU")=0,"",SUMIFS(tblDaily[TransfersOut],tblDaily[EntryDate],DATE(2026,11,28),tblDaily[WardCode],"ICU")),"")</f>
        <v/>
      </c>
      <c r="H424" s="29" t="str">
        <f>IFERROR(IF(SUMIFS(tblDaily[Remaining],tblDaily[EntryDate],DATE(2026,11,28),tblDaily[WardCode],"ICU")=0,"",SUMIFS(tblDaily[Remaining],tblDaily[EntryDate],DATE(2026,11,28),tblDaily[WardCode],"ICU")),"")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IFERROR(IF(SUMIFS(tblDaily[Admissions],tblDaily[EntryDate],DATE(2026,11,29),tblDaily[WardCode],"ICU")=0,"",SUMIFS(tblDaily[Admissions],tblDaily[EntryDate],DATE(2026,11,29),tblDaily[WardCode],"ICU")),"")</f>
        <v/>
      </c>
      <c r="C425" s="29" t="str">
        <f>IFERROR(IF(SUMIFS(tblDaily[Discharges],tblDaily[EntryDate],DATE(2026,11,29),tblDaily[WardCode],"ICU")=0,"",SUMIFS(tblDaily[Discharges],tblDaily[EntryDate],DATE(2026,11,29),tblDaily[WardCode],"ICU")),"")</f>
        <v/>
      </c>
      <c r="D425" s="29" t="str">
        <f>IFERROR(IF(SUMIFS(tblDaily[Deaths],tblDaily[EntryDate],DATE(2026,11,29),tblDaily[WardCode],"ICU")=0,"",SUMIFS(tblDaily[Deaths],tblDaily[EntryDate],DATE(2026,11,29),tblDaily[WardCode],"ICU")),"")</f>
        <v/>
      </c>
      <c r="E425" s="29" t="str">
        <f>IFERROR(IF(SUMIFS(tblDaily[DeathsUnder24Hrs],tblDaily[EntryDate],DATE(2026,11,29),tblDaily[WardCode],"ICU")=0,"",SUMIFS(tblDaily[DeathsUnder24Hrs],tblDaily[EntryDate],DATE(2026,11,29),tblDaily[WardCode],"ICU")),"")</f>
        <v/>
      </c>
      <c r="F425" s="29" t="str">
        <f>IFERROR(IF(SUMIFS(tblDaily[TransfersIn],tblDaily[EntryDate],DATE(2026,11,29),tblDaily[WardCode],"ICU")=0,"",SUMIFS(tblDaily[TransfersIn],tblDaily[EntryDate],DATE(2026,11,29),tblDaily[WardCode],"ICU")),"")</f>
        <v/>
      </c>
      <c r="G425" s="29" t="str">
        <f>IFERROR(IF(SUMIFS(tblDaily[TransfersOut],tblDaily[EntryDate],DATE(2026,11,29),tblDaily[WardCode],"ICU")=0,"",SUMIFS(tblDaily[TransfersOut],tblDaily[EntryDate],DATE(2026,11,29),tblDaily[WardCode],"ICU")),"")</f>
        <v/>
      </c>
      <c r="H425" s="29" t="str">
        <f>IFERROR(IF(SUMIFS(tblDaily[Remaining],tblDaily[EntryDate],DATE(2026,11,29),tblDaily[WardCode],"ICU")=0,"",SUMIFS(tblDaily[Remaining],tblDaily[EntryDate],DATE(2026,11,29),tblDaily[WardCode],"ICU")),"")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IFERROR(IF(SUMIFS(tblDaily[Admissions],tblDaily[EntryDate],DATE(2026,11,30),tblDaily[WardCode],"ICU")=0,"",SUMIFS(tblDaily[Admissions],tblDaily[EntryDate],DATE(2026,11,30),tblDaily[WardCode],"ICU")),"")</f>
        <v/>
      </c>
      <c r="C426" s="29" t="str">
        <f>IFERROR(IF(SUMIFS(tblDaily[Discharges],tblDaily[EntryDate],DATE(2026,11,30),tblDaily[WardCode],"ICU")=0,"",SUMIFS(tblDaily[Discharges],tblDaily[EntryDate],DATE(2026,11,30),tblDaily[WardCode],"ICU")),"")</f>
        <v/>
      </c>
      <c r="D426" s="29" t="str">
        <f>IFERROR(IF(SUMIFS(tblDaily[Deaths],tblDaily[EntryDate],DATE(2026,11,30),tblDaily[WardCode],"ICU")=0,"",SUMIFS(tblDaily[Deaths],tblDaily[EntryDate],DATE(2026,11,30),tblDaily[WardCode],"ICU")),"")</f>
        <v/>
      </c>
      <c r="E426" s="29" t="str">
        <f>IFERROR(IF(SUMIFS(tblDaily[DeathsUnder24Hrs],tblDaily[EntryDate],DATE(2026,11,30),tblDaily[WardCode],"ICU")=0,"",SUMIFS(tblDaily[DeathsUnder24Hrs],tblDaily[EntryDate],DATE(2026,11,30),tblDaily[WardCode],"ICU")),"")</f>
        <v/>
      </c>
      <c r="F426" s="29" t="str">
        <f>IFERROR(IF(SUMIFS(tblDaily[TransfersIn],tblDaily[EntryDate],DATE(2026,11,30),tblDaily[WardCode],"ICU")=0,"",SUMIFS(tblDaily[TransfersIn],tblDaily[EntryDate],DATE(2026,11,30),tblDaily[WardCode],"ICU")),"")</f>
        <v/>
      </c>
      <c r="G426" s="29" t="str">
        <f>IFERROR(IF(SUMIFS(tblDaily[TransfersOut],tblDaily[EntryDate],DATE(2026,11,30),tblDaily[WardCode],"ICU")=0,"",SUMIFS(tblDaily[TransfersOut],tblDaily[EntryDate],DATE(2026,11,30),tblDaily[WardCode],"ICU")),"")</f>
        <v/>
      </c>
      <c r="H426" s="29" t="str">
        <f>IFERROR(IF(SUMIFS(tblDaily[Remaining],tblDaily[EntryDate],DATE(2026,11,30),tblDaily[WardCode],"ICU")=0,"",SUMIFS(tblDaily[Remaining],tblDaily[EntryDate],DATE(2026,11,30),tblDaily[WardCode],"ICU")),"")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115</v>
      </c>
      <c r="B428" s="30">
        <f>SUMIFS(tblDaily[Admissions],tblDaily[Month],11,tblDaily[WardCode],"ICU") - SUMIFS(tblDaily[DeathsUnder24Hrs],tblDaily[Month],11,tblDaily[WardCode],"ICU")</f>
        <v>0</v>
      </c>
      <c r="C428" s="30">
        <f>SUMIFS(tblDaily[Discharges],tblDaily[Month],11,tblDaily[WardCode],"ICU")</f>
        <v>0</v>
      </c>
      <c r="D428" s="30">
        <f>SUMIFS(tblDaily[Deaths],tblDaily[Month],11,tblDaily[WardCode],"ICU")</f>
        <v>0</v>
      </c>
      <c r="E428" s="30">
        <f>SUMIFS(tblDaily[DeathsUnder24Hrs],tblDaily[Month],11,tblDaily[WardCode],"ICU")</f>
        <v>0</v>
      </c>
      <c r="F428" s="30">
        <f>SUMIFS(tblDaily[TransfersIn],tblDaily[Month],11,tblDaily[WardCode],"ICU")</f>
        <v>0</v>
      </c>
      <c r="G428" s="30">
        <f>SUMIFS(tblDaily[TransfersOut],tblDaily[Month],11,tblDaily[WardCode],"ICU")</f>
        <v>0</v>
      </c>
      <c r="H428" s="30">
        <f>SUMIFS(tblDaily[Remaining],tblDaily[Month],11,tblDaily[WardCode],"ICU")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104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105</v>
      </c>
      <c r="E432" s="25" t="s">
        <v>124</v>
      </c>
      <c r="F432" s="24" t="s">
        <v>107</v>
      </c>
      <c r="G432" s="25" t="s">
        <v>74</v>
      </c>
    </row>
    <row r="433" spans="1:8" x14ac:dyDescent="0.25">
      <c r="A433" s="24" t="s">
        <v>108</v>
      </c>
      <c r="H433" s="26">
        <f>IFERROR(SUMIFS(tblDaily[Remaining],tblDaily[EntryDate],DATE(2026,11,30),tblDaily[WardCode],"ICU"),0)</f>
        <v>0</v>
      </c>
    </row>
    <row r="434" spans="1:8" x14ac:dyDescent="0.25">
      <c r="A434" s="24" t="s">
        <v>109</v>
      </c>
      <c r="H434" s="27">
        <f>IFERROR(INDEX(tblWardConfig[BedComplement],MATCH("ICU",tblWardConfig[WardCode],0)),0)</f>
        <v>4</v>
      </c>
    </row>
    <row r="435" spans="1:8" ht="38.25" x14ac:dyDescent="0.25">
      <c r="A435" s="28" t="s">
        <v>110</v>
      </c>
      <c r="B435" s="28" t="s">
        <v>77</v>
      </c>
      <c r="C435" s="28" t="s">
        <v>78</v>
      </c>
      <c r="D435" s="28" t="s">
        <v>79</v>
      </c>
      <c r="E435" s="28" t="s">
        <v>111</v>
      </c>
      <c r="F435" s="28" t="s">
        <v>112</v>
      </c>
      <c r="G435" s="28" t="s">
        <v>113</v>
      </c>
      <c r="H435" s="28" t="s">
        <v>114</v>
      </c>
    </row>
    <row r="436" spans="1:8" x14ac:dyDescent="0.25">
      <c r="A436" s="29">
        <v>1</v>
      </c>
      <c r="B436" s="29" t="str">
        <f>IFERROR(IF(SUMIFS(tblDaily[Admissions],tblDaily[EntryDate],DATE(2026,12,1),tblDaily[WardCode],"ICU")=0,"",SUMIFS(tblDaily[Admissions],tblDaily[EntryDate],DATE(2026,12,1),tblDaily[WardCode],"ICU")),"")</f>
        <v/>
      </c>
      <c r="C436" s="29" t="str">
        <f>IFERROR(IF(SUMIFS(tblDaily[Discharges],tblDaily[EntryDate],DATE(2026,12,1),tblDaily[WardCode],"ICU")=0,"",SUMIFS(tblDaily[Discharges],tblDaily[EntryDate],DATE(2026,12,1),tblDaily[WardCode],"ICU")),"")</f>
        <v/>
      </c>
      <c r="D436" s="29" t="str">
        <f>IFERROR(IF(SUMIFS(tblDaily[Deaths],tblDaily[EntryDate],DATE(2026,12,1),tblDaily[WardCode],"ICU")=0,"",SUMIFS(tblDaily[Deaths],tblDaily[EntryDate],DATE(2026,12,1),tblDaily[WardCode],"ICU")),"")</f>
        <v/>
      </c>
      <c r="E436" s="29" t="str">
        <f>IFERROR(IF(SUMIFS(tblDaily[DeathsUnder24Hrs],tblDaily[EntryDate],DATE(2026,12,1),tblDaily[WardCode],"ICU")=0,"",SUMIFS(tblDaily[DeathsUnder24Hrs],tblDaily[EntryDate],DATE(2026,12,1),tblDaily[WardCode],"ICU")),"")</f>
        <v/>
      </c>
      <c r="F436" s="29" t="str">
        <f>IFERROR(IF(SUMIFS(tblDaily[TransfersIn],tblDaily[EntryDate],DATE(2026,12,1),tblDaily[WardCode],"ICU")=0,"",SUMIFS(tblDaily[TransfersIn],tblDaily[EntryDate],DATE(2026,12,1),tblDaily[WardCode],"ICU")),"")</f>
        <v/>
      </c>
      <c r="G436" s="29" t="str">
        <f>IFERROR(IF(SUMIFS(tblDaily[TransfersOut],tblDaily[EntryDate],DATE(2026,12,1),tblDaily[WardCode],"ICU")=0,"",SUMIFS(tblDaily[TransfersOut],tblDaily[EntryDate],DATE(2026,12,1),tblDaily[WardCode],"ICU")),"")</f>
        <v/>
      </c>
      <c r="H436" s="29" t="str">
        <f>IFERROR(IF(SUMIFS(tblDaily[Remaining],tblDaily[EntryDate],DATE(2026,12,1),tblDaily[WardCode],"ICU")=0,"",SUMIFS(tblDaily[Remaining],tblDaily[EntryDate],DATE(2026,12,1),tblDaily[WardCode],"ICU")),"")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IFERROR(IF(SUMIFS(tblDaily[Admissions],tblDaily[EntryDate],DATE(2026,12,2),tblDaily[WardCode],"ICU")=0,"",SUMIFS(tblDaily[Admissions],tblDaily[EntryDate],DATE(2026,12,2),tblDaily[WardCode],"ICU")),"")</f>
        <v/>
      </c>
      <c r="C437" s="29" t="str">
        <f>IFERROR(IF(SUMIFS(tblDaily[Discharges],tblDaily[EntryDate],DATE(2026,12,2),tblDaily[WardCode],"ICU")=0,"",SUMIFS(tblDaily[Discharges],tblDaily[EntryDate],DATE(2026,12,2),tblDaily[WardCode],"ICU")),"")</f>
        <v/>
      </c>
      <c r="D437" s="29" t="str">
        <f>IFERROR(IF(SUMIFS(tblDaily[Deaths],tblDaily[EntryDate],DATE(2026,12,2),tblDaily[WardCode],"ICU")=0,"",SUMIFS(tblDaily[Deaths],tblDaily[EntryDate],DATE(2026,12,2),tblDaily[WardCode],"ICU")),"")</f>
        <v/>
      </c>
      <c r="E437" s="29" t="str">
        <f>IFERROR(IF(SUMIFS(tblDaily[DeathsUnder24Hrs],tblDaily[EntryDate],DATE(2026,12,2),tblDaily[WardCode],"ICU")=0,"",SUMIFS(tblDaily[DeathsUnder24Hrs],tblDaily[EntryDate],DATE(2026,12,2),tblDaily[WardCode],"ICU")),"")</f>
        <v/>
      </c>
      <c r="F437" s="29" t="str">
        <f>IFERROR(IF(SUMIFS(tblDaily[TransfersIn],tblDaily[EntryDate],DATE(2026,12,2),tblDaily[WardCode],"ICU")=0,"",SUMIFS(tblDaily[TransfersIn],tblDaily[EntryDate],DATE(2026,12,2),tblDaily[WardCode],"ICU")),"")</f>
        <v/>
      </c>
      <c r="G437" s="29" t="str">
        <f>IFERROR(IF(SUMIFS(tblDaily[TransfersOut],tblDaily[EntryDate],DATE(2026,12,2),tblDaily[WardCode],"ICU")=0,"",SUMIFS(tblDaily[TransfersOut],tblDaily[EntryDate],DATE(2026,12,2),tblDaily[WardCode],"ICU")),"")</f>
        <v/>
      </c>
      <c r="H437" s="29" t="str">
        <f>IFERROR(IF(SUMIFS(tblDaily[Remaining],tblDaily[EntryDate],DATE(2026,12,2),tblDaily[WardCode],"ICU")=0,"",SUMIFS(tblDaily[Remaining],tblDaily[EntryDate],DATE(2026,12,2),tblDaily[WardCode],"ICU")),"")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IFERROR(IF(SUMIFS(tblDaily[Admissions],tblDaily[EntryDate],DATE(2026,12,3),tblDaily[WardCode],"ICU")=0,"",SUMIFS(tblDaily[Admissions],tblDaily[EntryDate],DATE(2026,12,3),tblDaily[WardCode],"ICU")),"")</f>
        <v/>
      </c>
      <c r="C438" s="29" t="str">
        <f>IFERROR(IF(SUMIFS(tblDaily[Discharges],tblDaily[EntryDate],DATE(2026,12,3),tblDaily[WardCode],"ICU")=0,"",SUMIFS(tblDaily[Discharges],tblDaily[EntryDate],DATE(2026,12,3),tblDaily[WardCode],"ICU")),"")</f>
        <v/>
      </c>
      <c r="D438" s="29" t="str">
        <f>IFERROR(IF(SUMIFS(tblDaily[Deaths],tblDaily[EntryDate],DATE(2026,12,3),tblDaily[WardCode],"ICU")=0,"",SUMIFS(tblDaily[Deaths],tblDaily[EntryDate],DATE(2026,12,3),tblDaily[WardCode],"ICU")),"")</f>
        <v/>
      </c>
      <c r="E438" s="29" t="str">
        <f>IFERROR(IF(SUMIFS(tblDaily[DeathsUnder24Hrs],tblDaily[EntryDate],DATE(2026,12,3),tblDaily[WardCode],"ICU")=0,"",SUMIFS(tblDaily[DeathsUnder24Hrs],tblDaily[EntryDate],DATE(2026,12,3),tblDaily[WardCode],"ICU")),"")</f>
        <v/>
      </c>
      <c r="F438" s="29" t="str">
        <f>IFERROR(IF(SUMIFS(tblDaily[TransfersIn],tblDaily[EntryDate],DATE(2026,12,3),tblDaily[WardCode],"ICU")=0,"",SUMIFS(tblDaily[TransfersIn],tblDaily[EntryDate],DATE(2026,12,3),tblDaily[WardCode],"ICU")),"")</f>
        <v/>
      </c>
      <c r="G438" s="29" t="str">
        <f>IFERROR(IF(SUMIFS(tblDaily[TransfersOut],tblDaily[EntryDate],DATE(2026,12,3),tblDaily[WardCode],"ICU")=0,"",SUMIFS(tblDaily[TransfersOut],tblDaily[EntryDate],DATE(2026,12,3),tblDaily[WardCode],"ICU")),"")</f>
        <v/>
      </c>
      <c r="H438" s="29" t="str">
        <f>IFERROR(IF(SUMIFS(tblDaily[Remaining],tblDaily[EntryDate],DATE(2026,12,3),tblDaily[WardCode],"ICU")=0,"",SUMIFS(tblDaily[Remaining],tblDaily[EntryDate],DATE(2026,12,3),tblDaily[WardCode],"ICU")),"")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IFERROR(IF(SUMIFS(tblDaily[Admissions],tblDaily[EntryDate],DATE(2026,12,4),tblDaily[WardCode],"ICU")=0,"",SUMIFS(tblDaily[Admissions],tblDaily[EntryDate],DATE(2026,12,4),tblDaily[WardCode],"ICU")),"")</f>
        <v/>
      </c>
      <c r="C439" s="29" t="str">
        <f>IFERROR(IF(SUMIFS(tblDaily[Discharges],tblDaily[EntryDate],DATE(2026,12,4),tblDaily[WardCode],"ICU")=0,"",SUMIFS(tblDaily[Discharges],tblDaily[EntryDate],DATE(2026,12,4),tblDaily[WardCode],"ICU")),"")</f>
        <v/>
      </c>
      <c r="D439" s="29" t="str">
        <f>IFERROR(IF(SUMIFS(tblDaily[Deaths],tblDaily[EntryDate],DATE(2026,12,4),tblDaily[WardCode],"ICU")=0,"",SUMIFS(tblDaily[Deaths],tblDaily[EntryDate],DATE(2026,12,4),tblDaily[WardCode],"ICU")),"")</f>
        <v/>
      </c>
      <c r="E439" s="29" t="str">
        <f>IFERROR(IF(SUMIFS(tblDaily[DeathsUnder24Hrs],tblDaily[EntryDate],DATE(2026,12,4),tblDaily[WardCode],"ICU")=0,"",SUMIFS(tblDaily[DeathsUnder24Hrs],tblDaily[EntryDate],DATE(2026,12,4),tblDaily[WardCode],"ICU")),"")</f>
        <v/>
      </c>
      <c r="F439" s="29" t="str">
        <f>IFERROR(IF(SUMIFS(tblDaily[TransfersIn],tblDaily[EntryDate],DATE(2026,12,4),tblDaily[WardCode],"ICU")=0,"",SUMIFS(tblDaily[TransfersIn],tblDaily[EntryDate],DATE(2026,12,4),tblDaily[WardCode],"ICU")),"")</f>
        <v/>
      </c>
      <c r="G439" s="29" t="str">
        <f>IFERROR(IF(SUMIFS(tblDaily[TransfersOut],tblDaily[EntryDate],DATE(2026,12,4),tblDaily[WardCode],"ICU")=0,"",SUMIFS(tblDaily[TransfersOut],tblDaily[EntryDate],DATE(2026,12,4),tblDaily[WardCode],"ICU")),"")</f>
        <v/>
      </c>
      <c r="H439" s="29" t="str">
        <f>IFERROR(IF(SUMIFS(tblDaily[Remaining],tblDaily[EntryDate],DATE(2026,12,4),tblDaily[WardCode],"ICU")=0,"",SUMIFS(tblDaily[Remaining],tblDaily[EntryDate],DATE(2026,12,4),tblDaily[WardCode],"ICU")),"")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IFERROR(IF(SUMIFS(tblDaily[Admissions],tblDaily[EntryDate],DATE(2026,12,5),tblDaily[WardCode],"ICU")=0,"",SUMIFS(tblDaily[Admissions],tblDaily[EntryDate],DATE(2026,12,5),tblDaily[WardCode],"ICU")),"")</f>
        <v/>
      </c>
      <c r="C440" s="29" t="str">
        <f>IFERROR(IF(SUMIFS(tblDaily[Discharges],tblDaily[EntryDate],DATE(2026,12,5),tblDaily[WardCode],"ICU")=0,"",SUMIFS(tblDaily[Discharges],tblDaily[EntryDate],DATE(2026,12,5),tblDaily[WardCode],"ICU")),"")</f>
        <v/>
      </c>
      <c r="D440" s="29" t="str">
        <f>IFERROR(IF(SUMIFS(tblDaily[Deaths],tblDaily[EntryDate],DATE(2026,12,5),tblDaily[WardCode],"ICU")=0,"",SUMIFS(tblDaily[Deaths],tblDaily[EntryDate],DATE(2026,12,5),tblDaily[WardCode],"ICU")),"")</f>
        <v/>
      </c>
      <c r="E440" s="29" t="str">
        <f>IFERROR(IF(SUMIFS(tblDaily[DeathsUnder24Hrs],tblDaily[EntryDate],DATE(2026,12,5),tblDaily[WardCode],"ICU")=0,"",SUMIFS(tblDaily[DeathsUnder24Hrs],tblDaily[EntryDate],DATE(2026,12,5),tblDaily[WardCode],"ICU")),"")</f>
        <v/>
      </c>
      <c r="F440" s="29" t="str">
        <f>IFERROR(IF(SUMIFS(tblDaily[TransfersIn],tblDaily[EntryDate],DATE(2026,12,5),tblDaily[WardCode],"ICU")=0,"",SUMIFS(tblDaily[TransfersIn],tblDaily[EntryDate],DATE(2026,12,5),tblDaily[WardCode],"ICU")),"")</f>
        <v/>
      </c>
      <c r="G440" s="29" t="str">
        <f>IFERROR(IF(SUMIFS(tblDaily[TransfersOut],tblDaily[EntryDate],DATE(2026,12,5),tblDaily[WardCode],"ICU")=0,"",SUMIFS(tblDaily[TransfersOut],tblDaily[EntryDate],DATE(2026,12,5),tblDaily[WardCode],"ICU")),"")</f>
        <v/>
      </c>
      <c r="H440" s="29" t="str">
        <f>IFERROR(IF(SUMIFS(tblDaily[Remaining],tblDaily[EntryDate],DATE(2026,12,5),tblDaily[WardCode],"ICU")=0,"",SUMIFS(tblDaily[Remaining],tblDaily[EntryDate],DATE(2026,12,5),tblDaily[WardCode],"ICU")),"")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IFERROR(IF(SUMIFS(tblDaily[Admissions],tblDaily[EntryDate],DATE(2026,12,6),tblDaily[WardCode],"ICU")=0,"",SUMIFS(tblDaily[Admissions],tblDaily[EntryDate],DATE(2026,12,6),tblDaily[WardCode],"ICU")),"")</f>
        <v/>
      </c>
      <c r="C441" s="29" t="str">
        <f>IFERROR(IF(SUMIFS(tblDaily[Discharges],tblDaily[EntryDate],DATE(2026,12,6),tblDaily[WardCode],"ICU")=0,"",SUMIFS(tblDaily[Discharges],tblDaily[EntryDate],DATE(2026,12,6),tblDaily[WardCode],"ICU")),"")</f>
        <v/>
      </c>
      <c r="D441" s="29" t="str">
        <f>IFERROR(IF(SUMIFS(tblDaily[Deaths],tblDaily[EntryDate],DATE(2026,12,6),tblDaily[WardCode],"ICU")=0,"",SUMIFS(tblDaily[Deaths],tblDaily[EntryDate],DATE(2026,12,6),tblDaily[WardCode],"ICU")),"")</f>
        <v/>
      </c>
      <c r="E441" s="29" t="str">
        <f>IFERROR(IF(SUMIFS(tblDaily[DeathsUnder24Hrs],tblDaily[EntryDate],DATE(2026,12,6),tblDaily[WardCode],"ICU")=0,"",SUMIFS(tblDaily[DeathsUnder24Hrs],tblDaily[EntryDate],DATE(2026,12,6),tblDaily[WardCode],"ICU")),"")</f>
        <v/>
      </c>
      <c r="F441" s="29" t="str">
        <f>IFERROR(IF(SUMIFS(tblDaily[TransfersIn],tblDaily[EntryDate],DATE(2026,12,6),tblDaily[WardCode],"ICU")=0,"",SUMIFS(tblDaily[TransfersIn],tblDaily[EntryDate],DATE(2026,12,6),tblDaily[WardCode],"ICU")),"")</f>
        <v/>
      </c>
      <c r="G441" s="29" t="str">
        <f>IFERROR(IF(SUMIFS(tblDaily[TransfersOut],tblDaily[EntryDate],DATE(2026,12,6),tblDaily[WardCode],"ICU")=0,"",SUMIFS(tblDaily[TransfersOut],tblDaily[EntryDate],DATE(2026,12,6),tblDaily[WardCode],"ICU")),"")</f>
        <v/>
      </c>
      <c r="H441" s="29" t="str">
        <f>IFERROR(IF(SUMIFS(tblDaily[Remaining],tblDaily[EntryDate],DATE(2026,12,6),tblDaily[WardCode],"ICU")=0,"",SUMIFS(tblDaily[Remaining],tblDaily[EntryDate],DATE(2026,12,6),tblDaily[WardCode],"ICU")),"")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IFERROR(IF(SUMIFS(tblDaily[Admissions],tblDaily[EntryDate],DATE(2026,12,7),tblDaily[WardCode],"ICU")=0,"",SUMIFS(tblDaily[Admissions],tblDaily[EntryDate],DATE(2026,12,7),tblDaily[WardCode],"ICU")),"")</f>
        <v/>
      </c>
      <c r="C442" s="29" t="str">
        <f>IFERROR(IF(SUMIFS(tblDaily[Discharges],tblDaily[EntryDate],DATE(2026,12,7),tblDaily[WardCode],"ICU")=0,"",SUMIFS(tblDaily[Discharges],tblDaily[EntryDate],DATE(2026,12,7),tblDaily[WardCode],"ICU")),"")</f>
        <v/>
      </c>
      <c r="D442" s="29" t="str">
        <f>IFERROR(IF(SUMIFS(tblDaily[Deaths],tblDaily[EntryDate],DATE(2026,12,7),tblDaily[WardCode],"ICU")=0,"",SUMIFS(tblDaily[Deaths],tblDaily[EntryDate],DATE(2026,12,7),tblDaily[WardCode],"ICU")),"")</f>
        <v/>
      </c>
      <c r="E442" s="29" t="str">
        <f>IFERROR(IF(SUMIFS(tblDaily[DeathsUnder24Hrs],tblDaily[EntryDate],DATE(2026,12,7),tblDaily[WardCode],"ICU")=0,"",SUMIFS(tblDaily[DeathsUnder24Hrs],tblDaily[EntryDate],DATE(2026,12,7),tblDaily[WardCode],"ICU")),"")</f>
        <v/>
      </c>
      <c r="F442" s="29" t="str">
        <f>IFERROR(IF(SUMIFS(tblDaily[TransfersIn],tblDaily[EntryDate],DATE(2026,12,7),tblDaily[WardCode],"ICU")=0,"",SUMIFS(tblDaily[TransfersIn],tblDaily[EntryDate],DATE(2026,12,7),tblDaily[WardCode],"ICU")),"")</f>
        <v/>
      </c>
      <c r="G442" s="29" t="str">
        <f>IFERROR(IF(SUMIFS(tblDaily[TransfersOut],tblDaily[EntryDate],DATE(2026,12,7),tblDaily[WardCode],"ICU")=0,"",SUMIFS(tblDaily[TransfersOut],tblDaily[EntryDate],DATE(2026,12,7),tblDaily[WardCode],"ICU")),"")</f>
        <v/>
      </c>
      <c r="H442" s="29" t="str">
        <f>IFERROR(IF(SUMIFS(tblDaily[Remaining],tblDaily[EntryDate],DATE(2026,12,7),tblDaily[WardCode],"ICU")=0,"",SUMIFS(tblDaily[Remaining],tblDaily[EntryDate],DATE(2026,12,7),tblDaily[WardCode],"ICU")),"")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IFERROR(IF(SUMIFS(tblDaily[Admissions],tblDaily[EntryDate],DATE(2026,12,8),tblDaily[WardCode],"ICU")=0,"",SUMIFS(tblDaily[Admissions],tblDaily[EntryDate],DATE(2026,12,8),tblDaily[WardCode],"ICU")),"")</f>
        <v/>
      </c>
      <c r="C443" s="29" t="str">
        <f>IFERROR(IF(SUMIFS(tblDaily[Discharges],tblDaily[EntryDate],DATE(2026,12,8),tblDaily[WardCode],"ICU")=0,"",SUMIFS(tblDaily[Discharges],tblDaily[EntryDate],DATE(2026,12,8),tblDaily[WardCode],"ICU")),"")</f>
        <v/>
      </c>
      <c r="D443" s="29" t="str">
        <f>IFERROR(IF(SUMIFS(tblDaily[Deaths],tblDaily[EntryDate],DATE(2026,12,8),tblDaily[WardCode],"ICU")=0,"",SUMIFS(tblDaily[Deaths],tblDaily[EntryDate],DATE(2026,12,8),tblDaily[WardCode],"ICU")),"")</f>
        <v/>
      </c>
      <c r="E443" s="29" t="str">
        <f>IFERROR(IF(SUMIFS(tblDaily[DeathsUnder24Hrs],tblDaily[EntryDate],DATE(2026,12,8),tblDaily[WardCode],"ICU")=0,"",SUMIFS(tblDaily[DeathsUnder24Hrs],tblDaily[EntryDate],DATE(2026,12,8),tblDaily[WardCode],"ICU")),"")</f>
        <v/>
      </c>
      <c r="F443" s="29" t="str">
        <f>IFERROR(IF(SUMIFS(tblDaily[TransfersIn],tblDaily[EntryDate],DATE(2026,12,8),tblDaily[WardCode],"ICU")=0,"",SUMIFS(tblDaily[TransfersIn],tblDaily[EntryDate],DATE(2026,12,8),tblDaily[WardCode],"ICU")),"")</f>
        <v/>
      </c>
      <c r="G443" s="29" t="str">
        <f>IFERROR(IF(SUMIFS(tblDaily[TransfersOut],tblDaily[EntryDate],DATE(2026,12,8),tblDaily[WardCode],"ICU")=0,"",SUMIFS(tblDaily[TransfersOut],tblDaily[EntryDate],DATE(2026,12,8),tblDaily[WardCode],"ICU")),"")</f>
        <v/>
      </c>
      <c r="H443" s="29" t="str">
        <f>IFERROR(IF(SUMIFS(tblDaily[Remaining],tblDaily[EntryDate],DATE(2026,12,8),tblDaily[WardCode],"ICU")=0,"",SUMIFS(tblDaily[Remaining],tblDaily[EntryDate],DATE(2026,12,8),tblDaily[WardCode],"ICU")),"")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IFERROR(IF(SUMIFS(tblDaily[Admissions],tblDaily[EntryDate],DATE(2026,12,9),tblDaily[WardCode],"ICU")=0,"",SUMIFS(tblDaily[Admissions],tblDaily[EntryDate],DATE(2026,12,9),tblDaily[WardCode],"ICU")),"")</f>
        <v/>
      </c>
      <c r="C444" s="29" t="str">
        <f>IFERROR(IF(SUMIFS(tblDaily[Discharges],tblDaily[EntryDate],DATE(2026,12,9),tblDaily[WardCode],"ICU")=0,"",SUMIFS(tblDaily[Discharges],tblDaily[EntryDate],DATE(2026,12,9),tblDaily[WardCode],"ICU")),"")</f>
        <v/>
      </c>
      <c r="D444" s="29" t="str">
        <f>IFERROR(IF(SUMIFS(tblDaily[Deaths],tblDaily[EntryDate],DATE(2026,12,9),tblDaily[WardCode],"ICU")=0,"",SUMIFS(tblDaily[Deaths],tblDaily[EntryDate],DATE(2026,12,9),tblDaily[WardCode],"ICU")),"")</f>
        <v/>
      </c>
      <c r="E444" s="29" t="str">
        <f>IFERROR(IF(SUMIFS(tblDaily[DeathsUnder24Hrs],tblDaily[EntryDate],DATE(2026,12,9),tblDaily[WardCode],"ICU")=0,"",SUMIFS(tblDaily[DeathsUnder24Hrs],tblDaily[EntryDate],DATE(2026,12,9),tblDaily[WardCode],"ICU")),"")</f>
        <v/>
      </c>
      <c r="F444" s="29" t="str">
        <f>IFERROR(IF(SUMIFS(tblDaily[TransfersIn],tblDaily[EntryDate],DATE(2026,12,9),tblDaily[WardCode],"ICU")=0,"",SUMIFS(tblDaily[TransfersIn],tblDaily[EntryDate],DATE(2026,12,9),tblDaily[WardCode],"ICU")),"")</f>
        <v/>
      </c>
      <c r="G444" s="29" t="str">
        <f>IFERROR(IF(SUMIFS(tblDaily[TransfersOut],tblDaily[EntryDate],DATE(2026,12,9),tblDaily[WardCode],"ICU")=0,"",SUMIFS(tblDaily[TransfersOut],tblDaily[EntryDate],DATE(2026,12,9),tblDaily[WardCode],"ICU")),"")</f>
        <v/>
      </c>
      <c r="H444" s="29" t="str">
        <f>IFERROR(IF(SUMIFS(tblDaily[Remaining],tblDaily[EntryDate],DATE(2026,12,9),tblDaily[WardCode],"ICU")=0,"",SUMIFS(tblDaily[Remaining],tblDaily[EntryDate],DATE(2026,12,9),tblDaily[WardCode],"ICU")),"")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IFERROR(IF(SUMIFS(tblDaily[Admissions],tblDaily[EntryDate],DATE(2026,12,10),tblDaily[WardCode],"ICU")=0,"",SUMIFS(tblDaily[Admissions],tblDaily[EntryDate],DATE(2026,12,10),tblDaily[WardCode],"ICU")),"")</f>
        <v/>
      </c>
      <c r="C445" s="29" t="str">
        <f>IFERROR(IF(SUMIFS(tblDaily[Discharges],tblDaily[EntryDate],DATE(2026,12,10),tblDaily[WardCode],"ICU")=0,"",SUMIFS(tblDaily[Discharges],tblDaily[EntryDate],DATE(2026,12,10),tblDaily[WardCode],"ICU")),"")</f>
        <v/>
      </c>
      <c r="D445" s="29" t="str">
        <f>IFERROR(IF(SUMIFS(tblDaily[Deaths],tblDaily[EntryDate],DATE(2026,12,10),tblDaily[WardCode],"ICU")=0,"",SUMIFS(tblDaily[Deaths],tblDaily[EntryDate],DATE(2026,12,10),tblDaily[WardCode],"ICU")),"")</f>
        <v/>
      </c>
      <c r="E445" s="29" t="str">
        <f>IFERROR(IF(SUMIFS(tblDaily[DeathsUnder24Hrs],tblDaily[EntryDate],DATE(2026,12,10),tblDaily[WardCode],"ICU")=0,"",SUMIFS(tblDaily[DeathsUnder24Hrs],tblDaily[EntryDate],DATE(2026,12,10),tblDaily[WardCode],"ICU")),"")</f>
        <v/>
      </c>
      <c r="F445" s="29" t="str">
        <f>IFERROR(IF(SUMIFS(tblDaily[TransfersIn],tblDaily[EntryDate],DATE(2026,12,10),tblDaily[WardCode],"ICU")=0,"",SUMIFS(tblDaily[TransfersIn],tblDaily[EntryDate],DATE(2026,12,10),tblDaily[WardCode],"ICU")),"")</f>
        <v/>
      </c>
      <c r="G445" s="29" t="str">
        <f>IFERROR(IF(SUMIFS(tblDaily[TransfersOut],tblDaily[EntryDate],DATE(2026,12,10),tblDaily[WardCode],"ICU")=0,"",SUMIFS(tblDaily[TransfersOut],tblDaily[EntryDate],DATE(2026,12,10),tblDaily[WardCode],"ICU")),"")</f>
        <v/>
      </c>
      <c r="H445" s="29" t="str">
        <f>IFERROR(IF(SUMIFS(tblDaily[Remaining],tblDaily[EntryDate],DATE(2026,12,10),tblDaily[WardCode],"ICU")=0,"",SUMIFS(tblDaily[Remaining],tblDaily[EntryDate],DATE(2026,12,10),tblDaily[WardCode],"ICU")),"")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IFERROR(IF(SUMIFS(tblDaily[Admissions],tblDaily[EntryDate],DATE(2026,12,11),tblDaily[WardCode],"ICU")=0,"",SUMIFS(tblDaily[Admissions],tblDaily[EntryDate],DATE(2026,12,11),tblDaily[WardCode],"ICU")),"")</f>
        <v/>
      </c>
      <c r="C446" s="29" t="str">
        <f>IFERROR(IF(SUMIFS(tblDaily[Discharges],tblDaily[EntryDate],DATE(2026,12,11),tblDaily[WardCode],"ICU")=0,"",SUMIFS(tblDaily[Discharges],tblDaily[EntryDate],DATE(2026,12,11),tblDaily[WardCode],"ICU")),"")</f>
        <v/>
      </c>
      <c r="D446" s="29" t="str">
        <f>IFERROR(IF(SUMIFS(tblDaily[Deaths],tblDaily[EntryDate],DATE(2026,12,11),tblDaily[WardCode],"ICU")=0,"",SUMIFS(tblDaily[Deaths],tblDaily[EntryDate],DATE(2026,12,11),tblDaily[WardCode],"ICU")),"")</f>
        <v/>
      </c>
      <c r="E446" s="29" t="str">
        <f>IFERROR(IF(SUMIFS(tblDaily[DeathsUnder24Hrs],tblDaily[EntryDate],DATE(2026,12,11),tblDaily[WardCode],"ICU")=0,"",SUMIFS(tblDaily[DeathsUnder24Hrs],tblDaily[EntryDate],DATE(2026,12,11),tblDaily[WardCode],"ICU")),"")</f>
        <v/>
      </c>
      <c r="F446" s="29" t="str">
        <f>IFERROR(IF(SUMIFS(tblDaily[TransfersIn],tblDaily[EntryDate],DATE(2026,12,11),tblDaily[WardCode],"ICU")=0,"",SUMIFS(tblDaily[TransfersIn],tblDaily[EntryDate],DATE(2026,12,11),tblDaily[WardCode],"ICU")),"")</f>
        <v/>
      </c>
      <c r="G446" s="29" t="str">
        <f>IFERROR(IF(SUMIFS(tblDaily[TransfersOut],tblDaily[EntryDate],DATE(2026,12,11),tblDaily[WardCode],"ICU")=0,"",SUMIFS(tblDaily[TransfersOut],tblDaily[EntryDate],DATE(2026,12,11),tblDaily[WardCode],"ICU")),"")</f>
        <v/>
      </c>
      <c r="H446" s="29" t="str">
        <f>IFERROR(IF(SUMIFS(tblDaily[Remaining],tblDaily[EntryDate],DATE(2026,12,11),tblDaily[WardCode],"ICU")=0,"",SUMIFS(tblDaily[Remaining],tblDaily[EntryDate],DATE(2026,12,11),tblDaily[WardCode],"ICU")),"")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IFERROR(IF(SUMIFS(tblDaily[Admissions],tblDaily[EntryDate],DATE(2026,12,12),tblDaily[WardCode],"ICU")=0,"",SUMIFS(tblDaily[Admissions],tblDaily[EntryDate],DATE(2026,12,12),tblDaily[WardCode],"ICU")),"")</f>
        <v/>
      </c>
      <c r="C447" s="29" t="str">
        <f>IFERROR(IF(SUMIFS(tblDaily[Discharges],tblDaily[EntryDate],DATE(2026,12,12),tblDaily[WardCode],"ICU")=0,"",SUMIFS(tblDaily[Discharges],tblDaily[EntryDate],DATE(2026,12,12),tblDaily[WardCode],"ICU")),"")</f>
        <v/>
      </c>
      <c r="D447" s="29" t="str">
        <f>IFERROR(IF(SUMIFS(tblDaily[Deaths],tblDaily[EntryDate],DATE(2026,12,12),tblDaily[WardCode],"ICU")=0,"",SUMIFS(tblDaily[Deaths],tblDaily[EntryDate],DATE(2026,12,12),tblDaily[WardCode],"ICU")),"")</f>
        <v/>
      </c>
      <c r="E447" s="29" t="str">
        <f>IFERROR(IF(SUMIFS(tblDaily[DeathsUnder24Hrs],tblDaily[EntryDate],DATE(2026,12,12),tblDaily[WardCode],"ICU")=0,"",SUMIFS(tblDaily[DeathsUnder24Hrs],tblDaily[EntryDate],DATE(2026,12,12),tblDaily[WardCode],"ICU")),"")</f>
        <v/>
      </c>
      <c r="F447" s="29" t="str">
        <f>IFERROR(IF(SUMIFS(tblDaily[TransfersIn],tblDaily[EntryDate],DATE(2026,12,12),tblDaily[WardCode],"ICU")=0,"",SUMIFS(tblDaily[TransfersIn],tblDaily[EntryDate],DATE(2026,12,12),tblDaily[WardCode],"ICU")),"")</f>
        <v/>
      </c>
      <c r="G447" s="29" t="str">
        <f>IFERROR(IF(SUMIFS(tblDaily[TransfersOut],tblDaily[EntryDate],DATE(2026,12,12),tblDaily[WardCode],"ICU")=0,"",SUMIFS(tblDaily[TransfersOut],tblDaily[EntryDate],DATE(2026,12,12),tblDaily[WardCode],"ICU")),"")</f>
        <v/>
      </c>
      <c r="H447" s="29" t="str">
        <f>IFERROR(IF(SUMIFS(tblDaily[Remaining],tblDaily[EntryDate],DATE(2026,12,12),tblDaily[WardCode],"ICU")=0,"",SUMIFS(tblDaily[Remaining],tblDaily[EntryDate],DATE(2026,12,12),tblDaily[WardCode],"ICU")),"")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IFERROR(IF(SUMIFS(tblDaily[Admissions],tblDaily[EntryDate],DATE(2026,12,13),tblDaily[WardCode],"ICU")=0,"",SUMIFS(tblDaily[Admissions],tblDaily[EntryDate],DATE(2026,12,13),tblDaily[WardCode],"ICU")),"")</f>
        <v/>
      </c>
      <c r="C448" s="29" t="str">
        <f>IFERROR(IF(SUMIFS(tblDaily[Discharges],tblDaily[EntryDate],DATE(2026,12,13),tblDaily[WardCode],"ICU")=0,"",SUMIFS(tblDaily[Discharges],tblDaily[EntryDate],DATE(2026,12,13),tblDaily[WardCode],"ICU")),"")</f>
        <v/>
      </c>
      <c r="D448" s="29" t="str">
        <f>IFERROR(IF(SUMIFS(tblDaily[Deaths],tblDaily[EntryDate],DATE(2026,12,13),tblDaily[WardCode],"ICU")=0,"",SUMIFS(tblDaily[Deaths],tblDaily[EntryDate],DATE(2026,12,13),tblDaily[WardCode],"ICU")),"")</f>
        <v/>
      </c>
      <c r="E448" s="29" t="str">
        <f>IFERROR(IF(SUMIFS(tblDaily[DeathsUnder24Hrs],tblDaily[EntryDate],DATE(2026,12,13),tblDaily[WardCode],"ICU")=0,"",SUMIFS(tblDaily[DeathsUnder24Hrs],tblDaily[EntryDate],DATE(2026,12,13),tblDaily[WardCode],"ICU")),"")</f>
        <v/>
      </c>
      <c r="F448" s="29" t="str">
        <f>IFERROR(IF(SUMIFS(tblDaily[TransfersIn],tblDaily[EntryDate],DATE(2026,12,13),tblDaily[WardCode],"ICU")=0,"",SUMIFS(tblDaily[TransfersIn],tblDaily[EntryDate],DATE(2026,12,13),tblDaily[WardCode],"ICU")),"")</f>
        <v/>
      </c>
      <c r="G448" s="29" t="str">
        <f>IFERROR(IF(SUMIFS(tblDaily[TransfersOut],tblDaily[EntryDate],DATE(2026,12,13),tblDaily[WardCode],"ICU")=0,"",SUMIFS(tblDaily[TransfersOut],tblDaily[EntryDate],DATE(2026,12,13),tblDaily[WardCode],"ICU")),"")</f>
        <v/>
      </c>
      <c r="H448" s="29" t="str">
        <f>IFERROR(IF(SUMIFS(tblDaily[Remaining],tblDaily[EntryDate],DATE(2026,12,13),tblDaily[WardCode],"ICU")=0,"",SUMIFS(tblDaily[Remaining],tblDaily[EntryDate],DATE(2026,12,13),tblDaily[WardCode],"ICU")),"")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IFERROR(IF(SUMIFS(tblDaily[Admissions],tblDaily[EntryDate],DATE(2026,12,14),tblDaily[WardCode],"ICU")=0,"",SUMIFS(tblDaily[Admissions],tblDaily[EntryDate],DATE(2026,12,14),tblDaily[WardCode],"ICU")),"")</f>
        <v/>
      </c>
      <c r="C449" s="29" t="str">
        <f>IFERROR(IF(SUMIFS(tblDaily[Discharges],tblDaily[EntryDate],DATE(2026,12,14),tblDaily[WardCode],"ICU")=0,"",SUMIFS(tblDaily[Discharges],tblDaily[EntryDate],DATE(2026,12,14),tblDaily[WardCode],"ICU")),"")</f>
        <v/>
      </c>
      <c r="D449" s="29" t="str">
        <f>IFERROR(IF(SUMIFS(tblDaily[Deaths],tblDaily[EntryDate],DATE(2026,12,14),tblDaily[WardCode],"ICU")=0,"",SUMIFS(tblDaily[Deaths],tblDaily[EntryDate],DATE(2026,12,14),tblDaily[WardCode],"ICU")),"")</f>
        <v/>
      </c>
      <c r="E449" s="29" t="str">
        <f>IFERROR(IF(SUMIFS(tblDaily[DeathsUnder24Hrs],tblDaily[EntryDate],DATE(2026,12,14),tblDaily[WardCode],"ICU")=0,"",SUMIFS(tblDaily[DeathsUnder24Hrs],tblDaily[EntryDate],DATE(2026,12,14),tblDaily[WardCode],"ICU")),"")</f>
        <v/>
      </c>
      <c r="F449" s="29" t="str">
        <f>IFERROR(IF(SUMIFS(tblDaily[TransfersIn],tblDaily[EntryDate],DATE(2026,12,14),tblDaily[WardCode],"ICU")=0,"",SUMIFS(tblDaily[TransfersIn],tblDaily[EntryDate],DATE(2026,12,14),tblDaily[WardCode],"ICU")),"")</f>
        <v/>
      </c>
      <c r="G449" s="29" t="str">
        <f>IFERROR(IF(SUMIFS(tblDaily[TransfersOut],tblDaily[EntryDate],DATE(2026,12,14),tblDaily[WardCode],"ICU")=0,"",SUMIFS(tblDaily[TransfersOut],tblDaily[EntryDate],DATE(2026,12,14),tblDaily[WardCode],"ICU")),"")</f>
        <v/>
      </c>
      <c r="H449" s="29" t="str">
        <f>IFERROR(IF(SUMIFS(tblDaily[Remaining],tblDaily[EntryDate],DATE(2026,12,14),tblDaily[WardCode],"ICU")=0,"",SUMIFS(tblDaily[Remaining],tblDaily[EntryDate],DATE(2026,12,14),tblDaily[WardCode],"ICU")),"")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IFERROR(IF(SUMIFS(tblDaily[Admissions],tblDaily[EntryDate],DATE(2026,12,15),tblDaily[WardCode],"ICU")=0,"",SUMIFS(tblDaily[Admissions],tblDaily[EntryDate],DATE(2026,12,15),tblDaily[WardCode],"ICU")),"")</f>
        <v/>
      </c>
      <c r="C450" s="29" t="str">
        <f>IFERROR(IF(SUMIFS(tblDaily[Discharges],tblDaily[EntryDate],DATE(2026,12,15),tblDaily[WardCode],"ICU")=0,"",SUMIFS(tblDaily[Discharges],tblDaily[EntryDate],DATE(2026,12,15),tblDaily[WardCode],"ICU")),"")</f>
        <v/>
      </c>
      <c r="D450" s="29" t="str">
        <f>IFERROR(IF(SUMIFS(tblDaily[Deaths],tblDaily[EntryDate],DATE(2026,12,15),tblDaily[WardCode],"ICU")=0,"",SUMIFS(tblDaily[Deaths],tblDaily[EntryDate],DATE(2026,12,15),tblDaily[WardCode],"ICU")),"")</f>
        <v/>
      </c>
      <c r="E450" s="29" t="str">
        <f>IFERROR(IF(SUMIFS(tblDaily[DeathsUnder24Hrs],tblDaily[EntryDate],DATE(2026,12,15),tblDaily[WardCode],"ICU")=0,"",SUMIFS(tblDaily[DeathsUnder24Hrs],tblDaily[EntryDate],DATE(2026,12,15),tblDaily[WardCode],"ICU")),"")</f>
        <v/>
      </c>
      <c r="F450" s="29" t="str">
        <f>IFERROR(IF(SUMIFS(tblDaily[TransfersIn],tblDaily[EntryDate],DATE(2026,12,15),tblDaily[WardCode],"ICU")=0,"",SUMIFS(tblDaily[TransfersIn],tblDaily[EntryDate],DATE(2026,12,15),tblDaily[WardCode],"ICU")),"")</f>
        <v/>
      </c>
      <c r="G450" s="29" t="str">
        <f>IFERROR(IF(SUMIFS(tblDaily[TransfersOut],tblDaily[EntryDate],DATE(2026,12,15),tblDaily[WardCode],"ICU")=0,"",SUMIFS(tblDaily[TransfersOut],tblDaily[EntryDate],DATE(2026,12,15),tblDaily[WardCode],"ICU")),"")</f>
        <v/>
      </c>
      <c r="H450" s="29" t="str">
        <f>IFERROR(IF(SUMIFS(tblDaily[Remaining],tblDaily[EntryDate],DATE(2026,12,15),tblDaily[WardCode],"ICU")=0,"",SUMIFS(tblDaily[Remaining],tblDaily[EntryDate],DATE(2026,12,15),tblDaily[WardCode],"ICU")),"")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IFERROR(IF(SUMIFS(tblDaily[Admissions],tblDaily[EntryDate],DATE(2026,12,16),tblDaily[WardCode],"ICU")=0,"",SUMIFS(tblDaily[Admissions],tblDaily[EntryDate],DATE(2026,12,16),tblDaily[WardCode],"ICU")),"")</f>
        <v/>
      </c>
      <c r="C451" s="29" t="str">
        <f>IFERROR(IF(SUMIFS(tblDaily[Discharges],tblDaily[EntryDate],DATE(2026,12,16),tblDaily[WardCode],"ICU")=0,"",SUMIFS(tblDaily[Discharges],tblDaily[EntryDate],DATE(2026,12,16),tblDaily[WardCode],"ICU")),"")</f>
        <v/>
      </c>
      <c r="D451" s="29" t="str">
        <f>IFERROR(IF(SUMIFS(tblDaily[Deaths],tblDaily[EntryDate],DATE(2026,12,16),tblDaily[WardCode],"ICU")=0,"",SUMIFS(tblDaily[Deaths],tblDaily[EntryDate],DATE(2026,12,16),tblDaily[WardCode],"ICU")),"")</f>
        <v/>
      </c>
      <c r="E451" s="29" t="str">
        <f>IFERROR(IF(SUMIFS(tblDaily[DeathsUnder24Hrs],tblDaily[EntryDate],DATE(2026,12,16),tblDaily[WardCode],"ICU")=0,"",SUMIFS(tblDaily[DeathsUnder24Hrs],tblDaily[EntryDate],DATE(2026,12,16),tblDaily[WardCode],"ICU")),"")</f>
        <v/>
      </c>
      <c r="F451" s="29" t="str">
        <f>IFERROR(IF(SUMIFS(tblDaily[TransfersIn],tblDaily[EntryDate],DATE(2026,12,16),tblDaily[WardCode],"ICU")=0,"",SUMIFS(tblDaily[TransfersIn],tblDaily[EntryDate],DATE(2026,12,16),tblDaily[WardCode],"ICU")),"")</f>
        <v/>
      </c>
      <c r="G451" s="29" t="str">
        <f>IFERROR(IF(SUMIFS(tblDaily[TransfersOut],tblDaily[EntryDate],DATE(2026,12,16),tblDaily[WardCode],"ICU")=0,"",SUMIFS(tblDaily[TransfersOut],tblDaily[EntryDate],DATE(2026,12,16),tblDaily[WardCode],"ICU")),"")</f>
        <v/>
      </c>
      <c r="H451" s="29" t="str">
        <f>IFERROR(IF(SUMIFS(tblDaily[Remaining],tblDaily[EntryDate],DATE(2026,12,16),tblDaily[WardCode],"ICU")=0,"",SUMIFS(tblDaily[Remaining],tblDaily[EntryDate],DATE(2026,12,16),tblDaily[WardCode],"ICU")),"")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IFERROR(IF(SUMIFS(tblDaily[Admissions],tblDaily[EntryDate],DATE(2026,12,17),tblDaily[WardCode],"ICU")=0,"",SUMIFS(tblDaily[Admissions],tblDaily[EntryDate],DATE(2026,12,17),tblDaily[WardCode],"ICU")),"")</f>
        <v/>
      </c>
      <c r="C452" s="29" t="str">
        <f>IFERROR(IF(SUMIFS(tblDaily[Discharges],tblDaily[EntryDate],DATE(2026,12,17),tblDaily[WardCode],"ICU")=0,"",SUMIFS(tblDaily[Discharges],tblDaily[EntryDate],DATE(2026,12,17),tblDaily[WardCode],"ICU")),"")</f>
        <v/>
      </c>
      <c r="D452" s="29" t="str">
        <f>IFERROR(IF(SUMIFS(tblDaily[Deaths],tblDaily[EntryDate],DATE(2026,12,17),tblDaily[WardCode],"ICU")=0,"",SUMIFS(tblDaily[Deaths],tblDaily[EntryDate],DATE(2026,12,17),tblDaily[WardCode],"ICU")),"")</f>
        <v/>
      </c>
      <c r="E452" s="29" t="str">
        <f>IFERROR(IF(SUMIFS(tblDaily[DeathsUnder24Hrs],tblDaily[EntryDate],DATE(2026,12,17),tblDaily[WardCode],"ICU")=0,"",SUMIFS(tblDaily[DeathsUnder24Hrs],tblDaily[EntryDate],DATE(2026,12,17),tblDaily[WardCode],"ICU")),"")</f>
        <v/>
      </c>
      <c r="F452" s="29" t="str">
        <f>IFERROR(IF(SUMIFS(tblDaily[TransfersIn],tblDaily[EntryDate],DATE(2026,12,17),tblDaily[WardCode],"ICU")=0,"",SUMIFS(tblDaily[TransfersIn],tblDaily[EntryDate],DATE(2026,12,17),tblDaily[WardCode],"ICU")),"")</f>
        <v/>
      </c>
      <c r="G452" s="29" t="str">
        <f>IFERROR(IF(SUMIFS(tblDaily[TransfersOut],tblDaily[EntryDate],DATE(2026,12,17),tblDaily[WardCode],"ICU")=0,"",SUMIFS(tblDaily[TransfersOut],tblDaily[EntryDate],DATE(2026,12,17),tblDaily[WardCode],"ICU")),"")</f>
        <v/>
      </c>
      <c r="H452" s="29" t="str">
        <f>IFERROR(IF(SUMIFS(tblDaily[Remaining],tblDaily[EntryDate],DATE(2026,12,17),tblDaily[WardCode],"ICU")=0,"",SUMIFS(tblDaily[Remaining],tblDaily[EntryDate],DATE(2026,12,17),tblDaily[WardCode],"ICU")),"")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IFERROR(IF(SUMIFS(tblDaily[Admissions],tblDaily[EntryDate],DATE(2026,12,18),tblDaily[WardCode],"ICU")=0,"",SUMIFS(tblDaily[Admissions],tblDaily[EntryDate],DATE(2026,12,18),tblDaily[WardCode],"ICU")),"")</f>
        <v/>
      </c>
      <c r="C453" s="29" t="str">
        <f>IFERROR(IF(SUMIFS(tblDaily[Discharges],tblDaily[EntryDate],DATE(2026,12,18),tblDaily[WardCode],"ICU")=0,"",SUMIFS(tblDaily[Discharges],tblDaily[EntryDate],DATE(2026,12,18),tblDaily[WardCode],"ICU")),"")</f>
        <v/>
      </c>
      <c r="D453" s="29" t="str">
        <f>IFERROR(IF(SUMIFS(tblDaily[Deaths],tblDaily[EntryDate],DATE(2026,12,18),tblDaily[WardCode],"ICU")=0,"",SUMIFS(tblDaily[Deaths],tblDaily[EntryDate],DATE(2026,12,18),tblDaily[WardCode],"ICU")),"")</f>
        <v/>
      </c>
      <c r="E453" s="29" t="str">
        <f>IFERROR(IF(SUMIFS(tblDaily[DeathsUnder24Hrs],tblDaily[EntryDate],DATE(2026,12,18),tblDaily[WardCode],"ICU")=0,"",SUMIFS(tblDaily[DeathsUnder24Hrs],tblDaily[EntryDate],DATE(2026,12,18),tblDaily[WardCode],"ICU")),"")</f>
        <v/>
      </c>
      <c r="F453" s="29" t="str">
        <f>IFERROR(IF(SUMIFS(tblDaily[TransfersIn],tblDaily[EntryDate],DATE(2026,12,18),tblDaily[WardCode],"ICU")=0,"",SUMIFS(tblDaily[TransfersIn],tblDaily[EntryDate],DATE(2026,12,18),tblDaily[WardCode],"ICU")),"")</f>
        <v/>
      </c>
      <c r="G453" s="29" t="str">
        <f>IFERROR(IF(SUMIFS(tblDaily[TransfersOut],tblDaily[EntryDate],DATE(2026,12,18),tblDaily[WardCode],"ICU")=0,"",SUMIFS(tblDaily[TransfersOut],tblDaily[EntryDate],DATE(2026,12,18),tblDaily[WardCode],"ICU")),"")</f>
        <v/>
      </c>
      <c r="H453" s="29" t="str">
        <f>IFERROR(IF(SUMIFS(tblDaily[Remaining],tblDaily[EntryDate],DATE(2026,12,18),tblDaily[WardCode],"ICU")=0,"",SUMIFS(tblDaily[Remaining],tblDaily[EntryDate],DATE(2026,12,18),tblDaily[WardCode],"ICU")),"")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IFERROR(IF(SUMIFS(tblDaily[Admissions],tblDaily[EntryDate],DATE(2026,12,19),tblDaily[WardCode],"ICU")=0,"",SUMIFS(tblDaily[Admissions],tblDaily[EntryDate],DATE(2026,12,19),tblDaily[WardCode],"ICU")),"")</f>
        <v/>
      </c>
      <c r="C454" s="29" t="str">
        <f>IFERROR(IF(SUMIFS(tblDaily[Discharges],tblDaily[EntryDate],DATE(2026,12,19),tblDaily[WardCode],"ICU")=0,"",SUMIFS(tblDaily[Discharges],tblDaily[EntryDate],DATE(2026,12,19),tblDaily[WardCode],"ICU")),"")</f>
        <v/>
      </c>
      <c r="D454" s="29" t="str">
        <f>IFERROR(IF(SUMIFS(tblDaily[Deaths],tblDaily[EntryDate],DATE(2026,12,19),tblDaily[WardCode],"ICU")=0,"",SUMIFS(tblDaily[Deaths],tblDaily[EntryDate],DATE(2026,12,19),tblDaily[WardCode],"ICU")),"")</f>
        <v/>
      </c>
      <c r="E454" s="29" t="str">
        <f>IFERROR(IF(SUMIFS(tblDaily[DeathsUnder24Hrs],tblDaily[EntryDate],DATE(2026,12,19),tblDaily[WardCode],"ICU")=0,"",SUMIFS(tblDaily[DeathsUnder24Hrs],tblDaily[EntryDate],DATE(2026,12,19),tblDaily[WardCode],"ICU")),"")</f>
        <v/>
      </c>
      <c r="F454" s="29" t="str">
        <f>IFERROR(IF(SUMIFS(tblDaily[TransfersIn],tblDaily[EntryDate],DATE(2026,12,19),tblDaily[WardCode],"ICU")=0,"",SUMIFS(tblDaily[TransfersIn],tblDaily[EntryDate],DATE(2026,12,19),tblDaily[WardCode],"ICU")),"")</f>
        <v/>
      </c>
      <c r="G454" s="29" t="str">
        <f>IFERROR(IF(SUMIFS(tblDaily[TransfersOut],tblDaily[EntryDate],DATE(2026,12,19),tblDaily[WardCode],"ICU")=0,"",SUMIFS(tblDaily[TransfersOut],tblDaily[EntryDate],DATE(2026,12,19),tblDaily[WardCode],"ICU")),"")</f>
        <v/>
      </c>
      <c r="H454" s="29" t="str">
        <f>IFERROR(IF(SUMIFS(tblDaily[Remaining],tblDaily[EntryDate],DATE(2026,12,19),tblDaily[WardCode],"ICU")=0,"",SUMIFS(tblDaily[Remaining],tblDaily[EntryDate],DATE(2026,12,19),tblDaily[WardCode],"ICU")),"")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IFERROR(IF(SUMIFS(tblDaily[Admissions],tblDaily[EntryDate],DATE(2026,12,20),tblDaily[WardCode],"ICU")=0,"",SUMIFS(tblDaily[Admissions],tblDaily[EntryDate],DATE(2026,12,20),tblDaily[WardCode],"ICU")),"")</f>
        <v/>
      </c>
      <c r="C455" s="29" t="str">
        <f>IFERROR(IF(SUMIFS(tblDaily[Discharges],tblDaily[EntryDate],DATE(2026,12,20),tblDaily[WardCode],"ICU")=0,"",SUMIFS(tblDaily[Discharges],tblDaily[EntryDate],DATE(2026,12,20),tblDaily[WardCode],"ICU")),"")</f>
        <v/>
      </c>
      <c r="D455" s="29" t="str">
        <f>IFERROR(IF(SUMIFS(tblDaily[Deaths],tblDaily[EntryDate],DATE(2026,12,20),tblDaily[WardCode],"ICU")=0,"",SUMIFS(tblDaily[Deaths],tblDaily[EntryDate],DATE(2026,12,20),tblDaily[WardCode],"ICU")),"")</f>
        <v/>
      </c>
      <c r="E455" s="29" t="str">
        <f>IFERROR(IF(SUMIFS(tblDaily[DeathsUnder24Hrs],tblDaily[EntryDate],DATE(2026,12,20),tblDaily[WardCode],"ICU")=0,"",SUMIFS(tblDaily[DeathsUnder24Hrs],tblDaily[EntryDate],DATE(2026,12,20),tblDaily[WardCode],"ICU")),"")</f>
        <v/>
      </c>
      <c r="F455" s="29" t="str">
        <f>IFERROR(IF(SUMIFS(tblDaily[TransfersIn],tblDaily[EntryDate],DATE(2026,12,20),tblDaily[WardCode],"ICU")=0,"",SUMIFS(tblDaily[TransfersIn],tblDaily[EntryDate],DATE(2026,12,20),tblDaily[WardCode],"ICU")),"")</f>
        <v/>
      </c>
      <c r="G455" s="29" t="str">
        <f>IFERROR(IF(SUMIFS(tblDaily[TransfersOut],tblDaily[EntryDate],DATE(2026,12,20),tblDaily[WardCode],"ICU")=0,"",SUMIFS(tblDaily[TransfersOut],tblDaily[EntryDate],DATE(2026,12,20),tblDaily[WardCode],"ICU")),"")</f>
        <v/>
      </c>
      <c r="H455" s="29" t="str">
        <f>IFERROR(IF(SUMIFS(tblDaily[Remaining],tblDaily[EntryDate],DATE(2026,12,20),tblDaily[WardCode],"ICU")=0,"",SUMIFS(tblDaily[Remaining],tblDaily[EntryDate],DATE(2026,12,20),tblDaily[WardCode],"ICU")),"")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IFERROR(IF(SUMIFS(tblDaily[Admissions],tblDaily[EntryDate],DATE(2026,12,21),tblDaily[WardCode],"ICU")=0,"",SUMIFS(tblDaily[Admissions],tblDaily[EntryDate],DATE(2026,12,21),tblDaily[WardCode],"ICU")),"")</f>
        <v/>
      </c>
      <c r="C456" s="29" t="str">
        <f>IFERROR(IF(SUMIFS(tblDaily[Discharges],tblDaily[EntryDate],DATE(2026,12,21),tblDaily[WardCode],"ICU")=0,"",SUMIFS(tblDaily[Discharges],tblDaily[EntryDate],DATE(2026,12,21),tblDaily[WardCode],"ICU")),"")</f>
        <v/>
      </c>
      <c r="D456" s="29" t="str">
        <f>IFERROR(IF(SUMIFS(tblDaily[Deaths],tblDaily[EntryDate],DATE(2026,12,21),tblDaily[WardCode],"ICU")=0,"",SUMIFS(tblDaily[Deaths],tblDaily[EntryDate],DATE(2026,12,21),tblDaily[WardCode],"ICU")),"")</f>
        <v/>
      </c>
      <c r="E456" s="29" t="str">
        <f>IFERROR(IF(SUMIFS(tblDaily[DeathsUnder24Hrs],tblDaily[EntryDate],DATE(2026,12,21),tblDaily[WardCode],"ICU")=0,"",SUMIFS(tblDaily[DeathsUnder24Hrs],tblDaily[EntryDate],DATE(2026,12,21),tblDaily[WardCode],"ICU")),"")</f>
        <v/>
      </c>
      <c r="F456" s="29" t="str">
        <f>IFERROR(IF(SUMIFS(tblDaily[TransfersIn],tblDaily[EntryDate],DATE(2026,12,21),tblDaily[WardCode],"ICU")=0,"",SUMIFS(tblDaily[TransfersIn],tblDaily[EntryDate],DATE(2026,12,21),tblDaily[WardCode],"ICU")),"")</f>
        <v/>
      </c>
      <c r="G456" s="29" t="str">
        <f>IFERROR(IF(SUMIFS(tblDaily[TransfersOut],tblDaily[EntryDate],DATE(2026,12,21),tblDaily[WardCode],"ICU")=0,"",SUMIFS(tblDaily[TransfersOut],tblDaily[EntryDate],DATE(2026,12,21),tblDaily[WardCode],"ICU")),"")</f>
        <v/>
      </c>
      <c r="H456" s="29" t="str">
        <f>IFERROR(IF(SUMIFS(tblDaily[Remaining],tblDaily[EntryDate],DATE(2026,12,21),tblDaily[WardCode],"ICU")=0,"",SUMIFS(tblDaily[Remaining],tblDaily[EntryDate],DATE(2026,12,21),tblDaily[WardCode],"ICU")),"")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IFERROR(IF(SUMIFS(tblDaily[Admissions],tblDaily[EntryDate],DATE(2026,12,22),tblDaily[WardCode],"ICU")=0,"",SUMIFS(tblDaily[Admissions],tblDaily[EntryDate],DATE(2026,12,22),tblDaily[WardCode],"ICU")),"")</f>
        <v/>
      </c>
      <c r="C457" s="29" t="str">
        <f>IFERROR(IF(SUMIFS(tblDaily[Discharges],tblDaily[EntryDate],DATE(2026,12,22),tblDaily[WardCode],"ICU")=0,"",SUMIFS(tblDaily[Discharges],tblDaily[EntryDate],DATE(2026,12,22),tblDaily[WardCode],"ICU")),"")</f>
        <v/>
      </c>
      <c r="D457" s="29" t="str">
        <f>IFERROR(IF(SUMIFS(tblDaily[Deaths],tblDaily[EntryDate],DATE(2026,12,22),tblDaily[WardCode],"ICU")=0,"",SUMIFS(tblDaily[Deaths],tblDaily[EntryDate],DATE(2026,12,22),tblDaily[WardCode],"ICU")),"")</f>
        <v/>
      </c>
      <c r="E457" s="29" t="str">
        <f>IFERROR(IF(SUMIFS(tblDaily[DeathsUnder24Hrs],tblDaily[EntryDate],DATE(2026,12,22),tblDaily[WardCode],"ICU")=0,"",SUMIFS(tblDaily[DeathsUnder24Hrs],tblDaily[EntryDate],DATE(2026,12,22),tblDaily[WardCode],"ICU")),"")</f>
        <v/>
      </c>
      <c r="F457" s="29" t="str">
        <f>IFERROR(IF(SUMIFS(tblDaily[TransfersIn],tblDaily[EntryDate],DATE(2026,12,22),tblDaily[WardCode],"ICU")=0,"",SUMIFS(tblDaily[TransfersIn],tblDaily[EntryDate],DATE(2026,12,22),tblDaily[WardCode],"ICU")),"")</f>
        <v/>
      </c>
      <c r="G457" s="29" t="str">
        <f>IFERROR(IF(SUMIFS(tblDaily[TransfersOut],tblDaily[EntryDate],DATE(2026,12,22),tblDaily[WardCode],"ICU")=0,"",SUMIFS(tblDaily[TransfersOut],tblDaily[EntryDate],DATE(2026,12,22),tblDaily[WardCode],"ICU")),"")</f>
        <v/>
      </c>
      <c r="H457" s="29" t="str">
        <f>IFERROR(IF(SUMIFS(tblDaily[Remaining],tblDaily[EntryDate],DATE(2026,12,22),tblDaily[WardCode],"ICU")=0,"",SUMIFS(tblDaily[Remaining],tblDaily[EntryDate],DATE(2026,12,22),tblDaily[WardCode],"ICU")),"")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IFERROR(IF(SUMIFS(tblDaily[Admissions],tblDaily[EntryDate],DATE(2026,12,23),tblDaily[WardCode],"ICU")=0,"",SUMIFS(tblDaily[Admissions],tblDaily[EntryDate],DATE(2026,12,23),tblDaily[WardCode],"ICU")),"")</f>
        <v/>
      </c>
      <c r="C458" s="29" t="str">
        <f>IFERROR(IF(SUMIFS(tblDaily[Discharges],tblDaily[EntryDate],DATE(2026,12,23),tblDaily[WardCode],"ICU")=0,"",SUMIFS(tblDaily[Discharges],tblDaily[EntryDate],DATE(2026,12,23),tblDaily[WardCode],"ICU")),"")</f>
        <v/>
      </c>
      <c r="D458" s="29" t="str">
        <f>IFERROR(IF(SUMIFS(tblDaily[Deaths],tblDaily[EntryDate],DATE(2026,12,23),tblDaily[WardCode],"ICU")=0,"",SUMIFS(tblDaily[Deaths],tblDaily[EntryDate],DATE(2026,12,23),tblDaily[WardCode],"ICU")),"")</f>
        <v/>
      </c>
      <c r="E458" s="29" t="str">
        <f>IFERROR(IF(SUMIFS(tblDaily[DeathsUnder24Hrs],tblDaily[EntryDate],DATE(2026,12,23),tblDaily[WardCode],"ICU")=0,"",SUMIFS(tblDaily[DeathsUnder24Hrs],tblDaily[EntryDate],DATE(2026,12,23),tblDaily[WardCode],"ICU")),"")</f>
        <v/>
      </c>
      <c r="F458" s="29" t="str">
        <f>IFERROR(IF(SUMIFS(tblDaily[TransfersIn],tblDaily[EntryDate],DATE(2026,12,23),tblDaily[WardCode],"ICU")=0,"",SUMIFS(tblDaily[TransfersIn],tblDaily[EntryDate],DATE(2026,12,23),tblDaily[WardCode],"ICU")),"")</f>
        <v/>
      </c>
      <c r="G458" s="29" t="str">
        <f>IFERROR(IF(SUMIFS(tblDaily[TransfersOut],tblDaily[EntryDate],DATE(2026,12,23),tblDaily[WardCode],"ICU")=0,"",SUMIFS(tblDaily[TransfersOut],tblDaily[EntryDate],DATE(2026,12,23),tblDaily[WardCode],"ICU")),"")</f>
        <v/>
      </c>
      <c r="H458" s="29" t="str">
        <f>IFERROR(IF(SUMIFS(tblDaily[Remaining],tblDaily[EntryDate],DATE(2026,12,23),tblDaily[WardCode],"ICU")=0,"",SUMIFS(tblDaily[Remaining],tblDaily[EntryDate],DATE(2026,12,23),tblDaily[WardCode],"ICU")),"")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IFERROR(IF(SUMIFS(tblDaily[Admissions],tblDaily[EntryDate],DATE(2026,12,24),tblDaily[WardCode],"ICU")=0,"",SUMIFS(tblDaily[Admissions],tblDaily[EntryDate],DATE(2026,12,24),tblDaily[WardCode],"ICU")),"")</f>
        <v/>
      </c>
      <c r="C459" s="29" t="str">
        <f>IFERROR(IF(SUMIFS(tblDaily[Discharges],tblDaily[EntryDate],DATE(2026,12,24),tblDaily[WardCode],"ICU")=0,"",SUMIFS(tblDaily[Discharges],tblDaily[EntryDate],DATE(2026,12,24),tblDaily[WardCode],"ICU")),"")</f>
        <v/>
      </c>
      <c r="D459" s="29" t="str">
        <f>IFERROR(IF(SUMIFS(tblDaily[Deaths],tblDaily[EntryDate],DATE(2026,12,24),tblDaily[WardCode],"ICU")=0,"",SUMIFS(tblDaily[Deaths],tblDaily[EntryDate],DATE(2026,12,24),tblDaily[WardCode],"ICU")),"")</f>
        <v/>
      </c>
      <c r="E459" s="29" t="str">
        <f>IFERROR(IF(SUMIFS(tblDaily[DeathsUnder24Hrs],tblDaily[EntryDate],DATE(2026,12,24),tblDaily[WardCode],"ICU")=0,"",SUMIFS(tblDaily[DeathsUnder24Hrs],tblDaily[EntryDate],DATE(2026,12,24),tblDaily[WardCode],"ICU")),"")</f>
        <v/>
      </c>
      <c r="F459" s="29" t="str">
        <f>IFERROR(IF(SUMIFS(tblDaily[TransfersIn],tblDaily[EntryDate],DATE(2026,12,24),tblDaily[WardCode],"ICU")=0,"",SUMIFS(tblDaily[TransfersIn],tblDaily[EntryDate],DATE(2026,12,24),tblDaily[WardCode],"ICU")),"")</f>
        <v/>
      </c>
      <c r="G459" s="29" t="str">
        <f>IFERROR(IF(SUMIFS(tblDaily[TransfersOut],tblDaily[EntryDate],DATE(2026,12,24),tblDaily[WardCode],"ICU")=0,"",SUMIFS(tblDaily[TransfersOut],tblDaily[EntryDate],DATE(2026,12,24),tblDaily[WardCode],"ICU")),"")</f>
        <v/>
      </c>
      <c r="H459" s="29" t="str">
        <f>IFERROR(IF(SUMIFS(tblDaily[Remaining],tblDaily[EntryDate],DATE(2026,12,24),tblDaily[WardCode],"ICU")=0,"",SUMIFS(tblDaily[Remaining],tblDaily[EntryDate],DATE(2026,12,24),tblDaily[WardCode],"ICU")),"")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IFERROR(IF(SUMIFS(tblDaily[Admissions],tblDaily[EntryDate],DATE(2026,12,25),tblDaily[WardCode],"ICU")=0,"",SUMIFS(tblDaily[Admissions],tblDaily[EntryDate],DATE(2026,12,25),tblDaily[WardCode],"ICU")),"")</f>
        <v/>
      </c>
      <c r="C460" s="29" t="str">
        <f>IFERROR(IF(SUMIFS(tblDaily[Discharges],tblDaily[EntryDate],DATE(2026,12,25),tblDaily[WardCode],"ICU")=0,"",SUMIFS(tblDaily[Discharges],tblDaily[EntryDate],DATE(2026,12,25),tblDaily[WardCode],"ICU")),"")</f>
        <v/>
      </c>
      <c r="D460" s="29" t="str">
        <f>IFERROR(IF(SUMIFS(tblDaily[Deaths],tblDaily[EntryDate],DATE(2026,12,25),tblDaily[WardCode],"ICU")=0,"",SUMIFS(tblDaily[Deaths],tblDaily[EntryDate],DATE(2026,12,25),tblDaily[WardCode],"ICU")),"")</f>
        <v/>
      </c>
      <c r="E460" s="29" t="str">
        <f>IFERROR(IF(SUMIFS(tblDaily[DeathsUnder24Hrs],tblDaily[EntryDate],DATE(2026,12,25),tblDaily[WardCode],"ICU")=0,"",SUMIFS(tblDaily[DeathsUnder24Hrs],tblDaily[EntryDate],DATE(2026,12,25),tblDaily[WardCode],"ICU")),"")</f>
        <v/>
      </c>
      <c r="F460" s="29" t="str">
        <f>IFERROR(IF(SUMIFS(tblDaily[TransfersIn],tblDaily[EntryDate],DATE(2026,12,25),tblDaily[WardCode],"ICU")=0,"",SUMIFS(tblDaily[TransfersIn],tblDaily[EntryDate],DATE(2026,12,25),tblDaily[WardCode],"ICU")),"")</f>
        <v/>
      </c>
      <c r="G460" s="29" t="str">
        <f>IFERROR(IF(SUMIFS(tblDaily[TransfersOut],tblDaily[EntryDate],DATE(2026,12,25),tblDaily[WardCode],"ICU")=0,"",SUMIFS(tblDaily[TransfersOut],tblDaily[EntryDate],DATE(2026,12,25),tblDaily[WardCode],"ICU")),"")</f>
        <v/>
      </c>
      <c r="H460" s="29" t="str">
        <f>IFERROR(IF(SUMIFS(tblDaily[Remaining],tblDaily[EntryDate],DATE(2026,12,25),tblDaily[WardCode],"ICU")=0,"",SUMIFS(tblDaily[Remaining],tblDaily[EntryDate],DATE(2026,12,25),tblDaily[WardCode],"ICU")),"")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IFERROR(IF(SUMIFS(tblDaily[Admissions],tblDaily[EntryDate],DATE(2026,12,26),tblDaily[WardCode],"ICU")=0,"",SUMIFS(tblDaily[Admissions],tblDaily[EntryDate],DATE(2026,12,26),tblDaily[WardCode],"ICU")),"")</f>
        <v/>
      </c>
      <c r="C461" s="29" t="str">
        <f>IFERROR(IF(SUMIFS(tblDaily[Discharges],tblDaily[EntryDate],DATE(2026,12,26),tblDaily[WardCode],"ICU")=0,"",SUMIFS(tblDaily[Discharges],tblDaily[EntryDate],DATE(2026,12,26),tblDaily[WardCode],"ICU")),"")</f>
        <v/>
      </c>
      <c r="D461" s="29" t="str">
        <f>IFERROR(IF(SUMIFS(tblDaily[Deaths],tblDaily[EntryDate],DATE(2026,12,26),tblDaily[WardCode],"ICU")=0,"",SUMIFS(tblDaily[Deaths],tblDaily[EntryDate],DATE(2026,12,26),tblDaily[WardCode],"ICU")),"")</f>
        <v/>
      </c>
      <c r="E461" s="29" t="str">
        <f>IFERROR(IF(SUMIFS(tblDaily[DeathsUnder24Hrs],tblDaily[EntryDate],DATE(2026,12,26),tblDaily[WardCode],"ICU")=0,"",SUMIFS(tblDaily[DeathsUnder24Hrs],tblDaily[EntryDate],DATE(2026,12,26),tblDaily[WardCode],"ICU")),"")</f>
        <v/>
      </c>
      <c r="F461" s="29" t="str">
        <f>IFERROR(IF(SUMIFS(tblDaily[TransfersIn],tblDaily[EntryDate],DATE(2026,12,26),tblDaily[WardCode],"ICU")=0,"",SUMIFS(tblDaily[TransfersIn],tblDaily[EntryDate],DATE(2026,12,26),tblDaily[WardCode],"ICU")),"")</f>
        <v/>
      </c>
      <c r="G461" s="29" t="str">
        <f>IFERROR(IF(SUMIFS(tblDaily[TransfersOut],tblDaily[EntryDate],DATE(2026,12,26),tblDaily[WardCode],"ICU")=0,"",SUMIFS(tblDaily[TransfersOut],tblDaily[EntryDate],DATE(2026,12,26),tblDaily[WardCode],"ICU")),"")</f>
        <v/>
      </c>
      <c r="H461" s="29" t="str">
        <f>IFERROR(IF(SUMIFS(tblDaily[Remaining],tblDaily[EntryDate],DATE(2026,12,26),tblDaily[WardCode],"ICU")=0,"",SUMIFS(tblDaily[Remaining],tblDaily[EntryDate],DATE(2026,12,26),tblDaily[WardCode],"ICU")),"")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IFERROR(IF(SUMIFS(tblDaily[Admissions],tblDaily[EntryDate],DATE(2026,12,27),tblDaily[WardCode],"ICU")=0,"",SUMIFS(tblDaily[Admissions],tblDaily[EntryDate],DATE(2026,12,27),tblDaily[WardCode],"ICU")),"")</f>
        <v/>
      </c>
      <c r="C462" s="29" t="str">
        <f>IFERROR(IF(SUMIFS(tblDaily[Discharges],tblDaily[EntryDate],DATE(2026,12,27),tblDaily[WardCode],"ICU")=0,"",SUMIFS(tblDaily[Discharges],tblDaily[EntryDate],DATE(2026,12,27),tblDaily[WardCode],"ICU")),"")</f>
        <v/>
      </c>
      <c r="D462" s="29" t="str">
        <f>IFERROR(IF(SUMIFS(tblDaily[Deaths],tblDaily[EntryDate],DATE(2026,12,27),tblDaily[WardCode],"ICU")=0,"",SUMIFS(tblDaily[Deaths],tblDaily[EntryDate],DATE(2026,12,27),tblDaily[WardCode],"ICU")),"")</f>
        <v/>
      </c>
      <c r="E462" s="29" t="str">
        <f>IFERROR(IF(SUMIFS(tblDaily[DeathsUnder24Hrs],tblDaily[EntryDate],DATE(2026,12,27),tblDaily[WardCode],"ICU")=0,"",SUMIFS(tblDaily[DeathsUnder24Hrs],tblDaily[EntryDate],DATE(2026,12,27),tblDaily[WardCode],"ICU")),"")</f>
        <v/>
      </c>
      <c r="F462" s="29" t="str">
        <f>IFERROR(IF(SUMIFS(tblDaily[TransfersIn],tblDaily[EntryDate],DATE(2026,12,27),tblDaily[WardCode],"ICU")=0,"",SUMIFS(tblDaily[TransfersIn],tblDaily[EntryDate],DATE(2026,12,27),tblDaily[WardCode],"ICU")),"")</f>
        <v/>
      </c>
      <c r="G462" s="29" t="str">
        <f>IFERROR(IF(SUMIFS(tblDaily[TransfersOut],tblDaily[EntryDate],DATE(2026,12,27),tblDaily[WardCode],"ICU")=0,"",SUMIFS(tblDaily[TransfersOut],tblDaily[EntryDate],DATE(2026,12,27),tblDaily[WardCode],"ICU")),"")</f>
        <v/>
      </c>
      <c r="H462" s="29" t="str">
        <f>IFERROR(IF(SUMIFS(tblDaily[Remaining],tblDaily[EntryDate],DATE(2026,12,27),tblDaily[WardCode],"ICU")=0,"",SUMIFS(tblDaily[Remaining],tblDaily[EntryDate],DATE(2026,12,27),tblDaily[WardCode],"ICU")),"")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IFERROR(IF(SUMIFS(tblDaily[Admissions],tblDaily[EntryDate],DATE(2026,12,28),tblDaily[WardCode],"ICU")=0,"",SUMIFS(tblDaily[Admissions],tblDaily[EntryDate],DATE(2026,12,28),tblDaily[WardCode],"ICU")),"")</f>
        <v/>
      </c>
      <c r="C463" s="29" t="str">
        <f>IFERROR(IF(SUMIFS(tblDaily[Discharges],tblDaily[EntryDate],DATE(2026,12,28),tblDaily[WardCode],"ICU")=0,"",SUMIFS(tblDaily[Discharges],tblDaily[EntryDate],DATE(2026,12,28),tblDaily[WardCode],"ICU")),"")</f>
        <v/>
      </c>
      <c r="D463" s="29" t="str">
        <f>IFERROR(IF(SUMIFS(tblDaily[Deaths],tblDaily[EntryDate],DATE(2026,12,28),tblDaily[WardCode],"ICU")=0,"",SUMIFS(tblDaily[Deaths],tblDaily[EntryDate],DATE(2026,12,28),tblDaily[WardCode],"ICU")),"")</f>
        <v/>
      </c>
      <c r="E463" s="29" t="str">
        <f>IFERROR(IF(SUMIFS(tblDaily[DeathsUnder24Hrs],tblDaily[EntryDate],DATE(2026,12,28),tblDaily[WardCode],"ICU")=0,"",SUMIFS(tblDaily[DeathsUnder24Hrs],tblDaily[EntryDate],DATE(2026,12,28),tblDaily[WardCode],"ICU")),"")</f>
        <v/>
      </c>
      <c r="F463" s="29" t="str">
        <f>IFERROR(IF(SUMIFS(tblDaily[TransfersIn],tblDaily[EntryDate],DATE(2026,12,28),tblDaily[WardCode],"ICU")=0,"",SUMIFS(tblDaily[TransfersIn],tblDaily[EntryDate],DATE(2026,12,28),tblDaily[WardCode],"ICU")),"")</f>
        <v/>
      </c>
      <c r="G463" s="29" t="str">
        <f>IFERROR(IF(SUMIFS(tblDaily[TransfersOut],tblDaily[EntryDate],DATE(2026,12,28),tblDaily[WardCode],"ICU")=0,"",SUMIFS(tblDaily[TransfersOut],tblDaily[EntryDate],DATE(2026,12,28),tblDaily[WardCode],"ICU")),"")</f>
        <v/>
      </c>
      <c r="H463" s="29" t="str">
        <f>IFERROR(IF(SUMIFS(tblDaily[Remaining],tblDaily[EntryDate],DATE(2026,12,28),tblDaily[WardCode],"ICU")=0,"",SUMIFS(tblDaily[Remaining],tblDaily[EntryDate],DATE(2026,12,28),tblDaily[WardCode],"ICU")),"")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IFERROR(IF(SUMIFS(tblDaily[Admissions],tblDaily[EntryDate],DATE(2026,12,29),tblDaily[WardCode],"ICU")=0,"",SUMIFS(tblDaily[Admissions],tblDaily[EntryDate],DATE(2026,12,29),tblDaily[WardCode],"ICU")),"")</f>
        <v/>
      </c>
      <c r="C464" s="29" t="str">
        <f>IFERROR(IF(SUMIFS(tblDaily[Discharges],tblDaily[EntryDate],DATE(2026,12,29),tblDaily[WardCode],"ICU")=0,"",SUMIFS(tblDaily[Discharges],tblDaily[EntryDate],DATE(2026,12,29),tblDaily[WardCode],"ICU")),"")</f>
        <v/>
      </c>
      <c r="D464" s="29" t="str">
        <f>IFERROR(IF(SUMIFS(tblDaily[Deaths],tblDaily[EntryDate],DATE(2026,12,29),tblDaily[WardCode],"ICU")=0,"",SUMIFS(tblDaily[Deaths],tblDaily[EntryDate],DATE(2026,12,29),tblDaily[WardCode],"ICU")),"")</f>
        <v/>
      </c>
      <c r="E464" s="29" t="str">
        <f>IFERROR(IF(SUMIFS(tblDaily[DeathsUnder24Hrs],tblDaily[EntryDate],DATE(2026,12,29),tblDaily[WardCode],"ICU")=0,"",SUMIFS(tblDaily[DeathsUnder24Hrs],tblDaily[EntryDate],DATE(2026,12,29),tblDaily[WardCode],"ICU")),"")</f>
        <v/>
      </c>
      <c r="F464" s="29" t="str">
        <f>IFERROR(IF(SUMIFS(tblDaily[TransfersIn],tblDaily[EntryDate],DATE(2026,12,29),tblDaily[WardCode],"ICU")=0,"",SUMIFS(tblDaily[TransfersIn],tblDaily[EntryDate],DATE(2026,12,29),tblDaily[WardCode],"ICU")),"")</f>
        <v/>
      </c>
      <c r="G464" s="29" t="str">
        <f>IFERROR(IF(SUMIFS(tblDaily[TransfersOut],tblDaily[EntryDate],DATE(2026,12,29),tblDaily[WardCode],"ICU")=0,"",SUMIFS(tblDaily[TransfersOut],tblDaily[EntryDate],DATE(2026,12,29),tblDaily[WardCode],"ICU")),"")</f>
        <v/>
      </c>
      <c r="H464" s="29" t="str">
        <f>IFERROR(IF(SUMIFS(tblDaily[Remaining],tblDaily[EntryDate],DATE(2026,12,29),tblDaily[WardCode],"ICU")=0,"",SUMIFS(tblDaily[Remaining],tblDaily[EntryDate],DATE(2026,12,29),tblDaily[WardCode],"ICU")),"")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IFERROR(IF(SUMIFS(tblDaily[Admissions],tblDaily[EntryDate],DATE(2026,12,30),tblDaily[WardCode],"ICU")=0,"",SUMIFS(tblDaily[Admissions],tblDaily[EntryDate],DATE(2026,12,30),tblDaily[WardCode],"ICU")),"")</f>
        <v/>
      </c>
      <c r="C465" s="29" t="str">
        <f>IFERROR(IF(SUMIFS(tblDaily[Discharges],tblDaily[EntryDate],DATE(2026,12,30),tblDaily[WardCode],"ICU")=0,"",SUMIFS(tblDaily[Discharges],tblDaily[EntryDate],DATE(2026,12,30),tblDaily[WardCode],"ICU")),"")</f>
        <v/>
      </c>
      <c r="D465" s="29" t="str">
        <f>IFERROR(IF(SUMIFS(tblDaily[Deaths],tblDaily[EntryDate],DATE(2026,12,30),tblDaily[WardCode],"ICU")=0,"",SUMIFS(tblDaily[Deaths],tblDaily[EntryDate],DATE(2026,12,30),tblDaily[WardCode],"ICU")),"")</f>
        <v/>
      </c>
      <c r="E465" s="29" t="str">
        <f>IFERROR(IF(SUMIFS(tblDaily[DeathsUnder24Hrs],tblDaily[EntryDate],DATE(2026,12,30),tblDaily[WardCode],"ICU")=0,"",SUMIFS(tblDaily[DeathsUnder24Hrs],tblDaily[EntryDate],DATE(2026,12,30),tblDaily[WardCode],"ICU")),"")</f>
        <v/>
      </c>
      <c r="F465" s="29" t="str">
        <f>IFERROR(IF(SUMIFS(tblDaily[TransfersIn],tblDaily[EntryDate],DATE(2026,12,30),tblDaily[WardCode],"ICU")=0,"",SUMIFS(tblDaily[TransfersIn],tblDaily[EntryDate],DATE(2026,12,30),tblDaily[WardCode],"ICU")),"")</f>
        <v/>
      </c>
      <c r="G465" s="29" t="str">
        <f>IFERROR(IF(SUMIFS(tblDaily[TransfersOut],tblDaily[EntryDate],DATE(2026,12,30),tblDaily[WardCode],"ICU")=0,"",SUMIFS(tblDaily[TransfersOut],tblDaily[EntryDate],DATE(2026,12,30),tblDaily[WardCode],"ICU")),"")</f>
        <v/>
      </c>
      <c r="H465" s="29" t="str">
        <f>IFERROR(IF(SUMIFS(tblDaily[Remaining],tblDaily[EntryDate],DATE(2026,12,30),tblDaily[WardCode],"ICU")=0,"",SUMIFS(tblDaily[Remaining],tblDaily[EntryDate],DATE(2026,12,30),tblDaily[WardCode],"ICU")),"")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IFERROR(IF(SUMIFS(tblDaily[Admissions],tblDaily[EntryDate],DATE(2026,12,31),tblDaily[WardCode],"ICU")=0,"",SUMIFS(tblDaily[Admissions],tblDaily[EntryDate],DATE(2026,12,31),tblDaily[WardCode],"ICU")),"")</f>
        <v/>
      </c>
      <c r="C466" s="29" t="str">
        <f>IFERROR(IF(SUMIFS(tblDaily[Discharges],tblDaily[EntryDate],DATE(2026,12,31),tblDaily[WardCode],"ICU")=0,"",SUMIFS(tblDaily[Discharges],tblDaily[EntryDate],DATE(2026,12,31),tblDaily[WardCode],"ICU")),"")</f>
        <v/>
      </c>
      <c r="D466" s="29" t="str">
        <f>IFERROR(IF(SUMIFS(tblDaily[Deaths],tblDaily[EntryDate],DATE(2026,12,31),tblDaily[WardCode],"ICU")=0,"",SUMIFS(tblDaily[Deaths],tblDaily[EntryDate],DATE(2026,12,31),tblDaily[WardCode],"ICU")),"")</f>
        <v/>
      </c>
      <c r="E466" s="29" t="str">
        <f>IFERROR(IF(SUMIFS(tblDaily[DeathsUnder24Hrs],tblDaily[EntryDate],DATE(2026,12,31),tblDaily[WardCode],"ICU")=0,"",SUMIFS(tblDaily[DeathsUnder24Hrs],tblDaily[EntryDate],DATE(2026,12,31),tblDaily[WardCode],"ICU")),"")</f>
        <v/>
      </c>
      <c r="F466" s="29" t="str">
        <f>IFERROR(IF(SUMIFS(tblDaily[TransfersIn],tblDaily[EntryDate],DATE(2026,12,31),tblDaily[WardCode],"ICU")=0,"",SUMIFS(tblDaily[TransfersIn],tblDaily[EntryDate],DATE(2026,12,31),tblDaily[WardCode],"ICU")),"")</f>
        <v/>
      </c>
      <c r="G466" s="29" t="str">
        <f>IFERROR(IF(SUMIFS(tblDaily[TransfersOut],tblDaily[EntryDate],DATE(2026,12,31),tblDaily[WardCode],"ICU")=0,"",SUMIFS(tblDaily[TransfersOut],tblDaily[EntryDate],DATE(2026,12,31),tblDaily[WardCode],"ICU")),"")</f>
        <v/>
      </c>
      <c r="H466" s="29" t="str">
        <f>IFERROR(IF(SUMIFS(tblDaily[Remaining],tblDaily[EntryDate],DATE(2026,12,31),tblDaily[WardCode],"ICU")=0,"",SUMIFS(tblDaily[Remaining],tblDaily[EntryDate],DATE(2026,12,31),tblDaily[WardCode],"ICU")),"")</f>
        <v/>
      </c>
    </row>
    <row r="467" spans="1:8" x14ac:dyDescent="0.25">
      <c r="A467" s="30" t="s">
        <v>115</v>
      </c>
      <c r="B467" s="30">
        <f>SUMIFS(tblDaily[Admissions],tblDaily[Month],12,tblDaily[WardCode],"ICU") - SUMIFS(tblDaily[DeathsUnder24Hrs],tblDaily[Month],12,tblDaily[WardCode],"ICU")</f>
        <v>0</v>
      </c>
      <c r="C467" s="30">
        <f>SUMIFS(tblDaily[Discharges],tblDaily[Month],12,tblDaily[WardCode],"ICU")</f>
        <v>0</v>
      </c>
      <c r="D467" s="30">
        <f>SUMIFS(tblDaily[Deaths],tblDaily[Month],12,tblDaily[WardCode],"ICU")</f>
        <v>0</v>
      </c>
      <c r="E467" s="30">
        <f>SUMIFS(tblDaily[DeathsUnder24Hrs],tblDaily[Month],12,tblDaily[WardCode],"ICU")</f>
        <v>0</v>
      </c>
      <c r="F467" s="30">
        <f>SUMIFS(tblDaily[TransfersIn],tblDaily[Month],12,tblDaily[WardCode],"ICU")</f>
        <v>0</v>
      </c>
      <c r="G467" s="30">
        <f>SUMIFS(tblDaily[TransfersOut],tblDaily[Month],12,tblDaily[WardCode],"ICU")</f>
        <v>0</v>
      </c>
      <c r="H467" s="30">
        <f>SUMIFS(tblDaily[Remaining],tblDaily[Month],12,tblDaily[WardCode],"ICU")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6600"/>
    <pageSetUpPr fitToPage="1"/>
  </sheetPr>
  <dimension ref="A1:P479"/>
  <sheetViews>
    <sheetView workbookViewId="0">
      <selection sqref="A1:O1"/>
    </sheetView>
  </sheetViews>
  <sheetFormatPr defaultRowHeight="15" x14ac:dyDescent="0.25"/>
  <cols>
    <col min="1" max="1" width="5" style="16" customWidth="1"/>
    <col min="2" max="15" width="6" style="16" customWidth="1"/>
    <col min="16" max="16" width="8" style="16" customWidth="1"/>
    <col min="17" max="16384" width="9.140625" style="16"/>
  </cols>
  <sheetData>
    <row r="1" spans="1:16" ht="18.75" x14ac:dyDescent="0.25">
      <c r="A1" s="3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6" ht="15.75" x14ac:dyDescent="0.25">
      <c r="A2" s="23" t="s">
        <v>104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6" x14ac:dyDescent="0.25">
      <c r="A3" s="24" t="s">
        <v>4</v>
      </c>
      <c r="B3" s="25" t="s">
        <v>2</v>
      </c>
      <c r="E3" s="24" t="s">
        <v>105</v>
      </c>
      <c r="F3" s="24" t="s">
        <v>125</v>
      </c>
      <c r="M3" s="24" t="s">
        <v>107</v>
      </c>
      <c r="N3" s="24" t="s">
        <v>63</v>
      </c>
    </row>
    <row r="4" spans="1:16" x14ac:dyDescent="0.25">
      <c r="A4" s="24" t="s">
        <v>108</v>
      </c>
      <c r="B4" s="33">
        <f>IFERROR(INDEX(tblWardConfig[PrevYearRemaining],MATCH("MAE",tblWardConfig[WardCode],0)),0)</f>
        <v>9</v>
      </c>
      <c r="I4" s="33">
        <f>IFERROR(INDEX(tblWardConfig[PrevYearRemaining],MATCH("FAE",tblWardConfig[WardCode],0)),0)</f>
        <v>1</v>
      </c>
    </row>
    <row r="5" spans="1:16" x14ac:dyDescent="0.25">
      <c r="A5" s="24" t="s">
        <v>109</v>
      </c>
      <c r="B5" s="33">
        <f>IFERROR(INDEX(tblWardConfig[BedComplement],MATCH("MAE",tblWardConfig[WardCode],0)),0)</f>
        <v>10</v>
      </c>
      <c r="I5" s="33">
        <f>IFERROR(INDEX(tblWardConfig[BedComplement],MATCH("FAE",tblWardConfig[WardCode],0)),0)</f>
        <v>10</v>
      </c>
      <c r="O5" s="34">
        <f>B5+I5</f>
        <v>20</v>
      </c>
    </row>
    <row r="6" spans="1:16" x14ac:dyDescent="0.25">
      <c r="A6" s="35" t="s">
        <v>126</v>
      </c>
      <c r="B6" s="36" t="s">
        <v>122</v>
      </c>
      <c r="C6" s="22"/>
      <c r="D6" s="22"/>
      <c r="E6" s="22"/>
      <c r="F6" s="22"/>
      <c r="G6" s="22"/>
      <c r="H6" s="22"/>
      <c r="I6" s="37" t="s">
        <v>123</v>
      </c>
      <c r="J6" s="22"/>
      <c r="K6" s="22"/>
      <c r="L6" s="22"/>
      <c r="M6" s="22"/>
      <c r="N6" s="22"/>
      <c r="O6" s="22"/>
      <c r="P6" s="38" t="s">
        <v>115</v>
      </c>
    </row>
    <row r="7" spans="1:16" x14ac:dyDescent="0.25">
      <c r="A7" s="35" t="s">
        <v>126</v>
      </c>
      <c r="B7" s="35" t="s">
        <v>127</v>
      </c>
      <c r="C7" s="35" t="s">
        <v>128</v>
      </c>
      <c r="D7" s="35" t="s">
        <v>129</v>
      </c>
      <c r="E7" s="35" t="s">
        <v>130</v>
      </c>
      <c r="F7" s="35" t="s">
        <v>131</v>
      </c>
      <c r="G7" s="35" t="s">
        <v>132</v>
      </c>
      <c r="H7" s="35" t="s">
        <v>133</v>
      </c>
      <c r="I7" s="35" t="s">
        <v>127</v>
      </c>
      <c r="J7" s="35" t="s">
        <v>128</v>
      </c>
      <c r="K7" s="35" t="s">
        <v>129</v>
      </c>
      <c r="L7" s="35" t="s">
        <v>130</v>
      </c>
      <c r="M7" s="35" t="s">
        <v>131</v>
      </c>
      <c r="N7" s="35" t="s">
        <v>132</v>
      </c>
      <c r="O7" s="35" t="s">
        <v>133</v>
      </c>
      <c r="P7" s="35" t="s">
        <v>134</v>
      </c>
    </row>
    <row r="8" spans="1:16" x14ac:dyDescent="0.25">
      <c r="A8" s="39">
        <v>1</v>
      </c>
      <c r="B8" s="39">
        <f>IFERROR(IF(SUMIFS(tblDaily[Admissions],tblDaily[EntryDate],DATE(2026,1,1),tblDaily[WardCode],"MAE")=0,"",SUMIFS(tblDaily[Admissions],tblDaily[EntryDate],DATE(2026,1,1),tblDaily[WardCode],"MAE")),"")</f>
        <v>3</v>
      </c>
      <c r="C8" s="39">
        <f>IFERROR(IF(SUMIFS(tblDaily[Discharges],tblDaily[EntryDate],DATE(2026,1,1),tblDaily[WardCode],"MAE")=0,"",SUMIFS(tblDaily[Discharges],tblDaily[EntryDate],DATE(2026,1,1),tblDaily[WardCode],"MAE")),"")</f>
        <v>3</v>
      </c>
      <c r="D8" s="39" t="str">
        <f>IFERROR(IF(SUMIFS(tblDaily[Deaths],tblDaily[EntryDate],DATE(2026,1,1),tblDaily[WardCode],"MAE")=0,"",SUMIFS(tblDaily[Deaths],tblDaily[EntryDate],DATE(2026,1,1),tblDaily[WardCode],"MAE")),"")</f>
        <v/>
      </c>
      <c r="E8" s="39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39" t="str">
        <f>IFERROR(IF(SUMIFS(tblDaily[TransfersIn],tblDaily[EntryDate],DATE(2026,1,1),tblDaily[WardCode],"MAE")=0,"",SUMIFS(tblDaily[TransfersIn],tblDaily[EntryDate],DATE(2026,1,1),tblDaily[WardCode],"MAE")),"")</f>
        <v/>
      </c>
      <c r="G8" s="39">
        <f>IFERROR(IF(SUMIFS(tblDaily[TransfersOut],tblDaily[EntryDate],DATE(2026,1,1),tblDaily[WardCode],"MAE")=0,"",SUMIFS(tblDaily[TransfersOut],tblDaily[EntryDate],DATE(2026,1,1),tblDaily[WardCode],"MAE")),"")</f>
        <v>1</v>
      </c>
      <c r="H8" s="39">
        <f>IFERROR(IF(SUMIFS(tblDaily[Remaining],tblDaily[EntryDate],DATE(2026,1,1),tblDaily[WardCode],"MAE")=0,"",SUMIFS(tblDaily[Remaining],tblDaily[EntryDate],DATE(2026,1,1),tblDaily[WardCode],"MAE")),"")</f>
        <v>8</v>
      </c>
      <c r="I8" s="39" t="str">
        <f>IFERROR(IF(SUMIFS(tblDaily[Admissions],tblDaily[EntryDate],DATE(2026,1,1),tblDaily[WardCode],"FAE")=0,"",SUMIFS(tblDaily[Admissions],tblDaily[EntryDate],DATE(2026,1,1),tblDaily[WardCode],"FAE")),"")</f>
        <v/>
      </c>
      <c r="J8" s="39" t="str">
        <f>IFERROR(IF(SUMIFS(tblDaily[Discharges],tblDaily[EntryDate],DATE(2026,1,1),tblDaily[WardCode],"FAE")=0,"",SUMIFS(tblDaily[Discharges],tblDaily[EntryDate],DATE(2026,1,1),tblDaily[WardCode],"FAE")),"")</f>
        <v/>
      </c>
      <c r="K8" s="39" t="str">
        <f>IFERROR(IF(SUMIFS(tblDaily[Deaths],tblDaily[EntryDate],DATE(2026,1,1),tblDaily[WardCode],"FAE")=0,"",SUMIFS(tblDaily[Deaths],tblDaily[EntryDate],DATE(2026,1,1),tblDaily[WardCode],"FAE")),"")</f>
        <v/>
      </c>
      <c r="L8" s="39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39" t="str">
        <f>IFERROR(IF(SUMIFS(tblDaily[TransfersIn],tblDaily[EntryDate],DATE(2026,1,1),tblDaily[WardCode],"FAE")=0,"",SUMIFS(tblDaily[TransfersIn],tblDaily[EntryDate],DATE(2026,1,1),tblDaily[WardCode],"FAE")),"")</f>
        <v/>
      </c>
      <c r="N8" s="39">
        <f>IFERROR(IF(SUMIFS(tblDaily[TransfersOut],tblDaily[EntryDate],DATE(2026,1,1),tblDaily[WardCode],"FAE")=0,"",SUMIFS(tblDaily[TransfersOut],tblDaily[EntryDate],DATE(2026,1,1),tblDaily[WardCode],"FAE")),"")</f>
        <v>1</v>
      </c>
      <c r="O8" s="39" t="str">
        <f>IFERROR(IF(SUMIFS(tblDaily[Remaining],tblDaily[EntryDate],DATE(2026,1,1),tblDaily[WardCode],"FAE")=0,"",SUMIFS(tblDaily[Remaining],tblDaily[EntryDate],DATE(2026,1,1),tblDaily[WardCode],"FAE")),"")</f>
        <v/>
      </c>
      <c r="P8" s="40">
        <f t="shared" ref="P8:P38" si="0">IF(AND(H8="", O8=""), "", N(H8) + N(O8))</f>
        <v>8</v>
      </c>
    </row>
    <row r="9" spans="1:16" x14ac:dyDescent="0.25">
      <c r="A9" s="39">
        <v>2</v>
      </c>
      <c r="B9" s="39">
        <f>IFERROR(IF(SUMIFS(tblDaily[Admissions],tblDaily[EntryDate],DATE(2026,1,2),tblDaily[WardCode],"MAE")=0,"",SUMIFS(tblDaily[Admissions],tblDaily[EntryDate],DATE(2026,1,2),tblDaily[WardCode],"MAE")),"")</f>
        <v>4</v>
      </c>
      <c r="C9" s="39">
        <f>IFERROR(IF(SUMIFS(tblDaily[Discharges],tblDaily[EntryDate],DATE(2026,1,2),tblDaily[WardCode],"MAE")=0,"",SUMIFS(tblDaily[Discharges],tblDaily[EntryDate],DATE(2026,1,2),tblDaily[WardCode],"MAE")),"")</f>
        <v>3</v>
      </c>
      <c r="D9" s="39" t="str">
        <f>IFERROR(IF(SUMIFS(tblDaily[Deaths],tblDaily[EntryDate],DATE(2026,1,2),tblDaily[WardCode],"MAE")=0,"",SUMIFS(tblDaily[Deaths],tblDaily[EntryDate],DATE(2026,1,2),tblDaily[WardCode],"MAE")),"")</f>
        <v/>
      </c>
      <c r="E9" s="39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39" t="str">
        <f>IFERROR(IF(SUMIFS(tblDaily[TransfersIn],tblDaily[EntryDate],DATE(2026,1,2),tblDaily[WardCode],"MAE")=0,"",SUMIFS(tblDaily[TransfersIn],tblDaily[EntryDate],DATE(2026,1,2),tblDaily[WardCode],"MAE")),"")</f>
        <v/>
      </c>
      <c r="G9" s="39" t="str">
        <f>IFERROR(IF(SUMIFS(tblDaily[TransfersOut],tblDaily[EntryDate],DATE(2026,1,2),tblDaily[WardCode],"MAE")=0,"",SUMIFS(tblDaily[TransfersOut],tblDaily[EntryDate],DATE(2026,1,2),tblDaily[WardCode],"MAE")),"")</f>
        <v/>
      </c>
      <c r="H9" s="39">
        <f>IFERROR(IF(SUMIFS(tblDaily[Remaining],tblDaily[EntryDate],DATE(2026,1,2),tblDaily[WardCode],"MAE")=0,"",SUMIFS(tblDaily[Remaining],tblDaily[EntryDate],DATE(2026,1,2),tblDaily[WardCode],"MAE")),"")</f>
        <v>9</v>
      </c>
      <c r="I9" s="39">
        <f>IFERROR(IF(SUMIFS(tblDaily[Admissions],tblDaily[EntryDate],DATE(2026,1,2),tblDaily[WardCode],"FAE")=0,"",SUMIFS(tblDaily[Admissions],tblDaily[EntryDate],DATE(2026,1,2),tblDaily[WardCode],"FAE")),"")</f>
        <v>1</v>
      </c>
      <c r="J9" s="39" t="str">
        <f>IFERROR(IF(SUMIFS(tblDaily[Discharges],tblDaily[EntryDate],DATE(2026,1,2),tblDaily[WardCode],"FAE")=0,"",SUMIFS(tblDaily[Discharges],tblDaily[EntryDate],DATE(2026,1,2),tblDaily[WardCode],"FAE")),"")</f>
        <v/>
      </c>
      <c r="K9" s="39" t="str">
        <f>IFERROR(IF(SUMIFS(tblDaily[Deaths],tblDaily[EntryDate],DATE(2026,1,2),tblDaily[WardCode],"FAE")=0,"",SUMIFS(tblDaily[Deaths],tblDaily[EntryDate],DATE(2026,1,2),tblDaily[WardCode],"FAE")),"")</f>
        <v/>
      </c>
      <c r="L9" s="39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39" t="str">
        <f>IFERROR(IF(SUMIFS(tblDaily[TransfersIn],tblDaily[EntryDate],DATE(2026,1,2),tblDaily[WardCode],"FAE")=0,"",SUMIFS(tblDaily[TransfersIn],tblDaily[EntryDate],DATE(2026,1,2),tblDaily[WardCode],"FAE")),"")</f>
        <v/>
      </c>
      <c r="N9" s="39" t="str">
        <f>IFERROR(IF(SUMIFS(tblDaily[TransfersOut],tblDaily[EntryDate],DATE(2026,1,2),tblDaily[WardCode],"FAE")=0,"",SUMIFS(tblDaily[TransfersOut],tblDaily[EntryDate],DATE(2026,1,2),tblDaily[WardCode],"FAE")),"")</f>
        <v/>
      </c>
      <c r="O9" s="39">
        <f>IFERROR(IF(SUMIFS(tblDaily[Remaining],tblDaily[EntryDate],DATE(2026,1,2),tblDaily[WardCode],"FAE")=0,"",SUMIFS(tblDaily[Remaining],tblDaily[EntryDate],DATE(2026,1,2),tblDaily[WardCode],"FAE")),"")</f>
        <v>1</v>
      </c>
      <c r="P9" s="40">
        <f t="shared" si="0"/>
        <v>10</v>
      </c>
    </row>
    <row r="10" spans="1:16" x14ac:dyDescent="0.25">
      <c r="A10" s="39">
        <v>3</v>
      </c>
      <c r="B10" s="39">
        <f>IFERROR(IF(SUMIFS(tblDaily[Admissions],tblDaily[EntryDate],DATE(2026,1,3),tblDaily[WardCode],"MAE")=0,"",SUMIFS(tblDaily[Admissions],tblDaily[EntryDate],DATE(2026,1,3),tblDaily[WardCode],"MAE")),"")</f>
        <v>5</v>
      </c>
      <c r="C10" s="39">
        <f>IFERROR(IF(SUMIFS(tblDaily[Discharges],tblDaily[EntryDate],DATE(2026,1,3),tblDaily[WardCode],"MAE")=0,"",SUMIFS(tblDaily[Discharges],tblDaily[EntryDate],DATE(2026,1,3),tblDaily[WardCode],"MAE")),"")</f>
        <v>2</v>
      </c>
      <c r="D10" s="39" t="str">
        <f>IFERROR(IF(SUMIFS(tblDaily[Deaths],tblDaily[EntryDate],DATE(2026,1,3),tblDaily[WardCode],"MAE")=0,"",SUMIFS(tblDaily[Deaths],tblDaily[EntryDate],DATE(2026,1,3),tblDaily[WardCode],"MAE")),"")</f>
        <v/>
      </c>
      <c r="E10" s="39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39" t="str">
        <f>IFERROR(IF(SUMIFS(tblDaily[TransfersIn],tblDaily[EntryDate],DATE(2026,1,3),tblDaily[WardCode],"MAE")=0,"",SUMIFS(tblDaily[TransfersIn],tblDaily[EntryDate],DATE(2026,1,3),tblDaily[WardCode],"MAE")),"")</f>
        <v/>
      </c>
      <c r="G10" s="39">
        <f>IFERROR(IF(SUMIFS(tblDaily[TransfersOut],tblDaily[EntryDate],DATE(2026,1,3),tblDaily[WardCode],"MAE")=0,"",SUMIFS(tblDaily[TransfersOut],tblDaily[EntryDate],DATE(2026,1,3),tblDaily[WardCode],"MAE")),"")</f>
        <v>2</v>
      </c>
      <c r="H10" s="39">
        <f>IFERROR(IF(SUMIFS(tblDaily[Remaining],tblDaily[EntryDate],DATE(2026,1,3),tblDaily[WardCode],"MAE")=0,"",SUMIFS(tblDaily[Remaining],tblDaily[EntryDate],DATE(2026,1,3),tblDaily[WardCode],"MAE")),"")</f>
        <v>10</v>
      </c>
      <c r="I10" s="39" t="str">
        <f>IFERROR(IF(SUMIFS(tblDaily[Admissions],tblDaily[EntryDate],DATE(2026,1,3),tblDaily[WardCode],"FAE")=0,"",SUMIFS(tblDaily[Admissions],tblDaily[EntryDate],DATE(2026,1,3),tblDaily[WardCode],"FAE")),"")</f>
        <v/>
      </c>
      <c r="J10" s="39" t="str">
        <f>IFERROR(IF(SUMIFS(tblDaily[Discharges],tblDaily[EntryDate],DATE(2026,1,3),tblDaily[WardCode],"FAE")=0,"",SUMIFS(tblDaily[Discharges],tblDaily[EntryDate],DATE(2026,1,3),tblDaily[WardCode],"FAE")),"")</f>
        <v/>
      </c>
      <c r="K10" s="39" t="str">
        <f>IFERROR(IF(SUMIFS(tblDaily[Deaths],tblDaily[EntryDate],DATE(2026,1,3),tblDaily[WardCode],"FAE")=0,"",SUMIFS(tblDaily[Deaths],tblDaily[EntryDate],DATE(2026,1,3),tblDaily[WardCode],"FAE")),"")</f>
        <v/>
      </c>
      <c r="L10" s="39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39" t="str">
        <f>IFERROR(IF(SUMIFS(tblDaily[TransfersIn],tblDaily[EntryDate],DATE(2026,1,3),tblDaily[WardCode],"FAE")=0,"",SUMIFS(tblDaily[TransfersIn],tblDaily[EntryDate],DATE(2026,1,3),tblDaily[WardCode],"FAE")),"")</f>
        <v/>
      </c>
      <c r="N10" s="39">
        <f>IFERROR(IF(SUMIFS(tblDaily[TransfersOut],tblDaily[EntryDate],DATE(2026,1,3),tblDaily[WardCode],"FAE")=0,"",SUMIFS(tblDaily[TransfersOut],tblDaily[EntryDate],DATE(2026,1,3),tblDaily[WardCode],"FAE")),"")</f>
        <v>1</v>
      </c>
      <c r="O10" s="39" t="str">
        <f>IFERROR(IF(SUMIFS(tblDaily[Remaining],tblDaily[EntryDate],DATE(2026,1,3),tblDaily[WardCode],"FAE")=0,"",SUMIFS(tblDaily[Remaining],tblDaily[EntryDate],DATE(2026,1,3),tblDaily[WardCode],"FAE")),"")</f>
        <v/>
      </c>
      <c r="P10" s="40">
        <f t="shared" si="0"/>
        <v>10</v>
      </c>
    </row>
    <row r="11" spans="1:16" x14ac:dyDescent="0.25">
      <c r="A11" s="39">
        <v>4</v>
      </c>
      <c r="B11" s="39">
        <f>IFERROR(IF(SUMIFS(tblDaily[Admissions],tblDaily[EntryDate],DATE(2026,1,4),tblDaily[WardCode],"MAE")=0,"",SUMIFS(tblDaily[Admissions],tblDaily[EntryDate],DATE(2026,1,4),tblDaily[WardCode],"MAE")),"")</f>
        <v>4</v>
      </c>
      <c r="C11" s="39">
        <f>IFERROR(IF(SUMIFS(tblDaily[Discharges],tblDaily[EntryDate],DATE(2026,1,4),tblDaily[WardCode],"MAE")=0,"",SUMIFS(tblDaily[Discharges],tblDaily[EntryDate],DATE(2026,1,4),tblDaily[WardCode],"MAE")),"")</f>
        <v>1</v>
      </c>
      <c r="D11" s="39" t="str">
        <f>IFERROR(IF(SUMIFS(tblDaily[Deaths],tblDaily[EntryDate],DATE(2026,1,4),tblDaily[WardCode],"MAE")=0,"",SUMIFS(tblDaily[Deaths],tblDaily[EntryDate],DATE(2026,1,4),tblDaily[WardCode],"MAE")),"")</f>
        <v/>
      </c>
      <c r="E11" s="39">
        <f>IFERROR(IF(SUMIFS(tblDaily[DeathsUnder24Hrs],tblDaily[EntryDate],DATE(2026,1,4),tblDaily[WardCode],"MAE")=0,"",SUMIFS(tblDaily[DeathsUnder24Hrs],tblDaily[EntryDate],DATE(2026,1,4),tblDaily[WardCode],"MAE")),"")</f>
        <v>1</v>
      </c>
      <c r="F11" s="39" t="str">
        <f>IFERROR(IF(SUMIFS(tblDaily[TransfersIn],tblDaily[EntryDate],DATE(2026,1,4),tblDaily[WardCode],"MAE")=0,"",SUMIFS(tblDaily[TransfersIn],tblDaily[EntryDate],DATE(2026,1,4),tblDaily[WardCode],"MAE")),"")</f>
        <v/>
      </c>
      <c r="G11" s="39">
        <f>IFERROR(IF(SUMIFS(tblDaily[TransfersOut],tblDaily[EntryDate],DATE(2026,1,4),tblDaily[WardCode],"MAE")=0,"",SUMIFS(tblDaily[TransfersOut],tblDaily[EntryDate],DATE(2026,1,4),tblDaily[WardCode],"MAE")),"")</f>
        <v>3</v>
      </c>
      <c r="H11" s="39">
        <f>IFERROR(IF(SUMIFS(tblDaily[Remaining],tblDaily[EntryDate],DATE(2026,1,4),tblDaily[WardCode],"MAE")=0,"",SUMIFS(tblDaily[Remaining],tblDaily[EntryDate],DATE(2026,1,4),tblDaily[WardCode],"MAE")),"")</f>
        <v>9</v>
      </c>
      <c r="I11" s="39" t="str">
        <f>IFERROR(IF(SUMIFS(tblDaily[Admissions],tblDaily[EntryDate],DATE(2026,1,4),tblDaily[WardCode],"FAE")=0,"",SUMIFS(tblDaily[Admissions],tblDaily[EntryDate],DATE(2026,1,4),tblDaily[WardCode],"FAE")),"")</f>
        <v/>
      </c>
      <c r="J11" s="39" t="str">
        <f>IFERROR(IF(SUMIFS(tblDaily[Discharges],tblDaily[EntryDate],DATE(2026,1,4),tblDaily[WardCode],"FAE")=0,"",SUMIFS(tblDaily[Discharges],tblDaily[EntryDate],DATE(2026,1,4),tblDaily[WardCode],"FAE")),"")</f>
        <v/>
      </c>
      <c r="K11" s="39" t="str">
        <f>IFERROR(IF(SUMIFS(tblDaily[Deaths],tblDaily[EntryDate],DATE(2026,1,4),tblDaily[WardCode],"FAE")=0,"",SUMIFS(tblDaily[Deaths],tblDaily[EntryDate],DATE(2026,1,4),tblDaily[WardCode],"FAE")),"")</f>
        <v/>
      </c>
      <c r="L11" s="39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39" t="str">
        <f>IFERROR(IF(SUMIFS(tblDaily[TransfersIn],tblDaily[EntryDate],DATE(2026,1,4),tblDaily[WardCode],"FAE")=0,"",SUMIFS(tblDaily[TransfersIn],tblDaily[EntryDate],DATE(2026,1,4),tblDaily[WardCode],"FAE")),"")</f>
        <v/>
      </c>
      <c r="N11" s="39" t="str">
        <f>IFERROR(IF(SUMIFS(tblDaily[TransfersOut],tblDaily[EntryDate],DATE(2026,1,4),tblDaily[WardCode],"FAE")=0,"",SUMIFS(tblDaily[TransfersOut],tblDaily[EntryDate],DATE(2026,1,4),tblDaily[WardCode],"FAE")),"")</f>
        <v/>
      </c>
      <c r="O11" s="39" t="str">
        <f>IFERROR(IF(SUMIFS(tblDaily[Remaining],tblDaily[EntryDate],DATE(2026,1,4),tblDaily[WardCode],"FAE")=0,"",SUMIFS(tblDaily[Remaining],tblDaily[EntryDate],DATE(2026,1,4),tblDaily[WardCode],"FAE")),"")</f>
        <v/>
      </c>
      <c r="P11" s="40">
        <f t="shared" si="0"/>
        <v>9</v>
      </c>
    </row>
    <row r="12" spans="1:16" x14ac:dyDescent="0.25">
      <c r="A12" s="39">
        <v>5</v>
      </c>
      <c r="B12" s="39">
        <f>IFERROR(IF(SUMIFS(tblDaily[Admissions],tblDaily[EntryDate],DATE(2026,1,5),tblDaily[WardCode],"MAE")=0,"",SUMIFS(tblDaily[Admissions],tblDaily[EntryDate],DATE(2026,1,5),tblDaily[WardCode],"MAE")),"")</f>
        <v>1</v>
      </c>
      <c r="C12" s="39">
        <f>IFERROR(IF(SUMIFS(tblDaily[Discharges],tblDaily[EntryDate],DATE(2026,1,5),tblDaily[WardCode],"MAE")=0,"",SUMIFS(tblDaily[Discharges],tblDaily[EntryDate],DATE(2026,1,5),tblDaily[WardCode],"MAE")),"")</f>
        <v>8</v>
      </c>
      <c r="D12" s="39" t="str">
        <f>IFERROR(IF(SUMIFS(tblDaily[Deaths],tblDaily[EntryDate],DATE(2026,1,5),tblDaily[WardCode],"MAE")=0,"",SUMIFS(tblDaily[Deaths],tblDaily[EntryDate],DATE(2026,1,5),tblDaily[WardCode],"MAE")),"")</f>
        <v/>
      </c>
      <c r="E12" s="39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39" t="str">
        <f>IFERROR(IF(SUMIFS(tblDaily[TransfersIn],tblDaily[EntryDate],DATE(2026,1,5),tblDaily[WardCode],"MAE")=0,"",SUMIFS(tblDaily[TransfersIn],tblDaily[EntryDate],DATE(2026,1,5),tblDaily[WardCode],"MAE")),"")</f>
        <v/>
      </c>
      <c r="G12" s="39" t="str">
        <f>IFERROR(IF(SUMIFS(tblDaily[TransfersOut],tblDaily[EntryDate],DATE(2026,1,5),tblDaily[WardCode],"MAE")=0,"",SUMIFS(tblDaily[TransfersOut],tblDaily[EntryDate],DATE(2026,1,5),tblDaily[WardCode],"MAE")),"")</f>
        <v/>
      </c>
      <c r="H12" s="39">
        <f>IFERROR(IF(SUMIFS(tblDaily[Remaining],tblDaily[EntryDate],DATE(2026,1,5),tblDaily[WardCode],"MAE")=0,"",SUMIFS(tblDaily[Remaining],tblDaily[EntryDate],DATE(2026,1,5),tblDaily[WardCode],"MAE")),"")</f>
        <v>2</v>
      </c>
      <c r="I12" s="39">
        <f>IFERROR(IF(SUMIFS(tblDaily[Admissions],tblDaily[EntryDate],DATE(2026,1,5),tblDaily[WardCode],"FAE")=0,"",SUMIFS(tblDaily[Admissions],tblDaily[EntryDate],DATE(2026,1,5),tblDaily[WardCode],"FAE")),"")</f>
        <v>4</v>
      </c>
      <c r="J12" s="39" t="str">
        <f>IFERROR(IF(SUMIFS(tblDaily[Discharges],tblDaily[EntryDate],DATE(2026,1,5),tblDaily[WardCode],"FAE")=0,"",SUMIFS(tblDaily[Discharges],tblDaily[EntryDate],DATE(2026,1,5),tblDaily[WardCode],"FAE")),"")</f>
        <v/>
      </c>
      <c r="K12" s="39" t="str">
        <f>IFERROR(IF(SUMIFS(tblDaily[Deaths],tblDaily[EntryDate],DATE(2026,1,5),tblDaily[WardCode],"FAE")=0,"",SUMIFS(tblDaily[Deaths],tblDaily[EntryDate],DATE(2026,1,5),tblDaily[WardCode],"FAE")),"")</f>
        <v/>
      </c>
      <c r="L12" s="39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39" t="str">
        <f>IFERROR(IF(SUMIFS(tblDaily[TransfersIn],tblDaily[EntryDate],DATE(2026,1,5),tblDaily[WardCode],"FAE")=0,"",SUMIFS(tblDaily[TransfersIn],tblDaily[EntryDate],DATE(2026,1,5),tblDaily[WardCode],"FAE")),"")</f>
        <v/>
      </c>
      <c r="N12" s="39">
        <f>IFERROR(IF(SUMIFS(tblDaily[TransfersOut],tblDaily[EntryDate],DATE(2026,1,5),tblDaily[WardCode],"FAE")=0,"",SUMIFS(tblDaily[TransfersOut],tblDaily[EntryDate],DATE(2026,1,5),tblDaily[WardCode],"FAE")),"")</f>
        <v>3</v>
      </c>
      <c r="O12" s="39">
        <f>IFERROR(IF(SUMIFS(tblDaily[Remaining],tblDaily[EntryDate],DATE(2026,1,5),tblDaily[WardCode],"FAE")=0,"",SUMIFS(tblDaily[Remaining],tblDaily[EntryDate],DATE(2026,1,5),tblDaily[WardCode],"FAE")),"")</f>
        <v>1</v>
      </c>
      <c r="P12" s="40">
        <f t="shared" si="0"/>
        <v>3</v>
      </c>
    </row>
    <row r="13" spans="1:16" x14ac:dyDescent="0.25">
      <c r="A13" s="39">
        <v>6</v>
      </c>
      <c r="B13" s="39">
        <f>IFERROR(IF(SUMIFS(tblDaily[Admissions],tblDaily[EntryDate],DATE(2026,1,6),tblDaily[WardCode],"MAE")=0,"",SUMIFS(tblDaily[Admissions],tblDaily[EntryDate],DATE(2026,1,6),tblDaily[WardCode],"MAE")),"")</f>
        <v>2</v>
      </c>
      <c r="C13" s="39">
        <f>IFERROR(IF(SUMIFS(tblDaily[Discharges],tblDaily[EntryDate],DATE(2026,1,6),tblDaily[WardCode],"MAE")=0,"",SUMIFS(tblDaily[Discharges],tblDaily[EntryDate],DATE(2026,1,6),tblDaily[WardCode],"MAE")),"")</f>
        <v>1</v>
      </c>
      <c r="D13" s="39" t="str">
        <f>IFERROR(IF(SUMIFS(tblDaily[Deaths],tblDaily[EntryDate],DATE(2026,1,6),tblDaily[WardCode],"MAE")=0,"",SUMIFS(tblDaily[Deaths],tblDaily[EntryDate],DATE(2026,1,6),tblDaily[WardCode],"MAE")),"")</f>
        <v/>
      </c>
      <c r="E13" s="39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39" t="str">
        <f>IFERROR(IF(SUMIFS(tblDaily[TransfersIn],tblDaily[EntryDate],DATE(2026,1,6),tblDaily[WardCode],"MAE")=0,"",SUMIFS(tblDaily[TransfersIn],tblDaily[EntryDate],DATE(2026,1,6),tblDaily[WardCode],"MAE")),"")</f>
        <v/>
      </c>
      <c r="G13" s="39">
        <f>IFERROR(IF(SUMIFS(tblDaily[TransfersOut],tblDaily[EntryDate],DATE(2026,1,6),tblDaily[WardCode],"MAE")=0,"",SUMIFS(tblDaily[TransfersOut],tblDaily[EntryDate],DATE(2026,1,6),tblDaily[WardCode],"MAE")),"")</f>
        <v>2</v>
      </c>
      <c r="H13" s="39">
        <f>IFERROR(IF(SUMIFS(tblDaily[Remaining],tblDaily[EntryDate],DATE(2026,1,6),tblDaily[WardCode],"MAE")=0,"",SUMIFS(tblDaily[Remaining],tblDaily[EntryDate],DATE(2026,1,6),tblDaily[WardCode],"MAE")),"")</f>
        <v>1</v>
      </c>
      <c r="I13" s="39">
        <f>IFERROR(IF(SUMIFS(tblDaily[Admissions],tblDaily[EntryDate],DATE(2026,1,6),tblDaily[WardCode],"FAE")=0,"",SUMIFS(tblDaily[Admissions],tblDaily[EntryDate],DATE(2026,1,6),tblDaily[WardCode],"FAE")),"")</f>
        <v>1</v>
      </c>
      <c r="J13" s="39" t="str">
        <f>IFERROR(IF(SUMIFS(tblDaily[Discharges],tblDaily[EntryDate],DATE(2026,1,6),tblDaily[WardCode],"FAE")=0,"",SUMIFS(tblDaily[Discharges],tblDaily[EntryDate],DATE(2026,1,6),tblDaily[WardCode],"FAE")),"")</f>
        <v/>
      </c>
      <c r="K13" s="39" t="str">
        <f>IFERROR(IF(SUMIFS(tblDaily[Deaths],tblDaily[EntryDate],DATE(2026,1,6),tblDaily[WardCode],"FAE")=0,"",SUMIFS(tblDaily[Deaths],tblDaily[EntryDate],DATE(2026,1,6),tblDaily[WardCode],"FAE")),"")</f>
        <v/>
      </c>
      <c r="L13" s="39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39" t="str">
        <f>IFERROR(IF(SUMIFS(tblDaily[TransfersIn],tblDaily[EntryDate],DATE(2026,1,6),tblDaily[WardCode],"FAE")=0,"",SUMIFS(tblDaily[TransfersIn],tblDaily[EntryDate],DATE(2026,1,6),tblDaily[WardCode],"FAE")),"")</f>
        <v/>
      </c>
      <c r="N13" s="39" t="str">
        <f>IFERROR(IF(SUMIFS(tblDaily[TransfersOut],tblDaily[EntryDate],DATE(2026,1,6),tblDaily[WardCode],"FAE")=0,"",SUMIFS(tblDaily[TransfersOut],tblDaily[EntryDate],DATE(2026,1,6),tblDaily[WardCode],"FAE")),"")</f>
        <v/>
      </c>
      <c r="O13" s="39">
        <f>IFERROR(IF(SUMIFS(tblDaily[Remaining],tblDaily[EntryDate],DATE(2026,1,6),tblDaily[WardCode],"FAE")=0,"",SUMIFS(tblDaily[Remaining],tblDaily[EntryDate],DATE(2026,1,6),tblDaily[WardCode],"FAE")),"")</f>
        <v>2</v>
      </c>
      <c r="P13" s="40">
        <f t="shared" si="0"/>
        <v>3</v>
      </c>
    </row>
    <row r="14" spans="1:16" x14ac:dyDescent="0.25">
      <c r="A14" s="39">
        <v>7</v>
      </c>
      <c r="B14" s="39">
        <f>IFERROR(IF(SUMIFS(tblDaily[Admissions],tblDaily[EntryDate],DATE(2026,1,7),tblDaily[WardCode],"MAE")=0,"",SUMIFS(tblDaily[Admissions],tblDaily[EntryDate],DATE(2026,1,7),tblDaily[WardCode],"MAE")),"")</f>
        <v>3</v>
      </c>
      <c r="C14" s="39">
        <f>IFERROR(IF(SUMIFS(tblDaily[Discharges],tblDaily[EntryDate],DATE(2026,1,7),tblDaily[WardCode],"MAE")=0,"",SUMIFS(tblDaily[Discharges],tblDaily[EntryDate],DATE(2026,1,7),tblDaily[WardCode],"MAE")),"")</f>
        <v>1</v>
      </c>
      <c r="D14" s="39" t="str">
        <f>IFERROR(IF(SUMIFS(tblDaily[Deaths],tblDaily[EntryDate],DATE(2026,1,7),tblDaily[WardCode],"MAE")=0,"",SUMIFS(tblDaily[Deaths],tblDaily[EntryDate],DATE(2026,1,7),tblDaily[WardCode],"MAE")),"")</f>
        <v/>
      </c>
      <c r="E14" s="39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39" t="str">
        <f>IFERROR(IF(SUMIFS(tblDaily[TransfersIn],tblDaily[EntryDate],DATE(2026,1,7),tblDaily[WardCode],"MAE")=0,"",SUMIFS(tblDaily[TransfersIn],tblDaily[EntryDate],DATE(2026,1,7),tblDaily[WardCode],"MAE")),"")</f>
        <v/>
      </c>
      <c r="G14" s="39">
        <f>IFERROR(IF(SUMIFS(tblDaily[TransfersOut],tblDaily[EntryDate],DATE(2026,1,7),tblDaily[WardCode],"MAE")=0,"",SUMIFS(tblDaily[TransfersOut],tblDaily[EntryDate],DATE(2026,1,7),tblDaily[WardCode],"MAE")),"")</f>
        <v>1</v>
      </c>
      <c r="H14" s="39">
        <f>IFERROR(IF(SUMIFS(tblDaily[Remaining],tblDaily[EntryDate],DATE(2026,1,7),tblDaily[WardCode],"MAE")=0,"",SUMIFS(tblDaily[Remaining],tblDaily[EntryDate],DATE(2026,1,7),tblDaily[WardCode],"MAE")),"")</f>
        <v>2</v>
      </c>
      <c r="I14" s="39" t="str">
        <f>IFERROR(IF(SUMIFS(tblDaily[Admissions],tblDaily[EntryDate],DATE(2026,1,7),tblDaily[WardCode],"FAE")=0,"",SUMIFS(tblDaily[Admissions],tblDaily[EntryDate],DATE(2026,1,7),tblDaily[WardCode],"FAE")),"")</f>
        <v/>
      </c>
      <c r="J14" s="39" t="str">
        <f>IFERROR(IF(SUMIFS(tblDaily[Discharges],tblDaily[EntryDate],DATE(2026,1,7),tblDaily[WardCode],"FAE")=0,"",SUMIFS(tblDaily[Discharges],tblDaily[EntryDate],DATE(2026,1,7),tblDaily[WardCode],"FAE")),"")</f>
        <v/>
      </c>
      <c r="K14" s="39" t="str">
        <f>IFERROR(IF(SUMIFS(tblDaily[Deaths],tblDaily[EntryDate],DATE(2026,1,7),tblDaily[WardCode],"FAE")=0,"",SUMIFS(tblDaily[Deaths],tblDaily[EntryDate],DATE(2026,1,7),tblDaily[WardCode],"FAE")),"")</f>
        <v/>
      </c>
      <c r="L14" s="39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39" t="str">
        <f>IFERROR(IF(SUMIFS(tblDaily[TransfersIn],tblDaily[EntryDate],DATE(2026,1,7),tblDaily[WardCode],"FAE")=0,"",SUMIFS(tblDaily[TransfersIn],tblDaily[EntryDate],DATE(2026,1,7),tblDaily[WardCode],"FAE")),"")</f>
        <v/>
      </c>
      <c r="N14" s="39" t="str">
        <f>IFERROR(IF(SUMIFS(tblDaily[TransfersOut],tblDaily[EntryDate],DATE(2026,1,7),tblDaily[WardCode],"FAE")=0,"",SUMIFS(tblDaily[TransfersOut],tblDaily[EntryDate],DATE(2026,1,7),tblDaily[WardCode],"FAE")),"")</f>
        <v/>
      </c>
      <c r="O14" s="39">
        <f>IFERROR(IF(SUMIFS(tblDaily[Remaining],tblDaily[EntryDate],DATE(2026,1,7),tblDaily[WardCode],"FAE")=0,"",SUMIFS(tblDaily[Remaining],tblDaily[EntryDate],DATE(2026,1,7),tblDaily[WardCode],"FAE")),"")</f>
        <v>2</v>
      </c>
      <c r="P14" s="40">
        <f t="shared" si="0"/>
        <v>4</v>
      </c>
    </row>
    <row r="15" spans="1:16" x14ac:dyDescent="0.25">
      <c r="A15" s="39">
        <v>8</v>
      </c>
      <c r="B15" s="39">
        <f>IFERROR(IF(SUMIFS(tblDaily[Admissions],tblDaily[EntryDate],DATE(2026,1,8),tblDaily[WardCode],"MAE")=0,"",SUMIFS(tblDaily[Admissions],tblDaily[EntryDate],DATE(2026,1,8),tblDaily[WardCode],"MAE")),"")</f>
        <v>5</v>
      </c>
      <c r="C15" s="39">
        <f>IFERROR(IF(SUMIFS(tblDaily[Discharges],tblDaily[EntryDate],DATE(2026,1,8),tblDaily[WardCode],"MAE")=0,"",SUMIFS(tblDaily[Discharges],tblDaily[EntryDate],DATE(2026,1,8),tblDaily[WardCode],"MAE")),"")</f>
        <v>1</v>
      </c>
      <c r="D15" s="39" t="str">
        <f>IFERROR(IF(SUMIFS(tblDaily[Deaths],tblDaily[EntryDate],DATE(2026,1,8),tblDaily[WardCode],"MAE")=0,"",SUMIFS(tblDaily[Deaths],tblDaily[EntryDate],DATE(2026,1,8),tblDaily[WardCode],"MAE")),"")</f>
        <v/>
      </c>
      <c r="E15" s="39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39" t="str">
        <f>IFERROR(IF(SUMIFS(tblDaily[TransfersIn],tblDaily[EntryDate],DATE(2026,1,8),tblDaily[WardCode],"MAE")=0,"",SUMIFS(tblDaily[TransfersIn],tblDaily[EntryDate],DATE(2026,1,8),tblDaily[WardCode],"MAE")),"")</f>
        <v/>
      </c>
      <c r="G15" s="39" t="str">
        <f>IFERROR(IF(SUMIFS(tblDaily[TransfersOut],tblDaily[EntryDate],DATE(2026,1,8),tblDaily[WardCode],"MAE")=0,"",SUMIFS(tblDaily[TransfersOut],tblDaily[EntryDate],DATE(2026,1,8),tblDaily[WardCode],"MAE")),"")</f>
        <v/>
      </c>
      <c r="H15" s="39">
        <f>IFERROR(IF(SUMIFS(tblDaily[Remaining],tblDaily[EntryDate],DATE(2026,1,8),tblDaily[WardCode],"MAE")=0,"",SUMIFS(tblDaily[Remaining],tblDaily[EntryDate],DATE(2026,1,8),tblDaily[WardCode],"MAE")),"")</f>
        <v>6</v>
      </c>
      <c r="I15" s="39" t="str">
        <f>IFERROR(IF(SUMIFS(tblDaily[Admissions],tblDaily[EntryDate],DATE(2026,1,8),tblDaily[WardCode],"FAE")=0,"",SUMIFS(tblDaily[Admissions],tblDaily[EntryDate],DATE(2026,1,8),tblDaily[WardCode],"FAE")),"")</f>
        <v/>
      </c>
      <c r="J15" s="39" t="str">
        <f>IFERROR(IF(SUMIFS(tblDaily[Discharges],tblDaily[EntryDate],DATE(2026,1,8),tblDaily[WardCode],"FAE")=0,"",SUMIFS(tblDaily[Discharges],tblDaily[EntryDate],DATE(2026,1,8),tblDaily[WardCode],"FAE")),"")</f>
        <v/>
      </c>
      <c r="K15" s="39" t="str">
        <f>IFERROR(IF(SUMIFS(tblDaily[Deaths],tblDaily[EntryDate],DATE(2026,1,8),tblDaily[WardCode],"FAE")=0,"",SUMIFS(tblDaily[Deaths],tblDaily[EntryDate],DATE(2026,1,8),tblDaily[WardCode],"FAE")),"")</f>
        <v/>
      </c>
      <c r="L15" s="39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39" t="str">
        <f>IFERROR(IF(SUMIFS(tblDaily[TransfersIn],tblDaily[EntryDate],DATE(2026,1,8),tblDaily[WardCode],"FAE")=0,"",SUMIFS(tblDaily[TransfersIn],tblDaily[EntryDate],DATE(2026,1,8),tblDaily[WardCode],"FAE")),"")</f>
        <v/>
      </c>
      <c r="N15" s="39">
        <f>IFERROR(IF(SUMIFS(tblDaily[TransfersOut],tblDaily[EntryDate],DATE(2026,1,8),tblDaily[WardCode],"FAE")=0,"",SUMIFS(tblDaily[TransfersOut],tblDaily[EntryDate],DATE(2026,1,8),tblDaily[WardCode],"FAE")),"")</f>
        <v>2</v>
      </c>
      <c r="O15" s="39" t="str">
        <f>IFERROR(IF(SUMIFS(tblDaily[Remaining],tblDaily[EntryDate],DATE(2026,1,8),tblDaily[WardCode],"FAE")=0,"",SUMIFS(tblDaily[Remaining],tblDaily[EntryDate],DATE(2026,1,8),tblDaily[WardCode],"FAE")),"")</f>
        <v/>
      </c>
      <c r="P15" s="40">
        <f t="shared" si="0"/>
        <v>6</v>
      </c>
    </row>
    <row r="16" spans="1:16" x14ac:dyDescent="0.25">
      <c r="A16" s="39">
        <v>9</v>
      </c>
      <c r="B16" s="39" t="str">
        <f>IFERROR(IF(SUMIFS(tblDaily[Admissions],tblDaily[EntryDate],DATE(2026,1,9),tblDaily[WardCode],"MAE")=0,"",SUMIFS(tblDaily[Admissions],tblDaily[EntryDate],DATE(2026,1,9),tblDaily[WardCode],"MAE")),"")</f>
        <v/>
      </c>
      <c r="C16" s="39">
        <f>IFERROR(IF(SUMIFS(tblDaily[Discharges],tblDaily[EntryDate],DATE(2026,1,9),tblDaily[WardCode],"MAE")=0,"",SUMIFS(tblDaily[Discharges],tblDaily[EntryDate],DATE(2026,1,9),tblDaily[WardCode],"MAE")),"")</f>
        <v>2</v>
      </c>
      <c r="D16" s="39" t="str">
        <f>IFERROR(IF(SUMIFS(tblDaily[Deaths],tblDaily[EntryDate],DATE(2026,1,9),tblDaily[WardCode],"MAE")=0,"",SUMIFS(tblDaily[Deaths],tblDaily[EntryDate],DATE(2026,1,9),tblDaily[WardCode],"MAE")),"")</f>
        <v/>
      </c>
      <c r="E16" s="39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39" t="str">
        <f>IFERROR(IF(SUMIFS(tblDaily[TransfersIn],tblDaily[EntryDate],DATE(2026,1,9),tblDaily[WardCode],"MAE")=0,"",SUMIFS(tblDaily[TransfersIn],tblDaily[EntryDate],DATE(2026,1,9),tblDaily[WardCode],"MAE")),"")</f>
        <v/>
      </c>
      <c r="G16" s="39">
        <f>IFERROR(IF(SUMIFS(tblDaily[TransfersOut],tblDaily[EntryDate],DATE(2026,1,9),tblDaily[WardCode],"MAE")=0,"",SUMIFS(tblDaily[TransfersOut],tblDaily[EntryDate],DATE(2026,1,9),tblDaily[WardCode],"MAE")),"")</f>
        <v>2</v>
      </c>
      <c r="H16" s="39">
        <f>IFERROR(IF(SUMIFS(tblDaily[Remaining],tblDaily[EntryDate],DATE(2026,1,9),tblDaily[WardCode],"MAE")=0,"",SUMIFS(tblDaily[Remaining],tblDaily[EntryDate],DATE(2026,1,9),tblDaily[WardCode],"MAE")),"")</f>
        <v>2</v>
      </c>
      <c r="I16" s="39">
        <f>IFERROR(IF(SUMIFS(tblDaily[Admissions],tblDaily[EntryDate],DATE(2026,1,9),tblDaily[WardCode],"FAE")=0,"",SUMIFS(tblDaily[Admissions],tblDaily[EntryDate],DATE(2026,1,9),tblDaily[WardCode],"FAE")),"")</f>
        <v>1</v>
      </c>
      <c r="J16" s="39" t="str">
        <f>IFERROR(IF(SUMIFS(tblDaily[Discharges],tblDaily[EntryDate],DATE(2026,1,9),tblDaily[WardCode],"FAE")=0,"",SUMIFS(tblDaily[Discharges],tblDaily[EntryDate],DATE(2026,1,9),tblDaily[WardCode],"FAE")),"")</f>
        <v/>
      </c>
      <c r="K16" s="39" t="str">
        <f>IFERROR(IF(SUMIFS(tblDaily[Deaths],tblDaily[EntryDate],DATE(2026,1,9),tblDaily[WardCode],"FAE")=0,"",SUMIFS(tblDaily[Deaths],tblDaily[EntryDate],DATE(2026,1,9),tblDaily[WardCode],"FAE")),"")</f>
        <v/>
      </c>
      <c r="L16" s="39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39" t="str">
        <f>IFERROR(IF(SUMIFS(tblDaily[TransfersIn],tblDaily[EntryDate],DATE(2026,1,9),tblDaily[WardCode],"FAE")=0,"",SUMIFS(tblDaily[TransfersIn],tblDaily[EntryDate],DATE(2026,1,9),tblDaily[WardCode],"FAE")),"")</f>
        <v/>
      </c>
      <c r="N16" s="39" t="str">
        <f>IFERROR(IF(SUMIFS(tblDaily[TransfersOut],tblDaily[EntryDate],DATE(2026,1,9),tblDaily[WardCode],"FAE")=0,"",SUMIFS(tblDaily[TransfersOut],tblDaily[EntryDate],DATE(2026,1,9),tblDaily[WardCode],"FAE")),"")</f>
        <v/>
      </c>
      <c r="O16" s="39">
        <f>IFERROR(IF(SUMIFS(tblDaily[Remaining],tblDaily[EntryDate],DATE(2026,1,9),tblDaily[WardCode],"FAE")=0,"",SUMIFS(tblDaily[Remaining],tblDaily[EntryDate],DATE(2026,1,9),tblDaily[WardCode],"FAE")),"")</f>
        <v>1</v>
      </c>
      <c r="P16" s="40">
        <f t="shared" si="0"/>
        <v>3</v>
      </c>
    </row>
    <row r="17" spans="1:16" x14ac:dyDescent="0.25">
      <c r="A17" s="39">
        <v>10</v>
      </c>
      <c r="B17" s="39">
        <f>IFERROR(IF(SUMIFS(tblDaily[Admissions],tblDaily[EntryDate],DATE(2026,1,10),tblDaily[WardCode],"MAE")=0,"",SUMIFS(tblDaily[Admissions],tblDaily[EntryDate],DATE(2026,1,10),tblDaily[WardCode],"MAE")),"")</f>
        <v>2</v>
      </c>
      <c r="C17" s="39" t="str">
        <f>IFERROR(IF(SUMIFS(tblDaily[Discharges],tblDaily[EntryDate],DATE(2026,1,10),tblDaily[WardCode],"MAE")=0,"",SUMIFS(tblDaily[Discharges],tblDaily[EntryDate],DATE(2026,1,10),tblDaily[WardCode],"MAE")),"")</f>
        <v/>
      </c>
      <c r="D17" s="39" t="str">
        <f>IFERROR(IF(SUMIFS(tblDaily[Deaths],tblDaily[EntryDate],DATE(2026,1,10),tblDaily[WardCode],"MAE")=0,"",SUMIFS(tblDaily[Deaths],tblDaily[EntryDate],DATE(2026,1,10),tblDaily[WardCode],"MAE")),"")</f>
        <v/>
      </c>
      <c r="E17" s="39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39" t="str">
        <f>IFERROR(IF(SUMIFS(tblDaily[TransfersIn],tblDaily[EntryDate],DATE(2026,1,10),tblDaily[WardCode],"MAE")=0,"",SUMIFS(tblDaily[TransfersIn],tblDaily[EntryDate],DATE(2026,1,10),tblDaily[WardCode],"MAE")),"")</f>
        <v/>
      </c>
      <c r="G17" s="39" t="str">
        <f>IFERROR(IF(SUMIFS(tblDaily[TransfersOut],tblDaily[EntryDate],DATE(2026,1,10),tblDaily[WardCode],"MAE")=0,"",SUMIFS(tblDaily[TransfersOut],tblDaily[EntryDate],DATE(2026,1,10),tblDaily[WardCode],"MAE")),"")</f>
        <v/>
      </c>
      <c r="H17" s="39">
        <f>IFERROR(IF(SUMIFS(tblDaily[Remaining],tblDaily[EntryDate],DATE(2026,1,10),tblDaily[WardCode],"MAE")=0,"",SUMIFS(tblDaily[Remaining],tblDaily[EntryDate],DATE(2026,1,10),tblDaily[WardCode],"MAE")),"")</f>
        <v>4</v>
      </c>
      <c r="I17" s="39">
        <f>IFERROR(IF(SUMIFS(tblDaily[Admissions],tblDaily[EntryDate],DATE(2026,1,10),tblDaily[WardCode],"FAE")=0,"",SUMIFS(tblDaily[Admissions],tblDaily[EntryDate],DATE(2026,1,10),tblDaily[WardCode],"FAE")),"")</f>
        <v>3</v>
      </c>
      <c r="J17" s="39" t="str">
        <f>IFERROR(IF(SUMIFS(tblDaily[Discharges],tblDaily[EntryDate],DATE(2026,1,10),tblDaily[WardCode],"FAE")=0,"",SUMIFS(tblDaily[Discharges],tblDaily[EntryDate],DATE(2026,1,10),tblDaily[WardCode],"FAE")),"")</f>
        <v/>
      </c>
      <c r="K17" s="39" t="str">
        <f>IFERROR(IF(SUMIFS(tblDaily[Deaths],tblDaily[EntryDate],DATE(2026,1,10),tblDaily[WardCode],"FAE")=0,"",SUMIFS(tblDaily[Deaths],tblDaily[EntryDate],DATE(2026,1,10),tblDaily[WardCode],"FAE")),"")</f>
        <v/>
      </c>
      <c r="L17" s="39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39" t="str">
        <f>IFERROR(IF(SUMIFS(tblDaily[TransfersIn],tblDaily[EntryDate],DATE(2026,1,10),tblDaily[WardCode],"FAE")=0,"",SUMIFS(tblDaily[TransfersIn],tblDaily[EntryDate],DATE(2026,1,10),tblDaily[WardCode],"FAE")),"")</f>
        <v/>
      </c>
      <c r="N17" s="39" t="str">
        <f>IFERROR(IF(SUMIFS(tblDaily[TransfersOut],tblDaily[EntryDate],DATE(2026,1,10),tblDaily[WardCode],"FAE")=0,"",SUMIFS(tblDaily[TransfersOut],tblDaily[EntryDate],DATE(2026,1,10),tblDaily[WardCode],"FAE")),"")</f>
        <v/>
      </c>
      <c r="O17" s="39">
        <f>IFERROR(IF(SUMIFS(tblDaily[Remaining],tblDaily[EntryDate],DATE(2026,1,10),tblDaily[WardCode],"FAE")=0,"",SUMIFS(tblDaily[Remaining],tblDaily[EntryDate],DATE(2026,1,10),tblDaily[WardCode],"FAE")),"")</f>
        <v>4</v>
      </c>
      <c r="P17" s="40">
        <f t="shared" si="0"/>
        <v>8</v>
      </c>
    </row>
    <row r="18" spans="1:16" x14ac:dyDescent="0.25">
      <c r="A18" s="39">
        <v>11</v>
      </c>
      <c r="B18" s="39">
        <f>IFERROR(IF(SUMIFS(tblDaily[Admissions],tblDaily[EntryDate],DATE(2026,1,11),tblDaily[WardCode],"MAE")=0,"",SUMIFS(tblDaily[Admissions],tblDaily[EntryDate],DATE(2026,1,11),tblDaily[WardCode],"MAE")),"")</f>
        <v>4</v>
      </c>
      <c r="C18" s="39">
        <f>IFERROR(IF(SUMIFS(tblDaily[Discharges],tblDaily[EntryDate],DATE(2026,1,11),tblDaily[WardCode],"MAE")=0,"",SUMIFS(tblDaily[Discharges],tblDaily[EntryDate],DATE(2026,1,11),tblDaily[WardCode],"MAE")),"")</f>
        <v>1</v>
      </c>
      <c r="D18" s="39" t="str">
        <f>IFERROR(IF(SUMIFS(tblDaily[Deaths],tblDaily[EntryDate],DATE(2026,1,11),tblDaily[WardCode],"MAE")=0,"",SUMIFS(tblDaily[Deaths],tblDaily[EntryDate],DATE(2026,1,11),tblDaily[WardCode],"MAE")),"")</f>
        <v/>
      </c>
      <c r="E18" s="39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39" t="str">
        <f>IFERROR(IF(SUMIFS(tblDaily[TransfersIn],tblDaily[EntryDate],DATE(2026,1,11),tblDaily[WardCode],"MAE")=0,"",SUMIFS(tblDaily[TransfersIn],tblDaily[EntryDate],DATE(2026,1,11),tblDaily[WardCode],"MAE")),"")</f>
        <v/>
      </c>
      <c r="G18" s="39">
        <f>IFERROR(IF(SUMIFS(tblDaily[TransfersOut],tblDaily[EntryDate],DATE(2026,1,11),tblDaily[WardCode],"MAE")=0,"",SUMIFS(tblDaily[TransfersOut],tblDaily[EntryDate],DATE(2026,1,11),tblDaily[WardCode],"MAE")),"")</f>
        <v>4</v>
      </c>
      <c r="H18" s="39">
        <f>IFERROR(IF(SUMIFS(tblDaily[Remaining],tblDaily[EntryDate],DATE(2026,1,11),tblDaily[WardCode],"MAE")=0,"",SUMIFS(tblDaily[Remaining],tblDaily[EntryDate],DATE(2026,1,11),tblDaily[WardCode],"MAE")),"")</f>
        <v>3</v>
      </c>
      <c r="I18" s="39" t="str">
        <f>IFERROR(IF(SUMIFS(tblDaily[Admissions],tblDaily[EntryDate],DATE(2026,1,11),tblDaily[WardCode],"FAE")=0,"",SUMIFS(tblDaily[Admissions],tblDaily[EntryDate],DATE(2026,1,11),tblDaily[WardCode],"FAE")),"")</f>
        <v/>
      </c>
      <c r="J18" s="39">
        <f>IFERROR(IF(SUMIFS(tblDaily[Discharges],tblDaily[EntryDate],DATE(2026,1,11),tblDaily[WardCode],"FAE")=0,"",SUMIFS(tblDaily[Discharges],tblDaily[EntryDate],DATE(2026,1,11),tblDaily[WardCode],"FAE")),"")</f>
        <v>1</v>
      </c>
      <c r="K18" s="39" t="str">
        <f>IFERROR(IF(SUMIFS(tblDaily[Deaths],tblDaily[EntryDate],DATE(2026,1,11),tblDaily[WardCode],"FAE")=0,"",SUMIFS(tblDaily[Deaths],tblDaily[EntryDate],DATE(2026,1,11),tblDaily[WardCode],"FAE")),"")</f>
        <v/>
      </c>
      <c r="L18" s="39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39" t="str">
        <f>IFERROR(IF(SUMIFS(tblDaily[TransfersIn],tblDaily[EntryDate],DATE(2026,1,11),tblDaily[WardCode],"FAE")=0,"",SUMIFS(tblDaily[TransfersIn],tblDaily[EntryDate],DATE(2026,1,11),tblDaily[WardCode],"FAE")),"")</f>
        <v/>
      </c>
      <c r="N18" s="39">
        <f>IFERROR(IF(SUMIFS(tblDaily[TransfersOut],tblDaily[EntryDate],DATE(2026,1,11),tblDaily[WardCode],"FAE")=0,"",SUMIFS(tblDaily[TransfersOut],tblDaily[EntryDate],DATE(2026,1,11),tblDaily[WardCode],"FAE")),"")</f>
        <v>1</v>
      </c>
      <c r="O18" s="39">
        <f>IFERROR(IF(SUMIFS(tblDaily[Remaining],tblDaily[EntryDate],DATE(2026,1,11),tblDaily[WardCode],"FAE")=0,"",SUMIFS(tblDaily[Remaining],tblDaily[EntryDate],DATE(2026,1,11),tblDaily[WardCode],"FAE")),"")</f>
        <v>2</v>
      </c>
      <c r="P18" s="40">
        <f t="shared" si="0"/>
        <v>5</v>
      </c>
    </row>
    <row r="19" spans="1:16" x14ac:dyDescent="0.25">
      <c r="A19" s="39">
        <v>12</v>
      </c>
      <c r="B19" s="39">
        <f>IFERROR(IF(SUMIFS(tblDaily[Admissions],tblDaily[EntryDate],DATE(2026,1,12),tblDaily[WardCode],"MAE")=0,"",SUMIFS(tblDaily[Admissions],tblDaily[EntryDate],DATE(2026,1,12),tblDaily[WardCode],"MAE")),"")</f>
        <v>1</v>
      </c>
      <c r="C19" s="39" t="str">
        <f>IFERROR(IF(SUMIFS(tblDaily[Discharges],tblDaily[EntryDate],DATE(2026,1,12),tblDaily[WardCode],"MAE")=0,"",SUMIFS(tblDaily[Discharges],tblDaily[EntryDate],DATE(2026,1,12),tblDaily[WardCode],"MAE")),"")</f>
        <v/>
      </c>
      <c r="D19" s="39" t="str">
        <f>IFERROR(IF(SUMIFS(tblDaily[Deaths],tblDaily[EntryDate],DATE(2026,1,12),tblDaily[WardCode],"MAE")=0,"",SUMIFS(tblDaily[Deaths],tblDaily[EntryDate],DATE(2026,1,12),tblDaily[WardCode],"MAE")),"")</f>
        <v/>
      </c>
      <c r="E19" s="39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39" t="str">
        <f>IFERROR(IF(SUMIFS(tblDaily[TransfersIn],tblDaily[EntryDate],DATE(2026,1,12),tblDaily[WardCode],"MAE")=0,"",SUMIFS(tblDaily[TransfersIn],tblDaily[EntryDate],DATE(2026,1,12),tblDaily[WardCode],"MAE")),"")</f>
        <v/>
      </c>
      <c r="G19" s="39">
        <f>IFERROR(IF(SUMIFS(tblDaily[TransfersOut],tblDaily[EntryDate],DATE(2026,1,12),tblDaily[WardCode],"MAE")=0,"",SUMIFS(tblDaily[TransfersOut],tblDaily[EntryDate],DATE(2026,1,12),tblDaily[WardCode],"MAE")),"")</f>
        <v>3</v>
      </c>
      <c r="H19" s="39">
        <f>IFERROR(IF(SUMIFS(tblDaily[Remaining],tblDaily[EntryDate],DATE(2026,1,12),tblDaily[WardCode],"MAE")=0,"",SUMIFS(tblDaily[Remaining],tblDaily[EntryDate],DATE(2026,1,12),tblDaily[WardCode],"MAE")),"")</f>
        <v>1</v>
      </c>
      <c r="I19" s="39" t="str">
        <f>IFERROR(IF(SUMIFS(tblDaily[Admissions],tblDaily[EntryDate],DATE(2026,1,12),tblDaily[WardCode],"FAE")=0,"",SUMIFS(tblDaily[Admissions],tblDaily[EntryDate],DATE(2026,1,12),tblDaily[WardCode],"FAE")),"")</f>
        <v/>
      </c>
      <c r="J19" s="39">
        <f>IFERROR(IF(SUMIFS(tblDaily[Discharges],tblDaily[EntryDate],DATE(2026,1,12),tblDaily[WardCode],"FAE")=0,"",SUMIFS(tblDaily[Discharges],tblDaily[EntryDate],DATE(2026,1,12),tblDaily[WardCode],"FAE")),"")</f>
        <v>2</v>
      </c>
      <c r="K19" s="39" t="str">
        <f>IFERROR(IF(SUMIFS(tblDaily[Deaths],tblDaily[EntryDate],DATE(2026,1,12),tblDaily[WardCode],"FAE")=0,"",SUMIFS(tblDaily[Deaths],tblDaily[EntryDate],DATE(2026,1,12),tblDaily[WardCode],"FAE")),"")</f>
        <v/>
      </c>
      <c r="L19" s="39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39" t="str">
        <f>IFERROR(IF(SUMIFS(tblDaily[TransfersIn],tblDaily[EntryDate],DATE(2026,1,12),tblDaily[WardCode],"FAE")=0,"",SUMIFS(tblDaily[TransfersIn],tblDaily[EntryDate],DATE(2026,1,12),tblDaily[WardCode],"FAE")),"")</f>
        <v/>
      </c>
      <c r="N19" s="39" t="str">
        <f>IFERROR(IF(SUMIFS(tblDaily[TransfersOut],tblDaily[EntryDate],DATE(2026,1,12),tblDaily[WardCode],"FAE")=0,"",SUMIFS(tblDaily[TransfersOut],tblDaily[EntryDate],DATE(2026,1,12),tblDaily[WardCode],"FAE")),"")</f>
        <v/>
      </c>
      <c r="O19" s="39" t="str">
        <f>IFERROR(IF(SUMIFS(tblDaily[Remaining],tblDaily[EntryDate],DATE(2026,1,12),tblDaily[WardCode],"FAE")=0,"",SUMIFS(tblDaily[Remaining],tblDaily[EntryDate],DATE(2026,1,12),tblDaily[WardCode],"FAE")),"")</f>
        <v/>
      </c>
      <c r="P19" s="40">
        <f t="shared" si="0"/>
        <v>1</v>
      </c>
    </row>
    <row r="20" spans="1:16" x14ac:dyDescent="0.25">
      <c r="A20" s="39">
        <v>13</v>
      </c>
      <c r="B20" s="39">
        <f>IFERROR(IF(SUMIFS(tblDaily[Admissions],tblDaily[EntryDate],DATE(2026,1,13),tblDaily[WardCode],"MAE")=0,"",SUMIFS(tblDaily[Admissions],tblDaily[EntryDate],DATE(2026,1,13),tblDaily[WardCode],"MAE")),"")</f>
        <v>4</v>
      </c>
      <c r="C20" s="39" t="str">
        <f>IFERROR(IF(SUMIFS(tblDaily[Discharges],tblDaily[EntryDate],DATE(2026,1,13),tblDaily[WardCode],"MAE")=0,"",SUMIFS(tblDaily[Discharges],tblDaily[EntryDate],DATE(2026,1,13),tblDaily[WardCode],"MAE")),"")</f>
        <v/>
      </c>
      <c r="D20" s="39" t="str">
        <f>IFERROR(IF(SUMIFS(tblDaily[Deaths],tblDaily[EntryDate],DATE(2026,1,13),tblDaily[WardCode],"MAE")=0,"",SUMIFS(tblDaily[Deaths],tblDaily[EntryDate],DATE(2026,1,13),tblDaily[WardCode],"MAE")),"")</f>
        <v/>
      </c>
      <c r="E20" s="39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39" t="str">
        <f>IFERROR(IF(SUMIFS(tblDaily[TransfersIn],tblDaily[EntryDate],DATE(2026,1,13),tblDaily[WardCode],"MAE")=0,"",SUMIFS(tblDaily[TransfersIn],tblDaily[EntryDate],DATE(2026,1,13),tblDaily[WardCode],"MAE")),"")</f>
        <v/>
      </c>
      <c r="G20" s="39">
        <f>IFERROR(IF(SUMIFS(tblDaily[TransfersOut],tblDaily[EntryDate],DATE(2026,1,13),tblDaily[WardCode],"MAE")=0,"",SUMIFS(tblDaily[TransfersOut],tblDaily[EntryDate],DATE(2026,1,13),tblDaily[WardCode],"MAE")),"")</f>
        <v>2</v>
      </c>
      <c r="H20" s="39">
        <f>IFERROR(IF(SUMIFS(tblDaily[Remaining],tblDaily[EntryDate],DATE(2026,1,13),tblDaily[WardCode],"MAE")=0,"",SUMIFS(tblDaily[Remaining],tblDaily[EntryDate],DATE(2026,1,13),tblDaily[WardCode],"MAE")),"")</f>
        <v>3</v>
      </c>
      <c r="I20" s="39">
        <f>IFERROR(IF(SUMIFS(tblDaily[Admissions],tblDaily[EntryDate],DATE(2026,1,13),tblDaily[WardCode],"FAE")=0,"",SUMIFS(tblDaily[Admissions],tblDaily[EntryDate],DATE(2026,1,13),tblDaily[WardCode],"FAE")),"")</f>
        <v>1</v>
      </c>
      <c r="J20" s="39" t="str">
        <f>IFERROR(IF(SUMIFS(tblDaily[Discharges],tblDaily[EntryDate],DATE(2026,1,13),tblDaily[WardCode],"FAE")=0,"",SUMIFS(tblDaily[Discharges],tblDaily[EntryDate],DATE(2026,1,13),tblDaily[WardCode],"FAE")),"")</f>
        <v/>
      </c>
      <c r="K20" s="39" t="str">
        <f>IFERROR(IF(SUMIFS(tblDaily[Deaths],tblDaily[EntryDate],DATE(2026,1,13),tblDaily[WardCode],"FAE")=0,"",SUMIFS(tblDaily[Deaths],tblDaily[EntryDate],DATE(2026,1,13),tblDaily[WardCode],"FAE")),"")</f>
        <v/>
      </c>
      <c r="L20" s="39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39" t="str">
        <f>IFERROR(IF(SUMIFS(tblDaily[TransfersIn],tblDaily[EntryDate],DATE(2026,1,13),tblDaily[WardCode],"FAE")=0,"",SUMIFS(tblDaily[TransfersIn],tblDaily[EntryDate],DATE(2026,1,13),tblDaily[WardCode],"FAE")),"")</f>
        <v/>
      </c>
      <c r="N20" s="39" t="str">
        <f>IFERROR(IF(SUMIFS(tblDaily[TransfersOut],tblDaily[EntryDate],DATE(2026,1,13),tblDaily[WardCode],"FAE")=0,"",SUMIFS(tblDaily[TransfersOut],tblDaily[EntryDate],DATE(2026,1,13),tblDaily[WardCode],"FAE")),"")</f>
        <v/>
      </c>
      <c r="O20" s="39">
        <f>IFERROR(IF(SUMIFS(tblDaily[Remaining],tblDaily[EntryDate],DATE(2026,1,13),tblDaily[WardCode],"FAE")=0,"",SUMIFS(tblDaily[Remaining],tblDaily[EntryDate],DATE(2026,1,13),tblDaily[WardCode],"FAE")),"")</f>
        <v>1</v>
      </c>
      <c r="P20" s="40">
        <f t="shared" si="0"/>
        <v>4</v>
      </c>
    </row>
    <row r="21" spans="1:16" x14ac:dyDescent="0.25">
      <c r="A21" s="39">
        <v>14</v>
      </c>
      <c r="B21" s="39">
        <f>IFERROR(IF(SUMIFS(tblDaily[Admissions],tblDaily[EntryDate],DATE(2026,1,14),tblDaily[WardCode],"MAE")=0,"",SUMIFS(tblDaily[Admissions],tblDaily[EntryDate],DATE(2026,1,14),tblDaily[WardCode],"MAE")),"")</f>
        <v>4</v>
      </c>
      <c r="C21" s="39" t="str">
        <f>IFERROR(IF(SUMIFS(tblDaily[Discharges],tblDaily[EntryDate],DATE(2026,1,14),tblDaily[WardCode],"MAE")=0,"",SUMIFS(tblDaily[Discharges],tblDaily[EntryDate],DATE(2026,1,14),tblDaily[WardCode],"MAE")),"")</f>
        <v/>
      </c>
      <c r="D21" s="39" t="str">
        <f>IFERROR(IF(SUMIFS(tblDaily[Deaths],tblDaily[EntryDate],DATE(2026,1,14),tblDaily[WardCode],"MAE")=0,"",SUMIFS(tblDaily[Deaths],tblDaily[EntryDate],DATE(2026,1,14),tblDaily[WardCode],"MAE")),"")</f>
        <v/>
      </c>
      <c r="E21" s="39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39" t="str">
        <f>IFERROR(IF(SUMIFS(tblDaily[TransfersIn],tblDaily[EntryDate],DATE(2026,1,14),tblDaily[WardCode],"MAE")=0,"",SUMIFS(tblDaily[TransfersIn],tblDaily[EntryDate],DATE(2026,1,14),tblDaily[WardCode],"MAE")),"")</f>
        <v/>
      </c>
      <c r="G21" s="39">
        <f>IFERROR(IF(SUMIFS(tblDaily[TransfersOut],tblDaily[EntryDate],DATE(2026,1,14),tblDaily[WardCode],"MAE")=0,"",SUMIFS(tblDaily[TransfersOut],tblDaily[EntryDate],DATE(2026,1,14),tblDaily[WardCode],"MAE")),"")</f>
        <v>1</v>
      </c>
      <c r="H21" s="39">
        <f>IFERROR(IF(SUMIFS(tblDaily[Remaining],tblDaily[EntryDate],DATE(2026,1,14),tblDaily[WardCode],"MAE")=0,"",SUMIFS(tblDaily[Remaining],tblDaily[EntryDate],DATE(2026,1,14),tblDaily[WardCode],"MAE")),"")</f>
        <v>6</v>
      </c>
      <c r="I21" s="39">
        <f>IFERROR(IF(SUMIFS(tblDaily[Admissions],tblDaily[EntryDate],DATE(2026,1,14),tblDaily[WardCode],"FAE")=0,"",SUMIFS(tblDaily[Admissions],tblDaily[EntryDate],DATE(2026,1,14),tblDaily[WardCode],"FAE")),"")</f>
        <v>4</v>
      </c>
      <c r="J21" s="39">
        <f>IFERROR(IF(SUMIFS(tblDaily[Discharges],tblDaily[EntryDate],DATE(2026,1,14),tblDaily[WardCode],"FAE")=0,"",SUMIFS(tblDaily[Discharges],tblDaily[EntryDate],DATE(2026,1,14),tblDaily[WardCode],"FAE")),"")</f>
        <v>2</v>
      </c>
      <c r="K21" s="39" t="str">
        <f>IFERROR(IF(SUMIFS(tblDaily[Deaths],tblDaily[EntryDate],DATE(2026,1,14),tblDaily[WardCode],"FAE")=0,"",SUMIFS(tblDaily[Deaths],tblDaily[EntryDate],DATE(2026,1,14),tblDaily[WardCode],"FAE")),"")</f>
        <v/>
      </c>
      <c r="L21" s="39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39" t="str">
        <f>IFERROR(IF(SUMIFS(tblDaily[TransfersIn],tblDaily[EntryDate],DATE(2026,1,14),tblDaily[WardCode],"FAE")=0,"",SUMIFS(tblDaily[TransfersIn],tblDaily[EntryDate],DATE(2026,1,14),tblDaily[WardCode],"FAE")),"")</f>
        <v/>
      </c>
      <c r="N21" s="39">
        <f>IFERROR(IF(SUMIFS(tblDaily[TransfersOut],tblDaily[EntryDate],DATE(2026,1,14),tblDaily[WardCode],"FAE")=0,"",SUMIFS(tblDaily[TransfersOut],tblDaily[EntryDate],DATE(2026,1,14),tblDaily[WardCode],"FAE")),"")</f>
        <v>1</v>
      </c>
      <c r="O21" s="39">
        <f>IFERROR(IF(SUMIFS(tblDaily[Remaining],tblDaily[EntryDate],DATE(2026,1,14),tblDaily[WardCode],"FAE")=0,"",SUMIFS(tblDaily[Remaining],tblDaily[EntryDate],DATE(2026,1,14),tblDaily[WardCode],"FAE")),"")</f>
        <v>2</v>
      </c>
      <c r="P21" s="40">
        <f t="shared" si="0"/>
        <v>8</v>
      </c>
    </row>
    <row r="22" spans="1:16" x14ac:dyDescent="0.25">
      <c r="A22" s="39">
        <v>15</v>
      </c>
      <c r="B22" s="39">
        <f>IFERROR(IF(SUMIFS(tblDaily[Admissions],tblDaily[EntryDate],DATE(2026,1,15),tblDaily[WardCode],"MAE")=0,"",SUMIFS(tblDaily[Admissions],tblDaily[EntryDate],DATE(2026,1,15),tblDaily[WardCode],"MAE")),"")</f>
        <v>1</v>
      </c>
      <c r="C22" s="39">
        <f>IFERROR(IF(SUMIFS(tblDaily[Discharges],tblDaily[EntryDate],DATE(2026,1,15),tblDaily[WardCode],"MAE")=0,"",SUMIFS(tblDaily[Discharges],tblDaily[EntryDate],DATE(2026,1,15),tblDaily[WardCode],"MAE")),"")</f>
        <v>2</v>
      </c>
      <c r="D22" s="39" t="str">
        <f>IFERROR(IF(SUMIFS(tblDaily[Deaths],tblDaily[EntryDate],DATE(2026,1,15),tblDaily[WardCode],"MAE")=0,"",SUMIFS(tblDaily[Deaths],tblDaily[EntryDate],DATE(2026,1,15),tblDaily[WardCode],"MAE")),"")</f>
        <v/>
      </c>
      <c r="E22" s="39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39" t="str">
        <f>IFERROR(IF(SUMIFS(tblDaily[TransfersIn],tblDaily[EntryDate],DATE(2026,1,15),tblDaily[WardCode],"MAE")=0,"",SUMIFS(tblDaily[TransfersIn],tblDaily[EntryDate],DATE(2026,1,15),tblDaily[WardCode],"MAE")),"")</f>
        <v/>
      </c>
      <c r="G22" s="39" t="str">
        <f>IFERROR(IF(SUMIFS(tblDaily[TransfersOut],tblDaily[EntryDate],DATE(2026,1,15),tblDaily[WardCode],"MAE")=0,"",SUMIFS(tblDaily[TransfersOut],tblDaily[EntryDate],DATE(2026,1,15),tblDaily[WardCode],"MAE")),"")</f>
        <v/>
      </c>
      <c r="H22" s="39">
        <f>IFERROR(IF(SUMIFS(tblDaily[Remaining],tblDaily[EntryDate],DATE(2026,1,15),tblDaily[WardCode],"MAE")=0,"",SUMIFS(tblDaily[Remaining],tblDaily[EntryDate],DATE(2026,1,15),tblDaily[WardCode],"MAE")),"")</f>
        <v>5</v>
      </c>
      <c r="I22" s="39">
        <f>IFERROR(IF(SUMIFS(tblDaily[Admissions],tblDaily[EntryDate],DATE(2026,1,15),tblDaily[WardCode],"FAE")=0,"",SUMIFS(tblDaily[Admissions],tblDaily[EntryDate],DATE(2026,1,15),tblDaily[WardCode],"FAE")),"")</f>
        <v>3</v>
      </c>
      <c r="J22" s="39">
        <f>IFERROR(IF(SUMIFS(tblDaily[Discharges],tblDaily[EntryDate],DATE(2026,1,15),tblDaily[WardCode],"FAE")=0,"",SUMIFS(tblDaily[Discharges],tblDaily[EntryDate],DATE(2026,1,15),tblDaily[WardCode],"FAE")),"")</f>
        <v>2</v>
      </c>
      <c r="K22" s="39" t="str">
        <f>IFERROR(IF(SUMIFS(tblDaily[Deaths],tblDaily[EntryDate],DATE(2026,1,15),tblDaily[WardCode],"FAE")=0,"",SUMIFS(tblDaily[Deaths],tblDaily[EntryDate],DATE(2026,1,15),tblDaily[WardCode],"FAE")),"")</f>
        <v/>
      </c>
      <c r="L22" s="39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39" t="str">
        <f>IFERROR(IF(SUMIFS(tblDaily[TransfersIn],tblDaily[EntryDate],DATE(2026,1,15),tblDaily[WardCode],"FAE")=0,"",SUMIFS(tblDaily[TransfersIn],tblDaily[EntryDate],DATE(2026,1,15),tblDaily[WardCode],"FAE")),"")</f>
        <v/>
      </c>
      <c r="N22" s="39">
        <f>IFERROR(IF(SUMIFS(tblDaily[TransfersOut],tblDaily[EntryDate],DATE(2026,1,15),tblDaily[WardCode],"FAE")=0,"",SUMIFS(tblDaily[TransfersOut],tblDaily[EntryDate],DATE(2026,1,15),tblDaily[WardCode],"FAE")),"")</f>
        <v>2</v>
      </c>
      <c r="O22" s="39">
        <f>IFERROR(IF(SUMIFS(tblDaily[Remaining],tblDaily[EntryDate],DATE(2026,1,15),tblDaily[WardCode],"FAE")=0,"",SUMIFS(tblDaily[Remaining],tblDaily[EntryDate],DATE(2026,1,15),tblDaily[WardCode],"FAE")),"")</f>
        <v>1</v>
      </c>
      <c r="P22" s="40">
        <f t="shared" si="0"/>
        <v>6</v>
      </c>
    </row>
    <row r="23" spans="1:16" x14ac:dyDescent="0.25">
      <c r="A23" s="39">
        <v>16</v>
      </c>
      <c r="B23" s="39">
        <f>IFERROR(IF(SUMIFS(tblDaily[Admissions],tblDaily[EntryDate],DATE(2026,1,16),tblDaily[WardCode],"MAE")=0,"",SUMIFS(tblDaily[Admissions],tblDaily[EntryDate],DATE(2026,1,16),tblDaily[WardCode],"MAE")),"")</f>
        <v>6</v>
      </c>
      <c r="C23" s="39">
        <f>IFERROR(IF(SUMIFS(tblDaily[Discharges],tblDaily[EntryDate],DATE(2026,1,16),tblDaily[WardCode],"MAE")=0,"",SUMIFS(tblDaily[Discharges],tblDaily[EntryDate],DATE(2026,1,16),tblDaily[WardCode],"MAE")),"")</f>
        <v>1</v>
      </c>
      <c r="D23" s="39" t="str">
        <f>IFERROR(IF(SUMIFS(tblDaily[Deaths],tblDaily[EntryDate],DATE(2026,1,16),tblDaily[WardCode],"MAE")=0,"",SUMIFS(tblDaily[Deaths],tblDaily[EntryDate],DATE(2026,1,16),tblDaily[WardCode],"MAE")),"")</f>
        <v/>
      </c>
      <c r="E23" s="39">
        <f>IFERROR(IF(SUMIFS(tblDaily[DeathsUnder24Hrs],tblDaily[EntryDate],DATE(2026,1,16),tblDaily[WardCode],"MAE")=0,"",SUMIFS(tblDaily[DeathsUnder24Hrs],tblDaily[EntryDate],DATE(2026,1,16),tblDaily[WardCode],"MAE")),"")</f>
        <v>1</v>
      </c>
      <c r="F23" s="39" t="str">
        <f>IFERROR(IF(SUMIFS(tblDaily[TransfersIn],tblDaily[EntryDate],DATE(2026,1,16),tblDaily[WardCode],"MAE")=0,"",SUMIFS(tblDaily[TransfersIn],tblDaily[EntryDate],DATE(2026,1,16),tblDaily[WardCode],"MAE")),"")</f>
        <v/>
      </c>
      <c r="G23" s="39" t="str">
        <f>IFERROR(IF(SUMIFS(tblDaily[TransfersOut],tblDaily[EntryDate],DATE(2026,1,16),tblDaily[WardCode],"MAE")=0,"",SUMIFS(tblDaily[TransfersOut],tblDaily[EntryDate],DATE(2026,1,16),tblDaily[WardCode],"MAE")),"")</f>
        <v/>
      </c>
      <c r="H23" s="39">
        <f>IFERROR(IF(SUMIFS(tblDaily[Remaining],tblDaily[EntryDate],DATE(2026,1,16),tblDaily[WardCode],"MAE")=0,"",SUMIFS(tblDaily[Remaining],tblDaily[EntryDate],DATE(2026,1,16),tblDaily[WardCode],"MAE")),"")</f>
        <v>9</v>
      </c>
      <c r="I23" s="39">
        <f>IFERROR(IF(SUMIFS(tblDaily[Admissions],tblDaily[EntryDate],DATE(2026,1,16),tblDaily[WardCode],"FAE")=0,"",SUMIFS(tblDaily[Admissions],tblDaily[EntryDate],DATE(2026,1,16),tblDaily[WardCode],"FAE")),"")</f>
        <v>1</v>
      </c>
      <c r="J23" s="39" t="str">
        <f>IFERROR(IF(SUMIFS(tblDaily[Discharges],tblDaily[EntryDate],DATE(2026,1,16),tblDaily[WardCode],"FAE")=0,"",SUMIFS(tblDaily[Discharges],tblDaily[EntryDate],DATE(2026,1,16),tblDaily[WardCode],"FAE")),"")</f>
        <v/>
      </c>
      <c r="K23" s="39" t="str">
        <f>IFERROR(IF(SUMIFS(tblDaily[Deaths],tblDaily[EntryDate],DATE(2026,1,16),tblDaily[WardCode],"FAE")=0,"",SUMIFS(tblDaily[Deaths],tblDaily[EntryDate],DATE(2026,1,16),tblDaily[WardCode],"FAE")),"")</f>
        <v/>
      </c>
      <c r="L23" s="39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39" t="str">
        <f>IFERROR(IF(SUMIFS(tblDaily[TransfersIn],tblDaily[EntryDate],DATE(2026,1,16),tblDaily[WardCode],"FAE")=0,"",SUMIFS(tblDaily[TransfersIn],tblDaily[EntryDate],DATE(2026,1,16),tblDaily[WardCode],"FAE")),"")</f>
        <v/>
      </c>
      <c r="N23" s="39">
        <f>IFERROR(IF(SUMIFS(tblDaily[TransfersOut],tblDaily[EntryDate],DATE(2026,1,16),tblDaily[WardCode],"FAE")=0,"",SUMIFS(tblDaily[TransfersOut],tblDaily[EntryDate],DATE(2026,1,16),tblDaily[WardCode],"FAE")),"")</f>
        <v>2</v>
      </c>
      <c r="O23" s="39" t="str">
        <f>IFERROR(IF(SUMIFS(tblDaily[Remaining],tblDaily[EntryDate],DATE(2026,1,16),tblDaily[WardCode],"FAE")=0,"",SUMIFS(tblDaily[Remaining],tblDaily[EntryDate],DATE(2026,1,16),tblDaily[WardCode],"FAE")),"")</f>
        <v/>
      </c>
      <c r="P23" s="40">
        <f t="shared" si="0"/>
        <v>9</v>
      </c>
    </row>
    <row r="24" spans="1:16" x14ac:dyDescent="0.25">
      <c r="A24" s="39">
        <v>17</v>
      </c>
      <c r="B24" s="39">
        <f>IFERROR(IF(SUMIFS(tblDaily[Admissions],tblDaily[EntryDate],DATE(2026,1,17),tblDaily[WardCode],"MAE")=0,"",SUMIFS(tblDaily[Admissions],tblDaily[EntryDate],DATE(2026,1,17),tblDaily[WardCode],"MAE")),"")</f>
        <v>3</v>
      </c>
      <c r="C24" s="39" t="str">
        <f>IFERROR(IF(SUMIFS(tblDaily[Discharges],tblDaily[EntryDate],DATE(2026,1,17),tblDaily[WardCode],"MAE")=0,"",SUMIFS(tblDaily[Discharges],tblDaily[EntryDate],DATE(2026,1,17),tblDaily[WardCode],"MAE")),"")</f>
        <v/>
      </c>
      <c r="D24" s="39" t="str">
        <f>IFERROR(IF(SUMIFS(tblDaily[Deaths],tblDaily[EntryDate],DATE(2026,1,17),tblDaily[WardCode],"MAE")=0,"",SUMIFS(tblDaily[Deaths],tblDaily[EntryDate],DATE(2026,1,17),tblDaily[WardCode],"MAE")),"")</f>
        <v/>
      </c>
      <c r="E24" s="39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39" t="str">
        <f>IFERROR(IF(SUMIFS(tblDaily[TransfersIn],tblDaily[EntryDate],DATE(2026,1,17),tblDaily[WardCode],"MAE")=0,"",SUMIFS(tblDaily[TransfersIn],tblDaily[EntryDate],DATE(2026,1,17),tblDaily[WardCode],"MAE")),"")</f>
        <v/>
      </c>
      <c r="G24" s="39">
        <f>IFERROR(IF(SUMIFS(tblDaily[TransfersOut],tblDaily[EntryDate],DATE(2026,1,17),tblDaily[WardCode],"MAE")=0,"",SUMIFS(tblDaily[TransfersOut],tblDaily[EntryDate],DATE(2026,1,17),tblDaily[WardCode],"MAE")),"")</f>
        <v>3</v>
      </c>
      <c r="H24" s="39">
        <f>IFERROR(IF(SUMIFS(tblDaily[Remaining],tblDaily[EntryDate],DATE(2026,1,17),tblDaily[WardCode],"MAE")=0,"",SUMIFS(tblDaily[Remaining],tblDaily[EntryDate],DATE(2026,1,17),tblDaily[WardCode],"MAE")),"")</f>
        <v>9</v>
      </c>
      <c r="I24" s="39">
        <f>IFERROR(IF(SUMIFS(tblDaily[Admissions],tblDaily[EntryDate],DATE(2026,1,17),tblDaily[WardCode],"FAE")=0,"",SUMIFS(tblDaily[Admissions],tblDaily[EntryDate],DATE(2026,1,17),tblDaily[WardCode],"FAE")),"")</f>
        <v>3</v>
      </c>
      <c r="J24" s="39" t="str">
        <f>IFERROR(IF(SUMIFS(tblDaily[Discharges],tblDaily[EntryDate],DATE(2026,1,17),tblDaily[WardCode],"FAE")=0,"",SUMIFS(tblDaily[Discharges],tblDaily[EntryDate],DATE(2026,1,17),tblDaily[WardCode],"FAE")),"")</f>
        <v/>
      </c>
      <c r="K24" s="39" t="str">
        <f>IFERROR(IF(SUMIFS(tblDaily[Deaths],tblDaily[EntryDate],DATE(2026,1,17),tblDaily[WardCode],"FAE")=0,"",SUMIFS(tblDaily[Deaths],tblDaily[EntryDate],DATE(2026,1,17),tblDaily[WardCode],"FAE")),"")</f>
        <v/>
      </c>
      <c r="L24" s="39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39" t="str">
        <f>IFERROR(IF(SUMIFS(tblDaily[TransfersIn],tblDaily[EntryDate],DATE(2026,1,17),tblDaily[WardCode],"FAE")=0,"",SUMIFS(tblDaily[TransfersIn],tblDaily[EntryDate],DATE(2026,1,17),tblDaily[WardCode],"FAE")),"")</f>
        <v/>
      </c>
      <c r="N24" s="39">
        <f>IFERROR(IF(SUMIFS(tblDaily[TransfersOut],tblDaily[EntryDate],DATE(2026,1,17),tblDaily[WardCode],"FAE")=0,"",SUMIFS(tblDaily[TransfersOut],tblDaily[EntryDate],DATE(2026,1,17),tblDaily[WardCode],"FAE")),"")</f>
        <v>2</v>
      </c>
      <c r="O24" s="39">
        <f>IFERROR(IF(SUMIFS(tblDaily[Remaining],tblDaily[EntryDate],DATE(2026,1,17),tblDaily[WardCode],"FAE")=0,"",SUMIFS(tblDaily[Remaining],tblDaily[EntryDate],DATE(2026,1,17),tblDaily[WardCode],"FAE")),"")</f>
        <v>1</v>
      </c>
      <c r="P24" s="40">
        <f t="shared" si="0"/>
        <v>10</v>
      </c>
    </row>
    <row r="25" spans="1:16" x14ac:dyDescent="0.25">
      <c r="A25" s="39">
        <v>18</v>
      </c>
      <c r="B25" s="39" t="str">
        <f>IFERROR(IF(SUMIFS(tblDaily[Admissions],tblDaily[EntryDate],DATE(2026,1,18),tblDaily[WardCode],"MAE")=0,"",SUMIFS(tblDaily[Admissions],tblDaily[EntryDate],DATE(2026,1,18),tblDaily[WardCode],"MAE")),"")</f>
        <v/>
      </c>
      <c r="C25" s="39">
        <f>IFERROR(IF(SUMIFS(tblDaily[Discharges],tblDaily[EntryDate],DATE(2026,1,18),tblDaily[WardCode],"MAE")=0,"",SUMIFS(tblDaily[Discharges],tblDaily[EntryDate],DATE(2026,1,18),tblDaily[WardCode],"MAE")),"")</f>
        <v>1</v>
      </c>
      <c r="D25" s="39" t="str">
        <f>IFERROR(IF(SUMIFS(tblDaily[Deaths],tblDaily[EntryDate],DATE(2026,1,18),tblDaily[WardCode],"MAE")=0,"",SUMIFS(tblDaily[Deaths],tblDaily[EntryDate],DATE(2026,1,18),tblDaily[WardCode],"MAE")),"")</f>
        <v/>
      </c>
      <c r="E25" s="39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39" t="str">
        <f>IFERROR(IF(SUMIFS(tblDaily[TransfersIn],tblDaily[EntryDate],DATE(2026,1,18),tblDaily[WardCode],"MAE")=0,"",SUMIFS(tblDaily[TransfersIn],tblDaily[EntryDate],DATE(2026,1,18),tblDaily[WardCode],"MAE")),"")</f>
        <v/>
      </c>
      <c r="G25" s="39">
        <f>IFERROR(IF(SUMIFS(tblDaily[TransfersOut],tblDaily[EntryDate],DATE(2026,1,18),tblDaily[WardCode],"MAE")=0,"",SUMIFS(tblDaily[TransfersOut],tblDaily[EntryDate],DATE(2026,1,18),tblDaily[WardCode],"MAE")),"")</f>
        <v>2</v>
      </c>
      <c r="H25" s="39">
        <f>IFERROR(IF(SUMIFS(tblDaily[Remaining],tblDaily[EntryDate],DATE(2026,1,18),tblDaily[WardCode],"MAE")=0,"",SUMIFS(tblDaily[Remaining],tblDaily[EntryDate],DATE(2026,1,18),tblDaily[WardCode],"MAE")),"")</f>
        <v>6</v>
      </c>
      <c r="I25" s="39">
        <f>IFERROR(IF(SUMIFS(tblDaily[Admissions],tblDaily[EntryDate],DATE(2026,1,18),tblDaily[WardCode],"FAE")=0,"",SUMIFS(tblDaily[Admissions],tblDaily[EntryDate],DATE(2026,1,18),tblDaily[WardCode],"FAE")),"")</f>
        <v>4</v>
      </c>
      <c r="J25" s="39" t="str">
        <f>IFERROR(IF(SUMIFS(tblDaily[Discharges],tblDaily[EntryDate],DATE(2026,1,18),tblDaily[WardCode],"FAE")=0,"",SUMIFS(tblDaily[Discharges],tblDaily[EntryDate],DATE(2026,1,18),tblDaily[WardCode],"FAE")),"")</f>
        <v/>
      </c>
      <c r="K25" s="39" t="str">
        <f>IFERROR(IF(SUMIFS(tblDaily[Deaths],tblDaily[EntryDate],DATE(2026,1,18),tblDaily[WardCode],"FAE")=0,"",SUMIFS(tblDaily[Deaths],tblDaily[EntryDate],DATE(2026,1,18),tblDaily[WardCode],"FAE")),"")</f>
        <v/>
      </c>
      <c r="L25" s="39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39" t="str">
        <f>IFERROR(IF(SUMIFS(tblDaily[TransfersIn],tblDaily[EntryDate],DATE(2026,1,18),tblDaily[WardCode],"FAE")=0,"",SUMIFS(tblDaily[TransfersIn],tblDaily[EntryDate],DATE(2026,1,18),tblDaily[WardCode],"FAE")),"")</f>
        <v/>
      </c>
      <c r="N25" s="39">
        <f>IFERROR(IF(SUMIFS(tblDaily[TransfersOut],tblDaily[EntryDate],DATE(2026,1,18),tblDaily[WardCode],"FAE")=0,"",SUMIFS(tblDaily[TransfersOut],tblDaily[EntryDate],DATE(2026,1,18),tblDaily[WardCode],"FAE")),"")</f>
        <v>1</v>
      </c>
      <c r="O25" s="39">
        <f>IFERROR(IF(SUMIFS(tblDaily[Remaining],tblDaily[EntryDate],DATE(2026,1,18),tblDaily[WardCode],"FAE")=0,"",SUMIFS(tblDaily[Remaining],tblDaily[EntryDate],DATE(2026,1,18),tblDaily[WardCode],"FAE")),"")</f>
        <v>4</v>
      </c>
      <c r="P25" s="40">
        <f t="shared" si="0"/>
        <v>10</v>
      </c>
    </row>
    <row r="26" spans="1:16" x14ac:dyDescent="0.25">
      <c r="A26" s="39">
        <v>19</v>
      </c>
      <c r="B26" s="39">
        <f>IFERROR(IF(SUMIFS(tblDaily[Admissions],tblDaily[EntryDate],DATE(2026,1,19),tblDaily[WardCode],"MAE")=0,"",SUMIFS(tblDaily[Admissions],tblDaily[EntryDate],DATE(2026,1,19),tblDaily[WardCode],"MAE")),"")</f>
        <v>2</v>
      </c>
      <c r="C26" s="39">
        <f>IFERROR(IF(SUMIFS(tblDaily[Discharges],tblDaily[EntryDate],DATE(2026,1,19),tblDaily[WardCode],"MAE")=0,"",SUMIFS(tblDaily[Discharges],tblDaily[EntryDate],DATE(2026,1,19),tblDaily[WardCode],"MAE")),"")</f>
        <v>4</v>
      </c>
      <c r="D26" s="39" t="str">
        <f>IFERROR(IF(SUMIFS(tblDaily[Deaths],tblDaily[EntryDate],DATE(2026,1,19),tblDaily[WardCode],"MAE")=0,"",SUMIFS(tblDaily[Deaths],tblDaily[EntryDate],DATE(2026,1,19),tblDaily[WardCode],"MAE")),"")</f>
        <v/>
      </c>
      <c r="E26" s="39">
        <f>IFERROR(IF(SUMIFS(tblDaily[DeathsUnder24Hrs],tblDaily[EntryDate],DATE(2026,1,19),tblDaily[WardCode],"MAE")=0,"",SUMIFS(tblDaily[DeathsUnder24Hrs],tblDaily[EntryDate],DATE(2026,1,19),tblDaily[WardCode],"MAE")),"")</f>
        <v>1</v>
      </c>
      <c r="F26" s="39" t="str">
        <f>IFERROR(IF(SUMIFS(tblDaily[TransfersIn],tblDaily[EntryDate],DATE(2026,1,19),tblDaily[WardCode],"MAE")=0,"",SUMIFS(tblDaily[TransfersIn],tblDaily[EntryDate],DATE(2026,1,19),tblDaily[WardCode],"MAE")),"")</f>
        <v/>
      </c>
      <c r="G26" s="39" t="str">
        <f>IFERROR(IF(SUMIFS(tblDaily[TransfersOut],tblDaily[EntryDate],DATE(2026,1,19),tblDaily[WardCode],"MAE")=0,"",SUMIFS(tblDaily[TransfersOut],tblDaily[EntryDate],DATE(2026,1,19),tblDaily[WardCode],"MAE")),"")</f>
        <v/>
      </c>
      <c r="H26" s="39">
        <f>IFERROR(IF(SUMIFS(tblDaily[Remaining],tblDaily[EntryDate],DATE(2026,1,19),tblDaily[WardCode],"MAE")=0,"",SUMIFS(tblDaily[Remaining],tblDaily[EntryDate],DATE(2026,1,19),tblDaily[WardCode],"MAE")),"")</f>
        <v>3</v>
      </c>
      <c r="I26" s="39">
        <f>IFERROR(IF(SUMIFS(tblDaily[Admissions],tblDaily[EntryDate],DATE(2026,1,19),tblDaily[WardCode],"FAE")=0,"",SUMIFS(tblDaily[Admissions],tblDaily[EntryDate],DATE(2026,1,19),tblDaily[WardCode],"FAE")),"")</f>
        <v>1</v>
      </c>
      <c r="J26" s="39">
        <f>IFERROR(IF(SUMIFS(tblDaily[Discharges],tblDaily[EntryDate],DATE(2026,1,19),tblDaily[WardCode],"FAE")=0,"",SUMIFS(tblDaily[Discharges],tblDaily[EntryDate],DATE(2026,1,19),tblDaily[WardCode],"FAE")),"")</f>
        <v>1</v>
      </c>
      <c r="K26" s="39" t="str">
        <f>IFERROR(IF(SUMIFS(tblDaily[Deaths],tblDaily[EntryDate],DATE(2026,1,19),tblDaily[WardCode],"FAE")=0,"",SUMIFS(tblDaily[Deaths],tblDaily[EntryDate],DATE(2026,1,19),tblDaily[WardCode],"FAE")),"")</f>
        <v/>
      </c>
      <c r="L26" s="39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39" t="str">
        <f>IFERROR(IF(SUMIFS(tblDaily[TransfersIn],tblDaily[EntryDate],DATE(2026,1,19),tblDaily[WardCode],"FAE")=0,"",SUMIFS(tblDaily[TransfersIn],tblDaily[EntryDate],DATE(2026,1,19),tblDaily[WardCode],"FAE")),"")</f>
        <v/>
      </c>
      <c r="N26" s="39">
        <f>IFERROR(IF(SUMIFS(tblDaily[TransfersOut],tblDaily[EntryDate],DATE(2026,1,19),tblDaily[WardCode],"FAE")=0,"",SUMIFS(tblDaily[TransfersOut],tblDaily[EntryDate],DATE(2026,1,19),tblDaily[WardCode],"FAE")),"")</f>
        <v>1</v>
      </c>
      <c r="O26" s="39">
        <f>IFERROR(IF(SUMIFS(tblDaily[Remaining],tblDaily[EntryDate],DATE(2026,1,19),tblDaily[WardCode],"FAE")=0,"",SUMIFS(tblDaily[Remaining],tblDaily[EntryDate],DATE(2026,1,19),tblDaily[WardCode],"FAE")),"")</f>
        <v>3</v>
      </c>
      <c r="P26" s="40">
        <f t="shared" si="0"/>
        <v>6</v>
      </c>
    </row>
    <row r="27" spans="1:16" x14ac:dyDescent="0.25">
      <c r="A27" s="39">
        <v>20</v>
      </c>
      <c r="B27" s="39">
        <f>IFERROR(IF(SUMIFS(tblDaily[Admissions],tblDaily[EntryDate],DATE(2026,1,20),tblDaily[WardCode],"MAE")=0,"",SUMIFS(tblDaily[Admissions],tblDaily[EntryDate],DATE(2026,1,20),tblDaily[WardCode],"MAE")),"")</f>
        <v>7</v>
      </c>
      <c r="C27" s="39">
        <f>IFERROR(IF(SUMIFS(tblDaily[Discharges],tblDaily[EntryDate],DATE(2026,1,20),tblDaily[WardCode],"MAE")=0,"",SUMIFS(tblDaily[Discharges],tblDaily[EntryDate],DATE(2026,1,20),tblDaily[WardCode],"MAE")),"")</f>
        <v>3</v>
      </c>
      <c r="D27" s="39" t="str">
        <f>IFERROR(IF(SUMIFS(tblDaily[Deaths],tblDaily[EntryDate],DATE(2026,1,20),tblDaily[WardCode],"MAE")=0,"",SUMIFS(tblDaily[Deaths],tblDaily[EntryDate],DATE(2026,1,20),tblDaily[WardCode],"MAE")),"")</f>
        <v/>
      </c>
      <c r="E27" s="39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39" t="str">
        <f>IFERROR(IF(SUMIFS(tblDaily[TransfersIn],tblDaily[EntryDate],DATE(2026,1,20),tblDaily[WardCode],"MAE")=0,"",SUMIFS(tblDaily[TransfersIn],tblDaily[EntryDate],DATE(2026,1,20),tblDaily[WardCode],"MAE")),"")</f>
        <v/>
      </c>
      <c r="G27" s="39">
        <f>IFERROR(IF(SUMIFS(tblDaily[TransfersOut],tblDaily[EntryDate],DATE(2026,1,20),tblDaily[WardCode],"MAE")=0,"",SUMIFS(tblDaily[TransfersOut],tblDaily[EntryDate],DATE(2026,1,20),tblDaily[WardCode],"MAE")),"")</f>
        <v>1</v>
      </c>
      <c r="H27" s="39">
        <f>IFERROR(IF(SUMIFS(tblDaily[Remaining],tblDaily[EntryDate],DATE(2026,1,20),tblDaily[WardCode],"MAE")=0,"",SUMIFS(tblDaily[Remaining],tblDaily[EntryDate],DATE(2026,1,20),tblDaily[WardCode],"MAE")),"")</f>
        <v>6</v>
      </c>
      <c r="I27" s="39">
        <f>IFERROR(IF(SUMIFS(tblDaily[Admissions],tblDaily[EntryDate],DATE(2026,1,20),tblDaily[WardCode],"FAE")=0,"",SUMIFS(tblDaily[Admissions],tblDaily[EntryDate],DATE(2026,1,20),tblDaily[WardCode],"FAE")),"")</f>
        <v>1</v>
      </c>
      <c r="J27" s="39" t="str">
        <f>IFERROR(IF(SUMIFS(tblDaily[Discharges],tblDaily[EntryDate],DATE(2026,1,20),tblDaily[WardCode],"FAE")=0,"",SUMIFS(tblDaily[Discharges],tblDaily[EntryDate],DATE(2026,1,20),tblDaily[WardCode],"FAE")),"")</f>
        <v/>
      </c>
      <c r="K27" s="39" t="str">
        <f>IFERROR(IF(SUMIFS(tblDaily[Deaths],tblDaily[EntryDate],DATE(2026,1,20),tblDaily[WardCode],"FAE")=0,"",SUMIFS(tblDaily[Deaths],tblDaily[EntryDate],DATE(2026,1,20),tblDaily[WardCode],"FAE")),"")</f>
        <v/>
      </c>
      <c r="L27" s="39">
        <f>IFERROR(IF(SUMIFS(tblDaily[DeathsUnder24Hrs],tblDaily[EntryDate],DATE(2026,1,20),tblDaily[WardCode],"FAE")=0,"",SUMIFS(tblDaily[DeathsUnder24Hrs],tblDaily[EntryDate],DATE(2026,1,20),tblDaily[WardCode],"FAE")),"")</f>
        <v>1</v>
      </c>
      <c r="M27" s="39" t="str">
        <f>IFERROR(IF(SUMIFS(tblDaily[TransfersIn],tblDaily[EntryDate],DATE(2026,1,20),tblDaily[WardCode],"FAE")=0,"",SUMIFS(tblDaily[TransfersIn],tblDaily[EntryDate],DATE(2026,1,20),tblDaily[WardCode],"FAE")),"")</f>
        <v/>
      </c>
      <c r="N27" s="39" t="str">
        <f>IFERROR(IF(SUMIFS(tblDaily[TransfersOut],tblDaily[EntryDate],DATE(2026,1,20),tblDaily[WardCode],"FAE")=0,"",SUMIFS(tblDaily[TransfersOut],tblDaily[EntryDate],DATE(2026,1,20),tblDaily[WardCode],"FAE")),"")</f>
        <v/>
      </c>
      <c r="O27" s="39">
        <f>IFERROR(IF(SUMIFS(tblDaily[Remaining],tblDaily[EntryDate],DATE(2026,1,20),tblDaily[WardCode],"FAE")=0,"",SUMIFS(tblDaily[Remaining],tblDaily[EntryDate],DATE(2026,1,20),tblDaily[WardCode],"FAE")),"")</f>
        <v>3</v>
      </c>
      <c r="P27" s="40">
        <f t="shared" si="0"/>
        <v>9</v>
      </c>
    </row>
    <row r="28" spans="1:16" x14ac:dyDescent="0.25">
      <c r="A28" s="39">
        <v>21</v>
      </c>
      <c r="B28" s="39">
        <f>IFERROR(IF(SUMIFS(tblDaily[Admissions],tblDaily[EntryDate],DATE(2026,1,21),tblDaily[WardCode],"MAE")=0,"",SUMIFS(tblDaily[Admissions],tblDaily[EntryDate],DATE(2026,1,21),tblDaily[WardCode],"MAE")),"")</f>
        <v>1</v>
      </c>
      <c r="C28" s="39">
        <f>IFERROR(IF(SUMIFS(tblDaily[Discharges],tblDaily[EntryDate],DATE(2026,1,21),tblDaily[WardCode],"MAE")=0,"",SUMIFS(tblDaily[Discharges],tblDaily[EntryDate],DATE(2026,1,21),tblDaily[WardCode],"MAE")),"")</f>
        <v>2</v>
      </c>
      <c r="D28" s="39" t="str">
        <f>IFERROR(IF(SUMIFS(tblDaily[Deaths],tblDaily[EntryDate],DATE(2026,1,21),tblDaily[WardCode],"MAE")=0,"",SUMIFS(tblDaily[Deaths],tblDaily[EntryDate],DATE(2026,1,21),tblDaily[WardCode],"MAE")),"")</f>
        <v/>
      </c>
      <c r="E28" s="39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39" t="str">
        <f>IFERROR(IF(SUMIFS(tblDaily[TransfersIn],tblDaily[EntryDate],DATE(2026,1,21),tblDaily[WardCode],"MAE")=0,"",SUMIFS(tblDaily[TransfersIn],tblDaily[EntryDate],DATE(2026,1,21),tblDaily[WardCode],"MAE")),"")</f>
        <v/>
      </c>
      <c r="G28" s="39">
        <f>IFERROR(IF(SUMIFS(tblDaily[TransfersOut],tblDaily[EntryDate],DATE(2026,1,21),tblDaily[WardCode],"MAE")=0,"",SUMIFS(tblDaily[TransfersOut],tblDaily[EntryDate],DATE(2026,1,21),tblDaily[WardCode],"MAE")),"")</f>
        <v>1</v>
      </c>
      <c r="H28" s="39">
        <f>IFERROR(IF(SUMIFS(tblDaily[Remaining],tblDaily[EntryDate],DATE(2026,1,21),tblDaily[WardCode],"MAE")=0,"",SUMIFS(tblDaily[Remaining],tblDaily[EntryDate],DATE(2026,1,21),tblDaily[WardCode],"MAE")),"")</f>
        <v>4</v>
      </c>
      <c r="I28" s="39">
        <f>IFERROR(IF(SUMIFS(tblDaily[Admissions],tblDaily[EntryDate],DATE(2026,1,21),tblDaily[WardCode],"FAE")=0,"",SUMIFS(tblDaily[Admissions],tblDaily[EntryDate],DATE(2026,1,21),tblDaily[WardCode],"FAE")),"")</f>
        <v>1</v>
      </c>
      <c r="J28" s="39" t="str">
        <f>IFERROR(IF(SUMIFS(tblDaily[Discharges],tblDaily[EntryDate],DATE(2026,1,21),tblDaily[WardCode],"FAE")=0,"",SUMIFS(tblDaily[Discharges],tblDaily[EntryDate],DATE(2026,1,21),tblDaily[WardCode],"FAE")),"")</f>
        <v/>
      </c>
      <c r="K28" s="39" t="str">
        <f>IFERROR(IF(SUMIFS(tblDaily[Deaths],tblDaily[EntryDate],DATE(2026,1,21),tblDaily[WardCode],"FAE")=0,"",SUMIFS(tblDaily[Deaths],tblDaily[EntryDate],DATE(2026,1,21),tblDaily[WardCode],"FAE")),"")</f>
        <v/>
      </c>
      <c r="L28" s="39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39" t="str">
        <f>IFERROR(IF(SUMIFS(tblDaily[TransfersIn],tblDaily[EntryDate],DATE(2026,1,21),tblDaily[WardCode],"FAE")=0,"",SUMIFS(tblDaily[TransfersIn],tblDaily[EntryDate],DATE(2026,1,21),tblDaily[WardCode],"FAE")),"")</f>
        <v/>
      </c>
      <c r="N28" s="39">
        <f>IFERROR(IF(SUMIFS(tblDaily[TransfersOut],tblDaily[EntryDate],DATE(2026,1,21),tblDaily[WardCode],"FAE")=0,"",SUMIFS(tblDaily[TransfersOut],tblDaily[EntryDate],DATE(2026,1,21),tblDaily[WardCode],"FAE")),"")</f>
        <v>1</v>
      </c>
      <c r="O28" s="39">
        <f>IFERROR(IF(SUMIFS(tblDaily[Remaining],tblDaily[EntryDate],DATE(2026,1,21),tblDaily[WardCode],"FAE")=0,"",SUMIFS(tblDaily[Remaining],tblDaily[EntryDate],DATE(2026,1,21),tblDaily[WardCode],"FAE")),"")</f>
        <v>3</v>
      </c>
      <c r="P28" s="40">
        <f t="shared" si="0"/>
        <v>7</v>
      </c>
    </row>
    <row r="29" spans="1:16" x14ac:dyDescent="0.25">
      <c r="A29" s="39">
        <v>22</v>
      </c>
      <c r="B29" s="39">
        <f>IFERROR(IF(SUMIFS(tblDaily[Admissions],tblDaily[EntryDate],DATE(2026,1,22),tblDaily[WardCode],"MAE")=0,"",SUMIFS(tblDaily[Admissions],tblDaily[EntryDate],DATE(2026,1,22),tblDaily[WardCode],"MAE")),"")</f>
        <v>5</v>
      </c>
      <c r="C29" s="39" t="str">
        <f>IFERROR(IF(SUMIFS(tblDaily[Discharges],tblDaily[EntryDate],DATE(2026,1,22),tblDaily[WardCode],"MAE")=0,"",SUMIFS(tblDaily[Discharges],tblDaily[EntryDate],DATE(2026,1,22),tblDaily[WardCode],"MAE")),"")</f>
        <v/>
      </c>
      <c r="D29" s="39" t="str">
        <f>IFERROR(IF(SUMIFS(tblDaily[Deaths],tblDaily[EntryDate],DATE(2026,1,22),tblDaily[WardCode],"MAE")=0,"",SUMIFS(tblDaily[Deaths],tblDaily[EntryDate],DATE(2026,1,22),tblDaily[WardCode],"MAE")),"")</f>
        <v/>
      </c>
      <c r="E29" s="39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39" t="str">
        <f>IFERROR(IF(SUMIFS(tblDaily[TransfersIn],tblDaily[EntryDate],DATE(2026,1,22),tblDaily[WardCode],"MAE")=0,"",SUMIFS(tblDaily[TransfersIn],tblDaily[EntryDate],DATE(2026,1,22),tblDaily[WardCode],"MAE")),"")</f>
        <v/>
      </c>
      <c r="G29" s="39">
        <f>IFERROR(IF(SUMIFS(tblDaily[TransfersOut],tblDaily[EntryDate],DATE(2026,1,22),tblDaily[WardCode],"MAE")=0,"",SUMIFS(tblDaily[TransfersOut],tblDaily[EntryDate],DATE(2026,1,22),tblDaily[WardCode],"MAE")),"")</f>
        <v>3</v>
      </c>
      <c r="H29" s="39">
        <f>IFERROR(IF(SUMIFS(tblDaily[Remaining],tblDaily[EntryDate],DATE(2026,1,22),tblDaily[WardCode],"MAE")=0,"",SUMIFS(tblDaily[Remaining],tblDaily[EntryDate],DATE(2026,1,22),tblDaily[WardCode],"MAE")),"")</f>
        <v>6</v>
      </c>
      <c r="I29" s="39">
        <f>IFERROR(IF(SUMIFS(tblDaily[Admissions],tblDaily[EntryDate],DATE(2026,1,22),tblDaily[WardCode],"FAE")=0,"",SUMIFS(tblDaily[Admissions],tblDaily[EntryDate],DATE(2026,1,22),tblDaily[WardCode],"FAE")),"")</f>
        <v>2</v>
      </c>
      <c r="J29" s="39" t="str">
        <f>IFERROR(IF(SUMIFS(tblDaily[Discharges],tblDaily[EntryDate],DATE(2026,1,22),tblDaily[WardCode],"FAE")=0,"",SUMIFS(tblDaily[Discharges],tblDaily[EntryDate],DATE(2026,1,22),tblDaily[WardCode],"FAE")),"")</f>
        <v/>
      </c>
      <c r="K29" s="39" t="str">
        <f>IFERROR(IF(SUMIFS(tblDaily[Deaths],tblDaily[EntryDate],DATE(2026,1,22),tblDaily[WardCode],"FAE")=0,"",SUMIFS(tblDaily[Deaths],tblDaily[EntryDate],DATE(2026,1,22),tblDaily[WardCode],"FAE")),"")</f>
        <v/>
      </c>
      <c r="L29" s="39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39" t="str">
        <f>IFERROR(IF(SUMIFS(tblDaily[TransfersIn],tblDaily[EntryDate],DATE(2026,1,22),tblDaily[WardCode],"FAE")=0,"",SUMIFS(tblDaily[TransfersIn],tblDaily[EntryDate],DATE(2026,1,22),tblDaily[WardCode],"FAE")),"")</f>
        <v/>
      </c>
      <c r="N29" s="39">
        <f>IFERROR(IF(SUMIFS(tblDaily[TransfersOut],tblDaily[EntryDate],DATE(2026,1,22),tblDaily[WardCode],"FAE")=0,"",SUMIFS(tblDaily[TransfersOut],tblDaily[EntryDate],DATE(2026,1,22),tblDaily[WardCode],"FAE")),"")</f>
        <v>2</v>
      </c>
      <c r="O29" s="39">
        <f>IFERROR(IF(SUMIFS(tblDaily[Remaining],tblDaily[EntryDate],DATE(2026,1,22),tblDaily[WardCode],"FAE")=0,"",SUMIFS(tblDaily[Remaining],tblDaily[EntryDate],DATE(2026,1,22),tblDaily[WardCode],"FAE")),"")</f>
        <v>3</v>
      </c>
      <c r="P29" s="40">
        <f t="shared" si="0"/>
        <v>9</v>
      </c>
    </row>
    <row r="30" spans="1:16" x14ac:dyDescent="0.25">
      <c r="A30" s="39">
        <v>23</v>
      </c>
      <c r="B30" s="39">
        <f>IFERROR(IF(SUMIFS(tblDaily[Admissions],tblDaily[EntryDate],DATE(2026,1,23),tblDaily[WardCode],"MAE")=0,"",SUMIFS(tblDaily[Admissions],tblDaily[EntryDate],DATE(2026,1,23),tblDaily[WardCode],"MAE")),"")</f>
        <v>4</v>
      </c>
      <c r="C30" s="39">
        <f>IFERROR(IF(SUMIFS(tblDaily[Discharges],tblDaily[EntryDate],DATE(2026,1,23),tblDaily[WardCode],"MAE")=0,"",SUMIFS(tblDaily[Discharges],tblDaily[EntryDate],DATE(2026,1,23),tblDaily[WardCode],"MAE")),"")</f>
        <v>1</v>
      </c>
      <c r="D30" s="39">
        <f>IFERROR(IF(SUMIFS(tblDaily[Deaths],tblDaily[EntryDate],DATE(2026,1,23),tblDaily[WardCode],"MAE")=0,"",SUMIFS(tblDaily[Deaths],tblDaily[EntryDate],DATE(2026,1,23),tblDaily[WardCode],"MAE")),"")</f>
        <v>1</v>
      </c>
      <c r="E30" s="39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39" t="str">
        <f>IFERROR(IF(SUMIFS(tblDaily[TransfersIn],tblDaily[EntryDate],DATE(2026,1,23),tblDaily[WardCode],"MAE")=0,"",SUMIFS(tblDaily[TransfersIn],tblDaily[EntryDate],DATE(2026,1,23),tblDaily[WardCode],"MAE")),"")</f>
        <v/>
      </c>
      <c r="G30" s="39">
        <f>IFERROR(IF(SUMIFS(tblDaily[TransfersOut],tblDaily[EntryDate],DATE(2026,1,23),tblDaily[WardCode],"MAE")=0,"",SUMIFS(tblDaily[TransfersOut],tblDaily[EntryDate],DATE(2026,1,23),tblDaily[WardCode],"MAE")),"")</f>
        <v>2</v>
      </c>
      <c r="H30" s="39">
        <f>IFERROR(IF(SUMIFS(tblDaily[Remaining],tblDaily[EntryDate],DATE(2026,1,23),tblDaily[WardCode],"MAE")=0,"",SUMIFS(tblDaily[Remaining],tblDaily[EntryDate],DATE(2026,1,23),tblDaily[WardCode],"MAE")),"")</f>
        <v>6</v>
      </c>
      <c r="I30" s="39">
        <f>IFERROR(IF(SUMIFS(tblDaily[Admissions],tblDaily[EntryDate],DATE(2026,1,23),tblDaily[WardCode],"FAE")=0,"",SUMIFS(tblDaily[Admissions],tblDaily[EntryDate],DATE(2026,1,23),tblDaily[WardCode],"FAE")),"")</f>
        <v>1</v>
      </c>
      <c r="J30" s="39">
        <f>IFERROR(IF(SUMIFS(tblDaily[Discharges],tblDaily[EntryDate],DATE(2026,1,23),tblDaily[WardCode],"FAE")=0,"",SUMIFS(tblDaily[Discharges],tblDaily[EntryDate],DATE(2026,1,23),tblDaily[WardCode],"FAE")),"")</f>
        <v>2</v>
      </c>
      <c r="K30" s="39" t="str">
        <f>IFERROR(IF(SUMIFS(tblDaily[Deaths],tblDaily[EntryDate],DATE(2026,1,23),tblDaily[WardCode],"FAE")=0,"",SUMIFS(tblDaily[Deaths],tblDaily[EntryDate],DATE(2026,1,23),tblDaily[WardCode],"FAE")),"")</f>
        <v/>
      </c>
      <c r="L30" s="39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39" t="str">
        <f>IFERROR(IF(SUMIFS(tblDaily[TransfersIn],tblDaily[EntryDate],DATE(2026,1,23),tblDaily[WardCode],"FAE")=0,"",SUMIFS(tblDaily[TransfersIn],tblDaily[EntryDate],DATE(2026,1,23),tblDaily[WardCode],"FAE")),"")</f>
        <v/>
      </c>
      <c r="N30" s="39" t="str">
        <f>IFERROR(IF(SUMIFS(tblDaily[TransfersOut],tblDaily[EntryDate],DATE(2026,1,23),tblDaily[WardCode],"FAE")=0,"",SUMIFS(tblDaily[TransfersOut],tblDaily[EntryDate],DATE(2026,1,23),tblDaily[WardCode],"FAE")),"")</f>
        <v/>
      </c>
      <c r="O30" s="39">
        <f>IFERROR(IF(SUMIFS(tblDaily[Remaining],tblDaily[EntryDate],DATE(2026,1,23),tblDaily[WardCode],"FAE")=0,"",SUMIFS(tblDaily[Remaining],tblDaily[EntryDate],DATE(2026,1,23),tblDaily[WardCode],"FAE")),"")</f>
        <v>2</v>
      </c>
      <c r="P30" s="40">
        <f t="shared" si="0"/>
        <v>8</v>
      </c>
    </row>
    <row r="31" spans="1:16" x14ac:dyDescent="0.25">
      <c r="A31" s="39">
        <v>24</v>
      </c>
      <c r="B31" s="39">
        <f>IFERROR(IF(SUMIFS(tblDaily[Admissions],tblDaily[EntryDate],DATE(2026,1,24),tblDaily[WardCode],"MAE")=0,"",SUMIFS(tblDaily[Admissions],tblDaily[EntryDate],DATE(2026,1,24),tblDaily[WardCode],"MAE")),"")</f>
        <v>3</v>
      </c>
      <c r="C31" s="39" t="str">
        <f>IFERROR(IF(SUMIFS(tblDaily[Discharges],tblDaily[EntryDate],DATE(2026,1,24),tblDaily[WardCode],"MAE")=0,"",SUMIFS(tblDaily[Discharges],tblDaily[EntryDate],DATE(2026,1,24),tblDaily[WardCode],"MAE")),"")</f>
        <v/>
      </c>
      <c r="D31" s="39">
        <f>IFERROR(IF(SUMIFS(tblDaily[Deaths],tblDaily[EntryDate],DATE(2026,1,24),tblDaily[WardCode],"MAE")=0,"",SUMIFS(tblDaily[Deaths],tblDaily[EntryDate],DATE(2026,1,24),tblDaily[WardCode],"MAE")),"")</f>
        <v>1</v>
      </c>
      <c r="E31" s="39">
        <f>IFERROR(IF(SUMIFS(tblDaily[DeathsUnder24Hrs],tblDaily[EntryDate],DATE(2026,1,24),tblDaily[WardCode],"MAE")=0,"",SUMIFS(tblDaily[DeathsUnder24Hrs],tblDaily[EntryDate],DATE(2026,1,24),tblDaily[WardCode],"MAE")),"")</f>
        <v>1</v>
      </c>
      <c r="F31" s="39" t="str">
        <f>IFERROR(IF(SUMIFS(tblDaily[TransfersIn],tblDaily[EntryDate],DATE(2026,1,24),tblDaily[WardCode],"MAE")=0,"",SUMIFS(tblDaily[TransfersIn],tblDaily[EntryDate],DATE(2026,1,24),tblDaily[WardCode],"MAE")),"")</f>
        <v/>
      </c>
      <c r="G31" s="39">
        <f>IFERROR(IF(SUMIFS(tblDaily[TransfersOut],tblDaily[EntryDate],DATE(2026,1,24),tblDaily[WardCode],"MAE")=0,"",SUMIFS(tblDaily[TransfersOut],tblDaily[EntryDate],DATE(2026,1,24),tblDaily[WardCode],"MAE")),"")</f>
        <v>2</v>
      </c>
      <c r="H31" s="39">
        <f>IFERROR(IF(SUMIFS(tblDaily[Remaining],tblDaily[EntryDate],DATE(2026,1,24),tblDaily[WardCode],"MAE")=0,"",SUMIFS(tblDaily[Remaining],tblDaily[EntryDate],DATE(2026,1,24),tblDaily[WardCode],"MAE")),"")</f>
        <v>5</v>
      </c>
      <c r="I31" s="39" t="str">
        <f>IFERROR(IF(SUMIFS(tblDaily[Admissions],tblDaily[EntryDate],DATE(2026,1,24),tblDaily[WardCode],"FAE")=0,"",SUMIFS(tblDaily[Admissions],tblDaily[EntryDate],DATE(2026,1,24),tblDaily[WardCode],"FAE")),"")</f>
        <v/>
      </c>
      <c r="J31" s="39">
        <f>IFERROR(IF(SUMIFS(tblDaily[Discharges],tblDaily[EntryDate],DATE(2026,1,24),tblDaily[WardCode],"FAE")=0,"",SUMIFS(tblDaily[Discharges],tblDaily[EntryDate],DATE(2026,1,24),tblDaily[WardCode],"FAE")),"")</f>
        <v>1</v>
      </c>
      <c r="K31" s="39" t="str">
        <f>IFERROR(IF(SUMIFS(tblDaily[Deaths],tblDaily[EntryDate],DATE(2026,1,24),tblDaily[WardCode],"FAE")=0,"",SUMIFS(tblDaily[Deaths],tblDaily[EntryDate],DATE(2026,1,24),tblDaily[WardCode],"FAE")),"")</f>
        <v/>
      </c>
      <c r="L31" s="39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39" t="str">
        <f>IFERROR(IF(SUMIFS(tblDaily[TransfersIn],tblDaily[EntryDate],DATE(2026,1,24),tblDaily[WardCode],"FAE")=0,"",SUMIFS(tblDaily[TransfersIn],tblDaily[EntryDate],DATE(2026,1,24),tblDaily[WardCode],"FAE")),"")</f>
        <v/>
      </c>
      <c r="N31" s="39">
        <f>IFERROR(IF(SUMIFS(tblDaily[TransfersOut],tblDaily[EntryDate],DATE(2026,1,24),tblDaily[WardCode],"FAE")=0,"",SUMIFS(tblDaily[TransfersOut],tblDaily[EntryDate],DATE(2026,1,24),tblDaily[WardCode],"FAE")),"")</f>
        <v>1</v>
      </c>
      <c r="O31" s="39" t="str">
        <f>IFERROR(IF(SUMIFS(tblDaily[Remaining],tblDaily[EntryDate],DATE(2026,1,24),tblDaily[WardCode],"FAE")=0,"",SUMIFS(tblDaily[Remaining],tblDaily[EntryDate],DATE(2026,1,24),tblDaily[WardCode],"FAE")),"")</f>
        <v/>
      </c>
      <c r="P31" s="40">
        <f t="shared" si="0"/>
        <v>5</v>
      </c>
    </row>
    <row r="32" spans="1:16" x14ac:dyDescent="0.25">
      <c r="A32" s="39">
        <v>25</v>
      </c>
      <c r="B32" s="39" t="str">
        <f>IFERROR(IF(SUMIFS(tblDaily[Admissions],tblDaily[EntryDate],DATE(2026,1,25),tblDaily[WardCode],"MAE")=0,"",SUMIFS(tblDaily[Admissions],tblDaily[EntryDate],DATE(2026,1,25),tblDaily[WardCode],"MAE")),"")</f>
        <v/>
      </c>
      <c r="C32" s="39">
        <f>IFERROR(IF(SUMIFS(tblDaily[Discharges],tblDaily[EntryDate],DATE(2026,1,25),tblDaily[WardCode],"MAE")=0,"",SUMIFS(tblDaily[Discharges],tblDaily[EntryDate],DATE(2026,1,25),tblDaily[WardCode],"MAE")),"")</f>
        <v>1</v>
      </c>
      <c r="D32" s="39" t="str">
        <f>IFERROR(IF(SUMIFS(tblDaily[Deaths],tblDaily[EntryDate],DATE(2026,1,25),tblDaily[WardCode],"MAE")=0,"",SUMIFS(tblDaily[Deaths],tblDaily[EntryDate],DATE(2026,1,25),tblDaily[WardCode],"MAE")),"")</f>
        <v/>
      </c>
      <c r="E32" s="39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39" t="str">
        <f>IFERROR(IF(SUMIFS(tblDaily[TransfersIn],tblDaily[EntryDate],DATE(2026,1,25),tblDaily[WardCode],"MAE")=0,"",SUMIFS(tblDaily[TransfersIn],tblDaily[EntryDate],DATE(2026,1,25),tblDaily[WardCode],"MAE")),"")</f>
        <v/>
      </c>
      <c r="G32" s="39">
        <f>IFERROR(IF(SUMIFS(tblDaily[TransfersOut],tblDaily[EntryDate],DATE(2026,1,25),tblDaily[WardCode],"MAE")=0,"",SUMIFS(tblDaily[TransfersOut],tblDaily[EntryDate],DATE(2026,1,25),tblDaily[WardCode],"MAE")),"")</f>
        <v>2</v>
      </c>
      <c r="H32" s="39">
        <f>IFERROR(IF(SUMIFS(tblDaily[Remaining],tblDaily[EntryDate],DATE(2026,1,25),tblDaily[WardCode],"MAE")=0,"",SUMIFS(tblDaily[Remaining],tblDaily[EntryDate],DATE(2026,1,25),tblDaily[WardCode],"MAE")),"")</f>
        <v>2</v>
      </c>
      <c r="I32" s="39">
        <f>IFERROR(IF(SUMIFS(tblDaily[Admissions],tblDaily[EntryDate],DATE(2026,1,25),tblDaily[WardCode],"FAE")=0,"",SUMIFS(tblDaily[Admissions],tblDaily[EntryDate],DATE(2026,1,25),tblDaily[WardCode],"FAE")),"")</f>
        <v>2</v>
      </c>
      <c r="J32" s="39" t="str">
        <f>IFERROR(IF(SUMIFS(tblDaily[Discharges],tblDaily[EntryDate],DATE(2026,1,25),tblDaily[WardCode],"FAE")=0,"",SUMIFS(tblDaily[Discharges],tblDaily[EntryDate],DATE(2026,1,25),tblDaily[WardCode],"FAE")),"")</f>
        <v/>
      </c>
      <c r="K32" s="39" t="str">
        <f>IFERROR(IF(SUMIFS(tblDaily[Deaths],tblDaily[EntryDate],DATE(2026,1,25),tblDaily[WardCode],"FAE")=0,"",SUMIFS(tblDaily[Deaths],tblDaily[EntryDate],DATE(2026,1,25),tblDaily[WardCode],"FAE")),"")</f>
        <v/>
      </c>
      <c r="L32" s="39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39" t="str">
        <f>IFERROR(IF(SUMIFS(tblDaily[TransfersIn],tblDaily[EntryDate],DATE(2026,1,25),tblDaily[WardCode],"FAE")=0,"",SUMIFS(tblDaily[TransfersIn],tblDaily[EntryDate],DATE(2026,1,25),tblDaily[WardCode],"FAE")),"")</f>
        <v/>
      </c>
      <c r="N32" s="39" t="str">
        <f>IFERROR(IF(SUMIFS(tblDaily[TransfersOut],tblDaily[EntryDate],DATE(2026,1,25),tblDaily[WardCode],"FAE")=0,"",SUMIFS(tblDaily[TransfersOut],tblDaily[EntryDate],DATE(2026,1,25),tblDaily[WardCode],"FAE")),"")</f>
        <v/>
      </c>
      <c r="O32" s="39">
        <f>IFERROR(IF(SUMIFS(tblDaily[Remaining],tblDaily[EntryDate],DATE(2026,1,25),tblDaily[WardCode],"FAE")=0,"",SUMIFS(tblDaily[Remaining],tblDaily[EntryDate],DATE(2026,1,25),tblDaily[WardCode],"FAE")),"")</f>
        <v>2</v>
      </c>
      <c r="P32" s="40">
        <f t="shared" si="0"/>
        <v>4</v>
      </c>
    </row>
    <row r="33" spans="1:16" x14ac:dyDescent="0.25">
      <c r="A33" s="39">
        <v>26</v>
      </c>
      <c r="B33" s="39">
        <f>IFERROR(IF(SUMIFS(tblDaily[Admissions],tblDaily[EntryDate],DATE(2026,1,26),tblDaily[WardCode],"MAE")=0,"",SUMIFS(tblDaily[Admissions],tblDaily[EntryDate],DATE(2026,1,26),tblDaily[WardCode],"MAE")),"")</f>
        <v>5</v>
      </c>
      <c r="C33" s="39">
        <f>IFERROR(IF(SUMIFS(tblDaily[Discharges],tblDaily[EntryDate],DATE(2026,1,26),tblDaily[WardCode],"MAE")=0,"",SUMIFS(tblDaily[Discharges],tblDaily[EntryDate],DATE(2026,1,26),tblDaily[WardCode],"MAE")),"")</f>
        <v>1</v>
      </c>
      <c r="D33" s="39" t="str">
        <f>IFERROR(IF(SUMIFS(tblDaily[Deaths],tblDaily[EntryDate],DATE(2026,1,26),tblDaily[WardCode],"MAE")=0,"",SUMIFS(tblDaily[Deaths],tblDaily[EntryDate],DATE(2026,1,26),tblDaily[WardCode],"MAE")),"")</f>
        <v/>
      </c>
      <c r="E33" s="39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39" t="str">
        <f>IFERROR(IF(SUMIFS(tblDaily[TransfersIn],tblDaily[EntryDate],DATE(2026,1,26),tblDaily[WardCode],"MAE")=0,"",SUMIFS(tblDaily[TransfersIn],tblDaily[EntryDate],DATE(2026,1,26),tblDaily[WardCode],"MAE")),"")</f>
        <v/>
      </c>
      <c r="G33" s="39">
        <f>IFERROR(IF(SUMIFS(tblDaily[TransfersOut],tblDaily[EntryDate],DATE(2026,1,26),tblDaily[WardCode],"MAE")=0,"",SUMIFS(tblDaily[TransfersOut],tblDaily[EntryDate],DATE(2026,1,26),tblDaily[WardCode],"MAE")),"")</f>
        <v>2</v>
      </c>
      <c r="H33" s="39">
        <f>IFERROR(IF(SUMIFS(tblDaily[Remaining],tblDaily[EntryDate],DATE(2026,1,26),tblDaily[WardCode],"MAE")=0,"",SUMIFS(tblDaily[Remaining],tblDaily[EntryDate],DATE(2026,1,26),tblDaily[WardCode],"MAE")),"")</f>
        <v>4</v>
      </c>
      <c r="I33" s="39" t="str">
        <f>IFERROR(IF(SUMIFS(tblDaily[Admissions],tblDaily[EntryDate],DATE(2026,1,26),tblDaily[WardCode],"FAE")=0,"",SUMIFS(tblDaily[Admissions],tblDaily[EntryDate],DATE(2026,1,26),tblDaily[WardCode],"FAE")),"")</f>
        <v/>
      </c>
      <c r="J33" s="39" t="str">
        <f>IFERROR(IF(SUMIFS(tblDaily[Discharges],tblDaily[EntryDate],DATE(2026,1,26),tblDaily[WardCode],"FAE")=0,"",SUMIFS(tblDaily[Discharges],tblDaily[EntryDate],DATE(2026,1,26),tblDaily[WardCode],"FAE")),"")</f>
        <v/>
      </c>
      <c r="K33" s="39" t="str">
        <f>IFERROR(IF(SUMIFS(tblDaily[Deaths],tblDaily[EntryDate],DATE(2026,1,26),tblDaily[WardCode],"FAE")=0,"",SUMIFS(tblDaily[Deaths],tblDaily[EntryDate],DATE(2026,1,26),tblDaily[WardCode],"FAE")),"")</f>
        <v/>
      </c>
      <c r="L33" s="39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39" t="str">
        <f>IFERROR(IF(SUMIFS(tblDaily[TransfersIn],tblDaily[EntryDate],DATE(2026,1,26),tblDaily[WardCode],"FAE")=0,"",SUMIFS(tblDaily[TransfersIn],tblDaily[EntryDate],DATE(2026,1,26),tblDaily[WardCode],"FAE")),"")</f>
        <v/>
      </c>
      <c r="N33" s="39">
        <f>IFERROR(IF(SUMIFS(tblDaily[TransfersOut],tblDaily[EntryDate],DATE(2026,1,26),tblDaily[WardCode],"FAE")=0,"",SUMIFS(tblDaily[TransfersOut],tblDaily[EntryDate],DATE(2026,1,26),tblDaily[WardCode],"FAE")),"")</f>
        <v>1</v>
      </c>
      <c r="O33" s="39">
        <f>IFERROR(IF(SUMIFS(tblDaily[Remaining],tblDaily[EntryDate],DATE(2026,1,26),tblDaily[WardCode],"FAE")=0,"",SUMIFS(tblDaily[Remaining],tblDaily[EntryDate],DATE(2026,1,26),tblDaily[WardCode],"FAE")),"")</f>
        <v>1</v>
      </c>
      <c r="P33" s="40">
        <f t="shared" si="0"/>
        <v>5</v>
      </c>
    </row>
    <row r="34" spans="1:16" x14ac:dyDescent="0.25">
      <c r="A34" s="39">
        <v>27</v>
      </c>
      <c r="B34" s="39">
        <f>IFERROR(IF(SUMIFS(tblDaily[Admissions],tblDaily[EntryDate],DATE(2026,1,27),tblDaily[WardCode],"MAE")=0,"",SUMIFS(tblDaily[Admissions],tblDaily[EntryDate],DATE(2026,1,27),tblDaily[WardCode],"MAE")),"")</f>
        <v>5</v>
      </c>
      <c r="C34" s="39" t="str">
        <f>IFERROR(IF(SUMIFS(tblDaily[Discharges],tblDaily[EntryDate],DATE(2026,1,27),tblDaily[WardCode],"MAE")=0,"",SUMIFS(tblDaily[Discharges],tblDaily[EntryDate],DATE(2026,1,27),tblDaily[WardCode],"MAE")),"")</f>
        <v/>
      </c>
      <c r="D34" s="39" t="str">
        <f>IFERROR(IF(SUMIFS(tblDaily[Deaths],tblDaily[EntryDate],DATE(2026,1,27),tblDaily[WardCode],"MAE")=0,"",SUMIFS(tblDaily[Deaths],tblDaily[EntryDate],DATE(2026,1,27),tblDaily[WardCode],"MAE")),"")</f>
        <v/>
      </c>
      <c r="E34" s="39">
        <f>IFERROR(IF(SUMIFS(tblDaily[DeathsUnder24Hrs],tblDaily[EntryDate],DATE(2026,1,27),tblDaily[WardCode],"MAE")=0,"",SUMIFS(tblDaily[DeathsUnder24Hrs],tblDaily[EntryDate],DATE(2026,1,27),tblDaily[WardCode],"MAE")),"")</f>
        <v>1</v>
      </c>
      <c r="F34" s="39" t="str">
        <f>IFERROR(IF(SUMIFS(tblDaily[TransfersIn],tblDaily[EntryDate],DATE(2026,1,27),tblDaily[WardCode],"MAE")=0,"",SUMIFS(tblDaily[TransfersIn],tblDaily[EntryDate],DATE(2026,1,27),tblDaily[WardCode],"MAE")),"")</f>
        <v/>
      </c>
      <c r="G34" s="39">
        <f>IFERROR(IF(SUMIFS(tblDaily[TransfersOut],tblDaily[EntryDate],DATE(2026,1,27),tblDaily[WardCode],"MAE")=0,"",SUMIFS(tblDaily[TransfersOut],tblDaily[EntryDate],DATE(2026,1,27),tblDaily[WardCode],"MAE")),"")</f>
        <v>2</v>
      </c>
      <c r="H34" s="39">
        <f>IFERROR(IF(SUMIFS(tblDaily[Remaining],tblDaily[EntryDate],DATE(2026,1,27),tblDaily[WardCode],"MAE")=0,"",SUMIFS(tblDaily[Remaining],tblDaily[EntryDate],DATE(2026,1,27),tblDaily[WardCode],"MAE")),"")</f>
        <v>6</v>
      </c>
      <c r="I34" s="39">
        <f>IFERROR(IF(SUMIFS(tblDaily[Admissions],tblDaily[EntryDate],DATE(2026,1,27),tblDaily[WardCode],"FAE")=0,"",SUMIFS(tblDaily[Admissions],tblDaily[EntryDate],DATE(2026,1,27),tblDaily[WardCode],"FAE")),"")</f>
        <v>1</v>
      </c>
      <c r="J34" s="39">
        <f>IFERROR(IF(SUMIFS(tblDaily[Discharges],tblDaily[EntryDate],DATE(2026,1,27),tblDaily[WardCode],"FAE")=0,"",SUMIFS(tblDaily[Discharges],tblDaily[EntryDate],DATE(2026,1,27),tblDaily[WardCode],"FAE")),"")</f>
        <v>1</v>
      </c>
      <c r="K34" s="39" t="str">
        <f>IFERROR(IF(SUMIFS(tblDaily[Deaths],tblDaily[EntryDate],DATE(2026,1,27),tblDaily[WardCode],"FAE")=0,"",SUMIFS(tblDaily[Deaths],tblDaily[EntryDate],DATE(2026,1,27),tblDaily[WardCode],"FAE")),"")</f>
        <v/>
      </c>
      <c r="L34" s="39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39" t="str">
        <f>IFERROR(IF(SUMIFS(tblDaily[TransfersIn],tblDaily[EntryDate],DATE(2026,1,27),tblDaily[WardCode],"FAE")=0,"",SUMIFS(tblDaily[TransfersIn],tblDaily[EntryDate],DATE(2026,1,27),tblDaily[WardCode],"FAE")),"")</f>
        <v/>
      </c>
      <c r="N34" s="39">
        <f>IFERROR(IF(SUMIFS(tblDaily[TransfersOut],tblDaily[EntryDate],DATE(2026,1,27),tblDaily[WardCode],"FAE")=0,"",SUMIFS(tblDaily[TransfersOut],tblDaily[EntryDate],DATE(2026,1,27),tblDaily[WardCode],"FAE")),"")</f>
        <v>1</v>
      </c>
      <c r="O34" s="39" t="str">
        <f>IFERROR(IF(SUMIFS(tblDaily[Remaining],tblDaily[EntryDate],DATE(2026,1,27),tblDaily[WardCode],"FAE")=0,"",SUMIFS(tblDaily[Remaining],tblDaily[EntryDate],DATE(2026,1,27),tblDaily[WardCode],"FAE")),"")</f>
        <v/>
      </c>
      <c r="P34" s="40">
        <f t="shared" si="0"/>
        <v>6</v>
      </c>
    </row>
    <row r="35" spans="1:16" x14ac:dyDescent="0.25">
      <c r="A35" s="39">
        <v>28</v>
      </c>
      <c r="B35" s="39">
        <f>IFERROR(IF(SUMIFS(tblDaily[Admissions],tblDaily[EntryDate],DATE(2026,1,28),tblDaily[WardCode],"MAE")=0,"",SUMIFS(tblDaily[Admissions],tblDaily[EntryDate],DATE(2026,1,28),tblDaily[WardCode],"MAE")),"")</f>
        <v>2</v>
      </c>
      <c r="C35" s="39">
        <f>IFERROR(IF(SUMIFS(tblDaily[Discharges],tblDaily[EntryDate],DATE(2026,1,28),tblDaily[WardCode],"MAE")=0,"",SUMIFS(tblDaily[Discharges],tblDaily[EntryDate],DATE(2026,1,28),tblDaily[WardCode],"MAE")),"")</f>
        <v>3</v>
      </c>
      <c r="D35" s="39" t="str">
        <f>IFERROR(IF(SUMIFS(tblDaily[Deaths],tblDaily[EntryDate],DATE(2026,1,28),tblDaily[WardCode],"MAE")=0,"",SUMIFS(tblDaily[Deaths],tblDaily[EntryDate],DATE(2026,1,28),tblDaily[WardCode],"MAE")),"")</f>
        <v/>
      </c>
      <c r="E35" s="39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39" t="str">
        <f>IFERROR(IF(SUMIFS(tblDaily[TransfersIn],tblDaily[EntryDate],DATE(2026,1,28),tblDaily[WardCode],"MAE")=0,"",SUMIFS(tblDaily[TransfersIn],tblDaily[EntryDate],DATE(2026,1,28),tblDaily[WardCode],"MAE")),"")</f>
        <v/>
      </c>
      <c r="G35" s="39">
        <f>IFERROR(IF(SUMIFS(tblDaily[TransfersOut],tblDaily[EntryDate],DATE(2026,1,28),tblDaily[WardCode],"MAE")=0,"",SUMIFS(tblDaily[TransfersOut],tblDaily[EntryDate],DATE(2026,1,28),tblDaily[WardCode],"MAE")),"")</f>
        <v>2</v>
      </c>
      <c r="H35" s="39">
        <f>IFERROR(IF(SUMIFS(tblDaily[Remaining],tblDaily[EntryDate],DATE(2026,1,28),tblDaily[WardCode],"MAE")=0,"",SUMIFS(tblDaily[Remaining],tblDaily[EntryDate],DATE(2026,1,28),tblDaily[WardCode],"MAE")),"")</f>
        <v>3</v>
      </c>
      <c r="I35" s="39">
        <f>IFERROR(IF(SUMIFS(tblDaily[Admissions],tblDaily[EntryDate],DATE(2026,1,28),tblDaily[WardCode],"FAE")=0,"",SUMIFS(tblDaily[Admissions],tblDaily[EntryDate],DATE(2026,1,28),tblDaily[WardCode],"FAE")),"")</f>
        <v>4</v>
      </c>
      <c r="J35" s="39" t="str">
        <f>IFERROR(IF(SUMIFS(tblDaily[Discharges],tblDaily[EntryDate],DATE(2026,1,28),tblDaily[WardCode],"FAE")=0,"",SUMIFS(tblDaily[Discharges],tblDaily[EntryDate],DATE(2026,1,28),tblDaily[WardCode],"FAE")),"")</f>
        <v/>
      </c>
      <c r="K35" s="39" t="str">
        <f>IFERROR(IF(SUMIFS(tblDaily[Deaths],tblDaily[EntryDate],DATE(2026,1,28),tblDaily[WardCode],"FAE")=0,"",SUMIFS(tblDaily[Deaths],tblDaily[EntryDate],DATE(2026,1,28),tblDaily[WardCode],"FAE")),"")</f>
        <v/>
      </c>
      <c r="L35" s="39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39" t="str">
        <f>IFERROR(IF(SUMIFS(tblDaily[TransfersIn],tblDaily[EntryDate],DATE(2026,1,28),tblDaily[WardCode],"FAE")=0,"",SUMIFS(tblDaily[TransfersIn],tblDaily[EntryDate],DATE(2026,1,28),tblDaily[WardCode],"FAE")),"")</f>
        <v/>
      </c>
      <c r="N35" s="39">
        <f>IFERROR(IF(SUMIFS(tblDaily[TransfersOut],tblDaily[EntryDate],DATE(2026,1,28),tblDaily[WardCode],"FAE")=0,"",SUMIFS(tblDaily[TransfersOut],tblDaily[EntryDate],DATE(2026,1,28),tblDaily[WardCode],"FAE")),"")</f>
        <v>1</v>
      </c>
      <c r="O35" s="39">
        <f>IFERROR(IF(SUMIFS(tblDaily[Remaining],tblDaily[EntryDate],DATE(2026,1,28),tblDaily[WardCode],"FAE")=0,"",SUMIFS(tblDaily[Remaining],tblDaily[EntryDate],DATE(2026,1,28),tblDaily[WardCode],"FAE")),"")</f>
        <v>3</v>
      </c>
      <c r="P35" s="40">
        <f t="shared" si="0"/>
        <v>6</v>
      </c>
    </row>
    <row r="36" spans="1:16" x14ac:dyDescent="0.25">
      <c r="A36" s="39">
        <v>29</v>
      </c>
      <c r="B36" s="39">
        <f>IFERROR(IF(SUMIFS(tblDaily[Admissions],tblDaily[EntryDate],DATE(2026,1,29),tblDaily[WardCode],"MAE")=0,"",SUMIFS(tblDaily[Admissions],tblDaily[EntryDate],DATE(2026,1,29),tblDaily[WardCode],"MAE")),"")</f>
        <v>1</v>
      </c>
      <c r="C36" s="39" t="str">
        <f>IFERROR(IF(SUMIFS(tblDaily[Discharges],tblDaily[EntryDate],DATE(2026,1,29),tblDaily[WardCode],"MAE")=0,"",SUMIFS(tblDaily[Discharges],tblDaily[EntryDate],DATE(2026,1,29),tblDaily[WardCode],"MAE")),"")</f>
        <v/>
      </c>
      <c r="D36" s="39" t="str">
        <f>IFERROR(IF(SUMIFS(tblDaily[Deaths],tblDaily[EntryDate],DATE(2026,1,29),tblDaily[WardCode],"MAE")=0,"",SUMIFS(tblDaily[Deaths],tblDaily[EntryDate],DATE(2026,1,29),tblDaily[WardCode],"MAE")),"")</f>
        <v/>
      </c>
      <c r="E36" s="39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39" t="str">
        <f>IFERROR(IF(SUMIFS(tblDaily[TransfersIn],tblDaily[EntryDate],DATE(2026,1,29),tblDaily[WardCode],"MAE")=0,"",SUMIFS(tblDaily[TransfersIn],tblDaily[EntryDate],DATE(2026,1,29),tblDaily[WardCode],"MAE")),"")</f>
        <v/>
      </c>
      <c r="G36" s="39" t="str">
        <f>IFERROR(IF(SUMIFS(tblDaily[TransfersOut],tblDaily[EntryDate],DATE(2026,1,29),tblDaily[WardCode],"MAE")=0,"",SUMIFS(tblDaily[TransfersOut],tblDaily[EntryDate],DATE(2026,1,29),tblDaily[WardCode],"MAE")),"")</f>
        <v/>
      </c>
      <c r="H36" s="39">
        <f>IFERROR(IF(SUMIFS(tblDaily[Remaining],tblDaily[EntryDate],DATE(2026,1,29),tblDaily[WardCode],"MAE")=0,"",SUMIFS(tblDaily[Remaining],tblDaily[EntryDate],DATE(2026,1,29),tblDaily[WardCode],"MAE")),"")</f>
        <v>4</v>
      </c>
      <c r="I36" s="39">
        <f>IFERROR(IF(SUMIFS(tblDaily[Admissions],tblDaily[EntryDate],DATE(2026,1,29),tblDaily[WardCode],"FAE")=0,"",SUMIFS(tblDaily[Admissions],tblDaily[EntryDate],DATE(2026,1,29),tblDaily[WardCode],"FAE")),"")</f>
        <v>2</v>
      </c>
      <c r="J36" s="39" t="str">
        <f>IFERROR(IF(SUMIFS(tblDaily[Discharges],tblDaily[EntryDate],DATE(2026,1,29),tblDaily[WardCode],"FAE")=0,"",SUMIFS(tblDaily[Discharges],tblDaily[EntryDate],DATE(2026,1,29),tblDaily[WardCode],"FAE")),"")</f>
        <v/>
      </c>
      <c r="K36" s="39" t="str">
        <f>IFERROR(IF(SUMIFS(tblDaily[Deaths],tblDaily[EntryDate],DATE(2026,1,29),tblDaily[WardCode],"FAE")=0,"",SUMIFS(tblDaily[Deaths],tblDaily[EntryDate],DATE(2026,1,29),tblDaily[WardCode],"FAE")),"")</f>
        <v/>
      </c>
      <c r="L36" s="39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39" t="str">
        <f>IFERROR(IF(SUMIFS(tblDaily[TransfersIn],tblDaily[EntryDate],DATE(2026,1,29),tblDaily[WardCode],"FAE")=0,"",SUMIFS(tblDaily[TransfersIn],tblDaily[EntryDate],DATE(2026,1,29),tblDaily[WardCode],"FAE")),"")</f>
        <v/>
      </c>
      <c r="N36" s="39">
        <f>IFERROR(IF(SUMIFS(tblDaily[TransfersOut],tblDaily[EntryDate],DATE(2026,1,29),tblDaily[WardCode],"FAE")=0,"",SUMIFS(tblDaily[TransfersOut],tblDaily[EntryDate],DATE(2026,1,29),tblDaily[WardCode],"FAE")),"")</f>
        <v>2</v>
      </c>
      <c r="O36" s="39">
        <f>IFERROR(IF(SUMIFS(tblDaily[Remaining],tblDaily[EntryDate],DATE(2026,1,29),tblDaily[WardCode],"FAE")=0,"",SUMIFS(tblDaily[Remaining],tblDaily[EntryDate],DATE(2026,1,29),tblDaily[WardCode],"FAE")),"")</f>
        <v>3</v>
      </c>
      <c r="P36" s="40">
        <f t="shared" si="0"/>
        <v>7</v>
      </c>
    </row>
    <row r="37" spans="1:16" x14ac:dyDescent="0.25">
      <c r="A37" s="39">
        <v>30</v>
      </c>
      <c r="B37" s="39">
        <f>IFERROR(IF(SUMIFS(tblDaily[Admissions],tblDaily[EntryDate],DATE(2026,1,30),tblDaily[WardCode],"MAE")=0,"",SUMIFS(tblDaily[Admissions],tblDaily[EntryDate],DATE(2026,1,30),tblDaily[WardCode],"MAE")),"")</f>
        <v>3</v>
      </c>
      <c r="C37" s="39">
        <f>IFERROR(IF(SUMIFS(tblDaily[Discharges],tblDaily[EntryDate],DATE(2026,1,30),tblDaily[WardCode],"MAE")=0,"",SUMIFS(tblDaily[Discharges],tblDaily[EntryDate],DATE(2026,1,30),tblDaily[WardCode],"MAE")),"")</f>
        <v>1</v>
      </c>
      <c r="D37" s="39">
        <f>IFERROR(IF(SUMIFS(tblDaily[Deaths],tblDaily[EntryDate],DATE(2026,1,30),tblDaily[WardCode],"MAE")=0,"",SUMIFS(tblDaily[Deaths],tblDaily[EntryDate],DATE(2026,1,30),tblDaily[WardCode],"MAE")),"")</f>
        <v>2</v>
      </c>
      <c r="E37" s="39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39" t="str">
        <f>IFERROR(IF(SUMIFS(tblDaily[TransfersIn],tblDaily[EntryDate],DATE(2026,1,30),tblDaily[WardCode],"MAE")=0,"",SUMIFS(tblDaily[TransfersIn],tblDaily[EntryDate],DATE(2026,1,30),tblDaily[WardCode],"MAE")),"")</f>
        <v/>
      </c>
      <c r="G37" s="39">
        <f>IFERROR(IF(SUMIFS(tblDaily[TransfersOut],tblDaily[EntryDate],DATE(2026,1,30),tblDaily[WardCode],"MAE")=0,"",SUMIFS(tblDaily[TransfersOut],tblDaily[EntryDate],DATE(2026,1,30),tblDaily[WardCode],"MAE")),"")</f>
        <v>1</v>
      </c>
      <c r="H37" s="39">
        <f>IFERROR(IF(SUMIFS(tblDaily[Remaining],tblDaily[EntryDate],DATE(2026,1,30),tblDaily[WardCode],"MAE")=0,"",SUMIFS(tblDaily[Remaining],tblDaily[EntryDate],DATE(2026,1,30),tblDaily[WardCode],"MAE")),"")</f>
        <v>3</v>
      </c>
      <c r="I37" s="39">
        <f>IFERROR(IF(SUMIFS(tblDaily[Admissions],tblDaily[EntryDate],DATE(2026,1,30),tblDaily[WardCode],"FAE")=0,"",SUMIFS(tblDaily[Admissions],tblDaily[EntryDate],DATE(2026,1,30),tblDaily[WardCode],"FAE")),"")</f>
        <v>5</v>
      </c>
      <c r="J37" s="39" t="str">
        <f>IFERROR(IF(SUMIFS(tblDaily[Discharges],tblDaily[EntryDate],DATE(2026,1,30),tblDaily[WardCode],"FAE")=0,"",SUMIFS(tblDaily[Discharges],tblDaily[EntryDate],DATE(2026,1,30),tblDaily[WardCode],"FAE")),"")</f>
        <v/>
      </c>
      <c r="K37" s="39" t="str">
        <f>IFERROR(IF(SUMIFS(tblDaily[Deaths],tblDaily[EntryDate],DATE(2026,1,30),tblDaily[WardCode],"FAE")=0,"",SUMIFS(tblDaily[Deaths],tblDaily[EntryDate],DATE(2026,1,30),tblDaily[WardCode],"FAE")),"")</f>
        <v/>
      </c>
      <c r="L37" s="39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39" t="str">
        <f>IFERROR(IF(SUMIFS(tblDaily[TransfersIn],tblDaily[EntryDate],DATE(2026,1,30),tblDaily[WardCode],"FAE")=0,"",SUMIFS(tblDaily[TransfersIn],tblDaily[EntryDate],DATE(2026,1,30),tblDaily[WardCode],"FAE")),"")</f>
        <v/>
      </c>
      <c r="N37" s="39">
        <f>IFERROR(IF(SUMIFS(tblDaily[TransfersOut],tblDaily[EntryDate],DATE(2026,1,30),tblDaily[WardCode],"FAE")=0,"",SUMIFS(tblDaily[TransfersOut],tblDaily[EntryDate],DATE(2026,1,30),tblDaily[WardCode],"FAE")),"")</f>
        <v>2</v>
      </c>
      <c r="O37" s="39">
        <f>IFERROR(IF(SUMIFS(tblDaily[Remaining],tblDaily[EntryDate],DATE(2026,1,30),tblDaily[WardCode],"FAE")=0,"",SUMIFS(tblDaily[Remaining],tblDaily[EntryDate],DATE(2026,1,30),tblDaily[WardCode],"FAE")),"")</f>
        <v>6</v>
      </c>
      <c r="P37" s="40">
        <f t="shared" si="0"/>
        <v>9</v>
      </c>
    </row>
    <row r="38" spans="1:16" x14ac:dyDescent="0.25">
      <c r="A38" s="39">
        <v>31</v>
      </c>
      <c r="B38" s="39">
        <f>IFERROR(IF(SUMIFS(tblDaily[Admissions],tblDaily[EntryDate],DATE(2026,1,31),tblDaily[WardCode],"MAE")=0,"",SUMIFS(tblDaily[Admissions],tblDaily[EntryDate],DATE(2026,1,31),tblDaily[WardCode],"MAE")),"")</f>
        <v>1</v>
      </c>
      <c r="C38" s="39" t="str">
        <f>IFERROR(IF(SUMIFS(tblDaily[Discharges],tblDaily[EntryDate],DATE(2026,1,31),tblDaily[WardCode],"MAE")=0,"",SUMIFS(tblDaily[Discharges],tblDaily[EntryDate],DATE(2026,1,31),tblDaily[WardCode],"MAE")),"")</f>
        <v/>
      </c>
      <c r="D38" s="39" t="str">
        <f>IFERROR(IF(SUMIFS(tblDaily[Deaths],tblDaily[EntryDate],DATE(2026,1,31),tblDaily[WardCode],"MAE")=0,"",SUMIFS(tblDaily[Deaths],tblDaily[EntryDate],DATE(2026,1,31),tblDaily[WardCode],"MAE")),"")</f>
        <v/>
      </c>
      <c r="E38" s="39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39" t="str">
        <f>IFERROR(IF(SUMIFS(tblDaily[TransfersIn],tblDaily[EntryDate],DATE(2026,1,31),tblDaily[WardCode],"MAE")=0,"",SUMIFS(tblDaily[TransfersIn],tblDaily[EntryDate],DATE(2026,1,31),tblDaily[WardCode],"MAE")),"")</f>
        <v/>
      </c>
      <c r="G38" s="39">
        <f>IFERROR(IF(SUMIFS(tblDaily[TransfersOut],tblDaily[EntryDate],DATE(2026,1,31),tblDaily[WardCode],"MAE")=0,"",SUMIFS(tblDaily[TransfersOut],tblDaily[EntryDate],DATE(2026,1,31),tblDaily[WardCode],"MAE")),"")</f>
        <v>3</v>
      </c>
      <c r="H38" s="39">
        <f>IFERROR(IF(SUMIFS(tblDaily[Remaining],tblDaily[EntryDate],DATE(2026,1,31),tblDaily[WardCode],"MAE")=0,"",SUMIFS(tblDaily[Remaining],tblDaily[EntryDate],DATE(2026,1,31),tblDaily[WardCode],"MAE")),"")</f>
        <v>1</v>
      </c>
      <c r="I38" s="39">
        <f>IFERROR(IF(SUMIFS(tblDaily[Admissions],tblDaily[EntryDate],DATE(2026,1,31),tblDaily[WardCode],"FAE")=0,"",SUMIFS(tblDaily[Admissions],tblDaily[EntryDate],DATE(2026,1,31),tblDaily[WardCode],"FAE")),"")</f>
        <v>1</v>
      </c>
      <c r="J38" s="39">
        <f>IFERROR(IF(SUMIFS(tblDaily[Discharges],tblDaily[EntryDate],DATE(2026,1,31),tblDaily[WardCode],"FAE")=0,"",SUMIFS(tblDaily[Discharges],tblDaily[EntryDate],DATE(2026,1,31),tblDaily[WardCode],"FAE")),"")</f>
        <v>1</v>
      </c>
      <c r="K38" s="39" t="str">
        <f>IFERROR(IF(SUMIFS(tblDaily[Deaths],tblDaily[EntryDate],DATE(2026,1,31),tblDaily[WardCode],"FAE")=0,"",SUMIFS(tblDaily[Deaths],tblDaily[EntryDate],DATE(2026,1,31),tblDaily[WardCode],"FAE")),"")</f>
        <v/>
      </c>
      <c r="L38" s="39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39" t="str">
        <f>IFERROR(IF(SUMIFS(tblDaily[TransfersIn],tblDaily[EntryDate],DATE(2026,1,31),tblDaily[WardCode],"FAE")=0,"",SUMIFS(tblDaily[TransfersIn],tblDaily[EntryDate],DATE(2026,1,31),tblDaily[WardCode],"FAE")),"")</f>
        <v/>
      </c>
      <c r="N38" s="39">
        <f>IFERROR(IF(SUMIFS(tblDaily[TransfersOut],tblDaily[EntryDate],DATE(2026,1,31),tblDaily[WardCode],"FAE")=0,"",SUMIFS(tblDaily[TransfersOut],tblDaily[EntryDate],DATE(2026,1,31),tblDaily[WardCode],"FAE")),"")</f>
        <v>2</v>
      </c>
      <c r="O38" s="39">
        <f>IFERROR(IF(SUMIFS(tblDaily[Remaining],tblDaily[EntryDate],DATE(2026,1,31),tblDaily[WardCode],"FAE")=0,"",SUMIFS(tblDaily[Remaining],tblDaily[EntryDate],DATE(2026,1,31),tblDaily[WardCode],"FAE")),"")</f>
        <v>4</v>
      </c>
      <c r="P38" s="40">
        <f t="shared" si="0"/>
        <v>5</v>
      </c>
    </row>
    <row r="39" spans="1:16" x14ac:dyDescent="0.25">
      <c r="A39" s="30" t="s">
        <v>115</v>
      </c>
      <c r="B39" s="30">
        <f>SUMIFS(tblDaily[Admissions],tblDaily[Month],1,tblDaily[WardCode],"MAE") - SUMIFS(tblDaily[DeathsUnder24Hrs],tblDaily[Month],1,tblDaily[WardCode],"MAE")</f>
        <v>86</v>
      </c>
      <c r="C39" s="30">
        <f>SUMIFS(tblDaily[Discharges],tblDaily[Month],1,tblDaily[WardCode],"MAE")</f>
        <v>43</v>
      </c>
      <c r="D39" s="30">
        <f>SUMIFS(tblDaily[Deaths],tblDaily[Month],1,tblDaily[WardCode],"MAE")</f>
        <v>4</v>
      </c>
      <c r="E39" s="30">
        <f>SUMIFS(tblDaily[DeathsUnder24Hrs],tblDaily[Month],1,tblDaily[WardCode],"MAE")</f>
        <v>5</v>
      </c>
      <c r="F39" s="30">
        <f>SUMIFS(tblDaily[TransfersIn],tblDaily[Month],1,tblDaily[WardCode],"MAE")</f>
        <v>0</v>
      </c>
      <c r="G39" s="30">
        <f>SUMIFS(tblDaily[TransfersOut],tblDaily[Month],1,tblDaily[WardCode],"MAE")</f>
        <v>47</v>
      </c>
      <c r="H39" s="30">
        <f>SUMIFS(tblDaily[Remaining],tblDaily[Month],1,tblDaily[WardCode],"MAE")</f>
        <v>148</v>
      </c>
      <c r="I39" s="30">
        <f>SUMIFS(tblDaily[Admissions],tblDaily[Month],1,tblDaily[WardCode],"FAE") - SUMIFS(tblDaily[DeathsUnder24Hrs],tblDaily[Month],1,tblDaily[WardCode],"FAE")</f>
        <v>46</v>
      </c>
      <c r="J39" s="30">
        <f>SUMIFS(tblDaily[Discharges],tblDaily[Month],1,tblDaily[WardCode],"FAE")</f>
        <v>13</v>
      </c>
      <c r="K39" s="30">
        <f>SUMIFS(tblDaily[Deaths],tblDaily[Month],1,tblDaily[WardCode],"FAE")</f>
        <v>0</v>
      </c>
      <c r="L39" s="30">
        <f>SUMIFS(tblDaily[DeathsUnder24Hrs],tblDaily[Month],1,tblDaily[WardCode],"FAE")</f>
        <v>1</v>
      </c>
      <c r="M39" s="30">
        <f>SUMIFS(tblDaily[TransfersIn],tblDaily[Month],1,tblDaily[WardCode],"FAE")</f>
        <v>0</v>
      </c>
      <c r="N39" s="30">
        <f>SUMIFS(tblDaily[TransfersOut],tblDaily[Month],1,tblDaily[WardCode],"FAE")</f>
        <v>30</v>
      </c>
      <c r="O39" s="30">
        <f>SUMIFS(tblDaily[Remaining],tblDaily[Month],1,tblDaily[WardCode],"FAE")</f>
        <v>55</v>
      </c>
      <c r="P39" s="30">
        <f>H39 + O39</f>
        <v>203</v>
      </c>
    </row>
    <row r="41" spans="1:16" ht="18.75" x14ac:dyDescent="0.25">
      <c r="A41" s="32" t="s">
        <v>0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1:16" ht="15.75" x14ac:dyDescent="0.25">
      <c r="A42" s="23" t="s">
        <v>104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</row>
    <row r="43" spans="1:16" x14ac:dyDescent="0.25">
      <c r="A43" s="24" t="s">
        <v>4</v>
      </c>
      <c r="B43" s="25" t="s">
        <v>2</v>
      </c>
      <c r="E43" s="24" t="s">
        <v>105</v>
      </c>
      <c r="F43" s="24" t="s">
        <v>125</v>
      </c>
      <c r="M43" s="24" t="s">
        <v>107</v>
      </c>
      <c r="N43" s="24" t="s">
        <v>64</v>
      </c>
    </row>
    <row r="44" spans="1:16" x14ac:dyDescent="0.25">
      <c r="A44" s="24" t="s">
        <v>108</v>
      </c>
      <c r="B44" s="33">
        <f>IFERROR(SUMIFS(tblDaily[Remaining],tblDaily[EntryDate],DATE(2026,1,31),tblDaily[WardCode],"MAE"),0)</f>
        <v>1</v>
      </c>
      <c r="I44" s="33">
        <f>IFERROR(SUMIFS(tblDaily[Remaining],tblDaily[EntryDate],DATE(2026,1,31),tblDaily[WardCode],"FAE"),0)</f>
        <v>4</v>
      </c>
    </row>
    <row r="45" spans="1:16" x14ac:dyDescent="0.25">
      <c r="A45" s="24" t="s">
        <v>109</v>
      </c>
      <c r="B45" s="33">
        <f>IFERROR(INDEX(tblWardConfig[BedComplement],MATCH("MAE",tblWardConfig[WardCode],0)),0)</f>
        <v>10</v>
      </c>
      <c r="I45" s="33">
        <f>IFERROR(INDEX(tblWardConfig[BedComplement],MATCH("FAE",tblWardConfig[WardCode],0)),0)</f>
        <v>10</v>
      </c>
      <c r="O45" s="34">
        <f>B45+I45</f>
        <v>20</v>
      </c>
    </row>
    <row r="46" spans="1:16" x14ac:dyDescent="0.25">
      <c r="A46" s="35" t="s">
        <v>126</v>
      </c>
      <c r="B46" s="36" t="s">
        <v>122</v>
      </c>
      <c r="C46" s="22"/>
      <c r="D46" s="22"/>
      <c r="E46" s="22"/>
      <c r="F46" s="22"/>
      <c r="G46" s="22"/>
      <c r="H46" s="22"/>
      <c r="I46" s="37" t="s">
        <v>123</v>
      </c>
      <c r="J46" s="22"/>
      <c r="K46" s="22"/>
      <c r="L46" s="22"/>
      <c r="M46" s="22"/>
      <c r="N46" s="22"/>
      <c r="O46" s="22"/>
      <c r="P46" s="38" t="s">
        <v>115</v>
      </c>
    </row>
    <row r="47" spans="1:16" x14ac:dyDescent="0.25">
      <c r="A47" s="35" t="s">
        <v>126</v>
      </c>
      <c r="B47" s="35" t="s">
        <v>127</v>
      </c>
      <c r="C47" s="35" t="s">
        <v>128</v>
      </c>
      <c r="D47" s="35" t="s">
        <v>129</v>
      </c>
      <c r="E47" s="35" t="s">
        <v>130</v>
      </c>
      <c r="F47" s="35" t="s">
        <v>131</v>
      </c>
      <c r="G47" s="35" t="s">
        <v>132</v>
      </c>
      <c r="H47" s="35" t="s">
        <v>133</v>
      </c>
      <c r="I47" s="35" t="s">
        <v>127</v>
      </c>
      <c r="J47" s="35" t="s">
        <v>128</v>
      </c>
      <c r="K47" s="35" t="s">
        <v>129</v>
      </c>
      <c r="L47" s="35" t="s">
        <v>130</v>
      </c>
      <c r="M47" s="35" t="s">
        <v>131</v>
      </c>
      <c r="N47" s="35" t="s">
        <v>132</v>
      </c>
      <c r="O47" s="35" t="s">
        <v>133</v>
      </c>
      <c r="P47" s="35" t="s">
        <v>134</v>
      </c>
    </row>
    <row r="48" spans="1:16" x14ac:dyDescent="0.25">
      <c r="A48" s="39">
        <v>1</v>
      </c>
      <c r="B48" s="39">
        <f>IFERROR(IF(SUMIFS(tblDaily[Admissions],tblDaily[EntryDate],DATE(2026,2,1),tblDaily[WardCode],"MAE")=0,"",SUMIFS(tblDaily[Admissions],tblDaily[EntryDate],DATE(2026,2,1),tblDaily[WardCode],"MAE")),"")</f>
        <v>7</v>
      </c>
      <c r="C48" s="39" t="str">
        <f>IFERROR(IF(SUMIFS(tblDaily[Discharges],tblDaily[EntryDate],DATE(2026,2,1),tblDaily[WardCode],"MAE")=0,"",SUMIFS(tblDaily[Discharges],tblDaily[EntryDate],DATE(2026,2,1),tblDaily[WardCode],"MAE")),"")</f>
        <v/>
      </c>
      <c r="D48" s="39" t="str">
        <f>IFERROR(IF(SUMIFS(tblDaily[Deaths],tblDaily[EntryDate],DATE(2026,2,1),tblDaily[WardCode],"MAE")=0,"",SUMIFS(tblDaily[Deaths],tblDaily[EntryDate],DATE(2026,2,1),tblDaily[WardCode],"MAE")),"")</f>
        <v/>
      </c>
      <c r="E48" s="39">
        <f>IFERROR(IF(SUMIFS(tblDaily[DeathsUnder24Hrs],tblDaily[EntryDate],DATE(2026,2,1),tblDaily[WardCode],"MAE")=0,"",SUMIFS(tblDaily[DeathsUnder24Hrs],tblDaily[EntryDate],DATE(2026,2,1),tblDaily[WardCode],"MAE")),"")</f>
        <v>1</v>
      </c>
      <c r="F48" s="39" t="str">
        <f>IFERROR(IF(SUMIFS(tblDaily[TransfersIn],tblDaily[EntryDate],DATE(2026,2,1),tblDaily[WardCode],"MAE")=0,"",SUMIFS(tblDaily[TransfersIn],tblDaily[EntryDate],DATE(2026,2,1),tblDaily[WardCode],"MAE")),"")</f>
        <v/>
      </c>
      <c r="G48" s="39">
        <f>IFERROR(IF(SUMIFS(tblDaily[TransfersOut],tblDaily[EntryDate],DATE(2026,2,1),tblDaily[WardCode],"MAE")=0,"",SUMIFS(tblDaily[TransfersOut],tblDaily[EntryDate],DATE(2026,2,1),tblDaily[WardCode],"MAE")),"")</f>
        <v>3</v>
      </c>
      <c r="H48" s="39">
        <f>IFERROR(IF(SUMIFS(tblDaily[Remaining],tblDaily[EntryDate],DATE(2026,2,1),tblDaily[WardCode],"MAE")=0,"",SUMIFS(tblDaily[Remaining],tblDaily[EntryDate],DATE(2026,2,1),tblDaily[WardCode],"MAE")),"")</f>
        <v>4</v>
      </c>
      <c r="I48" s="39">
        <f>IFERROR(IF(SUMIFS(tblDaily[Admissions],tblDaily[EntryDate],DATE(2026,2,1),tblDaily[WardCode],"FAE")=0,"",SUMIFS(tblDaily[Admissions],tblDaily[EntryDate],DATE(2026,2,1),tblDaily[WardCode],"FAE")),"")</f>
        <v>2</v>
      </c>
      <c r="J48" s="39">
        <f>IFERROR(IF(SUMIFS(tblDaily[Discharges],tblDaily[EntryDate],DATE(2026,2,1),tblDaily[WardCode],"FAE")=0,"",SUMIFS(tblDaily[Discharges],tblDaily[EntryDate],DATE(2026,2,1),tblDaily[WardCode],"FAE")),"")</f>
        <v>2</v>
      </c>
      <c r="K48" s="39" t="str">
        <f>IFERROR(IF(SUMIFS(tblDaily[Deaths],tblDaily[EntryDate],DATE(2026,2,1),tblDaily[WardCode],"FAE")=0,"",SUMIFS(tblDaily[Deaths],tblDaily[EntryDate],DATE(2026,2,1),tblDaily[WardCode],"FAE")),"")</f>
        <v/>
      </c>
      <c r="L48" s="39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39" t="str">
        <f>IFERROR(IF(SUMIFS(tblDaily[TransfersIn],tblDaily[EntryDate],DATE(2026,2,1),tblDaily[WardCode],"FAE")=0,"",SUMIFS(tblDaily[TransfersIn],tblDaily[EntryDate],DATE(2026,2,1),tblDaily[WardCode],"FAE")),"")</f>
        <v/>
      </c>
      <c r="N48" s="39">
        <f>IFERROR(IF(SUMIFS(tblDaily[TransfersOut],tblDaily[EntryDate],DATE(2026,2,1),tblDaily[WardCode],"FAE")=0,"",SUMIFS(tblDaily[TransfersOut],tblDaily[EntryDate],DATE(2026,2,1),tblDaily[WardCode],"FAE")),"")</f>
        <v>1</v>
      </c>
      <c r="O48" s="39">
        <f>IFERROR(IF(SUMIFS(tblDaily[Remaining],tblDaily[EntryDate],DATE(2026,2,1),tblDaily[WardCode],"FAE")=0,"",SUMIFS(tblDaily[Remaining],tblDaily[EntryDate],DATE(2026,2,1),tblDaily[WardCode],"FAE")),"")</f>
        <v>3</v>
      </c>
      <c r="P48" s="40">
        <f t="shared" ref="P48:P75" si="1">IF(AND(H48="", O48=""), "", N(H48) + N(O48))</f>
        <v>7</v>
      </c>
    </row>
    <row r="49" spans="1:16" x14ac:dyDescent="0.25">
      <c r="A49" s="39">
        <v>2</v>
      </c>
      <c r="B49" s="39">
        <f>IFERROR(IF(SUMIFS(tblDaily[Admissions],tblDaily[EntryDate],DATE(2026,2,2),tblDaily[WardCode],"MAE")=0,"",SUMIFS(tblDaily[Admissions],tblDaily[EntryDate],DATE(2026,2,2),tblDaily[WardCode],"MAE")),"")</f>
        <v>3</v>
      </c>
      <c r="C49" s="39">
        <f>IFERROR(IF(SUMIFS(tblDaily[Discharges],tblDaily[EntryDate],DATE(2026,2,2),tblDaily[WardCode],"MAE")=0,"",SUMIFS(tblDaily[Discharges],tblDaily[EntryDate],DATE(2026,2,2),tblDaily[WardCode],"MAE")),"")</f>
        <v>4</v>
      </c>
      <c r="D49" s="39" t="str">
        <f>IFERROR(IF(SUMIFS(tblDaily[Deaths],tblDaily[EntryDate],DATE(2026,2,2),tblDaily[WardCode],"MAE")=0,"",SUMIFS(tblDaily[Deaths],tblDaily[EntryDate],DATE(2026,2,2),tblDaily[WardCode],"MAE")),"")</f>
        <v/>
      </c>
      <c r="E49" s="39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39" t="str">
        <f>IFERROR(IF(SUMIFS(tblDaily[TransfersIn],tblDaily[EntryDate],DATE(2026,2,2),tblDaily[WardCode],"MAE")=0,"",SUMIFS(tblDaily[TransfersIn],tblDaily[EntryDate],DATE(2026,2,2),tblDaily[WardCode],"MAE")),"")</f>
        <v/>
      </c>
      <c r="G49" s="39" t="str">
        <f>IFERROR(IF(SUMIFS(tblDaily[TransfersOut],tblDaily[EntryDate],DATE(2026,2,2),tblDaily[WardCode],"MAE")=0,"",SUMIFS(tblDaily[TransfersOut],tblDaily[EntryDate],DATE(2026,2,2),tblDaily[WardCode],"MAE")),"")</f>
        <v/>
      </c>
      <c r="H49" s="39">
        <f>IFERROR(IF(SUMIFS(tblDaily[Remaining],tblDaily[EntryDate],DATE(2026,2,2),tblDaily[WardCode],"MAE")=0,"",SUMIFS(tblDaily[Remaining],tblDaily[EntryDate],DATE(2026,2,2),tblDaily[WardCode],"MAE")),"")</f>
        <v>3</v>
      </c>
      <c r="I49" s="39">
        <f>IFERROR(IF(SUMIFS(tblDaily[Admissions],tblDaily[EntryDate],DATE(2026,2,2),tblDaily[WardCode],"FAE")=0,"",SUMIFS(tblDaily[Admissions],tblDaily[EntryDate],DATE(2026,2,2),tblDaily[WardCode],"FAE")),"")</f>
        <v>2</v>
      </c>
      <c r="J49" s="39" t="str">
        <f>IFERROR(IF(SUMIFS(tblDaily[Discharges],tblDaily[EntryDate],DATE(2026,2,2),tblDaily[WardCode],"FAE")=0,"",SUMIFS(tblDaily[Discharges],tblDaily[EntryDate],DATE(2026,2,2),tblDaily[WardCode],"FAE")),"")</f>
        <v/>
      </c>
      <c r="K49" s="39" t="str">
        <f>IFERROR(IF(SUMIFS(tblDaily[Deaths],tblDaily[EntryDate],DATE(2026,2,2),tblDaily[WardCode],"FAE")=0,"",SUMIFS(tblDaily[Deaths],tblDaily[EntryDate],DATE(2026,2,2),tblDaily[WardCode],"FAE")),"")</f>
        <v/>
      </c>
      <c r="L49" s="39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39" t="str">
        <f>IFERROR(IF(SUMIFS(tblDaily[TransfersIn],tblDaily[EntryDate],DATE(2026,2,2),tblDaily[WardCode],"FAE")=0,"",SUMIFS(tblDaily[TransfersIn],tblDaily[EntryDate],DATE(2026,2,2),tblDaily[WardCode],"FAE")),"")</f>
        <v/>
      </c>
      <c r="N49" s="39">
        <f>IFERROR(IF(SUMIFS(tblDaily[TransfersOut],tblDaily[EntryDate],DATE(2026,2,2),tblDaily[WardCode],"FAE")=0,"",SUMIFS(tblDaily[TransfersOut],tblDaily[EntryDate],DATE(2026,2,2),tblDaily[WardCode],"FAE")),"")</f>
        <v>2</v>
      </c>
      <c r="O49" s="39">
        <f>IFERROR(IF(SUMIFS(tblDaily[Remaining],tblDaily[EntryDate],DATE(2026,2,2),tblDaily[WardCode],"FAE")=0,"",SUMIFS(tblDaily[Remaining],tblDaily[EntryDate],DATE(2026,2,2),tblDaily[WardCode],"FAE")),"")</f>
        <v>3</v>
      </c>
      <c r="P49" s="40">
        <f t="shared" si="1"/>
        <v>6</v>
      </c>
    </row>
    <row r="50" spans="1:16" x14ac:dyDescent="0.25">
      <c r="A50" s="39">
        <v>3</v>
      </c>
      <c r="B50" s="39">
        <f>IFERROR(IF(SUMIFS(tblDaily[Admissions],tblDaily[EntryDate],DATE(2026,2,3),tblDaily[WardCode],"MAE")=0,"",SUMIFS(tblDaily[Admissions],tblDaily[EntryDate],DATE(2026,2,3),tblDaily[WardCode],"MAE")),"")</f>
        <v>5</v>
      </c>
      <c r="C50" s="39">
        <f>IFERROR(IF(SUMIFS(tblDaily[Discharges],tblDaily[EntryDate],DATE(2026,2,3),tblDaily[WardCode],"MAE")=0,"",SUMIFS(tblDaily[Discharges],tblDaily[EntryDate],DATE(2026,2,3),tblDaily[WardCode],"MAE")),"")</f>
        <v>1</v>
      </c>
      <c r="D50" s="39" t="str">
        <f>IFERROR(IF(SUMIFS(tblDaily[Deaths],tblDaily[EntryDate],DATE(2026,2,3),tblDaily[WardCode],"MAE")=0,"",SUMIFS(tblDaily[Deaths],tblDaily[EntryDate],DATE(2026,2,3),tblDaily[WardCode],"MAE")),"")</f>
        <v/>
      </c>
      <c r="E50" s="39">
        <f>IFERROR(IF(SUMIFS(tblDaily[DeathsUnder24Hrs],tblDaily[EntryDate],DATE(2026,2,3),tblDaily[WardCode],"MAE")=0,"",SUMIFS(tblDaily[DeathsUnder24Hrs],tblDaily[EntryDate],DATE(2026,2,3),tblDaily[WardCode],"MAE")),"")</f>
        <v>1</v>
      </c>
      <c r="F50" s="39" t="str">
        <f>IFERROR(IF(SUMIFS(tblDaily[TransfersIn],tblDaily[EntryDate],DATE(2026,2,3),tblDaily[WardCode],"MAE")=0,"",SUMIFS(tblDaily[TransfersIn],tblDaily[EntryDate],DATE(2026,2,3),tblDaily[WardCode],"MAE")),"")</f>
        <v/>
      </c>
      <c r="G50" s="39">
        <f>IFERROR(IF(SUMIFS(tblDaily[TransfersOut],tblDaily[EntryDate],DATE(2026,2,3),tblDaily[WardCode],"MAE")=0,"",SUMIFS(tblDaily[TransfersOut],tblDaily[EntryDate],DATE(2026,2,3),tblDaily[WardCode],"MAE")),"")</f>
        <v>2</v>
      </c>
      <c r="H50" s="39">
        <f>IFERROR(IF(SUMIFS(tblDaily[Remaining],tblDaily[EntryDate],DATE(2026,2,3),tblDaily[WardCode],"MAE")=0,"",SUMIFS(tblDaily[Remaining],tblDaily[EntryDate],DATE(2026,2,3),tblDaily[WardCode],"MAE")),"")</f>
        <v>4</v>
      </c>
      <c r="I50" s="39">
        <f>IFERROR(IF(SUMIFS(tblDaily[Admissions],tblDaily[EntryDate],DATE(2026,2,3),tblDaily[WardCode],"FAE")=0,"",SUMIFS(tblDaily[Admissions],tblDaily[EntryDate],DATE(2026,2,3),tblDaily[WardCode],"FAE")),"")</f>
        <v>2</v>
      </c>
      <c r="J50" s="39">
        <f>IFERROR(IF(SUMIFS(tblDaily[Discharges],tblDaily[EntryDate],DATE(2026,2,3),tblDaily[WardCode],"FAE")=0,"",SUMIFS(tblDaily[Discharges],tblDaily[EntryDate],DATE(2026,2,3),tblDaily[WardCode],"FAE")),"")</f>
        <v>1</v>
      </c>
      <c r="K50" s="39" t="str">
        <f>IFERROR(IF(SUMIFS(tblDaily[Deaths],tblDaily[EntryDate],DATE(2026,2,3),tblDaily[WardCode],"FAE")=0,"",SUMIFS(tblDaily[Deaths],tblDaily[EntryDate],DATE(2026,2,3),tblDaily[WardCode],"FAE")),"")</f>
        <v/>
      </c>
      <c r="L50" s="39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39" t="str">
        <f>IFERROR(IF(SUMIFS(tblDaily[TransfersIn],tblDaily[EntryDate],DATE(2026,2,3),tblDaily[WardCode],"FAE")=0,"",SUMIFS(tblDaily[TransfersIn],tblDaily[EntryDate],DATE(2026,2,3),tblDaily[WardCode],"FAE")),"")</f>
        <v/>
      </c>
      <c r="N50" s="39">
        <f>IFERROR(IF(SUMIFS(tblDaily[TransfersOut],tblDaily[EntryDate],DATE(2026,2,3),tblDaily[WardCode],"FAE")=0,"",SUMIFS(tblDaily[TransfersOut],tblDaily[EntryDate],DATE(2026,2,3),tblDaily[WardCode],"FAE")),"")</f>
        <v>1</v>
      </c>
      <c r="O50" s="39">
        <f>IFERROR(IF(SUMIFS(tblDaily[Remaining],tblDaily[EntryDate],DATE(2026,2,3),tblDaily[WardCode],"FAE")=0,"",SUMIFS(tblDaily[Remaining],tblDaily[EntryDate],DATE(2026,2,3),tblDaily[WardCode],"FAE")),"")</f>
        <v>3</v>
      </c>
      <c r="P50" s="40">
        <f t="shared" si="1"/>
        <v>7</v>
      </c>
    </row>
    <row r="51" spans="1:16" x14ac:dyDescent="0.25">
      <c r="A51" s="39">
        <v>4</v>
      </c>
      <c r="B51" s="39">
        <f>IFERROR(IF(SUMIFS(tblDaily[Admissions],tblDaily[EntryDate],DATE(2026,2,4),tblDaily[WardCode],"MAE")=0,"",SUMIFS(tblDaily[Admissions],tblDaily[EntryDate],DATE(2026,2,4),tblDaily[WardCode],"MAE")),"")</f>
        <v>2</v>
      </c>
      <c r="C51" s="39">
        <f>IFERROR(IF(SUMIFS(tblDaily[Discharges],tblDaily[EntryDate],DATE(2026,2,4),tblDaily[WardCode],"MAE")=0,"",SUMIFS(tblDaily[Discharges],tblDaily[EntryDate],DATE(2026,2,4),tblDaily[WardCode],"MAE")),"")</f>
        <v>1</v>
      </c>
      <c r="D51" s="39" t="str">
        <f>IFERROR(IF(SUMIFS(tblDaily[Deaths],tblDaily[EntryDate],DATE(2026,2,4),tblDaily[WardCode],"MAE")=0,"",SUMIFS(tblDaily[Deaths],tblDaily[EntryDate],DATE(2026,2,4),tblDaily[WardCode],"MAE")),"")</f>
        <v/>
      </c>
      <c r="E51" s="39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39" t="str">
        <f>IFERROR(IF(SUMIFS(tblDaily[TransfersIn],tblDaily[EntryDate],DATE(2026,2,4),tblDaily[WardCode],"MAE")=0,"",SUMIFS(tblDaily[TransfersIn],tblDaily[EntryDate],DATE(2026,2,4),tblDaily[WardCode],"MAE")),"")</f>
        <v/>
      </c>
      <c r="G51" s="39">
        <f>IFERROR(IF(SUMIFS(tblDaily[TransfersOut],tblDaily[EntryDate],DATE(2026,2,4),tblDaily[WardCode],"MAE")=0,"",SUMIFS(tblDaily[TransfersOut],tblDaily[EntryDate],DATE(2026,2,4),tblDaily[WardCode],"MAE")),"")</f>
        <v>1</v>
      </c>
      <c r="H51" s="39">
        <f>IFERROR(IF(SUMIFS(tblDaily[Remaining],tblDaily[EntryDate],DATE(2026,2,4),tblDaily[WardCode],"MAE")=0,"",SUMIFS(tblDaily[Remaining],tblDaily[EntryDate],DATE(2026,2,4),tblDaily[WardCode],"MAE")),"")</f>
        <v>4</v>
      </c>
      <c r="I51" s="39">
        <f>IFERROR(IF(SUMIFS(tblDaily[Admissions],tblDaily[EntryDate],DATE(2026,2,4),tblDaily[WardCode],"FAE")=0,"",SUMIFS(tblDaily[Admissions],tblDaily[EntryDate],DATE(2026,2,4),tblDaily[WardCode],"FAE")),"")</f>
        <v>4</v>
      </c>
      <c r="J51" s="39">
        <f>IFERROR(IF(SUMIFS(tblDaily[Discharges],tblDaily[EntryDate],DATE(2026,2,4),tblDaily[WardCode],"FAE")=0,"",SUMIFS(tblDaily[Discharges],tblDaily[EntryDate],DATE(2026,2,4),tblDaily[WardCode],"FAE")),"")</f>
        <v>1</v>
      </c>
      <c r="K51" s="39" t="str">
        <f>IFERROR(IF(SUMIFS(tblDaily[Deaths],tblDaily[EntryDate],DATE(2026,2,4),tblDaily[WardCode],"FAE")=0,"",SUMIFS(tblDaily[Deaths],tblDaily[EntryDate],DATE(2026,2,4),tblDaily[WardCode],"FAE")),"")</f>
        <v/>
      </c>
      <c r="L51" s="39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39" t="str">
        <f>IFERROR(IF(SUMIFS(tblDaily[TransfersIn],tblDaily[EntryDate],DATE(2026,2,4),tblDaily[WardCode],"FAE")=0,"",SUMIFS(tblDaily[TransfersIn],tblDaily[EntryDate],DATE(2026,2,4),tblDaily[WardCode],"FAE")),"")</f>
        <v/>
      </c>
      <c r="N51" s="39">
        <f>IFERROR(IF(SUMIFS(tblDaily[TransfersOut],tblDaily[EntryDate],DATE(2026,2,4),tblDaily[WardCode],"FAE")=0,"",SUMIFS(tblDaily[TransfersOut],tblDaily[EntryDate],DATE(2026,2,4),tblDaily[WardCode],"FAE")),"")</f>
        <v>1</v>
      </c>
      <c r="O51" s="39">
        <f>IFERROR(IF(SUMIFS(tblDaily[Remaining],tblDaily[EntryDate],DATE(2026,2,4),tblDaily[WardCode],"FAE")=0,"",SUMIFS(tblDaily[Remaining],tblDaily[EntryDate],DATE(2026,2,4),tblDaily[WardCode],"FAE")),"")</f>
        <v>5</v>
      </c>
      <c r="P51" s="40">
        <f t="shared" si="1"/>
        <v>9</v>
      </c>
    </row>
    <row r="52" spans="1:16" x14ac:dyDescent="0.25">
      <c r="A52" s="39">
        <v>5</v>
      </c>
      <c r="B52" s="39">
        <f>IFERROR(IF(SUMIFS(tblDaily[Admissions],tblDaily[EntryDate],DATE(2026,2,5),tblDaily[WardCode],"MAE")=0,"",SUMIFS(tblDaily[Admissions],tblDaily[EntryDate],DATE(2026,2,5),tblDaily[WardCode],"MAE")),"")</f>
        <v>2</v>
      </c>
      <c r="C52" s="39">
        <f>IFERROR(IF(SUMIFS(tblDaily[Discharges],tblDaily[EntryDate],DATE(2026,2,5),tblDaily[WardCode],"MAE")=0,"",SUMIFS(tblDaily[Discharges],tblDaily[EntryDate],DATE(2026,2,5),tblDaily[WardCode],"MAE")),"")</f>
        <v>1</v>
      </c>
      <c r="D52" s="39" t="str">
        <f>IFERROR(IF(SUMIFS(tblDaily[Deaths],tblDaily[EntryDate],DATE(2026,2,5),tblDaily[WardCode],"MAE")=0,"",SUMIFS(tblDaily[Deaths],tblDaily[EntryDate],DATE(2026,2,5),tblDaily[WardCode],"MAE")),"")</f>
        <v/>
      </c>
      <c r="E52" s="39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39" t="str">
        <f>IFERROR(IF(SUMIFS(tblDaily[TransfersIn],tblDaily[EntryDate],DATE(2026,2,5),tblDaily[WardCode],"MAE")=0,"",SUMIFS(tblDaily[TransfersIn],tblDaily[EntryDate],DATE(2026,2,5),tblDaily[WardCode],"MAE")),"")</f>
        <v/>
      </c>
      <c r="G52" s="39">
        <f>IFERROR(IF(SUMIFS(tblDaily[TransfersOut],tblDaily[EntryDate],DATE(2026,2,5),tblDaily[WardCode],"MAE")=0,"",SUMIFS(tblDaily[TransfersOut],tblDaily[EntryDate],DATE(2026,2,5),tblDaily[WardCode],"MAE")),"")</f>
        <v>1</v>
      </c>
      <c r="H52" s="39">
        <f>IFERROR(IF(SUMIFS(tblDaily[Remaining],tblDaily[EntryDate],DATE(2026,2,5),tblDaily[WardCode],"MAE")=0,"",SUMIFS(tblDaily[Remaining],tblDaily[EntryDate],DATE(2026,2,5),tblDaily[WardCode],"MAE")),"")</f>
        <v>4</v>
      </c>
      <c r="I52" s="39">
        <f>IFERROR(IF(SUMIFS(tblDaily[Admissions],tblDaily[EntryDate],DATE(2026,2,5),tblDaily[WardCode],"FAE")=0,"",SUMIFS(tblDaily[Admissions],tblDaily[EntryDate],DATE(2026,2,5),tblDaily[WardCode],"FAE")),"")</f>
        <v>1</v>
      </c>
      <c r="J52" s="39" t="str">
        <f>IFERROR(IF(SUMIFS(tblDaily[Discharges],tblDaily[EntryDate],DATE(2026,2,5),tblDaily[WardCode],"FAE")=0,"",SUMIFS(tblDaily[Discharges],tblDaily[EntryDate],DATE(2026,2,5),tblDaily[WardCode],"FAE")),"")</f>
        <v/>
      </c>
      <c r="K52" s="39">
        <f>IFERROR(IF(SUMIFS(tblDaily[Deaths],tblDaily[EntryDate],DATE(2026,2,5),tblDaily[WardCode],"FAE")=0,"",SUMIFS(tblDaily[Deaths],tblDaily[EntryDate],DATE(2026,2,5),tblDaily[WardCode],"FAE")),"")</f>
        <v>1</v>
      </c>
      <c r="L52" s="39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39" t="str">
        <f>IFERROR(IF(SUMIFS(tblDaily[TransfersIn],tblDaily[EntryDate],DATE(2026,2,5),tblDaily[WardCode],"FAE")=0,"",SUMIFS(tblDaily[TransfersIn],tblDaily[EntryDate],DATE(2026,2,5),tblDaily[WardCode],"FAE")),"")</f>
        <v/>
      </c>
      <c r="N52" s="39">
        <f>IFERROR(IF(SUMIFS(tblDaily[TransfersOut],tblDaily[EntryDate],DATE(2026,2,5),tblDaily[WardCode],"FAE")=0,"",SUMIFS(tblDaily[TransfersOut],tblDaily[EntryDate],DATE(2026,2,5),tblDaily[WardCode],"FAE")),"")</f>
        <v>3</v>
      </c>
      <c r="O52" s="39">
        <f>IFERROR(IF(SUMIFS(tblDaily[Remaining],tblDaily[EntryDate],DATE(2026,2,5),tblDaily[WardCode],"FAE")=0,"",SUMIFS(tblDaily[Remaining],tblDaily[EntryDate],DATE(2026,2,5),tblDaily[WardCode],"FAE")),"")</f>
        <v>2</v>
      </c>
      <c r="P52" s="40">
        <f t="shared" si="1"/>
        <v>6</v>
      </c>
    </row>
    <row r="53" spans="1:16" x14ac:dyDescent="0.25">
      <c r="A53" s="39">
        <v>6</v>
      </c>
      <c r="B53" s="39">
        <f>IFERROR(IF(SUMIFS(tblDaily[Admissions],tblDaily[EntryDate],DATE(2026,2,6),tblDaily[WardCode],"MAE")=0,"",SUMIFS(tblDaily[Admissions],tblDaily[EntryDate],DATE(2026,2,6),tblDaily[WardCode],"MAE")),"")</f>
        <v>3</v>
      </c>
      <c r="C53" s="39" t="str">
        <f>IFERROR(IF(SUMIFS(tblDaily[Discharges],tblDaily[EntryDate],DATE(2026,2,6),tblDaily[WardCode],"MAE")=0,"",SUMIFS(tblDaily[Discharges],tblDaily[EntryDate],DATE(2026,2,6),tblDaily[WardCode],"MAE")),"")</f>
        <v/>
      </c>
      <c r="D53" s="39" t="str">
        <f>IFERROR(IF(SUMIFS(tblDaily[Deaths],tblDaily[EntryDate],DATE(2026,2,6),tblDaily[WardCode],"MAE")=0,"",SUMIFS(tblDaily[Deaths],tblDaily[EntryDate],DATE(2026,2,6),tblDaily[WardCode],"MAE")),"")</f>
        <v/>
      </c>
      <c r="E53" s="39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39" t="str">
        <f>IFERROR(IF(SUMIFS(tblDaily[TransfersIn],tblDaily[EntryDate],DATE(2026,2,6),tblDaily[WardCode],"MAE")=0,"",SUMIFS(tblDaily[TransfersIn],tblDaily[EntryDate],DATE(2026,2,6),tblDaily[WardCode],"MAE")),"")</f>
        <v/>
      </c>
      <c r="G53" s="39">
        <f>IFERROR(IF(SUMIFS(tblDaily[TransfersOut],tblDaily[EntryDate],DATE(2026,2,6),tblDaily[WardCode],"MAE")=0,"",SUMIFS(tblDaily[TransfersOut],tblDaily[EntryDate],DATE(2026,2,6),tblDaily[WardCode],"MAE")),"")</f>
        <v>2</v>
      </c>
      <c r="H53" s="39">
        <f>IFERROR(IF(SUMIFS(tblDaily[Remaining],tblDaily[EntryDate],DATE(2026,2,6),tblDaily[WardCode],"MAE")=0,"",SUMIFS(tblDaily[Remaining],tblDaily[EntryDate],DATE(2026,2,6),tblDaily[WardCode],"MAE")),"")</f>
        <v>5</v>
      </c>
      <c r="I53" s="39">
        <f>IFERROR(IF(SUMIFS(tblDaily[Admissions],tblDaily[EntryDate],DATE(2026,2,6),tblDaily[WardCode],"FAE")=0,"",SUMIFS(tblDaily[Admissions],tblDaily[EntryDate],DATE(2026,2,6),tblDaily[WardCode],"FAE")),"")</f>
        <v>1</v>
      </c>
      <c r="J53" s="39">
        <f>IFERROR(IF(SUMIFS(tblDaily[Discharges],tblDaily[EntryDate],DATE(2026,2,6),tblDaily[WardCode],"FAE")=0,"",SUMIFS(tblDaily[Discharges],tblDaily[EntryDate],DATE(2026,2,6),tblDaily[WardCode],"FAE")),"")</f>
        <v>2</v>
      </c>
      <c r="K53" s="39" t="str">
        <f>IFERROR(IF(SUMIFS(tblDaily[Deaths],tblDaily[EntryDate],DATE(2026,2,6),tblDaily[WardCode],"FAE")=0,"",SUMIFS(tblDaily[Deaths],tblDaily[EntryDate],DATE(2026,2,6),tblDaily[WardCode],"FAE")),"")</f>
        <v/>
      </c>
      <c r="L53" s="39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39" t="str">
        <f>IFERROR(IF(SUMIFS(tblDaily[TransfersIn],tblDaily[EntryDate],DATE(2026,2,6),tblDaily[WardCode],"FAE")=0,"",SUMIFS(tblDaily[TransfersIn],tblDaily[EntryDate],DATE(2026,2,6),tblDaily[WardCode],"FAE")),"")</f>
        <v/>
      </c>
      <c r="N53" s="39" t="str">
        <f>IFERROR(IF(SUMIFS(tblDaily[TransfersOut],tblDaily[EntryDate],DATE(2026,2,6),tblDaily[WardCode],"FAE")=0,"",SUMIFS(tblDaily[TransfersOut],tblDaily[EntryDate],DATE(2026,2,6),tblDaily[WardCode],"FAE")),"")</f>
        <v/>
      </c>
      <c r="O53" s="39">
        <f>IFERROR(IF(SUMIFS(tblDaily[Remaining],tblDaily[EntryDate],DATE(2026,2,6),tblDaily[WardCode],"FAE")=0,"",SUMIFS(tblDaily[Remaining],tblDaily[EntryDate],DATE(2026,2,6),tblDaily[WardCode],"FAE")),"")</f>
        <v>1</v>
      </c>
      <c r="P53" s="40">
        <f t="shared" si="1"/>
        <v>6</v>
      </c>
    </row>
    <row r="54" spans="1:16" x14ac:dyDescent="0.25">
      <c r="A54" s="39">
        <v>7</v>
      </c>
      <c r="B54" s="39">
        <f>IFERROR(IF(SUMIFS(tblDaily[Admissions],tblDaily[EntryDate],DATE(2026,2,7),tblDaily[WardCode],"MAE")=0,"",SUMIFS(tblDaily[Admissions],tblDaily[EntryDate],DATE(2026,2,7),tblDaily[WardCode],"MAE")),"")</f>
        <v>2</v>
      </c>
      <c r="C54" s="39">
        <f>IFERROR(IF(SUMIFS(tblDaily[Discharges],tblDaily[EntryDate],DATE(2026,2,7),tblDaily[WardCode],"MAE")=0,"",SUMIFS(tblDaily[Discharges],tblDaily[EntryDate],DATE(2026,2,7),tblDaily[WardCode],"MAE")),"")</f>
        <v>4</v>
      </c>
      <c r="D54" s="39" t="str">
        <f>IFERROR(IF(SUMIFS(tblDaily[Deaths],tblDaily[EntryDate],DATE(2026,2,7),tblDaily[WardCode],"MAE")=0,"",SUMIFS(tblDaily[Deaths],tblDaily[EntryDate],DATE(2026,2,7),tblDaily[WardCode],"MAE")),"")</f>
        <v/>
      </c>
      <c r="E54" s="39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39" t="str">
        <f>IFERROR(IF(SUMIFS(tblDaily[TransfersIn],tblDaily[EntryDate],DATE(2026,2,7),tblDaily[WardCode],"MAE")=0,"",SUMIFS(tblDaily[TransfersIn],tblDaily[EntryDate],DATE(2026,2,7),tblDaily[WardCode],"MAE")),"")</f>
        <v/>
      </c>
      <c r="G54" s="39">
        <f>IFERROR(IF(SUMIFS(tblDaily[TransfersOut],tblDaily[EntryDate],DATE(2026,2,7),tblDaily[WardCode],"MAE")=0,"",SUMIFS(tblDaily[TransfersOut],tblDaily[EntryDate],DATE(2026,2,7),tblDaily[WardCode],"MAE")),"")</f>
        <v>1</v>
      </c>
      <c r="H54" s="39">
        <f>IFERROR(IF(SUMIFS(tblDaily[Remaining],tblDaily[EntryDate],DATE(2026,2,7),tblDaily[WardCode],"MAE")=0,"",SUMIFS(tblDaily[Remaining],tblDaily[EntryDate],DATE(2026,2,7),tblDaily[WardCode],"MAE")),"")</f>
        <v>2</v>
      </c>
      <c r="I54" s="39">
        <f>IFERROR(IF(SUMIFS(tblDaily[Admissions],tblDaily[EntryDate],DATE(2026,2,7),tblDaily[WardCode],"FAE")=0,"",SUMIFS(tblDaily[Admissions],tblDaily[EntryDate],DATE(2026,2,7),tblDaily[WardCode],"FAE")),"")</f>
        <v>1</v>
      </c>
      <c r="J54" s="39">
        <f>IFERROR(IF(SUMIFS(tblDaily[Discharges],tblDaily[EntryDate],DATE(2026,2,7),tblDaily[WardCode],"FAE")=0,"",SUMIFS(tblDaily[Discharges],tblDaily[EntryDate],DATE(2026,2,7),tblDaily[WardCode],"FAE")),"")</f>
        <v>1</v>
      </c>
      <c r="K54" s="39" t="str">
        <f>IFERROR(IF(SUMIFS(tblDaily[Deaths],tblDaily[EntryDate],DATE(2026,2,7),tblDaily[WardCode],"FAE")=0,"",SUMIFS(tblDaily[Deaths],tblDaily[EntryDate],DATE(2026,2,7),tblDaily[WardCode],"FAE")),"")</f>
        <v/>
      </c>
      <c r="L54" s="39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39" t="str">
        <f>IFERROR(IF(SUMIFS(tblDaily[TransfersIn],tblDaily[EntryDate],DATE(2026,2,7),tblDaily[WardCode],"FAE")=0,"",SUMIFS(tblDaily[TransfersIn],tblDaily[EntryDate],DATE(2026,2,7),tblDaily[WardCode],"FAE")),"")</f>
        <v/>
      </c>
      <c r="N54" s="39" t="str">
        <f>IFERROR(IF(SUMIFS(tblDaily[TransfersOut],tblDaily[EntryDate],DATE(2026,2,7),tblDaily[WardCode],"FAE")=0,"",SUMIFS(tblDaily[TransfersOut],tblDaily[EntryDate],DATE(2026,2,7),tblDaily[WardCode],"FAE")),"")</f>
        <v/>
      </c>
      <c r="O54" s="39">
        <f>IFERROR(IF(SUMIFS(tblDaily[Remaining],tblDaily[EntryDate],DATE(2026,2,7),tblDaily[WardCode],"FAE")=0,"",SUMIFS(tblDaily[Remaining],tblDaily[EntryDate],DATE(2026,2,7),tblDaily[WardCode],"FAE")),"")</f>
        <v>1</v>
      </c>
      <c r="P54" s="40">
        <f t="shared" si="1"/>
        <v>3</v>
      </c>
    </row>
    <row r="55" spans="1:16" x14ac:dyDescent="0.25">
      <c r="A55" s="39">
        <v>8</v>
      </c>
      <c r="B55" s="39">
        <f>IFERROR(IF(SUMIFS(tblDaily[Admissions],tblDaily[EntryDate],DATE(2026,2,8),tblDaily[WardCode],"MAE")=0,"",SUMIFS(tblDaily[Admissions],tblDaily[EntryDate],DATE(2026,2,8),tblDaily[WardCode],"MAE")),"")</f>
        <v>2</v>
      </c>
      <c r="C55" s="39" t="str">
        <f>IFERROR(IF(SUMIFS(tblDaily[Discharges],tblDaily[EntryDate],DATE(2026,2,8),tblDaily[WardCode],"MAE")=0,"",SUMIFS(tblDaily[Discharges],tblDaily[EntryDate],DATE(2026,2,8),tblDaily[WardCode],"MAE")),"")</f>
        <v/>
      </c>
      <c r="D55" s="39" t="str">
        <f>IFERROR(IF(SUMIFS(tblDaily[Deaths],tblDaily[EntryDate],DATE(2026,2,8),tblDaily[WardCode],"MAE")=0,"",SUMIFS(tblDaily[Deaths],tblDaily[EntryDate],DATE(2026,2,8),tblDaily[WardCode],"MAE")),"")</f>
        <v/>
      </c>
      <c r="E55" s="39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39" t="str">
        <f>IFERROR(IF(SUMIFS(tblDaily[TransfersIn],tblDaily[EntryDate],DATE(2026,2,8),tblDaily[WardCode],"MAE")=0,"",SUMIFS(tblDaily[TransfersIn],tblDaily[EntryDate],DATE(2026,2,8),tblDaily[WardCode],"MAE")),"")</f>
        <v/>
      </c>
      <c r="G55" s="39">
        <f>IFERROR(IF(SUMIFS(tblDaily[TransfersOut],tblDaily[EntryDate],DATE(2026,2,8),tblDaily[WardCode],"MAE")=0,"",SUMIFS(tblDaily[TransfersOut],tblDaily[EntryDate],DATE(2026,2,8),tblDaily[WardCode],"MAE")),"")</f>
        <v>2</v>
      </c>
      <c r="H55" s="39">
        <f>IFERROR(IF(SUMIFS(tblDaily[Remaining],tblDaily[EntryDate],DATE(2026,2,8),tblDaily[WardCode],"MAE")=0,"",SUMIFS(tblDaily[Remaining],tblDaily[EntryDate],DATE(2026,2,8),tblDaily[WardCode],"MAE")),"")</f>
        <v>2</v>
      </c>
      <c r="I55" s="39">
        <f>IFERROR(IF(SUMIFS(tblDaily[Admissions],tblDaily[EntryDate],DATE(2026,2,8),tblDaily[WardCode],"FAE")=0,"",SUMIFS(tblDaily[Admissions],tblDaily[EntryDate],DATE(2026,2,8),tblDaily[WardCode],"FAE")),"")</f>
        <v>2</v>
      </c>
      <c r="J55" s="39" t="str">
        <f>IFERROR(IF(SUMIFS(tblDaily[Discharges],tblDaily[EntryDate],DATE(2026,2,8),tblDaily[WardCode],"FAE")=0,"",SUMIFS(tblDaily[Discharges],tblDaily[EntryDate],DATE(2026,2,8),tblDaily[WardCode],"FAE")),"")</f>
        <v/>
      </c>
      <c r="K55" s="39" t="str">
        <f>IFERROR(IF(SUMIFS(tblDaily[Deaths],tblDaily[EntryDate],DATE(2026,2,8),tblDaily[WardCode],"FAE")=0,"",SUMIFS(tblDaily[Deaths],tblDaily[EntryDate],DATE(2026,2,8),tblDaily[WardCode],"FAE")),"")</f>
        <v/>
      </c>
      <c r="L55" s="39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39" t="str">
        <f>IFERROR(IF(SUMIFS(tblDaily[TransfersIn],tblDaily[EntryDate],DATE(2026,2,8),tblDaily[WardCode],"FAE")=0,"",SUMIFS(tblDaily[TransfersIn],tblDaily[EntryDate],DATE(2026,2,8),tblDaily[WardCode],"FAE")),"")</f>
        <v/>
      </c>
      <c r="N55" s="39" t="str">
        <f>IFERROR(IF(SUMIFS(tblDaily[TransfersOut],tblDaily[EntryDate],DATE(2026,2,8),tblDaily[WardCode],"FAE")=0,"",SUMIFS(tblDaily[TransfersOut],tblDaily[EntryDate],DATE(2026,2,8),tblDaily[WardCode],"FAE")),"")</f>
        <v/>
      </c>
      <c r="O55" s="39">
        <f>IFERROR(IF(SUMIFS(tblDaily[Remaining],tblDaily[EntryDate],DATE(2026,2,8),tblDaily[WardCode],"FAE")=0,"",SUMIFS(tblDaily[Remaining],tblDaily[EntryDate],DATE(2026,2,8),tblDaily[WardCode],"FAE")),"")</f>
        <v>3</v>
      </c>
      <c r="P55" s="40">
        <f t="shared" si="1"/>
        <v>5</v>
      </c>
    </row>
    <row r="56" spans="1:16" x14ac:dyDescent="0.25">
      <c r="A56" s="39">
        <v>9</v>
      </c>
      <c r="B56" s="39">
        <f>IFERROR(IF(SUMIFS(tblDaily[Admissions],tblDaily[EntryDate],DATE(2026,2,9),tblDaily[WardCode],"MAE")=0,"",SUMIFS(tblDaily[Admissions],tblDaily[EntryDate],DATE(2026,2,9),tblDaily[WardCode],"MAE")),"")</f>
        <v>3</v>
      </c>
      <c r="C56" s="39">
        <f>IFERROR(IF(SUMIFS(tblDaily[Discharges],tblDaily[EntryDate],DATE(2026,2,9),tblDaily[WardCode],"MAE")=0,"",SUMIFS(tblDaily[Discharges],tblDaily[EntryDate],DATE(2026,2,9),tblDaily[WardCode],"MAE")),"")</f>
        <v>1</v>
      </c>
      <c r="D56" s="39" t="str">
        <f>IFERROR(IF(SUMIFS(tblDaily[Deaths],tblDaily[EntryDate],DATE(2026,2,9),tblDaily[WardCode],"MAE")=0,"",SUMIFS(tblDaily[Deaths],tblDaily[EntryDate],DATE(2026,2,9),tblDaily[WardCode],"MAE")),"")</f>
        <v/>
      </c>
      <c r="E56" s="39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39" t="str">
        <f>IFERROR(IF(SUMIFS(tblDaily[TransfersIn],tblDaily[EntryDate],DATE(2026,2,9),tblDaily[WardCode],"MAE")=0,"",SUMIFS(tblDaily[TransfersIn],tblDaily[EntryDate],DATE(2026,2,9),tblDaily[WardCode],"MAE")),"")</f>
        <v/>
      </c>
      <c r="G56" s="39" t="str">
        <f>IFERROR(IF(SUMIFS(tblDaily[TransfersOut],tblDaily[EntryDate],DATE(2026,2,9),tblDaily[WardCode],"MAE")=0,"",SUMIFS(tblDaily[TransfersOut],tblDaily[EntryDate],DATE(2026,2,9),tblDaily[WardCode],"MAE")),"")</f>
        <v/>
      </c>
      <c r="H56" s="39">
        <f>IFERROR(IF(SUMIFS(tblDaily[Remaining],tblDaily[EntryDate],DATE(2026,2,9),tblDaily[WardCode],"MAE")=0,"",SUMIFS(tblDaily[Remaining],tblDaily[EntryDate],DATE(2026,2,9),tblDaily[WardCode],"MAE")),"")</f>
        <v>4</v>
      </c>
      <c r="I56" s="39">
        <f>IFERROR(IF(SUMIFS(tblDaily[Admissions],tblDaily[EntryDate],DATE(2026,2,9),tblDaily[WardCode],"FAE")=0,"",SUMIFS(tblDaily[Admissions],tblDaily[EntryDate],DATE(2026,2,9),tblDaily[WardCode],"FAE")),"")</f>
        <v>3</v>
      </c>
      <c r="J56" s="39" t="str">
        <f>IFERROR(IF(SUMIFS(tblDaily[Discharges],tblDaily[EntryDate],DATE(2026,2,9),tblDaily[WardCode],"FAE")=0,"",SUMIFS(tblDaily[Discharges],tblDaily[EntryDate],DATE(2026,2,9),tblDaily[WardCode],"FAE")),"")</f>
        <v/>
      </c>
      <c r="K56" s="39" t="str">
        <f>IFERROR(IF(SUMIFS(tblDaily[Deaths],tblDaily[EntryDate],DATE(2026,2,9),tblDaily[WardCode],"FAE")=0,"",SUMIFS(tblDaily[Deaths],tblDaily[EntryDate],DATE(2026,2,9),tblDaily[WardCode],"FAE")),"")</f>
        <v/>
      </c>
      <c r="L56" s="39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39" t="str">
        <f>IFERROR(IF(SUMIFS(tblDaily[TransfersIn],tblDaily[EntryDate],DATE(2026,2,9),tblDaily[WardCode],"FAE")=0,"",SUMIFS(tblDaily[TransfersIn],tblDaily[EntryDate],DATE(2026,2,9),tblDaily[WardCode],"FAE")),"")</f>
        <v/>
      </c>
      <c r="N56" s="39">
        <f>IFERROR(IF(SUMIFS(tblDaily[TransfersOut],tblDaily[EntryDate],DATE(2026,2,9),tblDaily[WardCode],"FAE")=0,"",SUMIFS(tblDaily[TransfersOut],tblDaily[EntryDate],DATE(2026,2,9),tblDaily[WardCode],"FAE")),"")</f>
        <v>1</v>
      </c>
      <c r="O56" s="39">
        <f>IFERROR(IF(SUMIFS(tblDaily[Remaining],tblDaily[EntryDate],DATE(2026,2,9),tblDaily[WardCode],"FAE")=0,"",SUMIFS(tblDaily[Remaining],tblDaily[EntryDate],DATE(2026,2,9),tblDaily[WardCode],"FAE")),"")</f>
        <v>5</v>
      </c>
      <c r="P56" s="40">
        <f t="shared" si="1"/>
        <v>9</v>
      </c>
    </row>
    <row r="57" spans="1:16" x14ac:dyDescent="0.25">
      <c r="A57" s="39">
        <v>10</v>
      </c>
      <c r="B57" s="39">
        <f>IFERROR(IF(SUMIFS(tblDaily[Admissions],tblDaily[EntryDate],DATE(2026,2,10),tblDaily[WardCode],"MAE")=0,"",SUMIFS(tblDaily[Admissions],tblDaily[EntryDate],DATE(2026,2,10),tblDaily[WardCode],"MAE")),"")</f>
        <v>3</v>
      </c>
      <c r="C57" s="39">
        <f>IFERROR(IF(SUMIFS(tblDaily[Discharges],tblDaily[EntryDate],DATE(2026,2,10),tblDaily[WardCode],"MAE")=0,"",SUMIFS(tblDaily[Discharges],tblDaily[EntryDate],DATE(2026,2,10),tblDaily[WardCode],"MAE")),"")</f>
        <v>2</v>
      </c>
      <c r="D57" s="39" t="str">
        <f>IFERROR(IF(SUMIFS(tblDaily[Deaths],tblDaily[EntryDate],DATE(2026,2,10),tblDaily[WardCode],"MAE")=0,"",SUMIFS(tblDaily[Deaths],tblDaily[EntryDate],DATE(2026,2,10),tblDaily[WardCode],"MAE")),"")</f>
        <v/>
      </c>
      <c r="E57" s="39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39" t="str">
        <f>IFERROR(IF(SUMIFS(tblDaily[TransfersIn],tblDaily[EntryDate],DATE(2026,2,10),tblDaily[WardCode],"MAE")=0,"",SUMIFS(tblDaily[TransfersIn],tblDaily[EntryDate],DATE(2026,2,10),tblDaily[WardCode],"MAE")),"")</f>
        <v/>
      </c>
      <c r="G57" s="39">
        <f>IFERROR(IF(SUMIFS(tblDaily[TransfersOut],tblDaily[EntryDate],DATE(2026,2,10),tblDaily[WardCode],"MAE")=0,"",SUMIFS(tblDaily[TransfersOut],tblDaily[EntryDate],DATE(2026,2,10),tblDaily[WardCode],"MAE")),"")</f>
        <v>2</v>
      </c>
      <c r="H57" s="39">
        <f>IFERROR(IF(SUMIFS(tblDaily[Remaining],tblDaily[EntryDate],DATE(2026,2,10),tblDaily[WardCode],"MAE")=0,"",SUMIFS(tblDaily[Remaining],tblDaily[EntryDate],DATE(2026,2,10),tblDaily[WardCode],"MAE")),"")</f>
        <v>3</v>
      </c>
      <c r="I57" s="39">
        <f>IFERROR(IF(SUMIFS(tblDaily[Admissions],tblDaily[EntryDate],DATE(2026,2,10),tblDaily[WardCode],"FAE")=0,"",SUMIFS(tblDaily[Admissions],tblDaily[EntryDate],DATE(2026,2,10),tblDaily[WardCode],"FAE")),"")</f>
        <v>4</v>
      </c>
      <c r="J57" s="39" t="str">
        <f>IFERROR(IF(SUMIFS(tblDaily[Discharges],tblDaily[EntryDate],DATE(2026,2,10),tblDaily[WardCode],"FAE")=0,"",SUMIFS(tblDaily[Discharges],tblDaily[EntryDate],DATE(2026,2,10),tblDaily[WardCode],"FAE")),"")</f>
        <v/>
      </c>
      <c r="K57" s="39" t="str">
        <f>IFERROR(IF(SUMIFS(tblDaily[Deaths],tblDaily[EntryDate],DATE(2026,2,10),tblDaily[WardCode],"FAE")=0,"",SUMIFS(tblDaily[Deaths],tblDaily[EntryDate],DATE(2026,2,10),tblDaily[WardCode],"FAE")),"")</f>
        <v/>
      </c>
      <c r="L57" s="39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39" t="str">
        <f>IFERROR(IF(SUMIFS(tblDaily[TransfersIn],tblDaily[EntryDate],DATE(2026,2,10),tblDaily[WardCode],"FAE")=0,"",SUMIFS(tblDaily[TransfersIn],tblDaily[EntryDate],DATE(2026,2,10),tblDaily[WardCode],"FAE")),"")</f>
        <v/>
      </c>
      <c r="N57" s="39">
        <f>IFERROR(IF(SUMIFS(tblDaily[TransfersOut],tblDaily[EntryDate],DATE(2026,2,10),tblDaily[WardCode],"FAE")=0,"",SUMIFS(tblDaily[TransfersOut],tblDaily[EntryDate],DATE(2026,2,10),tblDaily[WardCode],"FAE")),"")</f>
        <v>2</v>
      </c>
      <c r="O57" s="39">
        <f>IFERROR(IF(SUMIFS(tblDaily[Remaining],tblDaily[EntryDate],DATE(2026,2,10),tblDaily[WardCode],"FAE")=0,"",SUMIFS(tblDaily[Remaining],tblDaily[EntryDate],DATE(2026,2,10),tblDaily[WardCode],"FAE")),"")</f>
        <v>7</v>
      </c>
      <c r="P57" s="40">
        <f t="shared" si="1"/>
        <v>10</v>
      </c>
    </row>
    <row r="58" spans="1:16" x14ac:dyDescent="0.25">
      <c r="A58" s="39">
        <v>11</v>
      </c>
      <c r="B58" s="39">
        <f>IFERROR(IF(SUMIFS(tblDaily[Admissions],tblDaily[EntryDate],DATE(2026,2,11),tblDaily[WardCode],"MAE")=0,"",SUMIFS(tblDaily[Admissions],tblDaily[EntryDate],DATE(2026,2,11),tblDaily[WardCode],"MAE")),"")</f>
        <v>1</v>
      </c>
      <c r="C58" s="39" t="str">
        <f>IFERROR(IF(SUMIFS(tblDaily[Discharges],tblDaily[EntryDate],DATE(2026,2,11),tblDaily[WardCode],"MAE")=0,"",SUMIFS(tblDaily[Discharges],tblDaily[EntryDate],DATE(2026,2,11),tblDaily[WardCode],"MAE")),"")</f>
        <v/>
      </c>
      <c r="D58" s="39" t="str">
        <f>IFERROR(IF(SUMIFS(tblDaily[Deaths],tblDaily[EntryDate],DATE(2026,2,11),tblDaily[WardCode],"MAE")=0,"",SUMIFS(tblDaily[Deaths],tblDaily[EntryDate],DATE(2026,2,11),tblDaily[WardCode],"MAE")),"")</f>
        <v/>
      </c>
      <c r="E58" s="39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39" t="str">
        <f>IFERROR(IF(SUMIFS(tblDaily[TransfersIn],tblDaily[EntryDate],DATE(2026,2,11),tblDaily[WardCode],"MAE")=0,"",SUMIFS(tblDaily[TransfersIn],tblDaily[EntryDate],DATE(2026,2,11),tblDaily[WardCode],"MAE")),"")</f>
        <v/>
      </c>
      <c r="G58" s="39">
        <f>IFERROR(IF(SUMIFS(tblDaily[TransfersOut],tblDaily[EntryDate],DATE(2026,2,11),tblDaily[WardCode],"MAE")=0,"",SUMIFS(tblDaily[TransfersOut],tblDaily[EntryDate],DATE(2026,2,11),tblDaily[WardCode],"MAE")),"")</f>
        <v>1</v>
      </c>
      <c r="H58" s="39">
        <f>IFERROR(IF(SUMIFS(tblDaily[Remaining],tblDaily[EntryDate],DATE(2026,2,11),tblDaily[WardCode],"MAE")=0,"",SUMIFS(tblDaily[Remaining],tblDaily[EntryDate],DATE(2026,2,11),tblDaily[WardCode],"MAE")),"")</f>
        <v>3</v>
      </c>
      <c r="I58" s="39">
        <f>IFERROR(IF(SUMIFS(tblDaily[Admissions],tblDaily[EntryDate],DATE(2026,2,11),tblDaily[WardCode],"FAE")=0,"",SUMIFS(tblDaily[Admissions],tblDaily[EntryDate],DATE(2026,2,11),tblDaily[WardCode],"FAE")),"")</f>
        <v>1</v>
      </c>
      <c r="J58" s="39">
        <f>IFERROR(IF(SUMIFS(tblDaily[Discharges],tblDaily[EntryDate],DATE(2026,2,11),tblDaily[WardCode],"FAE")=0,"",SUMIFS(tblDaily[Discharges],tblDaily[EntryDate],DATE(2026,2,11),tblDaily[WardCode],"FAE")),"")</f>
        <v>2</v>
      </c>
      <c r="K58" s="39" t="str">
        <f>IFERROR(IF(SUMIFS(tblDaily[Deaths],tblDaily[EntryDate],DATE(2026,2,11),tblDaily[WardCode],"FAE")=0,"",SUMIFS(tblDaily[Deaths],tblDaily[EntryDate],DATE(2026,2,11),tblDaily[WardCode],"FAE")),"")</f>
        <v/>
      </c>
      <c r="L58" s="39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39" t="str">
        <f>IFERROR(IF(SUMIFS(tblDaily[TransfersIn],tblDaily[EntryDate],DATE(2026,2,11),tblDaily[WardCode],"FAE")=0,"",SUMIFS(tblDaily[TransfersIn],tblDaily[EntryDate],DATE(2026,2,11),tblDaily[WardCode],"FAE")),"")</f>
        <v/>
      </c>
      <c r="N58" s="39">
        <f>IFERROR(IF(SUMIFS(tblDaily[TransfersOut],tblDaily[EntryDate],DATE(2026,2,11),tblDaily[WardCode],"FAE")=0,"",SUMIFS(tblDaily[TransfersOut],tblDaily[EntryDate],DATE(2026,2,11),tblDaily[WardCode],"FAE")),"")</f>
        <v>2</v>
      </c>
      <c r="O58" s="39">
        <f>IFERROR(IF(SUMIFS(tblDaily[Remaining],tblDaily[EntryDate],DATE(2026,2,11),tblDaily[WardCode],"FAE")=0,"",SUMIFS(tblDaily[Remaining],tblDaily[EntryDate],DATE(2026,2,11),tblDaily[WardCode],"FAE")),"")</f>
        <v>4</v>
      </c>
      <c r="P58" s="40">
        <f t="shared" si="1"/>
        <v>7</v>
      </c>
    </row>
    <row r="59" spans="1:16" x14ac:dyDescent="0.25">
      <c r="A59" s="39">
        <v>12</v>
      </c>
      <c r="B59" s="39">
        <f>IFERROR(IF(SUMIFS(tblDaily[Admissions],tblDaily[EntryDate],DATE(2026,2,12),tblDaily[WardCode],"MAE")=0,"",SUMIFS(tblDaily[Admissions],tblDaily[EntryDate],DATE(2026,2,12),tblDaily[WardCode],"MAE")),"")</f>
        <v>3</v>
      </c>
      <c r="C59" s="39">
        <f>IFERROR(IF(SUMIFS(tblDaily[Discharges],tblDaily[EntryDate],DATE(2026,2,12),tblDaily[WardCode],"MAE")=0,"",SUMIFS(tblDaily[Discharges],tblDaily[EntryDate],DATE(2026,2,12),tblDaily[WardCode],"MAE")),"")</f>
        <v>2</v>
      </c>
      <c r="D59" s="39" t="str">
        <f>IFERROR(IF(SUMIFS(tblDaily[Deaths],tblDaily[EntryDate],DATE(2026,2,12),tblDaily[WardCode],"MAE")=0,"",SUMIFS(tblDaily[Deaths],tblDaily[EntryDate],DATE(2026,2,12),tblDaily[WardCode],"MAE")),"")</f>
        <v/>
      </c>
      <c r="E59" s="39">
        <f>IFERROR(IF(SUMIFS(tblDaily[DeathsUnder24Hrs],tblDaily[EntryDate],DATE(2026,2,12),tblDaily[WardCode],"MAE")=0,"",SUMIFS(tblDaily[DeathsUnder24Hrs],tblDaily[EntryDate],DATE(2026,2,12),tblDaily[WardCode],"MAE")),"")</f>
        <v>1</v>
      </c>
      <c r="F59" s="39" t="str">
        <f>IFERROR(IF(SUMIFS(tblDaily[TransfersIn],tblDaily[EntryDate],DATE(2026,2,12),tblDaily[WardCode],"MAE")=0,"",SUMIFS(tblDaily[TransfersIn],tblDaily[EntryDate],DATE(2026,2,12),tblDaily[WardCode],"MAE")),"")</f>
        <v/>
      </c>
      <c r="G59" s="39">
        <f>IFERROR(IF(SUMIFS(tblDaily[TransfersOut],tblDaily[EntryDate],DATE(2026,2,12),tblDaily[WardCode],"MAE")=0,"",SUMIFS(tblDaily[TransfersOut],tblDaily[EntryDate],DATE(2026,2,12),tblDaily[WardCode],"MAE")),"")</f>
        <v>1</v>
      </c>
      <c r="H59" s="39">
        <f>IFERROR(IF(SUMIFS(tblDaily[Remaining],tblDaily[EntryDate],DATE(2026,2,12),tblDaily[WardCode],"MAE")=0,"",SUMIFS(tblDaily[Remaining],tblDaily[EntryDate],DATE(2026,2,12),tblDaily[WardCode],"MAE")),"")</f>
        <v>2</v>
      </c>
      <c r="I59" s="39">
        <f>IFERROR(IF(SUMIFS(tblDaily[Admissions],tblDaily[EntryDate],DATE(2026,2,12),tblDaily[WardCode],"FAE")=0,"",SUMIFS(tblDaily[Admissions],tblDaily[EntryDate],DATE(2026,2,12),tblDaily[WardCode],"FAE")),"")</f>
        <v>3</v>
      </c>
      <c r="J59" s="39">
        <f>IFERROR(IF(SUMIFS(tblDaily[Discharges],tblDaily[EntryDate],DATE(2026,2,12),tblDaily[WardCode],"FAE")=0,"",SUMIFS(tblDaily[Discharges],tblDaily[EntryDate],DATE(2026,2,12),tblDaily[WardCode],"FAE")),"")</f>
        <v>1</v>
      </c>
      <c r="K59" s="39" t="str">
        <f>IFERROR(IF(SUMIFS(tblDaily[Deaths],tblDaily[EntryDate],DATE(2026,2,12),tblDaily[WardCode],"FAE")=0,"",SUMIFS(tblDaily[Deaths],tblDaily[EntryDate],DATE(2026,2,12),tblDaily[WardCode],"FAE")),"")</f>
        <v/>
      </c>
      <c r="L59" s="39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39" t="str">
        <f>IFERROR(IF(SUMIFS(tblDaily[TransfersIn],tblDaily[EntryDate],DATE(2026,2,12),tblDaily[WardCode],"FAE")=0,"",SUMIFS(tblDaily[TransfersIn],tblDaily[EntryDate],DATE(2026,2,12),tblDaily[WardCode],"FAE")),"")</f>
        <v/>
      </c>
      <c r="N59" s="39">
        <f>IFERROR(IF(SUMIFS(tblDaily[TransfersOut],tblDaily[EntryDate],DATE(2026,2,12),tblDaily[WardCode],"FAE")=0,"",SUMIFS(tblDaily[TransfersOut],tblDaily[EntryDate],DATE(2026,2,12),tblDaily[WardCode],"FAE")),"")</f>
        <v>1</v>
      </c>
      <c r="O59" s="39">
        <f>IFERROR(IF(SUMIFS(tblDaily[Remaining],tblDaily[EntryDate],DATE(2026,2,12),tblDaily[WardCode],"FAE")=0,"",SUMIFS(tblDaily[Remaining],tblDaily[EntryDate],DATE(2026,2,12),tblDaily[WardCode],"FAE")),"")</f>
        <v>5</v>
      </c>
      <c r="P59" s="40">
        <f t="shared" si="1"/>
        <v>7</v>
      </c>
    </row>
    <row r="60" spans="1:16" x14ac:dyDescent="0.25">
      <c r="A60" s="39">
        <v>13</v>
      </c>
      <c r="B60" s="39" t="str">
        <f>IFERROR(IF(SUMIFS(tblDaily[Admissions],tblDaily[EntryDate],DATE(2026,2,13),tblDaily[WardCode],"MAE")=0,"",SUMIFS(tblDaily[Admissions],tblDaily[EntryDate],DATE(2026,2,13),tblDaily[WardCode],"MAE")),"")</f>
        <v/>
      </c>
      <c r="C60" s="39" t="str">
        <f>IFERROR(IF(SUMIFS(tblDaily[Discharges],tblDaily[EntryDate],DATE(2026,2,13),tblDaily[WardCode],"MAE")=0,"",SUMIFS(tblDaily[Discharges],tblDaily[EntryDate],DATE(2026,2,13),tblDaily[WardCode],"MAE")),"")</f>
        <v/>
      </c>
      <c r="D60" s="39" t="str">
        <f>IFERROR(IF(SUMIFS(tblDaily[Deaths],tblDaily[EntryDate],DATE(2026,2,13),tblDaily[WardCode],"MAE")=0,"",SUMIFS(tblDaily[Deaths],tblDaily[EntryDate],DATE(2026,2,13),tblDaily[WardCode],"MAE")),"")</f>
        <v/>
      </c>
      <c r="E60" s="39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39" t="str">
        <f>IFERROR(IF(SUMIFS(tblDaily[TransfersIn],tblDaily[EntryDate],DATE(2026,2,13),tblDaily[WardCode],"MAE")=0,"",SUMIFS(tblDaily[TransfersIn],tblDaily[EntryDate],DATE(2026,2,13),tblDaily[WardCode],"MAE")),"")</f>
        <v/>
      </c>
      <c r="G60" s="39">
        <f>IFERROR(IF(SUMIFS(tblDaily[TransfersOut],tblDaily[EntryDate],DATE(2026,2,13),tblDaily[WardCode],"MAE")=0,"",SUMIFS(tblDaily[TransfersOut],tblDaily[EntryDate],DATE(2026,2,13),tblDaily[WardCode],"MAE")),"")</f>
        <v>1</v>
      </c>
      <c r="H60" s="39">
        <f>IFERROR(IF(SUMIFS(tblDaily[Remaining],tblDaily[EntryDate],DATE(2026,2,13),tblDaily[WardCode],"MAE")=0,"",SUMIFS(tblDaily[Remaining],tblDaily[EntryDate],DATE(2026,2,13),tblDaily[WardCode],"MAE")),"")</f>
        <v>1</v>
      </c>
      <c r="I60" s="39">
        <f>IFERROR(IF(SUMIFS(tblDaily[Admissions],tblDaily[EntryDate],DATE(2026,2,13),tblDaily[WardCode],"FAE")=0,"",SUMIFS(tblDaily[Admissions],tblDaily[EntryDate],DATE(2026,2,13),tblDaily[WardCode],"FAE")),"")</f>
        <v>3</v>
      </c>
      <c r="J60" s="39">
        <f>IFERROR(IF(SUMIFS(tblDaily[Discharges],tblDaily[EntryDate],DATE(2026,2,13),tblDaily[WardCode],"FAE")=0,"",SUMIFS(tblDaily[Discharges],tblDaily[EntryDate],DATE(2026,2,13),tblDaily[WardCode],"FAE")),"")</f>
        <v>3</v>
      </c>
      <c r="K60" s="39">
        <f>IFERROR(IF(SUMIFS(tblDaily[Deaths],tblDaily[EntryDate],DATE(2026,2,13),tblDaily[WardCode],"FAE")=0,"",SUMIFS(tblDaily[Deaths],tblDaily[EntryDate],DATE(2026,2,13),tblDaily[WardCode],"FAE")),"")</f>
        <v>1</v>
      </c>
      <c r="L60" s="39">
        <f>IFERROR(IF(SUMIFS(tblDaily[DeathsUnder24Hrs],tblDaily[EntryDate],DATE(2026,2,13),tblDaily[WardCode],"FAE")=0,"",SUMIFS(tblDaily[DeathsUnder24Hrs],tblDaily[EntryDate],DATE(2026,2,13),tblDaily[WardCode],"FAE")),"")</f>
        <v>1</v>
      </c>
      <c r="M60" s="39" t="str">
        <f>IFERROR(IF(SUMIFS(tblDaily[TransfersIn],tblDaily[EntryDate],DATE(2026,2,13),tblDaily[WardCode],"FAE")=0,"",SUMIFS(tblDaily[TransfersIn],tblDaily[EntryDate],DATE(2026,2,13),tblDaily[WardCode],"FAE")),"")</f>
        <v/>
      </c>
      <c r="N60" s="39">
        <f>IFERROR(IF(SUMIFS(tblDaily[TransfersOut],tblDaily[EntryDate],DATE(2026,2,13),tblDaily[WardCode],"FAE")=0,"",SUMIFS(tblDaily[TransfersOut],tblDaily[EntryDate],DATE(2026,2,13),tblDaily[WardCode],"FAE")),"")</f>
        <v>1</v>
      </c>
      <c r="O60" s="39">
        <f>IFERROR(IF(SUMIFS(tblDaily[Remaining],tblDaily[EntryDate],DATE(2026,2,13),tblDaily[WardCode],"FAE")=0,"",SUMIFS(tblDaily[Remaining],tblDaily[EntryDate],DATE(2026,2,13),tblDaily[WardCode],"FAE")),"")</f>
        <v>2</v>
      </c>
      <c r="P60" s="40">
        <f t="shared" si="1"/>
        <v>3</v>
      </c>
    </row>
    <row r="61" spans="1:16" x14ac:dyDescent="0.25">
      <c r="A61" s="39">
        <v>14</v>
      </c>
      <c r="B61" s="39">
        <f>IFERROR(IF(SUMIFS(tblDaily[Admissions],tblDaily[EntryDate],DATE(2026,2,14),tblDaily[WardCode],"MAE")=0,"",SUMIFS(tblDaily[Admissions],tblDaily[EntryDate],DATE(2026,2,14),tblDaily[WardCode],"MAE")),"")</f>
        <v>4</v>
      </c>
      <c r="C61" s="39" t="str">
        <f>IFERROR(IF(SUMIFS(tblDaily[Discharges],tblDaily[EntryDate],DATE(2026,2,14),tblDaily[WardCode],"MAE")=0,"",SUMIFS(tblDaily[Discharges],tblDaily[EntryDate],DATE(2026,2,14),tblDaily[WardCode],"MAE")),"")</f>
        <v/>
      </c>
      <c r="D61" s="39" t="str">
        <f>IFERROR(IF(SUMIFS(tblDaily[Deaths],tblDaily[EntryDate],DATE(2026,2,14),tblDaily[WardCode],"MAE")=0,"",SUMIFS(tblDaily[Deaths],tblDaily[EntryDate],DATE(2026,2,14),tblDaily[WardCode],"MAE")),"")</f>
        <v/>
      </c>
      <c r="E61" s="39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39" t="str">
        <f>IFERROR(IF(SUMIFS(tblDaily[TransfersIn],tblDaily[EntryDate],DATE(2026,2,14),tblDaily[WardCode],"MAE")=0,"",SUMIFS(tblDaily[TransfersIn],tblDaily[EntryDate],DATE(2026,2,14),tblDaily[WardCode],"MAE")),"")</f>
        <v/>
      </c>
      <c r="G61" s="39">
        <f>IFERROR(IF(SUMIFS(tblDaily[TransfersOut],tblDaily[EntryDate],DATE(2026,2,14),tblDaily[WardCode],"MAE")=0,"",SUMIFS(tblDaily[TransfersOut],tblDaily[EntryDate],DATE(2026,2,14),tblDaily[WardCode],"MAE")),"")</f>
        <v>1</v>
      </c>
      <c r="H61" s="39">
        <f>IFERROR(IF(SUMIFS(tblDaily[Remaining],tblDaily[EntryDate],DATE(2026,2,14),tblDaily[WardCode],"MAE")=0,"",SUMIFS(tblDaily[Remaining],tblDaily[EntryDate],DATE(2026,2,14),tblDaily[WardCode],"MAE")),"")</f>
        <v>4</v>
      </c>
      <c r="I61" s="39">
        <f>IFERROR(IF(SUMIFS(tblDaily[Admissions],tblDaily[EntryDate],DATE(2026,2,14),tblDaily[WardCode],"FAE")=0,"",SUMIFS(tblDaily[Admissions],tblDaily[EntryDate],DATE(2026,2,14),tblDaily[WardCode],"FAE")),"")</f>
        <v>4</v>
      </c>
      <c r="J61" s="39" t="str">
        <f>IFERROR(IF(SUMIFS(tblDaily[Discharges],tblDaily[EntryDate],DATE(2026,2,14),tblDaily[WardCode],"FAE")=0,"",SUMIFS(tblDaily[Discharges],tblDaily[EntryDate],DATE(2026,2,14),tblDaily[WardCode],"FAE")),"")</f>
        <v/>
      </c>
      <c r="K61" s="39" t="str">
        <f>IFERROR(IF(SUMIFS(tblDaily[Deaths],tblDaily[EntryDate],DATE(2026,2,14),tblDaily[WardCode],"FAE")=0,"",SUMIFS(tblDaily[Deaths],tblDaily[EntryDate],DATE(2026,2,14),tblDaily[WardCode],"FAE")),"")</f>
        <v/>
      </c>
      <c r="L61" s="39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39" t="str">
        <f>IFERROR(IF(SUMIFS(tblDaily[TransfersIn],tblDaily[EntryDate],DATE(2026,2,14),tblDaily[WardCode],"FAE")=0,"",SUMIFS(tblDaily[TransfersIn],tblDaily[EntryDate],DATE(2026,2,14),tblDaily[WardCode],"FAE")),"")</f>
        <v/>
      </c>
      <c r="N61" s="39">
        <f>IFERROR(IF(SUMIFS(tblDaily[TransfersOut],tblDaily[EntryDate],DATE(2026,2,14),tblDaily[WardCode],"FAE")=0,"",SUMIFS(tblDaily[TransfersOut],tblDaily[EntryDate],DATE(2026,2,14),tblDaily[WardCode],"FAE")),"")</f>
        <v>1</v>
      </c>
      <c r="O61" s="39">
        <f>IFERROR(IF(SUMIFS(tblDaily[Remaining],tblDaily[EntryDate],DATE(2026,2,14),tblDaily[WardCode],"FAE")=0,"",SUMIFS(tblDaily[Remaining],tblDaily[EntryDate],DATE(2026,2,14),tblDaily[WardCode],"FAE")),"")</f>
        <v>5</v>
      </c>
      <c r="P61" s="40">
        <f t="shared" si="1"/>
        <v>9</v>
      </c>
    </row>
    <row r="62" spans="1:16" x14ac:dyDescent="0.25">
      <c r="A62" s="39">
        <v>15</v>
      </c>
      <c r="B62" s="39">
        <f>IFERROR(IF(SUMIFS(tblDaily[Admissions],tblDaily[EntryDate],DATE(2026,2,15),tblDaily[WardCode],"MAE")=0,"",SUMIFS(tblDaily[Admissions],tblDaily[EntryDate],DATE(2026,2,15),tblDaily[WardCode],"MAE")),"")</f>
        <v>2</v>
      </c>
      <c r="C62" s="39">
        <f>IFERROR(IF(SUMIFS(tblDaily[Discharges],tblDaily[EntryDate],DATE(2026,2,15),tblDaily[WardCode],"MAE")=0,"",SUMIFS(tblDaily[Discharges],tblDaily[EntryDate],DATE(2026,2,15),tblDaily[WardCode],"MAE")),"")</f>
        <v>2</v>
      </c>
      <c r="D62" s="39" t="str">
        <f>IFERROR(IF(SUMIFS(tblDaily[Deaths],tblDaily[EntryDate],DATE(2026,2,15),tblDaily[WardCode],"MAE")=0,"",SUMIFS(tblDaily[Deaths],tblDaily[EntryDate],DATE(2026,2,15),tblDaily[WardCode],"MAE")),"")</f>
        <v/>
      </c>
      <c r="E62" s="39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39" t="str">
        <f>IFERROR(IF(SUMIFS(tblDaily[TransfersIn],tblDaily[EntryDate],DATE(2026,2,15),tblDaily[WardCode],"MAE")=0,"",SUMIFS(tblDaily[TransfersIn],tblDaily[EntryDate],DATE(2026,2,15),tblDaily[WardCode],"MAE")),"")</f>
        <v/>
      </c>
      <c r="G62" s="39">
        <f>IFERROR(IF(SUMIFS(tblDaily[TransfersOut],tblDaily[EntryDate],DATE(2026,2,15),tblDaily[WardCode],"MAE")=0,"",SUMIFS(tblDaily[TransfersOut],tblDaily[EntryDate],DATE(2026,2,15),tblDaily[WardCode],"MAE")),"")</f>
        <v>1</v>
      </c>
      <c r="H62" s="39">
        <f>IFERROR(IF(SUMIFS(tblDaily[Remaining],tblDaily[EntryDate],DATE(2026,2,15),tblDaily[WardCode],"MAE")=0,"",SUMIFS(tblDaily[Remaining],tblDaily[EntryDate],DATE(2026,2,15),tblDaily[WardCode],"MAE")),"")</f>
        <v>3</v>
      </c>
      <c r="I62" s="39">
        <f>IFERROR(IF(SUMIFS(tblDaily[Admissions],tblDaily[EntryDate],DATE(2026,2,15),tblDaily[WardCode],"FAE")=0,"",SUMIFS(tblDaily[Admissions],tblDaily[EntryDate],DATE(2026,2,15),tblDaily[WardCode],"FAE")),"")</f>
        <v>5</v>
      </c>
      <c r="J62" s="39">
        <f>IFERROR(IF(SUMIFS(tblDaily[Discharges],tblDaily[EntryDate],DATE(2026,2,15),tblDaily[WardCode],"FAE")=0,"",SUMIFS(tblDaily[Discharges],tblDaily[EntryDate],DATE(2026,2,15),tblDaily[WardCode],"FAE")),"")</f>
        <v>2</v>
      </c>
      <c r="K62" s="39" t="str">
        <f>IFERROR(IF(SUMIFS(tblDaily[Deaths],tblDaily[EntryDate],DATE(2026,2,15),tblDaily[WardCode],"FAE")=0,"",SUMIFS(tblDaily[Deaths],tblDaily[EntryDate],DATE(2026,2,15),tblDaily[WardCode],"FAE")),"")</f>
        <v/>
      </c>
      <c r="L62" s="39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39" t="str">
        <f>IFERROR(IF(SUMIFS(tblDaily[TransfersIn],tblDaily[EntryDate],DATE(2026,2,15),tblDaily[WardCode],"FAE")=0,"",SUMIFS(tblDaily[TransfersIn],tblDaily[EntryDate],DATE(2026,2,15),tblDaily[WardCode],"FAE")),"")</f>
        <v/>
      </c>
      <c r="N62" s="39">
        <f>IFERROR(IF(SUMIFS(tblDaily[TransfersOut],tblDaily[EntryDate],DATE(2026,2,15),tblDaily[WardCode],"FAE")=0,"",SUMIFS(tblDaily[TransfersOut],tblDaily[EntryDate],DATE(2026,2,15),tblDaily[WardCode],"FAE")),"")</f>
        <v>2</v>
      </c>
      <c r="O62" s="39">
        <f>IFERROR(IF(SUMIFS(tblDaily[Remaining],tblDaily[EntryDate],DATE(2026,2,15),tblDaily[WardCode],"FAE")=0,"",SUMIFS(tblDaily[Remaining],tblDaily[EntryDate],DATE(2026,2,15),tblDaily[WardCode],"FAE")),"")</f>
        <v>6</v>
      </c>
      <c r="P62" s="40">
        <f t="shared" si="1"/>
        <v>9</v>
      </c>
    </row>
    <row r="63" spans="1:16" x14ac:dyDescent="0.25">
      <c r="A63" s="39">
        <v>16</v>
      </c>
      <c r="B63" s="39">
        <f>IFERROR(IF(SUMIFS(tblDaily[Admissions],tblDaily[EntryDate],DATE(2026,2,16),tblDaily[WardCode],"MAE")=0,"",SUMIFS(tblDaily[Admissions],tblDaily[EntryDate],DATE(2026,2,16),tblDaily[WardCode],"MAE")),"")</f>
        <v>2</v>
      </c>
      <c r="C63" s="39">
        <f>IFERROR(IF(SUMIFS(tblDaily[Discharges],tblDaily[EntryDate],DATE(2026,2,16),tblDaily[WardCode],"MAE")=0,"",SUMIFS(tblDaily[Discharges],tblDaily[EntryDate],DATE(2026,2,16),tblDaily[WardCode],"MAE")),"")</f>
        <v>1</v>
      </c>
      <c r="D63" s="39" t="str">
        <f>IFERROR(IF(SUMIFS(tblDaily[Deaths],tblDaily[EntryDate],DATE(2026,2,16),tblDaily[WardCode],"MAE")=0,"",SUMIFS(tblDaily[Deaths],tblDaily[EntryDate],DATE(2026,2,16),tblDaily[WardCode],"MAE")),"")</f>
        <v/>
      </c>
      <c r="E63" s="39">
        <f>IFERROR(IF(SUMIFS(tblDaily[DeathsUnder24Hrs],tblDaily[EntryDate],DATE(2026,2,16),tblDaily[WardCode],"MAE")=0,"",SUMIFS(tblDaily[DeathsUnder24Hrs],tblDaily[EntryDate],DATE(2026,2,16),tblDaily[WardCode],"MAE")),"")</f>
        <v>1</v>
      </c>
      <c r="F63" s="39" t="str">
        <f>IFERROR(IF(SUMIFS(tblDaily[TransfersIn],tblDaily[EntryDate],DATE(2026,2,16),tblDaily[WardCode],"MAE")=0,"",SUMIFS(tblDaily[TransfersIn],tblDaily[EntryDate],DATE(2026,2,16),tblDaily[WardCode],"MAE")),"")</f>
        <v/>
      </c>
      <c r="G63" s="39">
        <f>IFERROR(IF(SUMIFS(tblDaily[TransfersOut],tblDaily[EntryDate],DATE(2026,2,16),tblDaily[WardCode],"MAE")=0,"",SUMIFS(tblDaily[TransfersOut],tblDaily[EntryDate],DATE(2026,2,16),tblDaily[WardCode],"MAE")),"")</f>
        <v>3</v>
      </c>
      <c r="H63" s="39" t="str">
        <f>IFERROR(IF(SUMIFS(tblDaily[Remaining],tblDaily[EntryDate],DATE(2026,2,16),tblDaily[WardCode],"MAE")=0,"",SUMIFS(tblDaily[Remaining],tblDaily[EntryDate],DATE(2026,2,16),tblDaily[WardCode],"MAE")),"")</f>
        <v/>
      </c>
      <c r="I63" s="39">
        <f>IFERROR(IF(SUMIFS(tblDaily[Admissions],tblDaily[EntryDate],DATE(2026,2,16),tblDaily[WardCode],"FAE")=0,"",SUMIFS(tblDaily[Admissions],tblDaily[EntryDate],DATE(2026,2,16),tblDaily[WardCode],"FAE")),"")</f>
        <v>1</v>
      </c>
      <c r="J63" s="39">
        <f>IFERROR(IF(SUMIFS(tblDaily[Discharges],tblDaily[EntryDate],DATE(2026,2,16),tblDaily[WardCode],"FAE")=0,"",SUMIFS(tblDaily[Discharges],tblDaily[EntryDate],DATE(2026,2,16),tblDaily[WardCode],"FAE")),"")</f>
        <v>2</v>
      </c>
      <c r="K63" s="39" t="str">
        <f>IFERROR(IF(SUMIFS(tblDaily[Deaths],tblDaily[EntryDate],DATE(2026,2,16),tblDaily[WardCode],"FAE")=0,"",SUMIFS(tblDaily[Deaths],tblDaily[EntryDate],DATE(2026,2,16),tblDaily[WardCode],"FAE")),"")</f>
        <v/>
      </c>
      <c r="L63" s="39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39" t="str">
        <f>IFERROR(IF(SUMIFS(tblDaily[TransfersIn],tblDaily[EntryDate],DATE(2026,2,16),tblDaily[WardCode],"FAE")=0,"",SUMIFS(tblDaily[TransfersIn],tblDaily[EntryDate],DATE(2026,2,16),tblDaily[WardCode],"FAE")),"")</f>
        <v/>
      </c>
      <c r="N63" s="39">
        <f>IFERROR(IF(SUMIFS(tblDaily[TransfersOut],tblDaily[EntryDate],DATE(2026,2,16),tblDaily[WardCode],"FAE")=0,"",SUMIFS(tblDaily[TransfersOut],tblDaily[EntryDate],DATE(2026,2,16),tblDaily[WardCode],"FAE")),"")</f>
        <v>2</v>
      </c>
      <c r="O63" s="39">
        <f>IFERROR(IF(SUMIFS(tblDaily[Remaining],tblDaily[EntryDate],DATE(2026,2,16),tblDaily[WardCode],"FAE")=0,"",SUMIFS(tblDaily[Remaining],tblDaily[EntryDate],DATE(2026,2,16),tblDaily[WardCode],"FAE")),"")</f>
        <v>3</v>
      </c>
      <c r="P63" s="40">
        <f t="shared" si="1"/>
        <v>3</v>
      </c>
    </row>
    <row r="64" spans="1:16" x14ac:dyDescent="0.25">
      <c r="A64" s="39">
        <v>17</v>
      </c>
      <c r="B64" s="39">
        <f>IFERROR(IF(SUMIFS(tblDaily[Admissions],tblDaily[EntryDate],DATE(2026,2,17),tblDaily[WardCode],"MAE")=0,"",SUMIFS(tblDaily[Admissions],tblDaily[EntryDate],DATE(2026,2,17),tblDaily[WardCode],"MAE")),"")</f>
        <v>1</v>
      </c>
      <c r="C64" s="39" t="str">
        <f>IFERROR(IF(SUMIFS(tblDaily[Discharges],tblDaily[EntryDate],DATE(2026,2,17),tblDaily[WardCode],"MAE")=0,"",SUMIFS(tblDaily[Discharges],tblDaily[EntryDate],DATE(2026,2,17),tblDaily[WardCode],"MAE")),"")</f>
        <v/>
      </c>
      <c r="D64" s="39" t="str">
        <f>IFERROR(IF(SUMIFS(tblDaily[Deaths],tblDaily[EntryDate],DATE(2026,2,17),tblDaily[WardCode],"MAE")=0,"",SUMIFS(tblDaily[Deaths],tblDaily[EntryDate],DATE(2026,2,17),tblDaily[WardCode],"MAE")),"")</f>
        <v/>
      </c>
      <c r="E64" s="39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39" t="str">
        <f>IFERROR(IF(SUMIFS(tblDaily[TransfersIn],tblDaily[EntryDate],DATE(2026,2,17),tblDaily[WardCode],"MAE")=0,"",SUMIFS(tblDaily[TransfersIn],tblDaily[EntryDate],DATE(2026,2,17),tblDaily[WardCode],"MAE")),"")</f>
        <v/>
      </c>
      <c r="G64" s="39" t="str">
        <f>IFERROR(IF(SUMIFS(tblDaily[TransfersOut],tblDaily[EntryDate],DATE(2026,2,17),tblDaily[WardCode],"MAE")=0,"",SUMIFS(tblDaily[TransfersOut],tblDaily[EntryDate],DATE(2026,2,17),tblDaily[WardCode],"MAE")),"")</f>
        <v/>
      </c>
      <c r="H64" s="39">
        <f>IFERROR(IF(SUMIFS(tblDaily[Remaining],tblDaily[EntryDate],DATE(2026,2,17),tblDaily[WardCode],"MAE")=0,"",SUMIFS(tblDaily[Remaining],tblDaily[EntryDate],DATE(2026,2,17),tblDaily[WardCode],"MAE")),"")</f>
        <v>1</v>
      </c>
      <c r="I64" s="39">
        <f>IFERROR(IF(SUMIFS(tblDaily[Admissions],tblDaily[EntryDate],DATE(2026,2,17),tblDaily[WardCode],"FAE")=0,"",SUMIFS(tblDaily[Admissions],tblDaily[EntryDate],DATE(2026,2,17),tblDaily[WardCode],"FAE")),"")</f>
        <v>3</v>
      </c>
      <c r="J64" s="39" t="str">
        <f>IFERROR(IF(SUMIFS(tblDaily[Discharges],tblDaily[EntryDate],DATE(2026,2,17),tblDaily[WardCode],"FAE")=0,"",SUMIFS(tblDaily[Discharges],tblDaily[EntryDate],DATE(2026,2,17),tblDaily[WardCode],"FAE")),"")</f>
        <v/>
      </c>
      <c r="K64" s="39" t="str">
        <f>IFERROR(IF(SUMIFS(tblDaily[Deaths],tblDaily[EntryDate],DATE(2026,2,17),tblDaily[WardCode],"FAE")=0,"",SUMIFS(tblDaily[Deaths],tblDaily[EntryDate],DATE(2026,2,17),tblDaily[WardCode],"FAE")),"")</f>
        <v/>
      </c>
      <c r="L64" s="39">
        <f>IFERROR(IF(SUMIFS(tblDaily[DeathsUnder24Hrs],tblDaily[EntryDate],DATE(2026,2,17),tblDaily[WardCode],"FAE")=0,"",SUMIFS(tblDaily[DeathsUnder24Hrs],tblDaily[EntryDate],DATE(2026,2,17),tblDaily[WardCode],"FAE")),"")</f>
        <v>1</v>
      </c>
      <c r="M64" s="39" t="str">
        <f>IFERROR(IF(SUMIFS(tblDaily[TransfersIn],tblDaily[EntryDate],DATE(2026,2,17),tblDaily[WardCode],"FAE")=0,"",SUMIFS(tblDaily[TransfersIn],tblDaily[EntryDate],DATE(2026,2,17),tblDaily[WardCode],"FAE")),"")</f>
        <v/>
      </c>
      <c r="N64" s="39">
        <f>IFERROR(IF(SUMIFS(tblDaily[TransfersOut],tblDaily[EntryDate],DATE(2026,2,17),tblDaily[WardCode],"FAE")=0,"",SUMIFS(tblDaily[TransfersOut],tblDaily[EntryDate],DATE(2026,2,17),tblDaily[WardCode],"FAE")),"")</f>
        <v>1</v>
      </c>
      <c r="O64" s="39">
        <f>IFERROR(IF(SUMIFS(tblDaily[Remaining],tblDaily[EntryDate],DATE(2026,2,17),tblDaily[WardCode],"FAE")=0,"",SUMIFS(tblDaily[Remaining],tblDaily[EntryDate],DATE(2026,2,17),tblDaily[WardCode],"FAE")),"")</f>
        <v>4</v>
      </c>
      <c r="P64" s="40">
        <f t="shared" si="1"/>
        <v>5</v>
      </c>
    </row>
    <row r="65" spans="1:16" x14ac:dyDescent="0.25">
      <c r="A65" s="39">
        <v>18</v>
      </c>
      <c r="B65" s="39">
        <f>IFERROR(IF(SUMIFS(tblDaily[Admissions],tblDaily[EntryDate],DATE(2026,2,18),tblDaily[WardCode],"MAE")=0,"",SUMIFS(tblDaily[Admissions],tblDaily[EntryDate],DATE(2026,2,18),tblDaily[WardCode],"MAE")),"")</f>
        <v>4</v>
      </c>
      <c r="C65" s="39" t="str">
        <f>IFERROR(IF(SUMIFS(tblDaily[Discharges],tblDaily[EntryDate],DATE(2026,2,18),tblDaily[WardCode],"MAE")=0,"",SUMIFS(tblDaily[Discharges],tblDaily[EntryDate],DATE(2026,2,18),tblDaily[WardCode],"MAE")),"")</f>
        <v/>
      </c>
      <c r="D65" s="39" t="str">
        <f>IFERROR(IF(SUMIFS(tblDaily[Deaths],tblDaily[EntryDate],DATE(2026,2,18),tblDaily[WardCode],"MAE")=0,"",SUMIFS(tblDaily[Deaths],tblDaily[EntryDate],DATE(2026,2,18),tblDaily[WardCode],"MAE")),"")</f>
        <v/>
      </c>
      <c r="E65" s="39">
        <f>IFERROR(IF(SUMIFS(tblDaily[DeathsUnder24Hrs],tblDaily[EntryDate],DATE(2026,2,18),tblDaily[WardCode],"MAE")=0,"",SUMIFS(tblDaily[DeathsUnder24Hrs],tblDaily[EntryDate],DATE(2026,2,18),tblDaily[WardCode],"MAE")),"")</f>
        <v>1</v>
      </c>
      <c r="F65" s="39" t="str">
        <f>IFERROR(IF(SUMIFS(tblDaily[TransfersIn],tblDaily[EntryDate],DATE(2026,2,18),tblDaily[WardCode],"MAE")=0,"",SUMIFS(tblDaily[TransfersIn],tblDaily[EntryDate],DATE(2026,2,18),tblDaily[WardCode],"MAE")),"")</f>
        <v/>
      </c>
      <c r="G65" s="39">
        <f>IFERROR(IF(SUMIFS(tblDaily[TransfersOut],tblDaily[EntryDate],DATE(2026,2,18),tblDaily[WardCode],"MAE")=0,"",SUMIFS(tblDaily[TransfersOut],tblDaily[EntryDate],DATE(2026,2,18),tblDaily[WardCode],"MAE")),"")</f>
        <v>1</v>
      </c>
      <c r="H65" s="39">
        <f>IFERROR(IF(SUMIFS(tblDaily[Remaining],tblDaily[EntryDate],DATE(2026,2,18),tblDaily[WardCode],"MAE")=0,"",SUMIFS(tblDaily[Remaining],tblDaily[EntryDate],DATE(2026,2,18),tblDaily[WardCode],"MAE")),"")</f>
        <v>3</v>
      </c>
      <c r="I65" s="39" t="str">
        <f>IFERROR(IF(SUMIFS(tblDaily[Admissions],tblDaily[EntryDate],DATE(2026,2,18),tblDaily[WardCode],"FAE")=0,"",SUMIFS(tblDaily[Admissions],tblDaily[EntryDate],DATE(2026,2,18),tblDaily[WardCode],"FAE")),"")</f>
        <v/>
      </c>
      <c r="J65" s="39">
        <f>IFERROR(IF(SUMIFS(tblDaily[Discharges],tblDaily[EntryDate],DATE(2026,2,18),tblDaily[WardCode],"FAE")=0,"",SUMIFS(tblDaily[Discharges],tblDaily[EntryDate],DATE(2026,2,18),tblDaily[WardCode],"FAE")),"")</f>
        <v>1</v>
      </c>
      <c r="K65" s="39" t="str">
        <f>IFERROR(IF(SUMIFS(tblDaily[Deaths],tblDaily[EntryDate],DATE(2026,2,18),tblDaily[WardCode],"FAE")=0,"",SUMIFS(tblDaily[Deaths],tblDaily[EntryDate],DATE(2026,2,18),tblDaily[WardCode],"FAE")),"")</f>
        <v/>
      </c>
      <c r="L65" s="39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39" t="str">
        <f>IFERROR(IF(SUMIFS(tblDaily[TransfersIn],tblDaily[EntryDate],DATE(2026,2,18),tblDaily[WardCode],"FAE")=0,"",SUMIFS(tblDaily[TransfersIn],tblDaily[EntryDate],DATE(2026,2,18),tblDaily[WardCode],"FAE")),"")</f>
        <v/>
      </c>
      <c r="N65" s="39">
        <f>IFERROR(IF(SUMIFS(tblDaily[TransfersOut],tblDaily[EntryDate],DATE(2026,2,18),tblDaily[WardCode],"FAE")=0,"",SUMIFS(tblDaily[TransfersOut],tblDaily[EntryDate],DATE(2026,2,18),tblDaily[WardCode],"FAE")),"")</f>
        <v>1</v>
      </c>
      <c r="O65" s="39">
        <f>IFERROR(IF(SUMIFS(tblDaily[Remaining],tblDaily[EntryDate],DATE(2026,2,18),tblDaily[WardCode],"FAE")=0,"",SUMIFS(tblDaily[Remaining],tblDaily[EntryDate],DATE(2026,2,18),tblDaily[WardCode],"FAE")),"")</f>
        <v>2</v>
      </c>
      <c r="P65" s="40">
        <f t="shared" si="1"/>
        <v>5</v>
      </c>
    </row>
    <row r="66" spans="1:16" x14ac:dyDescent="0.25">
      <c r="A66" s="39">
        <v>19</v>
      </c>
      <c r="B66" s="39">
        <f>IFERROR(IF(SUMIFS(tblDaily[Admissions],tblDaily[EntryDate],DATE(2026,2,19),tblDaily[WardCode],"MAE")=0,"",SUMIFS(tblDaily[Admissions],tblDaily[EntryDate],DATE(2026,2,19),tblDaily[WardCode],"MAE")),"")</f>
        <v>2</v>
      </c>
      <c r="C66" s="39" t="str">
        <f>IFERROR(IF(SUMIFS(tblDaily[Discharges],tblDaily[EntryDate],DATE(2026,2,19),tblDaily[WardCode],"MAE")=0,"",SUMIFS(tblDaily[Discharges],tblDaily[EntryDate],DATE(2026,2,19),tblDaily[WardCode],"MAE")),"")</f>
        <v/>
      </c>
      <c r="D66" s="39" t="str">
        <f>IFERROR(IF(SUMIFS(tblDaily[Deaths],tblDaily[EntryDate],DATE(2026,2,19),tblDaily[WardCode],"MAE")=0,"",SUMIFS(tblDaily[Deaths],tblDaily[EntryDate],DATE(2026,2,19),tblDaily[WardCode],"MAE")),"")</f>
        <v/>
      </c>
      <c r="E66" s="39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39" t="str">
        <f>IFERROR(IF(SUMIFS(tblDaily[TransfersIn],tblDaily[EntryDate],DATE(2026,2,19),tblDaily[WardCode],"MAE")=0,"",SUMIFS(tblDaily[TransfersIn],tblDaily[EntryDate],DATE(2026,2,19),tblDaily[WardCode],"MAE")),"")</f>
        <v/>
      </c>
      <c r="G66" s="39">
        <f>IFERROR(IF(SUMIFS(tblDaily[TransfersOut],tblDaily[EntryDate],DATE(2026,2,19),tblDaily[WardCode],"MAE")=0,"",SUMIFS(tblDaily[TransfersOut],tblDaily[EntryDate],DATE(2026,2,19),tblDaily[WardCode],"MAE")),"")</f>
        <v>2</v>
      </c>
      <c r="H66" s="39">
        <f>IFERROR(IF(SUMIFS(tblDaily[Remaining],tblDaily[EntryDate],DATE(2026,2,19),tblDaily[WardCode],"MAE")=0,"",SUMIFS(tblDaily[Remaining],tblDaily[EntryDate],DATE(2026,2,19),tblDaily[WardCode],"MAE")),"")</f>
        <v>3</v>
      </c>
      <c r="I66" s="39">
        <f>IFERROR(IF(SUMIFS(tblDaily[Admissions],tblDaily[EntryDate],DATE(2026,2,19),tblDaily[WardCode],"FAE")=0,"",SUMIFS(tblDaily[Admissions],tblDaily[EntryDate],DATE(2026,2,19),tblDaily[WardCode],"FAE")),"")</f>
        <v>3</v>
      </c>
      <c r="J66" s="39">
        <f>IFERROR(IF(SUMIFS(tblDaily[Discharges],tblDaily[EntryDate],DATE(2026,2,19),tblDaily[WardCode],"FAE")=0,"",SUMIFS(tblDaily[Discharges],tblDaily[EntryDate],DATE(2026,2,19),tblDaily[WardCode],"FAE")),"")</f>
        <v>1</v>
      </c>
      <c r="K66" s="39" t="str">
        <f>IFERROR(IF(SUMIFS(tblDaily[Deaths],tblDaily[EntryDate],DATE(2026,2,19),tblDaily[WardCode],"FAE")=0,"",SUMIFS(tblDaily[Deaths],tblDaily[EntryDate],DATE(2026,2,19),tblDaily[WardCode],"FAE")),"")</f>
        <v/>
      </c>
      <c r="L66" s="39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39" t="str">
        <f>IFERROR(IF(SUMIFS(tblDaily[TransfersIn],tblDaily[EntryDate],DATE(2026,2,19),tblDaily[WardCode],"FAE")=0,"",SUMIFS(tblDaily[TransfersIn],tblDaily[EntryDate],DATE(2026,2,19),tblDaily[WardCode],"FAE")),"")</f>
        <v/>
      </c>
      <c r="N66" s="39" t="str">
        <f>IFERROR(IF(SUMIFS(tblDaily[TransfersOut],tblDaily[EntryDate],DATE(2026,2,19),tblDaily[WardCode],"FAE")=0,"",SUMIFS(tblDaily[TransfersOut],tblDaily[EntryDate],DATE(2026,2,19),tblDaily[WardCode],"FAE")),"")</f>
        <v/>
      </c>
      <c r="O66" s="39">
        <f>IFERROR(IF(SUMIFS(tblDaily[Remaining],tblDaily[EntryDate],DATE(2026,2,19),tblDaily[WardCode],"FAE")=0,"",SUMIFS(tblDaily[Remaining],tblDaily[EntryDate],DATE(2026,2,19),tblDaily[WardCode],"FAE")),"")</f>
        <v>4</v>
      </c>
      <c r="P66" s="40">
        <f t="shared" si="1"/>
        <v>7</v>
      </c>
    </row>
    <row r="67" spans="1:16" x14ac:dyDescent="0.25">
      <c r="A67" s="39">
        <v>20</v>
      </c>
      <c r="B67" s="39">
        <f>IFERROR(IF(SUMIFS(tblDaily[Admissions],tblDaily[EntryDate],DATE(2026,2,20),tblDaily[WardCode],"MAE")=0,"",SUMIFS(tblDaily[Admissions],tblDaily[EntryDate],DATE(2026,2,20),tblDaily[WardCode],"MAE")),"")</f>
        <v>2</v>
      </c>
      <c r="C67" s="39">
        <f>IFERROR(IF(SUMIFS(tblDaily[Discharges],tblDaily[EntryDate],DATE(2026,2,20),tblDaily[WardCode],"MAE")=0,"",SUMIFS(tblDaily[Discharges],tblDaily[EntryDate],DATE(2026,2,20),tblDaily[WardCode],"MAE")),"")</f>
        <v>1</v>
      </c>
      <c r="D67" s="39" t="str">
        <f>IFERROR(IF(SUMIFS(tblDaily[Deaths],tblDaily[EntryDate],DATE(2026,2,20),tblDaily[WardCode],"MAE")=0,"",SUMIFS(tblDaily[Deaths],tblDaily[EntryDate],DATE(2026,2,20),tblDaily[WardCode],"MAE")),"")</f>
        <v/>
      </c>
      <c r="E67" s="39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39" t="str">
        <f>IFERROR(IF(SUMIFS(tblDaily[TransfersIn],tblDaily[EntryDate],DATE(2026,2,20),tblDaily[WardCode],"MAE")=0,"",SUMIFS(tblDaily[TransfersIn],tblDaily[EntryDate],DATE(2026,2,20),tblDaily[WardCode],"MAE")),"")</f>
        <v/>
      </c>
      <c r="G67" s="39">
        <f>IFERROR(IF(SUMIFS(tblDaily[TransfersOut],tblDaily[EntryDate],DATE(2026,2,20),tblDaily[WardCode],"MAE")=0,"",SUMIFS(tblDaily[TransfersOut],tblDaily[EntryDate],DATE(2026,2,20),tblDaily[WardCode],"MAE")),"")</f>
        <v>2</v>
      </c>
      <c r="H67" s="39">
        <f>IFERROR(IF(SUMIFS(tblDaily[Remaining],tblDaily[EntryDate],DATE(2026,2,20),tblDaily[WardCode],"MAE")=0,"",SUMIFS(tblDaily[Remaining],tblDaily[EntryDate],DATE(2026,2,20),tblDaily[WardCode],"MAE")),"")</f>
        <v>2</v>
      </c>
      <c r="I67" s="39">
        <f>IFERROR(IF(SUMIFS(tblDaily[Admissions],tblDaily[EntryDate],DATE(2026,2,20),tblDaily[WardCode],"FAE")=0,"",SUMIFS(tblDaily[Admissions],tblDaily[EntryDate],DATE(2026,2,20),tblDaily[WardCode],"FAE")),"")</f>
        <v>1</v>
      </c>
      <c r="J67" s="39">
        <f>IFERROR(IF(SUMIFS(tblDaily[Discharges],tblDaily[EntryDate],DATE(2026,2,20),tblDaily[WardCode],"FAE")=0,"",SUMIFS(tblDaily[Discharges],tblDaily[EntryDate],DATE(2026,2,20),tblDaily[WardCode],"FAE")),"")</f>
        <v>2</v>
      </c>
      <c r="K67" s="39" t="str">
        <f>IFERROR(IF(SUMIFS(tblDaily[Deaths],tblDaily[EntryDate],DATE(2026,2,20),tblDaily[WardCode],"FAE")=0,"",SUMIFS(tblDaily[Deaths],tblDaily[EntryDate],DATE(2026,2,20),tblDaily[WardCode],"FAE")),"")</f>
        <v/>
      </c>
      <c r="L67" s="39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39" t="str">
        <f>IFERROR(IF(SUMIFS(tblDaily[TransfersIn],tblDaily[EntryDate],DATE(2026,2,20),tblDaily[WardCode],"FAE")=0,"",SUMIFS(tblDaily[TransfersIn],tblDaily[EntryDate],DATE(2026,2,20),tblDaily[WardCode],"FAE")),"")</f>
        <v/>
      </c>
      <c r="N67" s="39">
        <f>IFERROR(IF(SUMIFS(tblDaily[TransfersOut],tblDaily[EntryDate],DATE(2026,2,20),tblDaily[WardCode],"FAE")=0,"",SUMIFS(tblDaily[TransfersOut],tblDaily[EntryDate],DATE(2026,2,20),tblDaily[WardCode],"FAE")),"")</f>
        <v>1</v>
      </c>
      <c r="O67" s="39">
        <f>IFERROR(IF(SUMIFS(tblDaily[Remaining],tblDaily[EntryDate],DATE(2026,2,20),tblDaily[WardCode],"FAE")=0,"",SUMIFS(tblDaily[Remaining],tblDaily[EntryDate],DATE(2026,2,20),tblDaily[WardCode],"FAE")),"")</f>
        <v>2</v>
      </c>
      <c r="P67" s="40">
        <f t="shared" si="1"/>
        <v>4</v>
      </c>
    </row>
    <row r="68" spans="1:16" x14ac:dyDescent="0.25">
      <c r="A68" s="39">
        <v>21</v>
      </c>
      <c r="B68" s="39">
        <f>IFERROR(IF(SUMIFS(tblDaily[Admissions],tblDaily[EntryDate],DATE(2026,2,21),tblDaily[WardCode],"MAE")=0,"",SUMIFS(tblDaily[Admissions],tblDaily[EntryDate],DATE(2026,2,21),tblDaily[WardCode],"MAE")),"")</f>
        <v>1</v>
      </c>
      <c r="C68" s="39">
        <f>IFERROR(IF(SUMIFS(tblDaily[Discharges],tblDaily[EntryDate],DATE(2026,2,21),tblDaily[WardCode],"MAE")=0,"",SUMIFS(tblDaily[Discharges],tblDaily[EntryDate],DATE(2026,2,21),tblDaily[WardCode],"MAE")),"")</f>
        <v>1</v>
      </c>
      <c r="D68" s="39" t="str">
        <f>IFERROR(IF(SUMIFS(tblDaily[Deaths],tblDaily[EntryDate],DATE(2026,2,21),tblDaily[WardCode],"MAE")=0,"",SUMIFS(tblDaily[Deaths],tblDaily[EntryDate],DATE(2026,2,21),tblDaily[WardCode],"MAE")),"")</f>
        <v/>
      </c>
      <c r="E68" s="39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39" t="str">
        <f>IFERROR(IF(SUMIFS(tblDaily[TransfersIn],tblDaily[EntryDate],DATE(2026,2,21),tblDaily[WardCode],"MAE")=0,"",SUMIFS(tblDaily[TransfersIn],tblDaily[EntryDate],DATE(2026,2,21),tblDaily[WardCode],"MAE")),"")</f>
        <v/>
      </c>
      <c r="G68" s="39">
        <f>IFERROR(IF(SUMIFS(tblDaily[TransfersOut],tblDaily[EntryDate],DATE(2026,2,21),tblDaily[WardCode],"MAE")=0,"",SUMIFS(tblDaily[TransfersOut],tblDaily[EntryDate],DATE(2026,2,21),tblDaily[WardCode],"MAE")),"")</f>
        <v>1</v>
      </c>
      <c r="H68" s="39">
        <f>IFERROR(IF(SUMIFS(tblDaily[Remaining],tblDaily[EntryDate],DATE(2026,2,21),tblDaily[WardCode],"MAE")=0,"",SUMIFS(tblDaily[Remaining],tblDaily[EntryDate],DATE(2026,2,21),tblDaily[WardCode],"MAE")),"")</f>
        <v>1</v>
      </c>
      <c r="I68" s="39">
        <f>IFERROR(IF(SUMIFS(tblDaily[Admissions],tblDaily[EntryDate],DATE(2026,2,21),tblDaily[WardCode],"FAE")=0,"",SUMIFS(tblDaily[Admissions],tblDaily[EntryDate],DATE(2026,2,21),tblDaily[WardCode],"FAE")),"")</f>
        <v>3</v>
      </c>
      <c r="J68" s="39">
        <f>IFERROR(IF(SUMIFS(tblDaily[Discharges],tblDaily[EntryDate],DATE(2026,2,21),tblDaily[WardCode],"FAE")=0,"",SUMIFS(tblDaily[Discharges],tblDaily[EntryDate],DATE(2026,2,21),tblDaily[WardCode],"FAE")),"")</f>
        <v>2</v>
      </c>
      <c r="K68" s="39" t="str">
        <f>IFERROR(IF(SUMIFS(tblDaily[Deaths],tblDaily[EntryDate],DATE(2026,2,21),tblDaily[WardCode],"FAE")=0,"",SUMIFS(tblDaily[Deaths],tblDaily[EntryDate],DATE(2026,2,21),tblDaily[WardCode],"FAE")),"")</f>
        <v/>
      </c>
      <c r="L68" s="39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39" t="str">
        <f>IFERROR(IF(SUMIFS(tblDaily[TransfersIn],tblDaily[EntryDate],DATE(2026,2,21),tblDaily[WardCode],"FAE")=0,"",SUMIFS(tblDaily[TransfersIn],tblDaily[EntryDate],DATE(2026,2,21),tblDaily[WardCode],"FAE")),"")</f>
        <v/>
      </c>
      <c r="N68" s="39">
        <f>IFERROR(IF(SUMIFS(tblDaily[TransfersOut],tblDaily[EntryDate],DATE(2026,2,21),tblDaily[WardCode],"FAE")=0,"",SUMIFS(tblDaily[TransfersOut],tblDaily[EntryDate],DATE(2026,2,21),tblDaily[WardCode],"FAE")),"")</f>
        <v>1</v>
      </c>
      <c r="O68" s="39">
        <f>IFERROR(IF(SUMIFS(tblDaily[Remaining],tblDaily[EntryDate],DATE(2026,2,21),tblDaily[WardCode],"FAE")=0,"",SUMIFS(tblDaily[Remaining],tblDaily[EntryDate],DATE(2026,2,21),tblDaily[WardCode],"FAE")),"")</f>
        <v>2</v>
      </c>
      <c r="P68" s="40">
        <f t="shared" si="1"/>
        <v>3</v>
      </c>
    </row>
    <row r="69" spans="1:16" x14ac:dyDescent="0.25">
      <c r="A69" s="39">
        <v>22</v>
      </c>
      <c r="B69" s="39">
        <f>IFERROR(IF(SUMIFS(tblDaily[Admissions],tblDaily[EntryDate],DATE(2026,2,22),tblDaily[WardCode],"MAE")=0,"",SUMIFS(tblDaily[Admissions],tblDaily[EntryDate],DATE(2026,2,22),tblDaily[WardCode],"MAE")),"")</f>
        <v>2</v>
      </c>
      <c r="C69" s="39" t="str">
        <f>IFERROR(IF(SUMIFS(tblDaily[Discharges],tblDaily[EntryDate],DATE(2026,2,22),tblDaily[WardCode],"MAE")=0,"",SUMIFS(tblDaily[Discharges],tblDaily[EntryDate],DATE(2026,2,22),tblDaily[WardCode],"MAE")),"")</f>
        <v/>
      </c>
      <c r="D69" s="39" t="str">
        <f>IFERROR(IF(SUMIFS(tblDaily[Deaths],tblDaily[EntryDate],DATE(2026,2,22),tblDaily[WardCode],"MAE")=0,"",SUMIFS(tblDaily[Deaths],tblDaily[EntryDate],DATE(2026,2,22),tblDaily[WardCode],"MAE")),"")</f>
        <v/>
      </c>
      <c r="E69" s="39">
        <f>IFERROR(IF(SUMIFS(tblDaily[DeathsUnder24Hrs],tblDaily[EntryDate],DATE(2026,2,22),tblDaily[WardCode],"MAE")=0,"",SUMIFS(tblDaily[DeathsUnder24Hrs],tblDaily[EntryDate],DATE(2026,2,22),tblDaily[WardCode],"MAE")),"")</f>
        <v>1</v>
      </c>
      <c r="F69" s="39" t="str">
        <f>IFERROR(IF(SUMIFS(tblDaily[TransfersIn],tblDaily[EntryDate],DATE(2026,2,22),tblDaily[WardCode],"MAE")=0,"",SUMIFS(tblDaily[TransfersIn],tblDaily[EntryDate],DATE(2026,2,22),tblDaily[WardCode],"MAE")),"")</f>
        <v/>
      </c>
      <c r="G69" s="39" t="str">
        <f>IFERROR(IF(SUMIFS(tblDaily[TransfersOut],tblDaily[EntryDate],DATE(2026,2,22),tblDaily[WardCode],"MAE")=0,"",SUMIFS(tblDaily[TransfersOut],tblDaily[EntryDate],DATE(2026,2,22),tblDaily[WardCode],"MAE")),"")</f>
        <v/>
      </c>
      <c r="H69" s="39">
        <f>IFERROR(IF(SUMIFS(tblDaily[Remaining],tblDaily[EntryDate],DATE(2026,2,22),tblDaily[WardCode],"MAE")=0,"",SUMIFS(tblDaily[Remaining],tblDaily[EntryDate],DATE(2026,2,22),tblDaily[WardCode],"MAE")),"")</f>
        <v>2</v>
      </c>
      <c r="I69" s="39">
        <f>IFERROR(IF(SUMIFS(tblDaily[Admissions],tblDaily[EntryDate],DATE(2026,2,22),tblDaily[WardCode],"FAE")=0,"",SUMIFS(tblDaily[Admissions],tblDaily[EntryDate],DATE(2026,2,22),tblDaily[WardCode],"FAE")),"")</f>
        <v>4</v>
      </c>
      <c r="J69" s="39">
        <f>IFERROR(IF(SUMIFS(tblDaily[Discharges],tblDaily[EntryDate],DATE(2026,2,22),tblDaily[WardCode],"FAE")=0,"",SUMIFS(tblDaily[Discharges],tblDaily[EntryDate],DATE(2026,2,22),tblDaily[WardCode],"FAE")),"")</f>
        <v>1</v>
      </c>
      <c r="K69" s="39" t="str">
        <f>IFERROR(IF(SUMIFS(tblDaily[Deaths],tblDaily[EntryDate],DATE(2026,2,22),tblDaily[WardCode],"FAE")=0,"",SUMIFS(tblDaily[Deaths],tblDaily[EntryDate],DATE(2026,2,22),tblDaily[WardCode],"FAE")),"")</f>
        <v/>
      </c>
      <c r="L69" s="39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39" t="str">
        <f>IFERROR(IF(SUMIFS(tblDaily[TransfersIn],tblDaily[EntryDate],DATE(2026,2,22),tblDaily[WardCode],"FAE")=0,"",SUMIFS(tblDaily[TransfersIn],tblDaily[EntryDate],DATE(2026,2,22),tblDaily[WardCode],"FAE")),"")</f>
        <v/>
      </c>
      <c r="N69" s="39" t="str">
        <f>IFERROR(IF(SUMIFS(tblDaily[TransfersOut],tblDaily[EntryDate],DATE(2026,2,22),tblDaily[WardCode],"FAE")=0,"",SUMIFS(tblDaily[TransfersOut],tblDaily[EntryDate],DATE(2026,2,22),tblDaily[WardCode],"FAE")),"")</f>
        <v/>
      </c>
      <c r="O69" s="39">
        <f>IFERROR(IF(SUMIFS(tblDaily[Remaining],tblDaily[EntryDate],DATE(2026,2,22),tblDaily[WardCode],"FAE")=0,"",SUMIFS(tblDaily[Remaining],tblDaily[EntryDate],DATE(2026,2,22),tblDaily[WardCode],"FAE")),"")</f>
        <v>5</v>
      </c>
      <c r="P69" s="40">
        <f t="shared" si="1"/>
        <v>7</v>
      </c>
    </row>
    <row r="70" spans="1:16" x14ac:dyDescent="0.25">
      <c r="A70" s="39">
        <v>23</v>
      </c>
      <c r="B70" s="39">
        <f>IFERROR(IF(SUMIFS(tblDaily[Admissions],tblDaily[EntryDate],DATE(2026,2,23),tblDaily[WardCode],"MAE")=0,"",SUMIFS(tblDaily[Admissions],tblDaily[EntryDate],DATE(2026,2,23),tblDaily[WardCode],"MAE")),"")</f>
        <v>2</v>
      </c>
      <c r="C70" s="39" t="str">
        <f>IFERROR(IF(SUMIFS(tblDaily[Discharges],tblDaily[EntryDate],DATE(2026,2,23),tblDaily[WardCode],"MAE")=0,"",SUMIFS(tblDaily[Discharges],tblDaily[EntryDate],DATE(2026,2,23),tblDaily[WardCode],"MAE")),"")</f>
        <v/>
      </c>
      <c r="D70" s="39" t="str">
        <f>IFERROR(IF(SUMIFS(tblDaily[Deaths],tblDaily[EntryDate],DATE(2026,2,23),tblDaily[WardCode],"MAE")=0,"",SUMIFS(tblDaily[Deaths],tblDaily[EntryDate],DATE(2026,2,23),tblDaily[WardCode],"MAE")),"")</f>
        <v/>
      </c>
      <c r="E70" s="39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39" t="str">
        <f>IFERROR(IF(SUMIFS(tblDaily[TransfersIn],tblDaily[EntryDate],DATE(2026,2,23),tblDaily[WardCode],"MAE")=0,"",SUMIFS(tblDaily[TransfersIn],tblDaily[EntryDate],DATE(2026,2,23),tblDaily[WardCode],"MAE")),"")</f>
        <v/>
      </c>
      <c r="G70" s="39" t="str">
        <f>IFERROR(IF(SUMIFS(tblDaily[TransfersOut],tblDaily[EntryDate],DATE(2026,2,23),tblDaily[WardCode],"MAE")=0,"",SUMIFS(tblDaily[TransfersOut],tblDaily[EntryDate],DATE(2026,2,23),tblDaily[WardCode],"MAE")),"")</f>
        <v/>
      </c>
      <c r="H70" s="39">
        <f>IFERROR(IF(SUMIFS(tblDaily[Remaining],tblDaily[EntryDate],DATE(2026,2,23),tblDaily[WardCode],"MAE")=0,"",SUMIFS(tblDaily[Remaining],tblDaily[EntryDate],DATE(2026,2,23),tblDaily[WardCode],"MAE")),"")</f>
        <v>4</v>
      </c>
      <c r="I70" s="39">
        <f>IFERROR(IF(SUMIFS(tblDaily[Admissions],tblDaily[EntryDate],DATE(2026,2,23),tblDaily[WardCode],"FAE")=0,"",SUMIFS(tblDaily[Admissions],tblDaily[EntryDate],DATE(2026,2,23),tblDaily[WardCode],"FAE")),"")</f>
        <v>3</v>
      </c>
      <c r="J70" s="39">
        <f>IFERROR(IF(SUMIFS(tblDaily[Discharges],tblDaily[EntryDate],DATE(2026,2,23),tblDaily[WardCode],"FAE")=0,"",SUMIFS(tblDaily[Discharges],tblDaily[EntryDate],DATE(2026,2,23),tblDaily[WardCode],"FAE")),"")</f>
        <v>1</v>
      </c>
      <c r="K70" s="39" t="str">
        <f>IFERROR(IF(SUMIFS(tblDaily[Deaths],tblDaily[EntryDate],DATE(2026,2,23),tblDaily[WardCode],"FAE")=0,"",SUMIFS(tblDaily[Deaths],tblDaily[EntryDate],DATE(2026,2,23),tblDaily[WardCode],"FAE")),"")</f>
        <v/>
      </c>
      <c r="L70" s="39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39" t="str">
        <f>IFERROR(IF(SUMIFS(tblDaily[TransfersIn],tblDaily[EntryDate],DATE(2026,2,23),tblDaily[WardCode],"FAE")=0,"",SUMIFS(tblDaily[TransfersIn],tblDaily[EntryDate],DATE(2026,2,23),tblDaily[WardCode],"FAE")),"")</f>
        <v/>
      </c>
      <c r="N70" s="39">
        <f>IFERROR(IF(SUMIFS(tblDaily[TransfersOut],tblDaily[EntryDate],DATE(2026,2,23),tblDaily[WardCode],"FAE")=0,"",SUMIFS(tblDaily[TransfersOut],tblDaily[EntryDate],DATE(2026,2,23),tblDaily[WardCode],"FAE")),"")</f>
        <v>3</v>
      </c>
      <c r="O70" s="39">
        <f>IFERROR(IF(SUMIFS(tblDaily[Remaining],tblDaily[EntryDate],DATE(2026,2,23),tblDaily[WardCode],"FAE")=0,"",SUMIFS(tblDaily[Remaining],tblDaily[EntryDate],DATE(2026,2,23),tblDaily[WardCode],"FAE")),"")</f>
        <v>4</v>
      </c>
      <c r="P70" s="40">
        <f t="shared" si="1"/>
        <v>8</v>
      </c>
    </row>
    <row r="71" spans="1:16" x14ac:dyDescent="0.25">
      <c r="A71" s="39">
        <v>24</v>
      </c>
      <c r="B71" s="39">
        <f>IFERROR(IF(SUMIFS(tblDaily[Admissions],tblDaily[EntryDate],DATE(2026,2,24),tblDaily[WardCode],"MAE")=0,"",SUMIFS(tblDaily[Admissions],tblDaily[EntryDate],DATE(2026,2,24),tblDaily[WardCode],"MAE")),"")</f>
        <v>2</v>
      </c>
      <c r="C71" s="39" t="str">
        <f>IFERROR(IF(SUMIFS(tblDaily[Discharges],tblDaily[EntryDate],DATE(2026,2,24),tblDaily[WardCode],"MAE")=0,"",SUMIFS(tblDaily[Discharges],tblDaily[EntryDate],DATE(2026,2,24),tblDaily[WardCode],"MAE")),"")</f>
        <v/>
      </c>
      <c r="D71" s="39" t="str">
        <f>IFERROR(IF(SUMIFS(tblDaily[Deaths],tblDaily[EntryDate],DATE(2026,2,24),tblDaily[WardCode],"MAE")=0,"",SUMIFS(tblDaily[Deaths],tblDaily[EntryDate],DATE(2026,2,24),tblDaily[WardCode],"MAE")),"")</f>
        <v/>
      </c>
      <c r="E71" s="39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39" t="str">
        <f>IFERROR(IF(SUMIFS(tblDaily[TransfersIn],tblDaily[EntryDate],DATE(2026,2,24),tblDaily[WardCode],"MAE")=0,"",SUMIFS(tblDaily[TransfersIn],tblDaily[EntryDate],DATE(2026,2,24),tblDaily[WardCode],"MAE")),"")</f>
        <v/>
      </c>
      <c r="G71" s="39">
        <f>IFERROR(IF(SUMIFS(tblDaily[TransfersOut],tblDaily[EntryDate],DATE(2026,2,24),tblDaily[WardCode],"MAE")=0,"",SUMIFS(tblDaily[TransfersOut],tblDaily[EntryDate],DATE(2026,2,24),tblDaily[WardCode],"MAE")),"")</f>
        <v>3</v>
      </c>
      <c r="H71" s="39">
        <f>IFERROR(IF(SUMIFS(tblDaily[Remaining],tblDaily[EntryDate],DATE(2026,2,24),tblDaily[WardCode],"MAE")=0,"",SUMIFS(tblDaily[Remaining],tblDaily[EntryDate],DATE(2026,2,24),tblDaily[WardCode],"MAE")),"")</f>
        <v>3</v>
      </c>
      <c r="I71" s="39">
        <f>IFERROR(IF(SUMIFS(tblDaily[Admissions],tblDaily[EntryDate],DATE(2026,2,24),tblDaily[WardCode],"FAE")=0,"",SUMIFS(tblDaily[Admissions],tblDaily[EntryDate],DATE(2026,2,24),tblDaily[WardCode],"FAE")),"")</f>
        <v>4</v>
      </c>
      <c r="J71" s="39" t="str">
        <f>IFERROR(IF(SUMIFS(tblDaily[Discharges],tblDaily[EntryDate],DATE(2026,2,24),tblDaily[WardCode],"FAE")=0,"",SUMIFS(tblDaily[Discharges],tblDaily[EntryDate],DATE(2026,2,24),tblDaily[WardCode],"FAE")),"")</f>
        <v/>
      </c>
      <c r="K71" s="39" t="str">
        <f>IFERROR(IF(SUMIFS(tblDaily[Deaths],tblDaily[EntryDate],DATE(2026,2,24),tblDaily[WardCode],"FAE")=0,"",SUMIFS(tblDaily[Deaths],tblDaily[EntryDate],DATE(2026,2,24),tblDaily[WardCode],"FAE")),"")</f>
        <v/>
      </c>
      <c r="L71" s="39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39" t="str">
        <f>IFERROR(IF(SUMIFS(tblDaily[TransfersIn],tblDaily[EntryDate],DATE(2026,2,24),tblDaily[WardCode],"FAE")=0,"",SUMIFS(tblDaily[TransfersIn],tblDaily[EntryDate],DATE(2026,2,24),tblDaily[WardCode],"FAE")),"")</f>
        <v/>
      </c>
      <c r="N71" s="39">
        <f>IFERROR(IF(SUMIFS(tblDaily[TransfersOut],tblDaily[EntryDate],DATE(2026,2,24),tblDaily[WardCode],"FAE")=0,"",SUMIFS(tblDaily[TransfersOut],tblDaily[EntryDate],DATE(2026,2,24),tblDaily[WardCode],"FAE")),"")</f>
        <v>3</v>
      </c>
      <c r="O71" s="39">
        <f>IFERROR(IF(SUMIFS(tblDaily[Remaining],tblDaily[EntryDate],DATE(2026,2,24),tblDaily[WardCode],"FAE")=0,"",SUMIFS(tblDaily[Remaining],tblDaily[EntryDate],DATE(2026,2,24),tblDaily[WardCode],"FAE")),"")</f>
        <v>5</v>
      </c>
      <c r="P71" s="40">
        <f t="shared" si="1"/>
        <v>8</v>
      </c>
    </row>
    <row r="72" spans="1:16" x14ac:dyDescent="0.25">
      <c r="A72" s="39">
        <v>25</v>
      </c>
      <c r="B72" s="39">
        <f>IFERROR(IF(SUMIFS(tblDaily[Admissions],tblDaily[EntryDate],DATE(2026,2,25),tblDaily[WardCode],"MAE")=0,"",SUMIFS(tblDaily[Admissions],tblDaily[EntryDate],DATE(2026,2,25),tblDaily[WardCode],"MAE")),"")</f>
        <v>2</v>
      </c>
      <c r="C72" s="39">
        <f>IFERROR(IF(SUMIFS(tblDaily[Discharges],tblDaily[EntryDate],DATE(2026,2,25),tblDaily[WardCode],"MAE")=0,"",SUMIFS(tblDaily[Discharges],tblDaily[EntryDate],DATE(2026,2,25),tblDaily[WardCode],"MAE")),"")</f>
        <v>1</v>
      </c>
      <c r="D72" s="39" t="str">
        <f>IFERROR(IF(SUMIFS(tblDaily[Deaths],tblDaily[EntryDate],DATE(2026,2,25),tblDaily[WardCode],"MAE")=0,"",SUMIFS(tblDaily[Deaths],tblDaily[EntryDate],DATE(2026,2,25),tblDaily[WardCode],"MAE")),"")</f>
        <v/>
      </c>
      <c r="E72" s="39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39" t="str">
        <f>IFERROR(IF(SUMIFS(tblDaily[TransfersIn],tblDaily[EntryDate],DATE(2026,2,25),tblDaily[WardCode],"MAE")=0,"",SUMIFS(tblDaily[TransfersIn],tblDaily[EntryDate],DATE(2026,2,25),tblDaily[WardCode],"MAE")),"")</f>
        <v/>
      </c>
      <c r="G72" s="39" t="str">
        <f>IFERROR(IF(SUMIFS(tblDaily[TransfersOut],tblDaily[EntryDate],DATE(2026,2,25),tblDaily[WardCode],"MAE")=0,"",SUMIFS(tblDaily[TransfersOut],tblDaily[EntryDate],DATE(2026,2,25),tblDaily[WardCode],"MAE")),"")</f>
        <v/>
      </c>
      <c r="H72" s="39">
        <f>IFERROR(IF(SUMIFS(tblDaily[Remaining],tblDaily[EntryDate],DATE(2026,2,25),tblDaily[WardCode],"MAE")=0,"",SUMIFS(tblDaily[Remaining],tblDaily[EntryDate],DATE(2026,2,25),tblDaily[WardCode],"MAE")),"")</f>
        <v>4</v>
      </c>
      <c r="I72" s="39">
        <f>IFERROR(IF(SUMIFS(tblDaily[Admissions],tblDaily[EntryDate],DATE(2026,2,25),tblDaily[WardCode],"FAE")=0,"",SUMIFS(tblDaily[Admissions],tblDaily[EntryDate],DATE(2026,2,25),tblDaily[WardCode],"FAE")),"")</f>
        <v>2</v>
      </c>
      <c r="J72" s="39">
        <f>IFERROR(IF(SUMIFS(tblDaily[Discharges],tblDaily[EntryDate],DATE(2026,2,25),tblDaily[WardCode],"FAE")=0,"",SUMIFS(tblDaily[Discharges],tblDaily[EntryDate],DATE(2026,2,25),tblDaily[WardCode],"FAE")),"")</f>
        <v>1</v>
      </c>
      <c r="K72" s="39" t="str">
        <f>IFERROR(IF(SUMIFS(tblDaily[Deaths],tblDaily[EntryDate],DATE(2026,2,25),tblDaily[WardCode],"FAE")=0,"",SUMIFS(tblDaily[Deaths],tblDaily[EntryDate],DATE(2026,2,25),tblDaily[WardCode],"FAE")),"")</f>
        <v/>
      </c>
      <c r="L72" s="39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39" t="str">
        <f>IFERROR(IF(SUMIFS(tblDaily[TransfersIn],tblDaily[EntryDate],DATE(2026,2,25),tblDaily[WardCode],"FAE")=0,"",SUMIFS(tblDaily[TransfersIn],tblDaily[EntryDate],DATE(2026,2,25),tblDaily[WardCode],"FAE")),"")</f>
        <v/>
      </c>
      <c r="N72" s="39">
        <f>IFERROR(IF(SUMIFS(tblDaily[TransfersOut],tblDaily[EntryDate],DATE(2026,2,25),tblDaily[WardCode],"FAE")=0,"",SUMIFS(tblDaily[TransfersOut],tblDaily[EntryDate],DATE(2026,2,25),tblDaily[WardCode],"FAE")),"")</f>
        <v>1</v>
      </c>
      <c r="O72" s="39">
        <f>IFERROR(IF(SUMIFS(tblDaily[Remaining],tblDaily[EntryDate],DATE(2026,2,25),tblDaily[WardCode],"FAE")=0,"",SUMIFS(tblDaily[Remaining],tblDaily[EntryDate],DATE(2026,2,25),tblDaily[WardCode],"FAE")),"")</f>
        <v>5</v>
      </c>
      <c r="P72" s="40">
        <f t="shared" si="1"/>
        <v>9</v>
      </c>
    </row>
    <row r="73" spans="1:16" x14ac:dyDescent="0.25">
      <c r="A73" s="39">
        <v>26</v>
      </c>
      <c r="B73" s="39">
        <f>IFERROR(IF(SUMIFS(tblDaily[Admissions],tblDaily[EntryDate],DATE(2026,2,26),tblDaily[WardCode],"MAE")=0,"",SUMIFS(tblDaily[Admissions],tblDaily[EntryDate],DATE(2026,2,26),tblDaily[WardCode],"MAE")),"")</f>
        <v>1</v>
      </c>
      <c r="C73" s="39">
        <f>IFERROR(IF(SUMIFS(tblDaily[Discharges],tblDaily[EntryDate],DATE(2026,2,26),tblDaily[WardCode],"MAE")=0,"",SUMIFS(tblDaily[Discharges],tblDaily[EntryDate],DATE(2026,2,26),tblDaily[WardCode],"MAE")),"")</f>
        <v>1</v>
      </c>
      <c r="D73" s="39" t="str">
        <f>IFERROR(IF(SUMIFS(tblDaily[Deaths],tblDaily[EntryDate],DATE(2026,2,26),tblDaily[WardCode],"MAE")=0,"",SUMIFS(tblDaily[Deaths],tblDaily[EntryDate],DATE(2026,2,26),tblDaily[WardCode],"MAE")),"")</f>
        <v/>
      </c>
      <c r="E73" s="39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39" t="str">
        <f>IFERROR(IF(SUMIFS(tblDaily[TransfersIn],tblDaily[EntryDate],DATE(2026,2,26),tblDaily[WardCode],"MAE")=0,"",SUMIFS(tblDaily[TransfersIn],tblDaily[EntryDate],DATE(2026,2,26),tblDaily[WardCode],"MAE")),"")</f>
        <v/>
      </c>
      <c r="G73" s="39">
        <f>IFERROR(IF(SUMIFS(tblDaily[TransfersOut],tblDaily[EntryDate],DATE(2026,2,26),tblDaily[WardCode],"MAE")=0,"",SUMIFS(tblDaily[TransfersOut],tblDaily[EntryDate],DATE(2026,2,26),tblDaily[WardCode],"MAE")),"")</f>
        <v>2</v>
      </c>
      <c r="H73" s="39">
        <f>IFERROR(IF(SUMIFS(tblDaily[Remaining],tblDaily[EntryDate],DATE(2026,2,26),tblDaily[WardCode],"MAE")=0,"",SUMIFS(tblDaily[Remaining],tblDaily[EntryDate],DATE(2026,2,26),tblDaily[WardCode],"MAE")),"")</f>
        <v>2</v>
      </c>
      <c r="I73" s="39">
        <f>IFERROR(IF(SUMIFS(tblDaily[Admissions],tblDaily[EntryDate],DATE(2026,2,26),tblDaily[WardCode],"FAE")=0,"",SUMIFS(tblDaily[Admissions],tblDaily[EntryDate],DATE(2026,2,26),tblDaily[WardCode],"FAE")),"")</f>
        <v>3</v>
      </c>
      <c r="J73" s="39">
        <f>IFERROR(IF(SUMIFS(tblDaily[Discharges],tblDaily[EntryDate],DATE(2026,2,26),tblDaily[WardCode],"FAE")=0,"",SUMIFS(tblDaily[Discharges],tblDaily[EntryDate],DATE(2026,2,26),tblDaily[WardCode],"FAE")),"")</f>
        <v>2</v>
      </c>
      <c r="K73" s="39" t="str">
        <f>IFERROR(IF(SUMIFS(tblDaily[Deaths],tblDaily[EntryDate],DATE(2026,2,26),tblDaily[WardCode],"FAE")=0,"",SUMIFS(tblDaily[Deaths],tblDaily[EntryDate],DATE(2026,2,26),tblDaily[WardCode],"FAE")),"")</f>
        <v/>
      </c>
      <c r="L73" s="39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39" t="str">
        <f>IFERROR(IF(SUMIFS(tblDaily[TransfersIn],tblDaily[EntryDate],DATE(2026,2,26),tblDaily[WardCode],"FAE")=0,"",SUMIFS(tblDaily[TransfersIn],tblDaily[EntryDate],DATE(2026,2,26),tblDaily[WardCode],"FAE")),"")</f>
        <v/>
      </c>
      <c r="N73" s="39">
        <f>IFERROR(IF(SUMIFS(tblDaily[TransfersOut],tblDaily[EntryDate],DATE(2026,2,26),tblDaily[WardCode],"FAE")=0,"",SUMIFS(tblDaily[TransfersOut],tblDaily[EntryDate],DATE(2026,2,26),tblDaily[WardCode],"FAE")),"")</f>
        <v>2</v>
      </c>
      <c r="O73" s="39">
        <f>IFERROR(IF(SUMIFS(tblDaily[Remaining],tblDaily[EntryDate],DATE(2026,2,26),tblDaily[WardCode],"FAE")=0,"",SUMIFS(tblDaily[Remaining],tblDaily[EntryDate],DATE(2026,2,26),tblDaily[WardCode],"FAE")),"")</f>
        <v>4</v>
      </c>
      <c r="P73" s="40">
        <f t="shared" si="1"/>
        <v>6</v>
      </c>
    </row>
    <row r="74" spans="1:16" x14ac:dyDescent="0.25">
      <c r="A74" s="39">
        <v>27</v>
      </c>
      <c r="B74" s="39">
        <f>IFERROR(IF(SUMIFS(tblDaily[Admissions],tblDaily[EntryDate],DATE(2026,2,27),tblDaily[WardCode],"MAE")=0,"",SUMIFS(tblDaily[Admissions],tblDaily[EntryDate],DATE(2026,2,27),tblDaily[WardCode],"MAE")),"")</f>
        <v>2</v>
      </c>
      <c r="C74" s="39">
        <f>IFERROR(IF(SUMIFS(tblDaily[Discharges],tblDaily[EntryDate],DATE(2026,2,27),tblDaily[WardCode],"MAE")=0,"",SUMIFS(tblDaily[Discharges],tblDaily[EntryDate],DATE(2026,2,27),tblDaily[WardCode],"MAE")),"")</f>
        <v>1</v>
      </c>
      <c r="D74" s="39" t="str">
        <f>IFERROR(IF(SUMIFS(tblDaily[Deaths],tblDaily[EntryDate],DATE(2026,2,27),tblDaily[WardCode],"MAE")=0,"",SUMIFS(tblDaily[Deaths],tblDaily[EntryDate],DATE(2026,2,27),tblDaily[WardCode],"MAE")),"")</f>
        <v/>
      </c>
      <c r="E74" s="39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39" t="str">
        <f>IFERROR(IF(SUMIFS(tblDaily[TransfersIn],tblDaily[EntryDate],DATE(2026,2,27),tblDaily[WardCode],"MAE")=0,"",SUMIFS(tblDaily[TransfersIn],tblDaily[EntryDate],DATE(2026,2,27),tblDaily[WardCode],"MAE")),"")</f>
        <v/>
      </c>
      <c r="G74" s="39">
        <f>IFERROR(IF(SUMIFS(tblDaily[TransfersOut],tblDaily[EntryDate],DATE(2026,2,27),tblDaily[WardCode],"MAE")=0,"",SUMIFS(tblDaily[TransfersOut],tblDaily[EntryDate],DATE(2026,2,27),tblDaily[WardCode],"MAE")),"")</f>
        <v>1</v>
      </c>
      <c r="H74" s="39">
        <f>IFERROR(IF(SUMIFS(tblDaily[Remaining],tblDaily[EntryDate],DATE(2026,2,27),tblDaily[WardCode],"MAE")=0,"",SUMIFS(tblDaily[Remaining],tblDaily[EntryDate],DATE(2026,2,27),tblDaily[WardCode],"MAE")),"")</f>
        <v>2</v>
      </c>
      <c r="I74" s="39">
        <f>IFERROR(IF(SUMIFS(tblDaily[Admissions],tblDaily[EntryDate],DATE(2026,2,27),tblDaily[WardCode],"FAE")=0,"",SUMIFS(tblDaily[Admissions],tblDaily[EntryDate],DATE(2026,2,27),tblDaily[WardCode],"FAE")),"")</f>
        <v>1</v>
      </c>
      <c r="J74" s="39">
        <f>IFERROR(IF(SUMIFS(tblDaily[Discharges],tblDaily[EntryDate],DATE(2026,2,27),tblDaily[WardCode],"FAE")=0,"",SUMIFS(tblDaily[Discharges],tblDaily[EntryDate],DATE(2026,2,27),tblDaily[WardCode],"FAE")),"")</f>
        <v>1</v>
      </c>
      <c r="K74" s="39">
        <f>IFERROR(IF(SUMIFS(tblDaily[Deaths],tblDaily[EntryDate],DATE(2026,2,27),tblDaily[WardCode],"FAE")=0,"",SUMIFS(tblDaily[Deaths],tblDaily[EntryDate],DATE(2026,2,27),tblDaily[WardCode],"FAE")),"")</f>
        <v>2</v>
      </c>
      <c r="L74" s="39">
        <f>IFERROR(IF(SUMIFS(tblDaily[DeathsUnder24Hrs],tblDaily[EntryDate],DATE(2026,2,27),tblDaily[WardCode],"FAE")=0,"",SUMIFS(tblDaily[DeathsUnder24Hrs],tblDaily[EntryDate],DATE(2026,2,27),tblDaily[WardCode],"FAE")),"")</f>
        <v>1</v>
      </c>
      <c r="M74" s="39" t="str">
        <f>IFERROR(IF(SUMIFS(tblDaily[TransfersIn],tblDaily[EntryDate],DATE(2026,2,27),tblDaily[WardCode],"FAE")=0,"",SUMIFS(tblDaily[TransfersIn],tblDaily[EntryDate],DATE(2026,2,27),tblDaily[WardCode],"FAE")),"")</f>
        <v/>
      </c>
      <c r="N74" s="39" t="str">
        <f>IFERROR(IF(SUMIFS(tblDaily[TransfersOut],tblDaily[EntryDate],DATE(2026,2,27),tblDaily[WardCode],"FAE")=0,"",SUMIFS(tblDaily[TransfersOut],tblDaily[EntryDate],DATE(2026,2,27),tblDaily[WardCode],"FAE")),"")</f>
        <v/>
      </c>
      <c r="O74" s="39">
        <f>IFERROR(IF(SUMIFS(tblDaily[Remaining],tblDaily[EntryDate],DATE(2026,2,27),tblDaily[WardCode],"FAE")=0,"",SUMIFS(tblDaily[Remaining],tblDaily[EntryDate],DATE(2026,2,27),tblDaily[WardCode],"FAE")),"")</f>
        <v>1</v>
      </c>
      <c r="P74" s="40">
        <f t="shared" si="1"/>
        <v>3</v>
      </c>
    </row>
    <row r="75" spans="1:16" x14ac:dyDescent="0.25">
      <c r="A75" s="39">
        <v>28</v>
      </c>
      <c r="B75" s="39">
        <f>IFERROR(IF(SUMIFS(tblDaily[Admissions],tblDaily[EntryDate],DATE(2026,2,28),tblDaily[WardCode],"MAE")=0,"",SUMIFS(tblDaily[Admissions],tblDaily[EntryDate],DATE(2026,2,28),tblDaily[WardCode],"MAE")),"")</f>
        <v>3</v>
      </c>
      <c r="C75" s="39" t="str">
        <f>IFERROR(IF(SUMIFS(tblDaily[Discharges],tblDaily[EntryDate],DATE(2026,2,28),tblDaily[WardCode],"MAE")=0,"",SUMIFS(tblDaily[Discharges],tblDaily[EntryDate],DATE(2026,2,28),tblDaily[WardCode],"MAE")),"")</f>
        <v/>
      </c>
      <c r="D75" s="39" t="str">
        <f>IFERROR(IF(SUMIFS(tblDaily[Deaths],tblDaily[EntryDate],DATE(2026,2,28),tblDaily[WardCode],"MAE")=0,"",SUMIFS(tblDaily[Deaths],tblDaily[EntryDate],DATE(2026,2,28),tblDaily[WardCode],"MAE")),"")</f>
        <v/>
      </c>
      <c r="E75" s="39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39" t="str">
        <f>IFERROR(IF(SUMIFS(tblDaily[TransfersIn],tblDaily[EntryDate],DATE(2026,2,28),tblDaily[WardCode],"MAE")=0,"",SUMIFS(tblDaily[TransfersIn],tblDaily[EntryDate],DATE(2026,2,28),tblDaily[WardCode],"MAE")),"")</f>
        <v/>
      </c>
      <c r="G75" s="39" t="str">
        <f>IFERROR(IF(SUMIFS(tblDaily[TransfersOut],tblDaily[EntryDate],DATE(2026,2,28),tblDaily[WardCode],"MAE")=0,"",SUMIFS(tblDaily[TransfersOut],tblDaily[EntryDate],DATE(2026,2,28),tblDaily[WardCode],"MAE")),"")</f>
        <v/>
      </c>
      <c r="H75" s="39">
        <f>IFERROR(IF(SUMIFS(tblDaily[Remaining],tblDaily[EntryDate],DATE(2026,2,28),tblDaily[WardCode],"MAE")=0,"",SUMIFS(tblDaily[Remaining],tblDaily[EntryDate],DATE(2026,2,28),tblDaily[WardCode],"MAE")),"")</f>
        <v>5</v>
      </c>
      <c r="I75" s="39">
        <f>IFERROR(IF(SUMIFS(tblDaily[Admissions],tblDaily[EntryDate],DATE(2026,2,28),tblDaily[WardCode],"FAE")=0,"",SUMIFS(tblDaily[Admissions],tblDaily[EntryDate],DATE(2026,2,28),tblDaily[WardCode],"FAE")),"")</f>
        <v>1</v>
      </c>
      <c r="J75" s="39" t="str">
        <f>IFERROR(IF(SUMIFS(tblDaily[Discharges],tblDaily[EntryDate],DATE(2026,2,28),tblDaily[WardCode],"FAE")=0,"",SUMIFS(tblDaily[Discharges],tblDaily[EntryDate],DATE(2026,2,28),tblDaily[WardCode],"FAE")),"")</f>
        <v/>
      </c>
      <c r="K75" s="39" t="str">
        <f>IFERROR(IF(SUMIFS(tblDaily[Deaths],tblDaily[EntryDate],DATE(2026,2,28),tblDaily[WardCode],"FAE")=0,"",SUMIFS(tblDaily[Deaths],tblDaily[EntryDate],DATE(2026,2,28),tblDaily[WardCode],"FAE")),"")</f>
        <v/>
      </c>
      <c r="L75" s="39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39" t="str">
        <f>IFERROR(IF(SUMIFS(tblDaily[TransfersIn],tblDaily[EntryDate],DATE(2026,2,28),tblDaily[WardCode],"FAE")=0,"",SUMIFS(tblDaily[TransfersIn],tblDaily[EntryDate],DATE(2026,2,28),tblDaily[WardCode],"FAE")),"")</f>
        <v/>
      </c>
      <c r="N75" s="39">
        <f>IFERROR(IF(SUMIFS(tblDaily[TransfersOut],tblDaily[EntryDate],DATE(2026,2,28),tblDaily[WardCode],"FAE")=0,"",SUMIFS(tblDaily[TransfersOut],tblDaily[EntryDate],DATE(2026,2,28),tblDaily[WardCode],"FAE")),"")</f>
        <v>1</v>
      </c>
      <c r="O75" s="39">
        <f>IFERROR(IF(SUMIFS(tblDaily[Remaining],tblDaily[EntryDate],DATE(2026,2,28),tblDaily[WardCode],"FAE")=0,"",SUMIFS(tblDaily[Remaining],tblDaily[EntryDate],DATE(2026,2,28),tblDaily[WardCode],"FAE")),"")</f>
        <v>1</v>
      </c>
      <c r="P75" s="40">
        <f t="shared" si="1"/>
        <v>6</v>
      </c>
    </row>
    <row r="76" spans="1:16" x14ac:dyDescent="0.25">
      <c r="A76" s="39">
        <v>29</v>
      </c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25">
      <c r="A77" s="39">
        <v>30</v>
      </c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25">
      <c r="A78" s="39">
        <v>31</v>
      </c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25">
      <c r="A79" s="30" t="s">
        <v>115</v>
      </c>
      <c r="B79" s="30">
        <f>SUMIFS(tblDaily[Admissions],tblDaily[Month],2,tblDaily[WardCode],"MAE") - SUMIFS(tblDaily[DeathsUnder24Hrs],tblDaily[Month],2,tblDaily[WardCode],"MAE")</f>
        <v>62</v>
      </c>
      <c r="C79" s="30">
        <f>SUMIFS(tblDaily[Discharges],tblDaily[Month],2,tblDaily[WardCode],"MAE")</f>
        <v>24</v>
      </c>
      <c r="D79" s="30">
        <f>SUMIFS(tblDaily[Deaths],tblDaily[Month],2,tblDaily[WardCode],"MAE")</f>
        <v>0</v>
      </c>
      <c r="E79" s="30">
        <f>SUMIFS(tblDaily[DeathsUnder24Hrs],tblDaily[Month],2,tblDaily[WardCode],"MAE")</f>
        <v>6</v>
      </c>
      <c r="F79" s="30">
        <f>SUMIFS(tblDaily[TransfersIn],tblDaily[Month],2,tblDaily[WardCode],"MAE")</f>
        <v>0</v>
      </c>
      <c r="G79" s="30">
        <f>SUMIFS(tblDaily[TransfersOut],tblDaily[Month],2,tblDaily[WardCode],"MAE")</f>
        <v>34</v>
      </c>
      <c r="H79" s="30">
        <f>SUMIFS(tblDaily[Remaining],tblDaily[Month],2,tblDaily[WardCode],"MAE")</f>
        <v>80</v>
      </c>
      <c r="I79" s="30">
        <f>SUMIFS(tblDaily[Admissions],tblDaily[Month],2,tblDaily[WardCode],"FAE") - SUMIFS(tblDaily[DeathsUnder24Hrs],tblDaily[Month],2,tblDaily[WardCode],"FAE")</f>
        <v>64</v>
      </c>
      <c r="J79" s="30">
        <f>SUMIFS(tblDaily[Discharges],tblDaily[Month],2,tblDaily[WardCode],"FAE")</f>
        <v>29</v>
      </c>
      <c r="K79" s="30">
        <f>SUMIFS(tblDaily[Deaths],tblDaily[Month],2,tblDaily[WardCode],"FAE")</f>
        <v>4</v>
      </c>
      <c r="L79" s="30">
        <f>SUMIFS(tblDaily[DeathsUnder24Hrs],tblDaily[Month],2,tblDaily[WardCode],"FAE")</f>
        <v>3</v>
      </c>
      <c r="M79" s="30">
        <f>SUMIFS(tblDaily[TransfersIn],tblDaily[Month],2,tblDaily[WardCode],"FAE")</f>
        <v>0</v>
      </c>
      <c r="N79" s="30">
        <f>SUMIFS(tblDaily[TransfersOut],tblDaily[Month],2,tblDaily[WardCode],"FAE")</f>
        <v>34</v>
      </c>
      <c r="O79" s="30">
        <f>SUMIFS(tblDaily[Remaining],tblDaily[Month],2,tblDaily[WardCode],"FAE")</f>
        <v>97</v>
      </c>
      <c r="P79" s="30">
        <f>H79 + O79</f>
        <v>177</v>
      </c>
    </row>
    <row r="81" spans="1:16" ht="18.75" x14ac:dyDescent="0.25">
      <c r="A81" s="32" t="s">
        <v>0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6" ht="15.75" x14ac:dyDescent="0.25">
      <c r="A82" s="23" t="s">
        <v>104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6" x14ac:dyDescent="0.25">
      <c r="A83" s="24" t="s">
        <v>4</v>
      </c>
      <c r="B83" s="25" t="s">
        <v>2</v>
      </c>
      <c r="E83" s="24" t="s">
        <v>105</v>
      </c>
      <c r="F83" s="24" t="s">
        <v>125</v>
      </c>
      <c r="M83" s="24" t="s">
        <v>107</v>
      </c>
      <c r="N83" s="24" t="s">
        <v>65</v>
      </c>
    </row>
    <row r="84" spans="1:16" x14ac:dyDescent="0.25">
      <c r="A84" s="24" t="s">
        <v>108</v>
      </c>
      <c r="B84" s="33">
        <f>IFERROR(SUMIFS(tblDaily[Remaining],tblDaily[EntryDate],DATE(2026,2,28),tblDaily[WardCode],"MAE"),0)</f>
        <v>5</v>
      </c>
      <c r="I84" s="33">
        <f>IFERROR(SUMIFS(tblDaily[Remaining],tblDaily[EntryDate],DATE(2026,2,28),tblDaily[WardCode],"FAE"),0)</f>
        <v>1</v>
      </c>
    </row>
    <row r="85" spans="1:16" x14ac:dyDescent="0.25">
      <c r="A85" s="24" t="s">
        <v>109</v>
      </c>
      <c r="B85" s="33">
        <f>IFERROR(INDEX(tblWardConfig[BedComplement],MATCH("MAE",tblWardConfig[WardCode],0)),0)</f>
        <v>10</v>
      </c>
      <c r="I85" s="33">
        <f>IFERROR(INDEX(tblWardConfig[BedComplement],MATCH("FAE",tblWardConfig[WardCode],0)),0)</f>
        <v>10</v>
      </c>
      <c r="O85" s="34">
        <f>B85+I85</f>
        <v>20</v>
      </c>
    </row>
    <row r="86" spans="1:16" x14ac:dyDescent="0.25">
      <c r="A86" s="35" t="s">
        <v>126</v>
      </c>
      <c r="B86" s="36" t="s">
        <v>122</v>
      </c>
      <c r="C86" s="22"/>
      <c r="D86" s="22"/>
      <c r="E86" s="22"/>
      <c r="F86" s="22"/>
      <c r="G86" s="22"/>
      <c r="H86" s="22"/>
      <c r="I86" s="37" t="s">
        <v>123</v>
      </c>
      <c r="J86" s="22"/>
      <c r="K86" s="22"/>
      <c r="L86" s="22"/>
      <c r="M86" s="22"/>
      <c r="N86" s="22"/>
      <c r="O86" s="22"/>
      <c r="P86" s="38" t="s">
        <v>115</v>
      </c>
    </row>
    <row r="87" spans="1:16" x14ac:dyDescent="0.25">
      <c r="A87" s="35" t="s">
        <v>126</v>
      </c>
      <c r="B87" s="35" t="s">
        <v>127</v>
      </c>
      <c r="C87" s="35" t="s">
        <v>128</v>
      </c>
      <c r="D87" s="35" t="s">
        <v>129</v>
      </c>
      <c r="E87" s="35" t="s">
        <v>130</v>
      </c>
      <c r="F87" s="35" t="s">
        <v>131</v>
      </c>
      <c r="G87" s="35" t="s">
        <v>132</v>
      </c>
      <c r="H87" s="35" t="s">
        <v>133</v>
      </c>
      <c r="I87" s="35" t="s">
        <v>127</v>
      </c>
      <c r="J87" s="35" t="s">
        <v>128</v>
      </c>
      <c r="K87" s="35" t="s">
        <v>129</v>
      </c>
      <c r="L87" s="35" t="s">
        <v>130</v>
      </c>
      <c r="M87" s="35" t="s">
        <v>131</v>
      </c>
      <c r="N87" s="35" t="s">
        <v>132</v>
      </c>
      <c r="O87" s="35" t="s">
        <v>133</v>
      </c>
      <c r="P87" s="35" t="s">
        <v>134</v>
      </c>
    </row>
    <row r="88" spans="1:16" x14ac:dyDescent="0.25">
      <c r="A88" s="39">
        <v>1</v>
      </c>
      <c r="B88" s="39">
        <f>IFERROR(IF(SUMIFS(tblDaily[Admissions],tblDaily[EntryDate],DATE(2026,3,1),tblDaily[WardCode],"MAE")=0,"",SUMIFS(tblDaily[Admissions],tblDaily[EntryDate],DATE(2026,3,1),tblDaily[WardCode],"MAE")),"")</f>
        <v>3</v>
      </c>
      <c r="C88" s="39">
        <f>IFERROR(IF(SUMIFS(tblDaily[Discharges],tblDaily[EntryDate],DATE(2026,3,1),tblDaily[WardCode],"MAE")=0,"",SUMIFS(tblDaily[Discharges],tblDaily[EntryDate],DATE(2026,3,1),tblDaily[WardCode],"MAE")),"")</f>
        <v>2</v>
      </c>
      <c r="D88" s="39">
        <f>IFERROR(IF(SUMIFS(tblDaily[Deaths],tblDaily[EntryDate],DATE(2026,3,1),tblDaily[WardCode],"MAE")=0,"",SUMIFS(tblDaily[Deaths],tblDaily[EntryDate],DATE(2026,3,1),tblDaily[WardCode],"MAE")),"")</f>
        <v>1</v>
      </c>
      <c r="E88" s="39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39" t="str">
        <f>IFERROR(IF(SUMIFS(tblDaily[TransfersIn],tblDaily[EntryDate],DATE(2026,3,1),tblDaily[WardCode],"MAE")=0,"",SUMIFS(tblDaily[TransfersIn],tblDaily[EntryDate],DATE(2026,3,1),tblDaily[WardCode],"MAE")),"")</f>
        <v/>
      </c>
      <c r="G88" s="39">
        <f>IFERROR(IF(SUMIFS(tblDaily[TransfersOut],tblDaily[EntryDate],DATE(2026,3,1),tblDaily[WardCode],"MAE")=0,"",SUMIFS(tblDaily[TransfersOut],tblDaily[EntryDate],DATE(2026,3,1),tblDaily[WardCode],"MAE")),"")</f>
        <v>2</v>
      </c>
      <c r="H88" s="39">
        <f>IFERROR(IF(SUMIFS(tblDaily[Remaining],tblDaily[EntryDate],DATE(2026,3,1),tblDaily[WardCode],"MAE")=0,"",SUMIFS(tblDaily[Remaining],tblDaily[EntryDate],DATE(2026,3,1),tblDaily[WardCode],"MAE")),"")</f>
        <v>3</v>
      </c>
      <c r="I88" s="39">
        <f>IFERROR(IF(SUMIFS(tblDaily[Admissions],tblDaily[EntryDate],DATE(2026,3,1),tblDaily[WardCode],"FAE")=0,"",SUMIFS(tblDaily[Admissions],tblDaily[EntryDate],DATE(2026,3,1),tblDaily[WardCode],"FAE")),"")</f>
        <v>2</v>
      </c>
      <c r="J88" s="39" t="str">
        <f>IFERROR(IF(SUMIFS(tblDaily[Discharges],tblDaily[EntryDate],DATE(2026,3,1),tblDaily[WardCode],"FAE")=0,"",SUMIFS(tblDaily[Discharges],tblDaily[EntryDate],DATE(2026,3,1),tblDaily[WardCode],"FAE")),"")</f>
        <v/>
      </c>
      <c r="K88" s="39" t="str">
        <f>IFERROR(IF(SUMIFS(tblDaily[Deaths],tblDaily[EntryDate],DATE(2026,3,1),tblDaily[WardCode],"FAE")=0,"",SUMIFS(tblDaily[Deaths],tblDaily[EntryDate],DATE(2026,3,1),tblDaily[WardCode],"FAE")),"")</f>
        <v/>
      </c>
      <c r="L88" s="39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39" t="str">
        <f>IFERROR(IF(SUMIFS(tblDaily[TransfersIn],tblDaily[EntryDate],DATE(2026,3,1),tblDaily[WardCode],"FAE")=0,"",SUMIFS(tblDaily[TransfersIn],tblDaily[EntryDate],DATE(2026,3,1),tblDaily[WardCode],"FAE")),"")</f>
        <v/>
      </c>
      <c r="N88" s="39">
        <f>IFERROR(IF(SUMIFS(tblDaily[TransfersOut],tblDaily[EntryDate],DATE(2026,3,1),tblDaily[WardCode],"FAE")=0,"",SUMIFS(tblDaily[TransfersOut],tblDaily[EntryDate],DATE(2026,3,1),tblDaily[WardCode],"FAE")),"")</f>
        <v>1</v>
      </c>
      <c r="O88" s="39">
        <f>IFERROR(IF(SUMIFS(tblDaily[Remaining],tblDaily[EntryDate],DATE(2026,3,1),tblDaily[WardCode],"FAE")=0,"",SUMIFS(tblDaily[Remaining],tblDaily[EntryDate],DATE(2026,3,1),tblDaily[WardCode],"FAE")),"")</f>
        <v>2</v>
      </c>
      <c r="P88" s="40">
        <f t="shared" ref="P88:P118" si="2">IF(AND(H88="", O88=""), "", N(H88) + N(O88))</f>
        <v>5</v>
      </c>
    </row>
    <row r="89" spans="1:16" x14ac:dyDescent="0.25">
      <c r="A89" s="39">
        <v>2</v>
      </c>
      <c r="B89" s="39">
        <f>IFERROR(IF(SUMIFS(tblDaily[Admissions],tblDaily[EntryDate],DATE(2026,3,2),tblDaily[WardCode],"MAE")=0,"",SUMIFS(tblDaily[Admissions],tblDaily[EntryDate],DATE(2026,3,2),tblDaily[WardCode],"MAE")),"")</f>
        <v>3</v>
      </c>
      <c r="C89" s="39">
        <f>IFERROR(IF(SUMIFS(tblDaily[Discharges],tblDaily[EntryDate],DATE(2026,3,2),tblDaily[WardCode],"MAE")=0,"",SUMIFS(tblDaily[Discharges],tblDaily[EntryDate],DATE(2026,3,2),tblDaily[WardCode],"MAE")),"")</f>
        <v>1</v>
      </c>
      <c r="D89" s="39" t="str">
        <f>IFERROR(IF(SUMIFS(tblDaily[Deaths],tblDaily[EntryDate],DATE(2026,3,2),tblDaily[WardCode],"MAE")=0,"",SUMIFS(tblDaily[Deaths],tblDaily[EntryDate],DATE(2026,3,2),tblDaily[WardCode],"MAE")),"")</f>
        <v/>
      </c>
      <c r="E89" s="39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39" t="str">
        <f>IFERROR(IF(SUMIFS(tblDaily[TransfersIn],tblDaily[EntryDate],DATE(2026,3,2),tblDaily[WardCode],"MAE")=0,"",SUMIFS(tblDaily[TransfersIn],tblDaily[EntryDate],DATE(2026,3,2),tblDaily[WardCode],"MAE")),"")</f>
        <v/>
      </c>
      <c r="G89" s="39">
        <f>IFERROR(IF(SUMIFS(tblDaily[TransfersOut],tblDaily[EntryDate],DATE(2026,3,2),tblDaily[WardCode],"MAE")=0,"",SUMIFS(tblDaily[TransfersOut],tblDaily[EntryDate],DATE(2026,3,2),tblDaily[WardCode],"MAE")),"")</f>
        <v>2</v>
      </c>
      <c r="H89" s="39">
        <f>IFERROR(IF(SUMIFS(tblDaily[Remaining],tblDaily[EntryDate],DATE(2026,3,2),tblDaily[WardCode],"MAE")=0,"",SUMIFS(tblDaily[Remaining],tblDaily[EntryDate],DATE(2026,3,2),tblDaily[WardCode],"MAE")),"")</f>
        <v>3</v>
      </c>
      <c r="I89" s="39">
        <f>IFERROR(IF(SUMIFS(tblDaily[Admissions],tblDaily[EntryDate],DATE(2026,3,2),tblDaily[WardCode],"FAE")=0,"",SUMIFS(tblDaily[Admissions],tblDaily[EntryDate],DATE(2026,3,2),tblDaily[WardCode],"FAE")),"")</f>
        <v>1</v>
      </c>
      <c r="J89" s="39" t="str">
        <f>IFERROR(IF(SUMIFS(tblDaily[Discharges],tblDaily[EntryDate],DATE(2026,3,2),tblDaily[WardCode],"FAE")=0,"",SUMIFS(tblDaily[Discharges],tblDaily[EntryDate],DATE(2026,3,2),tblDaily[WardCode],"FAE")),"")</f>
        <v/>
      </c>
      <c r="K89" s="39" t="str">
        <f>IFERROR(IF(SUMIFS(tblDaily[Deaths],tblDaily[EntryDate],DATE(2026,3,2),tblDaily[WardCode],"FAE")=0,"",SUMIFS(tblDaily[Deaths],tblDaily[EntryDate],DATE(2026,3,2),tblDaily[WardCode],"FAE")),"")</f>
        <v/>
      </c>
      <c r="L89" s="39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39" t="str">
        <f>IFERROR(IF(SUMIFS(tblDaily[TransfersIn],tblDaily[EntryDate],DATE(2026,3,2),tblDaily[WardCode],"FAE")=0,"",SUMIFS(tblDaily[TransfersIn],tblDaily[EntryDate],DATE(2026,3,2),tblDaily[WardCode],"FAE")),"")</f>
        <v/>
      </c>
      <c r="N89" s="39" t="str">
        <f>IFERROR(IF(SUMIFS(tblDaily[TransfersOut],tblDaily[EntryDate],DATE(2026,3,2),tblDaily[WardCode],"FAE")=0,"",SUMIFS(tblDaily[TransfersOut],tblDaily[EntryDate],DATE(2026,3,2),tblDaily[WardCode],"FAE")),"")</f>
        <v/>
      </c>
      <c r="O89" s="39">
        <f>IFERROR(IF(SUMIFS(tblDaily[Remaining],tblDaily[EntryDate],DATE(2026,3,2),tblDaily[WardCode],"FAE")=0,"",SUMIFS(tblDaily[Remaining],tblDaily[EntryDate],DATE(2026,3,2),tblDaily[WardCode],"FAE")),"")</f>
        <v>3</v>
      </c>
      <c r="P89" s="40">
        <f t="shared" si="2"/>
        <v>6</v>
      </c>
    </row>
    <row r="90" spans="1:16" x14ac:dyDescent="0.25">
      <c r="A90" s="39">
        <v>3</v>
      </c>
      <c r="B90" s="39">
        <f>IFERROR(IF(SUMIFS(tblDaily[Admissions],tblDaily[EntryDate],DATE(2026,3,3),tblDaily[WardCode],"MAE")=0,"",SUMIFS(tblDaily[Admissions],tblDaily[EntryDate],DATE(2026,3,3),tblDaily[WardCode],"MAE")),"")</f>
        <v>2</v>
      </c>
      <c r="C90" s="39">
        <f>IFERROR(IF(SUMIFS(tblDaily[Discharges],tblDaily[EntryDate],DATE(2026,3,3),tblDaily[WardCode],"MAE")=0,"",SUMIFS(tblDaily[Discharges],tblDaily[EntryDate],DATE(2026,3,3),tblDaily[WardCode],"MAE")),"")</f>
        <v>1</v>
      </c>
      <c r="D90" s="39" t="str">
        <f>IFERROR(IF(SUMIFS(tblDaily[Deaths],tblDaily[EntryDate],DATE(2026,3,3),tblDaily[WardCode],"MAE")=0,"",SUMIFS(tblDaily[Deaths],tblDaily[EntryDate],DATE(2026,3,3),tblDaily[WardCode],"MAE")),"")</f>
        <v/>
      </c>
      <c r="E90" s="39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39" t="str">
        <f>IFERROR(IF(SUMIFS(tblDaily[TransfersIn],tblDaily[EntryDate],DATE(2026,3,3),tblDaily[WardCode],"MAE")=0,"",SUMIFS(tblDaily[TransfersIn],tblDaily[EntryDate],DATE(2026,3,3),tblDaily[WardCode],"MAE")),"")</f>
        <v/>
      </c>
      <c r="G90" s="39">
        <f>IFERROR(IF(SUMIFS(tblDaily[TransfersOut],tblDaily[EntryDate],DATE(2026,3,3),tblDaily[WardCode],"MAE")=0,"",SUMIFS(tblDaily[TransfersOut],tblDaily[EntryDate],DATE(2026,3,3),tblDaily[WardCode],"MAE")),"")</f>
        <v>3</v>
      </c>
      <c r="H90" s="39">
        <f>IFERROR(IF(SUMIFS(tblDaily[Remaining],tblDaily[EntryDate],DATE(2026,3,3),tblDaily[WardCode],"MAE")=0,"",SUMIFS(tblDaily[Remaining],tblDaily[EntryDate],DATE(2026,3,3),tblDaily[WardCode],"MAE")),"")</f>
        <v>1</v>
      </c>
      <c r="I90" s="39" t="str">
        <f>IFERROR(IF(SUMIFS(tblDaily[Admissions],tblDaily[EntryDate],DATE(2026,3,3),tblDaily[WardCode],"FAE")=0,"",SUMIFS(tblDaily[Admissions],tblDaily[EntryDate],DATE(2026,3,3),tblDaily[WardCode],"FAE")),"")</f>
        <v/>
      </c>
      <c r="J90" s="39" t="str">
        <f>IFERROR(IF(SUMIFS(tblDaily[Discharges],tblDaily[EntryDate],DATE(2026,3,3),tblDaily[WardCode],"FAE")=0,"",SUMIFS(tblDaily[Discharges],tblDaily[EntryDate],DATE(2026,3,3),tblDaily[WardCode],"FAE")),"")</f>
        <v/>
      </c>
      <c r="K90" s="39" t="str">
        <f>IFERROR(IF(SUMIFS(tblDaily[Deaths],tblDaily[EntryDate],DATE(2026,3,3),tblDaily[WardCode],"FAE")=0,"",SUMIFS(tblDaily[Deaths],tblDaily[EntryDate],DATE(2026,3,3),tblDaily[WardCode],"FAE")),"")</f>
        <v/>
      </c>
      <c r="L90" s="39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39" t="str">
        <f>IFERROR(IF(SUMIFS(tblDaily[TransfersIn],tblDaily[EntryDate],DATE(2026,3,3),tblDaily[WardCode],"FAE")=0,"",SUMIFS(tblDaily[TransfersIn],tblDaily[EntryDate],DATE(2026,3,3),tblDaily[WardCode],"FAE")),"")</f>
        <v/>
      </c>
      <c r="N90" s="39">
        <f>IFERROR(IF(SUMIFS(tblDaily[TransfersOut],tblDaily[EntryDate],DATE(2026,3,3),tblDaily[WardCode],"FAE")=0,"",SUMIFS(tblDaily[TransfersOut],tblDaily[EntryDate],DATE(2026,3,3),tblDaily[WardCode],"FAE")),"")</f>
        <v>2</v>
      </c>
      <c r="O90" s="39">
        <f>IFERROR(IF(SUMIFS(tblDaily[Remaining],tblDaily[EntryDate],DATE(2026,3,3),tblDaily[WardCode],"FAE")=0,"",SUMIFS(tblDaily[Remaining],tblDaily[EntryDate],DATE(2026,3,3),tblDaily[WardCode],"FAE")),"")</f>
        <v>1</v>
      </c>
      <c r="P90" s="40">
        <f t="shared" si="2"/>
        <v>2</v>
      </c>
    </row>
    <row r="91" spans="1:16" x14ac:dyDescent="0.25">
      <c r="A91" s="39">
        <v>4</v>
      </c>
      <c r="B91" s="39" t="str">
        <f>IFERROR(IF(SUMIFS(tblDaily[Admissions],tblDaily[EntryDate],DATE(2026,3,4),tblDaily[WardCode],"MAE")=0,"",SUMIFS(tblDaily[Admissions],tblDaily[EntryDate],DATE(2026,3,4),tblDaily[WardCode],"MAE")),"")</f>
        <v/>
      </c>
      <c r="C91" s="39">
        <f>IFERROR(IF(SUMIFS(tblDaily[Discharges],tblDaily[EntryDate],DATE(2026,3,4),tblDaily[WardCode],"MAE")=0,"",SUMIFS(tblDaily[Discharges],tblDaily[EntryDate],DATE(2026,3,4),tblDaily[WardCode],"MAE")),"")</f>
        <v>1</v>
      </c>
      <c r="D91" s="39" t="str">
        <f>IFERROR(IF(SUMIFS(tblDaily[Deaths],tblDaily[EntryDate],DATE(2026,3,4),tblDaily[WardCode],"MAE")=0,"",SUMIFS(tblDaily[Deaths],tblDaily[EntryDate],DATE(2026,3,4),tblDaily[WardCode],"MAE")),"")</f>
        <v/>
      </c>
      <c r="E91" s="39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39" t="str">
        <f>IFERROR(IF(SUMIFS(tblDaily[TransfersIn],tblDaily[EntryDate],DATE(2026,3,4),tblDaily[WardCode],"MAE")=0,"",SUMIFS(tblDaily[TransfersIn],tblDaily[EntryDate],DATE(2026,3,4),tblDaily[WardCode],"MAE")),"")</f>
        <v/>
      </c>
      <c r="G91" s="39" t="str">
        <f>IFERROR(IF(SUMIFS(tblDaily[TransfersOut],tblDaily[EntryDate],DATE(2026,3,4),tblDaily[WardCode],"MAE")=0,"",SUMIFS(tblDaily[TransfersOut],tblDaily[EntryDate],DATE(2026,3,4),tblDaily[WardCode],"MAE")),"")</f>
        <v/>
      </c>
      <c r="H91" s="39" t="str">
        <f>IFERROR(IF(SUMIFS(tblDaily[Remaining],tblDaily[EntryDate],DATE(2026,3,4),tblDaily[WardCode],"MAE")=0,"",SUMIFS(tblDaily[Remaining],tblDaily[EntryDate],DATE(2026,3,4),tblDaily[WardCode],"MAE")),"")</f>
        <v/>
      </c>
      <c r="I91" s="39">
        <f>IFERROR(IF(SUMIFS(tblDaily[Admissions],tblDaily[EntryDate],DATE(2026,3,4),tblDaily[WardCode],"FAE")=0,"",SUMIFS(tblDaily[Admissions],tblDaily[EntryDate],DATE(2026,3,4),tblDaily[WardCode],"FAE")),"")</f>
        <v>1</v>
      </c>
      <c r="J91" s="39" t="str">
        <f>IFERROR(IF(SUMIFS(tblDaily[Discharges],tblDaily[EntryDate],DATE(2026,3,4),tblDaily[WardCode],"FAE")=0,"",SUMIFS(tblDaily[Discharges],tblDaily[EntryDate],DATE(2026,3,4),tblDaily[WardCode],"FAE")),"")</f>
        <v/>
      </c>
      <c r="K91" s="39" t="str">
        <f>IFERROR(IF(SUMIFS(tblDaily[Deaths],tblDaily[EntryDate],DATE(2026,3,4),tblDaily[WardCode],"FAE")=0,"",SUMIFS(tblDaily[Deaths],tblDaily[EntryDate],DATE(2026,3,4),tblDaily[WardCode],"FAE")),"")</f>
        <v/>
      </c>
      <c r="L91" s="39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39" t="str">
        <f>IFERROR(IF(SUMIFS(tblDaily[TransfersIn],tblDaily[EntryDate],DATE(2026,3,4),tblDaily[WardCode],"FAE")=0,"",SUMIFS(tblDaily[TransfersIn],tblDaily[EntryDate],DATE(2026,3,4),tblDaily[WardCode],"FAE")),"")</f>
        <v/>
      </c>
      <c r="N91" s="39">
        <f>IFERROR(IF(SUMIFS(tblDaily[TransfersOut],tblDaily[EntryDate],DATE(2026,3,4),tblDaily[WardCode],"FAE")=0,"",SUMIFS(tblDaily[TransfersOut],tblDaily[EntryDate],DATE(2026,3,4),tblDaily[WardCode],"FAE")),"")</f>
        <v>1</v>
      </c>
      <c r="O91" s="39">
        <f>IFERROR(IF(SUMIFS(tblDaily[Remaining],tblDaily[EntryDate],DATE(2026,3,4),tblDaily[WardCode],"FAE")=0,"",SUMIFS(tblDaily[Remaining],tblDaily[EntryDate],DATE(2026,3,4),tblDaily[WardCode],"FAE")),"")</f>
        <v>1</v>
      </c>
      <c r="P91" s="40">
        <f t="shared" si="2"/>
        <v>1</v>
      </c>
    </row>
    <row r="92" spans="1:16" x14ac:dyDescent="0.25">
      <c r="A92" s="39">
        <v>5</v>
      </c>
      <c r="B92" s="39">
        <f>IFERROR(IF(SUMIFS(tblDaily[Admissions],tblDaily[EntryDate],DATE(2026,3,5),tblDaily[WardCode],"MAE")=0,"",SUMIFS(tblDaily[Admissions],tblDaily[EntryDate],DATE(2026,3,5),tblDaily[WardCode],"MAE")),"")</f>
        <v>1</v>
      </c>
      <c r="C92" s="39" t="str">
        <f>IFERROR(IF(SUMIFS(tblDaily[Discharges],tblDaily[EntryDate],DATE(2026,3,5),tblDaily[WardCode],"MAE")=0,"",SUMIFS(tblDaily[Discharges],tblDaily[EntryDate],DATE(2026,3,5),tblDaily[WardCode],"MAE")),"")</f>
        <v/>
      </c>
      <c r="D92" s="39" t="str">
        <f>IFERROR(IF(SUMIFS(tblDaily[Deaths],tblDaily[EntryDate],DATE(2026,3,5),tblDaily[WardCode],"MAE")=0,"",SUMIFS(tblDaily[Deaths],tblDaily[EntryDate],DATE(2026,3,5),tblDaily[WardCode],"MAE")),"")</f>
        <v/>
      </c>
      <c r="E92" s="39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39" t="str">
        <f>IFERROR(IF(SUMIFS(tblDaily[TransfersIn],tblDaily[EntryDate],DATE(2026,3,5),tblDaily[WardCode],"MAE")=0,"",SUMIFS(tblDaily[TransfersIn],tblDaily[EntryDate],DATE(2026,3,5),tblDaily[WardCode],"MAE")),"")</f>
        <v/>
      </c>
      <c r="G92" s="39">
        <f>IFERROR(IF(SUMIFS(tblDaily[TransfersOut],tblDaily[EntryDate],DATE(2026,3,5),tblDaily[WardCode],"MAE")=0,"",SUMIFS(tblDaily[TransfersOut],tblDaily[EntryDate],DATE(2026,3,5),tblDaily[WardCode],"MAE")),"")</f>
        <v>1</v>
      </c>
      <c r="H92" s="39" t="str">
        <f>IFERROR(IF(SUMIFS(tblDaily[Remaining],tblDaily[EntryDate],DATE(2026,3,5),tblDaily[WardCode],"MAE")=0,"",SUMIFS(tblDaily[Remaining],tblDaily[EntryDate],DATE(2026,3,5),tblDaily[WardCode],"MAE")),"")</f>
        <v/>
      </c>
      <c r="I92" s="39" t="str">
        <f>IFERROR(IF(SUMIFS(tblDaily[Admissions],tblDaily[EntryDate],DATE(2026,3,5),tblDaily[WardCode],"FAE")=0,"",SUMIFS(tblDaily[Admissions],tblDaily[EntryDate],DATE(2026,3,5),tblDaily[WardCode],"FAE")),"")</f>
        <v/>
      </c>
      <c r="J92" s="39" t="str">
        <f>IFERROR(IF(SUMIFS(tblDaily[Discharges],tblDaily[EntryDate],DATE(2026,3,5),tblDaily[WardCode],"FAE")=0,"",SUMIFS(tblDaily[Discharges],tblDaily[EntryDate],DATE(2026,3,5),tblDaily[WardCode],"FAE")),"")</f>
        <v/>
      </c>
      <c r="K92" s="39" t="str">
        <f>IFERROR(IF(SUMIFS(tblDaily[Deaths],tblDaily[EntryDate],DATE(2026,3,5),tblDaily[WardCode],"FAE")=0,"",SUMIFS(tblDaily[Deaths],tblDaily[EntryDate],DATE(2026,3,5),tblDaily[WardCode],"FAE")),"")</f>
        <v/>
      </c>
      <c r="L92" s="39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39" t="str">
        <f>IFERROR(IF(SUMIFS(tblDaily[TransfersIn],tblDaily[EntryDate],DATE(2026,3,5),tblDaily[WardCode],"FAE")=0,"",SUMIFS(tblDaily[TransfersIn],tblDaily[EntryDate],DATE(2026,3,5),tblDaily[WardCode],"FAE")),"")</f>
        <v/>
      </c>
      <c r="N92" s="39" t="str">
        <f>IFERROR(IF(SUMIFS(tblDaily[TransfersOut],tblDaily[EntryDate],DATE(2026,3,5),tblDaily[WardCode],"FAE")=0,"",SUMIFS(tblDaily[TransfersOut],tblDaily[EntryDate],DATE(2026,3,5),tblDaily[WardCode],"FAE")),"")</f>
        <v/>
      </c>
      <c r="O92" s="39">
        <f>IFERROR(IF(SUMIFS(tblDaily[Remaining],tblDaily[EntryDate],DATE(2026,3,5),tblDaily[WardCode],"FAE")=0,"",SUMIFS(tblDaily[Remaining],tblDaily[EntryDate],DATE(2026,3,5),tblDaily[WardCode],"FAE")),"")</f>
        <v>1</v>
      </c>
      <c r="P92" s="40">
        <f t="shared" si="2"/>
        <v>1</v>
      </c>
    </row>
    <row r="93" spans="1:16" x14ac:dyDescent="0.25">
      <c r="A93" s="39">
        <v>6</v>
      </c>
      <c r="B93" s="39">
        <f>IFERROR(IF(SUMIFS(tblDaily[Admissions],tblDaily[EntryDate],DATE(2026,3,6),tblDaily[WardCode],"MAE")=0,"",SUMIFS(tblDaily[Admissions],tblDaily[EntryDate],DATE(2026,3,6),tblDaily[WardCode],"MAE")),"")</f>
        <v>5</v>
      </c>
      <c r="C93" s="39">
        <f>IFERROR(IF(SUMIFS(tblDaily[Discharges],tblDaily[EntryDate],DATE(2026,3,6),tblDaily[WardCode],"MAE")=0,"",SUMIFS(tblDaily[Discharges],tblDaily[EntryDate],DATE(2026,3,6),tblDaily[WardCode],"MAE")),"")</f>
        <v>2</v>
      </c>
      <c r="D93" s="39" t="str">
        <f>IFERROR(IF(SUMIFS(tblDaily[Deaths],tblDaily[EntryDate],DATE(2026,3,6),tblDaily[WardCode],"MAE")=0,"",SUMIFS(tblDaily[Deaths],tblDaily[EntryDate],DATE(2026,3,6),tblDaily[WardCode],"MAE")),"")</f>
        <v/>
      </c>
      <c r="E93" s="39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39" t="str">
        <f>IFERROR(IF(SUMIFS(tblDaily[TransfersIn],tblDaily[EntryDate],DATE(2026,3,6),tblDaily[WardCode],"MAE")=0,"",SUMIFS(tblDaily[TransfersIn],tblDaily[EntryDate],DATE(2026,3,6),tblDaily[WardCode],"MAE")),"")</f>
        <v/>
      </c>
      <c r="G93" s="39" t="str">
        <f>IFERROR(IF(SUMIFS(tblDaily[TransfersOut],tblDaily[EntryDate],DATE(2026,3,6),tblDaily[WardCode],"MAE")=0,"",SUMIFS(tblDaily[TransfersOut],tblDaily[EntryDate],DATE(2026,3,6),tblDaily[WardCode],"MAE")),"")</f>
        <v/>
      </c>
      <c r="H93" s="39">
        <f>IFERROR(IF(SUMIFS(tblDaily[Remaining],tblDaily[EntryDate],DATE(2026,3,6),tblDaily[WardCode],"MAE")=0,"",SUMIFS(tblDaily[Remaining],tblDaily[EntryDate],DATE(2026,3,6),tblDaily[WardCode],"MAE")),"")</f>
        <v>3</v>
      </c>
      <c r="I93" s="39">
        <f>IFERROR(IF(SUMIFS(tblDaily[Admissions],tblDaily[EntryDate],DATE(2026,3,6),tblDaily[WardCode],"FAE")=0,"",SUMIFS(tblDaily[Admissions],tblDaily[EntryDate],DATE(2026,3,6),tblDaily[WardCode],"FAE")),"")</f>
        <v>1</v>
      </c>
      <c r="J93" s="39" t="str">
        <f>IFERROR(IF(SUMIFS(tblDaily[Discharges],tblDaily[EntryDate],DATE(2026,3,6),tblDaily[WardCode],"FAE")=0,"",SUMIFS(tblDaily[Discharges],tblDaily[EntryDate],DATE(2026,3,6),tblDaily[WardCode],"FAE")),"")</f>
        <v/>
      </c>
      <c r="K93" s="39" t="str">
        <f>IFERROR(IF(SUMIFS(tblDaily[Deaths],tblDaily[EntryDate],DATE(2026,3,6),tblDaily[WardCode],"FAE")=0,"",SUMIFS(tblDaily[Deaths],tblDaily[EntryDate],DATE(2026,3,6),tblDaily[WardCode],"FAE")),"")</f>
        <v/>
      </c>
      <c r="L93" s="39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39" t="str">
        <f>IFERROR(IF(SUMIFS(tblDaily[TransfersIn],tblDaily[EntryDate],DATE(2026,3,6),tblDaily[WardCode],"FAE")=0,"",SUMIFS(tblDaily[TransfersIn],tblDaily[EntryDate],DATE(2026,3,6),tblDaily[WardCode],"FAE")),"")</f>
        <v/>
      </c>
      <c r="N93" s="39">
        <f>IFERROR(IF(SUMIFS(tblDaily[TransfersOut],tblDaily[EntryDate],DATE(2026,3,6),tblDaily[WardCode],"FAE")=0,"",SUMIFS(tblDaily[TransfersOut],tblDaily[EntryDate],DATE(2026,3,6),tblDaily[WardCode],"FAE")),"")</f>
        <v>1</v>
      </c>
      <c r="O93" s="39">
        <f>IFERROR(IF(SUMIFS(tblDaily[Remaining],tblDaily[EntryDate],DATE(2026,3,6),tblDaily[WardCode],"FAE")=0,"",SUMIFS(tblDaily[Remaining],tblDaily[EntryDate],DATE(2026,3,6),tblDaily[WardCode],"FAE")),"")</f>
        <v>1</v>
      </c>
      <c r="P93" s="40">
        <f t="shared" si="2"/>
        <v>4</v>
      </c>
    </row>
    <row r="94" spans="1:16" x14ac:dyDescent="0.25">
      <c r="A94" s="39">
        <v>7</v>
      </c>
      <c r="B94" s="39">
        <f>IFERROR(IF(SUMIFS(tblDaily[Admissions],tblDaily[EntryDate],DATE(2026,3,7),tblDaily[WardCode],"MAE")=0,"",SUMIFS(tblDaily[Admissions],tblDaily[EntryDate],DATE(2026,3,7),tblDaily[WardCode],"MAE")),"")</f>
        <v>2</v>
      </c>
      <c r="C94" s="39">
        <f>IFERROR(IF(SUMIFS(tblDaily[Discharges],tblDaily[EntryDate],DATE(2026,3,7),tblDaily[WardCode],"MAE")=0,"",SUMIFS(tblDaily[Discharges],tblDaily[EntryDate],DATE(2026,3,7),tblDaily[WardCode],"MAE")),"")</f>
        <v>2</v>
      </c>
      <c r="D94" s="39" t="str">
        <f>IFERROR(IF(SUMIFS(tblDaily[Deaths],tblDaily[EntryDate],DATE(2026,3,7),tblDaily[WardCode],"MAE")=0,"",SUMIFS(tblDaily[Deaths],tblDaily[EntryDate],DATE(2026,3,7),tblDaily[WardCode],"MAE")),"")</f>
        <v/>
      </c>
      <c r="E94" s="39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39" t="str">
        <f>IFERROR(IF(SUMIFS(tblDaily[TransfersIn],tblDaily[EntryDate],DATE(2026,3,7),tblDaily[WardCode],"MAE")=0,"",SUMIFS(tblDaily[TransfersIn],tblDaily[EntryDate],DATE(2026,3,7),tblDaily[WardCode],"MAE")),"")</f>
        <v/>
      </c>
      <c r="G94" s="39">
        <f>IFERROR(IF(SUMIFS(tblDaily[TransfersOut],tblDaily[EntryDate],DATE(2026,3,7),tblDaily[WardCode],"MAE")=0,"",SUMIFS(tblDaily[TransfersOut],tblDaily[EntryDate],DATE(2026,3,7),tblDaily[WardCode],"MAE")),"")</f>
        <v>1</v>
      </c>
      <c r="H94" s="39">
        <f>IFERROR(IF(SUMIFS(tblDaily[Remaining],tblDaily[EntryDate],DATE(2026,3,7),tblDaily[WardCode],"MAE")=0,"",SUMIFS(tblDaily[Remaining],tblDaily[EntryDate],DATE(2026,3,7),tblDaily[WardCode],"MAE")),"")</f>
        <v>2</v>
      </c>
      <c r="I94" s="39">
        <f>IFERROR(IF(SUMIFS(tblDaily[Admissions],tblDaily[EntryDate],DATE(2026,3,7),tblDaily[WardCode],"FAE")=0,"",SUMIFS(tblDaily[Admissions],tblDaily[EntryDate],DATE(2026,3,7),tblDaily[WardCode],"FAE")),"")</f>
        <v>1</v>
      </c>
      <c r="J94" s="39" t="str">
        <f>IFERROR(IF(SUMIFS(tblDaily[Discharges],tblDaily[EntryDate],DATE(2026,3,7),tblDaily[WardCode],"FAE")=0,"",SUMIFS(tblDaily[Discharges],tblDaily[EntryDate],DATE(2026,3,7),tblDaily[WardCode],"FAE")),"")</f>
        <v/>
      </c>
      <c r="K94" s="39" t="str">
        <f>IFERROR(IF(SUMIFS(tblDaily[Deaths],tblDaily[EntryDate],DATE(2026,3,7),tblDaily[WardCode],"FAE")=0,"",SUMIFS(tblDaily[Deaths],tblDaily[EntryDate],DATE(2026,3,7),tblDaily[WardCode],"FAE")),"")</f>
        <v/>
      </c>
      <c r="L94" s="39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39" t="str">
        <f>IFERROR(IF(SUMIFS(tblDaily[TransfersIn],tblDaily[EntryDate],DATE(2026,3,7),tblDaily[WardCode],"FAE")=0,"",SUMIFS(tblDaily[TransfersIn],tblDaily[EntryDate],DATE(2026,3,7),tblDaily[WardCode],"FAE")),"")</f>
        <v/>
      </c>
      <c r="N94" s="39" t="str">
        <f>IFERROR(IF(SUMIFS(tblDaily[TransfersOut],tblDaily[EntryDate],DATE(2026,3,7),tblDaily[WardCode],"FAE")=0,"",SUMIFS(tblDaily[TransfersOut],tblDaily[EntryDate],DATE(2026,3,7),tblDaily[WardCode],"FAE")),"")</f>
        <v/>
      </c>
      <c r="O94" s="39">
        <f>IFERROR(IF(SUMIFS(tblDaily[Remaining],tblDaily[EntryDate],DATE(2026,3,7),tblDaily[WardCode],"FAE")=0,"",SUMIFS(tblDaily[Remaining],tblDaily[EntryDate],DATE(2026,3,7),tblDaily[WardCode],"FAE")),"")</f>
        <v>2</v>
      </c>
      <c r="P94" s="40">
        <f t="shared" si="2"/>
        <v>4</v>
      </c>
    </row>
    <row r="95" spans="1:16" x14ac:dyDescent="0.25">
      <c r="A95" s="39">
        <v>8</v>
      </c>
      <c r="B95" s="39" t="str">
        <f>IFERROR(IF(SUMIFS(tblDaily[Admissions],tblDaily[EntryDate],DATE(2026,3,8),tblDaily[WardCode],"MAE")=0,"",SUMIFS(tblDaily[Admissions],tblDaily[EntryDate],DATE(2026,3,8),tblDaily[WardCode],"MAE")),"")</f>
        <v/>
      </c>
      <c r="C95" s="39" t="str">
        <f>IFERROR(IF(SUMIFS(tblDaily[Discharges],tblDaily[EntryDate],DATE(2026,3,8),tblDaily[WardCode],"MAE")=0,"",SUMIFS(tblDaily[Discharges],tblDaily[EntryDate],DATE(2026,3,8),tblDaily[WardCode],"MAE")),"")</f>
        <v/>
      </c>
      <c r="D95" s="39" t="str">
        <f>IFERROR(IF(SUMIFS(tblDaily[Deaths],tblDaily[EntryDate],DATE(2026,3,8),tblDaily[WardCode],"MAE")=0,"",SUMIFS(tblDaily[Deaths],tblDaily[EntryDate],DATE(2026,3,8),tblDaily[WardCode],"MAE")),"")</f>
        <v/>
      </c>
      <c r="E95" s="39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39" t="str">
        <f>IFERROR(IF(SUMIFS(tblDaily[TransfersIn],tblDaily[EntryDate],DATE(2026,3,8),tblDaily[WardCode],"MAE")=0,"",SUMIFS(tblDaily[TransfersIn],tblDaily[EntryDate],DATE(2026,3,8),tblDaily[WardCode],"MAE")),"")</f>
        <v/>
      </c>
      <c r="G95" s="39">
        <f>IFERROR(IF(SUMIFS(tblDaily[TransfersOut],tblDaily[EntryDate],DATE(2026,3,8),tblDaily[WardCode],"MAE")=0,"",SUMIFS(tblDaily[TransfersOut],tblDaily[EntryDate],DATE(2026,3,8),tblDaily[WardCode],"MAE")),"")</f>
        <v>1</v>
      </c>
      <c r="H95" s="39">
        <f>IFERROR(IF(SUMIFS(tblDaily[Remaining],tblDaily[EntryDate],DATE(2026,3,8),tblDaily[WardCode],"MAE")=0,"",SUMIFS(tblDaily[Remaining],tblDaily[EntryDate],DATE(2026,3,8),tblDaily[WardCode],"MAE")),"")</f>
        <v>1</v>
      </c>
      <c r="I95" s="39">
        <f>IFERROR(IF(SUMIFS(tblDaily[Admissions],tblDaily[EntryDate],DATE(2026,3,8),tblDaily[WardCode],"FAE")=0,"",SUMIFS(tblDaily[Admissions],tblDaily[EntryDate],DATE(2026,3,8),tblDaily[WardCode],"FAE")),"")</f>
        <v>1</v>
      </c>
      <c r="J95" s="39" t="str">
        <f>IFERROR(IF(SUMIFS(tblDaily[Discharges],tblDaily[EntryDate],DATE(2026,3,8),tblDaily[WardCode],"FAE")=0,"",SUMIFS(tblDaily[Discharges],tblDaily[EntryDate],DATE(2026,3,8),tblDaily[WardCode],"FAE")),"")</f>
        <v/>
      </c>
      <c r="K95" s="39" t="str">
        <f>IFERROR(IF(SUMIFS(tblDaily[Deaths],tblDaily[EntryDate],DATE(2026,3,8),tblDaily[WardCode],"FAE")=0,"",SUMIFS(tblDaily[Deaths],tblDaily[EntryDate],DATE(2026,3,8),tblDaily[WardCode],"FAE")),"")</f>
        <v/>
      </c>
      <c r="L95" s="39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39" t="str">
        <f>IFERROR(IF(SUMIFS(tblDaily[TransfersIn],tblDaily[EntryDate],DATE(2026,3,8),tblDaily[WardCode],"FAE")=0,"",SUMIFS(tblDaily[TransfersIn],tblDaily[EntryDate],DATE(2026,3,8),tblDaily[WardCode],"FAE")),"")</f>
        <v/>
      </c>
      <c r="N95" s="39" t="str">
        <f>IFERROR(IF(SUMIFS(tblDaily[TransfersOut],tblDaily[EntryDate],DATE(2026,3,8),tblDaily[WardCode],"FAE")=0,"",SUMIFS(tblDaily[TransfersOut],tblDaily[EntryDate],DATE(2026,3,8),tblDaily[WardCode],"FAE")),"")</f>
        <v/>
      </c>
      <c r="O95" s="39">
        <f>IFERROR(IF(SUMIFS(tblDaily[Remaining],tblDaily[EntryDate],DATE(2026,3,8),tblDaily[WardCode],"FAE")=0,"",SUMIFS(tblDaily[Remaining],tblDaily[EntryDate],DATE(2026,3,8),tblDaily[WardCode],"FAE")),"")</f>
        <v>3</v>
      </c>
      <c r="P95" s="40">
        <f t="shared" si="2"/>
        <v>4</v>
      </c>
    </row>
    <row r="96" spans="1:16" x14ac:dyDescent="0.25">
      <c r="A96" s="39">
        <v>9</v>
      </c>
      <c r="B96" s="39">
        <f>IFERROR(IF(SUMIFS(tblDaily[Admissions],tblDaily[EntryDate],DATE(2026,3,9),tblDaily[WardCode],"MAE")=0,"",SUMIFS(tblDaily[Admissions],tblDaily[EntryDate],DATE(2026,3,9),tblDaily[WardCode],"MAE")),"")</f>
        <v>1</v>
      </c>
      <c r="C96" s="39">
        <f>IFERROR(IF(SUMIFS(tblDaily[Discharges],tblDaily[EntryDate],DATE(2026,3,9),tblDaily[WardCode],"MAE")=0,"",SUMIFS(tblDaily[Discharges],tblDaily[EntryDate],DATE(2026,3,9),tblDaily[WardCode],"MAE")),"")</f>
        <v>1</v>
      </c>
      <c r="D96" s="39" t="str">
        <f>IFERROR(IF(SUMIFS(tblDaily[Deaths],tblDaily[EntryDate],DATE(2026,3,9),tblDaily[WardCode],"MAE")=0,"",SUMIFS(tblDaily[Deaths],tblDaily[EntryDate],DATE(2026,3,9),tblDaily[WardCode],"MAE")),"")</f>
        <v/>
      </c>
      <c r="E96" s="39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39" t="str">
        <f>IFERROR(IF(SUMIFS(tblDaily[TransfersIn],tblDaily[EntryDate],DATE(2026,3,9),tblDaily[WardCode],"MAE")=0,"",SUMIFS(tblDaily[TransfersIn],tblDaily[EntryDate],DATE(2026,3,9),tblDaily[WardCode],"MAE")),"")</f>
        <v/>
      </c>
      <c r="G96" s="39">
        <f>IFERROR(IF(SUMIFS(tblDaily[TransfersOut],tblDaily[EntryDate],DATE(2026,3,9),tblDaily[WardCode],"MAE")=0,"",SUMIFS(tblDaily[TransfersOut],tblDaily[EntryDate],DATE(2026,3,9),tblDaily[WardCode],"MAE")),"")</f>
        <v>1</v>
      </c>
      <c r="H96" s="39" t="str">
        <f>IFERROR(IF(SUMIFS(tblDaily[Remaining],tblDaily[EntryDate],DATE(2026,3,9),tblDaily[WardCode],"MAE")=0,"",SUMIFS(tblDaily[Remaining],tblDaily[EntryDate],DATE(2026,3,9),tblDaily[WardCode],"MAE")),"")</f>
        <v/>
      </c>
      <c r="I96" s="39" t="str">
        <f>IFERROR(IF(SUMIFS(tblDaily[Admissions],tblDaily[EntryDate],DATE(2026,3,9),tblDaily[WardCode],"FAE")=0,"",SUMIFS(tblDaily[Admissions],tblDaily[EntryDate],DATE(2026,3,9),tblDaily[WardCode],"FAE")),"")</f>
        <v/>
      </c>
      <c r="J96" s="39" t="str">
        <f>IFERROR(IF(SUMIFS(tblDaily[Discharges],tblDaily[EntryDate],DATE(2026,3,9),tblDaily[WardCode],"FAE")=0,"",SUMIFS(tblDaily[Discharges],tblDaily[EntryDate],DATE(2026,3,9),tblDaily[WardCode],"FAE")),"")</f>
        <v/>
      </c>
      <c r="K96" s="39" t="str">
        <f>IFERROR(IF(SUMIFS(tblDaily[Deaths],tblDaily[EntryDate],DATE(2026,3,9),tblDaily[WardCode],"FAE")=0,"",SUMIFS(tblDaily[Deaths],tblDaily[EntryDate],DATE(2026,3,9),tblDaily[WardCode],"FAE")),"")</f>
        <v/>
      </c>
      <c r="L96" s="39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39" t="str">
        <f>IFERROR(IF(SUMIFS(tblDaily[TransfersIn],tblDaily[EntryDate],DATE(2026,3,9),tblDaily[WardCode],"FAE")=0,"",SUMIFS(tblDaily[TransfersIn],tblDaily[EntryDate],DATE(2026,3,9),tblDaily[WardCode],"FAE")),"")</f>
        <v/>
      </c>
      <c r="N96" s="39">
        <f>IFERROR(IF(SUMIFS(tblDaily[TransfersOut],tblDaily[EntryDate],DATE(2026,3,9),tblDaily[WardCode],"FAE")=0,"",SUMIFS(tblDaily[TransfersOut],tblDaily[EntryDate],DATE(2026,3,9),tblDaily[WardCode],"FAE")),"")</f>
        <v>1</v>
      </c>
      <c r="O96" s="39">
        <f>IFERROR(IF(SUMIFS(tblDaily[Remaining],tblDaily[EntryDate],DATE(2026,3,9),tblDaily[WardCode],"FAE")=0,"",SUMIFS(tblDaily[Remaining],tblDaily[EntryDate],DATE(2026,3,9),tblDaily[WardCode],"FAE")),"")</f>
        <v>2</v>
      </c>
      <c r="P96" s="40">
        <f t="shared" si="2"/>
        <v>2</v>
      </c>
    </row>
    <row r="97" spans="1:16" x14ac:dyDescent="0.25">
      <c r="A97" s="39">
        <v>10</v>
      </c>
      <c r="B97" s="39">
        <f>IFERROR(IF(SUMIFS(tblDaily[Admissions],tblDaily[EntryDate],DATE(2026,3,10),tblDaily[WardCode],"MAE")=0,"",SUMIFS(tblDaily[Admissions],tblDaily[EntryDate],DATE(2026,3,10),tblDaily[WardCode],"MAE")),"")</f>
        <v>2</v>
      </c>
      <c r="C97" s="39" t="str">
        <f>IFERROR(IF(SUMIFS(tblDaily[Discharges],tblDaily[EntryDate],DATE(2026,3,10),tblDaily[WardCode],"MAE")=0,"",SUMIFS(tblDaily[Discharges],tblDaily[EntryDate],DATE(2026,3,10),tblDaily[WardCode],"MAE")),"")</f>
        <v/>
      </c>
      <c r="D97" s="39" t="str">
        <f>IFERROR(IF(SUMIFS(tblDaily[Deaths],tblDaily[EntryDate],DATE(2026,3,10),tblDaily[WardCode],"MAE")=0,"",SUMIFS(tblDaily[Deaths],tblDaily[EntryDate],DATE(2026,3,10),tblDaily[WardCode],"MAE")),"")</f>
        <v/>
      </c>
      <c r="E97" s="39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39" t="str">
        <f>IFERROR(IF(SUMIFS(tblDaily[TransfersIn],tblDaily[EntryDate],DATE(2026,3,10),tblDaily[WardCode],"MAE")=0,"",SUMIFS(tblDaily[TransfersIn],tblDaily[EntryDate],DATE(2026,3,10),tblDaily[WardCode],"MAE")),"")</f>
        <v/>
      </c>
      <c r="G97" s="39">
        <f>IFERROR(IF(SUMIFS(tblDaily[TransfersOut],tblDaily[EntryDate],DATE(2026,3,10),tblDaily[WardCode],"MAE")=0,"",SUMIFS(tblDaily[TransfersOut],tblDaily[EntryDate],DATE(2026,3,10),tblDaily[WardCode],"MAE")),"")</f>
        <v>1</v>
      </c>
      <c r="H97" s="39">
        <f>IFERROR(IF(SUMIFS(tblDaily[Remaining],tblDaily[EntryDate],DATE(2026,3,10),tblDaily[WardCode],"MAE")=0,"",SUMIFS(tblDaily[Remaining],tblDaily[EntryDate],DATE(2026,3,10),tblDaily[WardCode],"MAE")),"")</f>
        <v>1</v>
      </c>
      <c r="I97" s="39">
        <f>IFERROR(IF(SUMIFS(tblDaily[Admissions],tblDaily[EntryDate],DATE(2026,3,10),tblDaily[WardCode],"FAE")=0,"",SUMIFS(tblDaily[Admissions],tblDaily[EntryDate],DATE(2026,3,10),tblDaily[WardCode],"FAE")),"")</f>
        <v>2</v>
      </c>
      <c r="J97" s="39" t="str">
        <f>IFERROR(IF(SUMIFS(tblDaily[Discharges],tblDaily[EntryDate],DATE(2026,3,10),tblDaily[WardCode],"FAE")=0,"",SUMIFS(tblDaily[Discharges],tblDaily[EntryDate],DATE(2026,3,10),tblDaily[WardCode],"FAE")),"")</f>
        <v/>
      </c>
      <c r="K97" s="39" t="str">
        <f>IFERROR(IF(SUMIFS(tblDaily[Deaths],tblDaily[EntryDate],DATE(2026,3,10),tblDaily[WardCode],"FAE")=0,"",SUMIFS(tblDaily[Deaths],tblDaily[EntryDate],DATE(2026,3,10),tblDaily[WardCode],"FAE")),"")</f>
        <v/>
      </c>
      <c r="L97" s="39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39" t="str">
        <f>IFERROR(IF(SUMIFS(tblDaily[TransfersIn],tblDaily[EntryDate],DATE(2026,3,10),tblDaily[WardCode],"FAE")=0,"",SUMIFS(tblDaily[TransfersIn],tblDaily[EntryDate],DATE(2026,3,10),tblDaily[WardCode],"FAE")),"")</f>
        <v/>
      </c>
      <c r="N97" s="39">
        <f>IFERROR(IF(SUMIFS(tblDaily[TransfersOut],tblDaily[EntryDate],DATE(2026,3,10),tblDaily[WardCode],"FAE")=0,"",SUMIFS(tblDaily[TransfersOut],tblDaily[EntryDate],DATE(2026,3,10),tblDaily[WardCode],"FAE")),"")</f>
        <v>1</v>
      </c>
      <c r="O97" s="39">
        <f>IFERROR(IF(SUMIFS(tblDaily[Remaining],tblDaily[EntryDate],DATE(2026,3,10),tblDaily[WardCode],"FAE")=0,"",SUMIFS(tblDaily[Remaining],tblDaily[EntryDate],DATE(2026,3,10),tblDaily[WardCode],"FAE")),"")</f>
        <v>3</v>
      </c>
      <c r="P97" s="40">
        <f t="shared" si="2"/>
        <v>4</v>
      </c>
    </row>
    <row r="98" spans="1:16" x14ac:dyDescent="0.25">
      <c r="A98" s="39">
        <v>11</v>
      </c>
      <c r="B98" s="39">
        <f>IFERROR(IF(SUMIFS(tblDaily[Admissions],tblDaily[EntryDate],DATE(2026,3,11),tblDaily[WardCode],"MAE")=0,"",SUMIFS(tblDaily[Admissions],tblDaily[EntryDate],DATE(2026,3,11),tblDaily[WardCode],"MAE")),"")</f>
        <v>3</v>
      </c>
      <c r="C98" s="39">
        <f>IFERROR(IF(SUMIFS(tblDaily[Discharges],tblDaily[EntryDate],DATE(2026,3,11),tblDaily[WardCode],"MAE")=0,"",SUMIFS(tblDaily[Discharges],tblDaily[EntryDate],DATE(2026,3,11),tblDaily[WardCode],"MAE")),"")</f>
        <v>1</v>
      </c>
      <c r="D98" s="39" t="str">
        <f>IFERROR(IF(SUMIFS(tblDaily[Deaths],tblDaily[EntryDate],DATE(2026,3,11),tblDaily[WardCode],"MAE")=0,"",SUMIFS(tblDaily[Deaths],tblDaily[EntryDate],DATE(2026,3,11),tblDaily[WardCode],"MAE")),"")</f>
        <v/>
      </c>
      <c r="E98" s="39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39" t="str">
        <f>IFERROR(IF(SUMIFS(tblDaily[TransfersIn],tblDaily[EntryDate],DATE(2026,3,11),tblDaily[WardCode],"MAE")=0,"",SUMIFS(tblDaily[TransfersIn],tblDaily[EntryDate],DATE(2026,3,11),tblDaily[WardCode],"MAE")),"")</f>
        <v/>
      </c>
      <c r="G98" s="39" t="str">
        <f>IFERROR(IF(SUMIFS(tblDaily[TransfersOut],tblDaily[EntryDate],DATE(2026,3,11),tblDaily[WardCode],"MAE")=0,"",SUMIFS(tblDaily[TransfersOut],tblDaily[EntryDate],DATE(2026,3,11),tblDaily[WardCode],"MAE")),"")</f>
        <v/>
      </c>
      <c r="H98" s="39">
        <f>IFERROR(IF(SUMIFS(tblDaily[Remaining],tblDaily[EntryDate],DATE(2026,3,11),tblDaily[WardCode],"MAE")=0,"",SUMIFS(tblDaily[Remaining],tblDaily[EntryDate],DATE(2026,3,11),tblDaily[WardCode],"MAE")),"")</f>
        <v>3</v>
      </c>
      <c r="I98" s="39">
        <f>IFERROR(IF(SUMIFS(tblDaily[Admissions],tblDaily[EntryDate],DATE(2026,3,11),tblDaily[WardCode],"FAE")=0,"",SUMIFS(tblDaily[Admissions],tblDaily[EntryDate],DATE(2026,3,11),tblDaily[WardCode],"FAE")),"")</f>
        <v>1</v>
      </c>
      <c r="J98" s="39">
        <f>IFERROR(IF(SUMIFS(tblDaily[Discharges],tblDaily[EntryDate],DATE(2026,3,11),tblDaily[WardCode],"FAE")=0,"",SUMIFS(tblDaily[Discharges],tblDaily[EntryDate],DATE(2026,3,11),tblDaily[WardCode],"FAE")),"")</f>
        <v>2</v>
      </c>
      <c r="K98" s="39" t="str">
        <f>IFERROR(IF(SUMIFS(tblDaily[Deaths],tblDaily[EntryDate],DATE(2026,3,11),tblDaily[WardCode],"FAE")=0,"",SUMIFS(tblDaily[Deaths],tblDaily[EntryDate],DATE(2026,3,11),tblDaily[WardCode],"FAE")),"")</f>
        <v/>
      </c>
      <c r="L98" s="39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39" t="str">
        <f>IFERROR(IF(SUMIFS(tblDaily[TransfersIn],tblDaily[EntryDate],DATE(2026,3,11),tblDaily[WardCode],"FAE")=0,"",SUMIFS(tblDaily[TransfersIn],tblDaily[EntryDate],DATE(2026,3,11),tblDaily[WardCode],"FAE")),"")</f>
        <v/>
      </c>
      <c r="N98" s="39">
        <f>IFERROR(IF(SUMIFS(tblDaily[TransfersOut],tblDaily[EntryDate],DATE(2026,3,11),tblDaily[WardCode],"FAE")=0,"",SUMIFS(tblDaily[TransfersOut],tblDaily[EntryDate],DATE(2026,3,11),tblDaily[WardCode],"FAE")),"")</f>
        <v>1</v>
      </c>
      <c r="O98" s="39">
        <f>IFERROR(IF(SUMIFS(tblDaily[Remaining],tblDaily[EntryDate],DATE(2026,3,11),tblDaily[WardCode],"FAE")=0,"",SUMIFS(tblDaily[Remaining],tblDaily[EntryDate],DATE(2026,3,11),tblDaily[WardCode],"FAE")),"")</f>
        <v>1</v>
      </c>
      <c r="P98" s="40">
        <f t="shared" si="2"/>
        <v>4</v>
      </c>
    </row>
    <row r="99" spans="1:16" x14ac:dyDescent="0.25">
      <c r="A99" s="39">
        <v>12</v>
      </c>
      <c r="B99" s="39">
        <f>IFERROR(IF(SUMIFS(tblDaily[Admissions],tblDaily[EntryDate],DATE(2026,3,12),tblDaily[WardCode],"MAE")=0,"",SUMIFS(tblDaily[Admissions],tblDaily[EntryDate],DATE(2026,3,12),tblDaily[WardCode],"MAE")),"")</f>
        <v>3</v>
      </c>
      <c r="C99" s="39">
        <f>IFERROR(IF(SUMIFS(tblDaily[Discharges],tblDaily[EntryDate],DATE(2026,3,12),tblDaily[WardCode],"MAE")=0,"",SUMIFS(tblDaily[Discharges],tblDaily[EntryDate],DATE(2026,3,12),tblDaily[WardCode],"MAE")),"")</f>
        <v>1</v>
      </c>
      <c r="D99" s="39" t="str">
        <f>IFERROR(IF(SUMIFS(tblDaily[Deaths],tblDaily[EntryDate],DATE(2026,3,12),tblDaily[WardCode],"MAE")=0,"",SUMIFS(tblDaily[Deaths],tblDaily[EntryDate],DATE(2026,3,12),tblDaily[WardCode],"MAE")),"")</f>
        <v/>
      </c>
      <c r="E99" s="39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39" t="str">
        <f>IFERROR(IF(SUMIFS(tblDaily[TransfersIn],tblDaily[EntryDate],DATE(2026,3,12),tblDaily[WardCode],"MAE")=0,"",SUMIFS(tblDaily[TransfersIn],tblDaily[EntryDate],DATE(2026,3,12),tblDaily[WardCode],"MAE")),"")</f>
        <v/>
      </c>
      <c r="G99" s="39">
        <f>IFERROR(IF(SUMIFS(tblDaily[TransfersOut],tblDaily[EntryDate],DATE(2026,3,12),tblDaily[WardCode],"MAE")=0,"",SUMIFS(tblDaily[TransfersOut],tblDaily[EntryDate],DATE(2026,3,12),tblDaily[WardCode],"MAE")),"")</f>
        <v>3</v>
      </c>
      <c r="H99" s="39">
        <f>IFERROR(IF(SUMIFS(tblDaily[Remaining],tblDaily[EntryDate],DATE(2026,3,12),tblDaily[WardCode],"MAE")=0,"",SUMIFS(tblDaily[Remaining],tblDaily[EntryDate],DATE(2026,3,12),tblDaily[WardCode],"MAE")),"")</f>
        <v>2</v>
      </c>
      <c r="I99" s="39">
        <f>IFERROR(IF(SUMIFS(tblDaily[Admissions],tblDaily[EntryDate],DATE(2026,3,12),tblDaily[WardCode],"FAE")=0,"",SUMIFS(tblDaily[Admissions],tblDaily[EntryDate],DATE(2026,3,12),tblDaily[WardCode],"FAE")),"")</f>
        <v>1</v>
      </c>
      <c r="J99" s="39" t="str">
        <f>IFERROR(IF(SUMIFS(tblDaily[Discharges],tblDaily[EntryDate],DATE(2026,3,12),tblDaily[WardCode],"FAE")=0,"",SUMIFS(tblDaily[Discharges],tblDaily[EntryDate],DATE(2026,3,12),tblDaily[WardCode],"FAE")),"")</f>
        <v/>
      </c>
      <c r="K99" s="39" t="str">
        <f>IFERROR(IF(SUMIFS(tblDaily[Deaths],tblDaily[EntryDate],DATE(2026,3,12),tblDaily[WardCode],"FAE")=0,"",SUMIFS(tblDaily[Deaths],tblDaily[EntryDate],DATE(2026,3,12),tblDaily[WardCode],"FAE")),"")</f>
        <v/>
      </c>
      <c r="L99" s="39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39" t="str">
        <f>IFERROR(IF(SUMIFS(tblDaily[TransfersIn],tblDaily[EntryDate],DATE(2026,3,12),tblDaily[WardCode],"FAE")=0,"",SUMIFS(tblDaily[TransfersIn],tblDaily[EntryDate],DATE(2026,3,12),tblDaily[WardCode],"FAE")),"")</f>
        <v/>
      </c>
      <c r="N99" s="39" t="str">
        <f>IFERROR(IF(SUMIFS(tblDaily[TransfersOut],tblDaily[EntryDate],DATE(2026,3,12),tblDaily[WardCode],"FAE")=0,"",SUMIFS(tblDaily[TransfersOut],tblDaily[EntryDate],DATE(2026,3,12),tblDaily[WardCode],"FAE")),"")</f>
        <v/>
      </c>
      <c r="O99" s="39">
        <f>IFERROR(IF(SUMIFS(tblDaily[Remaining],tblDaily[EntryDate],DATE(2026,3,12),tblDaily[WardCode],"FAE")=0,"",SUMIFS(tblDaily[Remaining],tblDaily[EntryDate],DATE(2026,3,12),tblDaily[WardCode],"FAE")),"")</f>
        <v>2</v>
      </c>
      <c r="P99" s="40">
        <f t="shared" si="2"/>
        <v>4</v>
      </c>
    </row>
    <row r="100" spans="1:16" x14ac:dyDescent="0.25">
      <c r="A100" s="39">
        <v>13</v>
      </c>
      <c r="B100" s="39">
        <f>IFERROR(IF(SUMIFS(tblDaily[Admissions],tblDaily[EntryDate],DATE(2026,3,13),tblDaily[WardCode],"MAE")=0,"",SUMIFS(tblDaily[Admissions],tblDaily[EntryDate],DATE(2026,3,13),tblDaily[WardCode],"MAE")),"")</f>
        <v>2</v>
      </c>
      <c r="C100" s="39">
        <f>IFERROR(IF(SUMIFS(tblDaily[Discharges],tblDaily[EntryDate],DATE(2026,3,13),tblDaily[WardCode],"MAE")=0,"",SUMIFS(tblDaily[Discharges],tblDaily[EntryDate],DATE(2026,3,13),tblDaily[WardCode],"MAE")),"")</f>
        <v>1</v>
      </c>
      <c r="D100" s="39" t="str">
        <f>IFERROR(IF(SUMIFS(tblDaily[Deaths],tblDaily[EntryDate],DATE(2026,3,13),tblDaily[WardCode],"MAE")=0,"",SUMIFS(tblDaily[Deaths],tblDaily[EntryDate],DATE(2026,3,13),tblDaily[WardCode],"MAE")),"")</f>
        <v/>
      </c>
      <c r="E100" s="39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39" t="str">
        <f>IFERROR(IF(SUMIFS(tblDaily[TransfersIn],tblDaily[EntryDate],DATE(2026,3,13),tblDaily[WardCode],"MAE")=0,"",SUMIFS(tblDaily[TransfersIn],tblDaily[EntryDate],DATE(2026,3,13),tblDaily[WardCode],"MAE")),"")</f>
        <v/>
      </c>
      <c r="G100" s="39">
        <f>IFERROR(IF(SUMIFS(tblDaily[TransfersOut],tblDaily[EntryDate],DATE(2026,3,13),tblDaily[WardCode],"MAE")=0,"",SUMIFS(tblDaily[TransfersOut],tblDaily[EntryDate],DATE(2026,3,13),tblDaily[WardCode],"MAE")),"")</f>
        <v>1</v>
      </c>
      <c r="H100" s="39">
        <f>IFERROR(IF(SUMIFS(tblDaily[Remaining],tblDaily[EntryDate],DATE(2026,3,13),tblDaily[WardCode],"MAE")=0,"",SUMIFS(tblDaily[Remaining],tblDaily[EntryDate],DATE(2026,3,13),tblDaily[WardCode],"MAE")),"")</f>
        <v>2</v>
      </c>
      <c r="I100" s="39">
        <f>IFERROR(IF(SUMIFS(tblDaily[Admissions],tblDaily[EntryDate],DATE(2026,3,13),tblDaily[WardCode],"FAE")=0,"",SUMIFS(tblDaily[Admissions],tblDaily[EntryDate],DATE(2026,3,13),tblDaily[WardCode],"FAE")),"")</f>
        <v>2</v>
      </c>
      <c r="J100" s="39" t="str">
        <f>IFERROR(IF(SUMIFS(tblDaily[Discharges],tblDaily[EntryDate],DATE(2026,3,13),tblDaily[WardCode],"FAE")=0,"",SUMIFS(tblDaily[Discharges],tblDaily[EntryDate],DATE(2026,3,13),tblDaily[WardCode],"FAE")),"")</f>
        <v/>
      </c>
      <c r="K100" s="39" t="str">
        <f>IFERROR(IF(SUMIFS(tblDaily[Deaths],tblDaily[EntryDate],DATE(2026,3,13),tblDaily[WardCode],"FAE")=0,"",SUMIFS(tblDaily[Deaths],tblDaily[EntryDate],DATE(2026,3,13),tblDaily[WardCode],"FAE")),"")</f>
        <v/>
      </c>
      <c r="L100" s="39">
        <f>IFERROR(IF(SUMIFS(tblDaily[DeathsUnder24Hrs],tblDaily[EntryDate],DATE(2026,3,13),tblDaily[WardCode],"FAE")=0,"",SUMIFS(tblDaily[DeathsUnder24Hrs],tblDaily[EntryDate],DATE(2026,3,13),tblDaily[WardCode],"FAE")),"")</f>
        <v>1</v>
      </c>
      <c r="M100" s="39" t="str">
        <f>IFERROR(IF(SUMIFS(tblDaily[TransfersIn],tblDaily[EntryDate],DATE(2026,3,13),tblDaily[WardCode],"FAE")=0,"",SUMIFS(tblDaily[TransfersIn],tblDaily[EntryDate],DATE(2026,3,13),tblDaily[WardCode],"FAE")),"")</f>
        <v/>
      </c>
      <c r="N100" s="39" t="str">
        <f>IFERROR(IF(SUMIFS(tblDaily[TransfersOut],tblDaily[EntryDate],DATE(2026,3,13),tblDaily[WardCode],"FAE")=0,"",SUMIFS(tblDaily[TransfersOut],tblDaily[EntryDate],DATE(2026,3,13),tblDaily[WardCode],"FAE")),"")</f>
        <v/>
      </c>
      <c r="O100" s="39">
        <f>IFERROR(IF(SUMIFS(tblDaily[Remaining],tblDaily[EntryDate],DATE(2026,3,13),tblDaily[WardCode],"FAE")=0,"",SUMIFS(tblDaily[Remaining],tblDaily[EntryDate],DATE(2026,3,13),tblDaily[WardCode],"FAE")),"")</f>
        <v>3</v>
      </c>
      <c r="P100" s="40">
        <f t="shared" si="2"/>
        <v>5</v>
      </c>
    </row>
    <row r="101" spans="1:16" x14ac:dyDescent="0.25">
      <c r="A101" s="39">
        <v>14</v>
      </c>
      <c r="B101" s="39">
        <f>IFERROR(IF(SUMIFS(tblDaily[Admissions],tblDaily[EntryDate],DATE(2026,3,14),tblDaily[WardCode],"MAE")=0,"",SUMIFS(tblDaily[Admissions],tblDaily[EntryDate],DATE(2026,3,14),tblDaily[WardCode],"MAE")),"")</f>
        <v>2</v>
      </c>
      <c r="C101" s="39">
        <f>IFERROR(IF(SUMIFS(tblDaily[Discharges],tblDaily[EntryDate],DATE(2026,3,14),tblDaily[WardCode],"MAE")=0,"",SUMIFS(tblDaily[Discharges],tblDaily[EntryDate],DATE(2026,3,14),tblDaily[WardCode],"MAE")),"")</f>
        <v>1</v>
      </c>
      <c r="D101" s="39" t="str">
        <f>IFERROR(IF(SUMIFS(tblDaily[Deaths],tblDaily[EntryDate],DATE(2026,3,14),tblDaily[WardCode],"MAE")=0,"",SUMIFS(tblDaily[Deaths],tblDaily[EntryDate],DATE(2026,3,14),tblDaily[WardCode],"MAE")),"")</f>
        <v/>
      </c>
      <c r="E101" s="39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39" t="str">
        <f>IFERROR(IF(SUMIFS(tblDaily[TransfersIn],tblDaily[EntryDate],DATE(2026,3,14),tblDaily[WardCode],"MAE")=0,"",SUMIFS(tblDaily[TransfersIn],tblDaily[EntryDate],DATE(2026,3,14),tblDaily[WardCode],"MAE")),"")</f>
        <v/>
      </c>
      <c r="G101" s="39" t="str">
        <f>IFERROR(IF(SUMIFS(tblDaily[TransfersOut],tblDaily[EntryDate],DATE(2026,3,14),tblDaily[WardCode],"MAE")=0,"",SUMIFS(tblDaily[TransfersOut],tblDaily[EntryDate],DATE(2026,3,14),tblDaily[WardCode],"MAE")),"")</f>
        <v/>
      </c>
      <c r="H101" s="39">
        <f>IFERROR(IF(SUMIFS(tblDaily[Remaining],tblDaily[EntryDate],DATE(2026,3,14),tblDaily[WardCode],"MAE")=0,"",SUMIFS(tblDaily[Remaining],tblDaily[EntryDate],DATE(2026,3,14),tblDaily[WardCode],"MAE")),"")</f>
        <v>3</v>
      </c>
      <c r="I101" s="39">
        <f>IFERROR(IF(SUMIFS(tblDaily[Admissions],tblDaily[EntryDate],DATE(2026,3,14),tblDaily[WardCode],"FAE")=0,"",SUMIFS(tblDaily[Admissions],tblDaily[EntryDate],DATE(2026,3,14),tblDaily[WardCode],"FAE")),"")</f>
        <v>2</v>
      </c>
      <c r="J101" s="39" t="str">
        <f>IFERROR(IF(SUMIFS(tblDaily[Discharges],tblDaily[EntryDate],DATE(2026,3,14),tblDaily[WardCode],"FAE")=0,"",SUMIFS(tblDaily[Discharges],tblDaily[EntryDate],DATE(2026,3,14),tblDaily[WardCode],"FAE")),"")</f>
        <v/>
      </c>
      <c r="K101" s="39" t="str">
        <f>IFERROR(IF(SUMIFS(tblDaily[Deaths],tblDaily[EntryDate],DATE(2026,3,14),tblDaily[WardCode],"FAE")=0,"",SUMIFS(tblDaily[Deaths],tblDaily[EntryDate],DATE(2026,3,14),tblDaily[WardCode],"FAE")),"")</f>
        <v/>
      </c>
      <c r="L101" s="39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39" t="str">
        <f>IFERROR(IF(SUMIFS(tblDaily[TransfersIn],tblDaily[EntryDate],DATE(2026,3,14),tblDaily[WardCode],"FAE")=0,"",SUMIFS(tblDaily[TransfersIn],tblDaily[EntryDate],DATE(2026,3,14),tblDaily[WardCode],"FAE")),"")</f>
        <v/>
      </c>
      <c r="N101" s="39" t="str">
        <f>IFERROR(IF(SUMIFS(tblDaily[TransfersOut],tblDaily[EntryDate],DATE(2026,3,14),tblDaily[WardCode],"FAE")=0,"",SUMIFS(tblDaily[TransfersOut],tblDaily[EntryDate],DATE(2026,3,14),tblDaily[WardCode],"FAE")),"")</f>
        <v/>
      </c>
      <c r="O101" s="39">
        <f>IFERROR(IF(SUMIFS(tblDaily[Remaining],tblDaily[EntryDate],DATE(2026,3,14),tblDaily[WardCode],"FAE")=0,"",SUMIFS(tblDaily[Remaining],tblDaily[EntryDate],DATE(2026,3,14),tblDaily[WardCode],"FAE")),"")</f>
        <v>5</v>
      </c>
      <c r="P101" s="40">
        <f t="shared" si="2"/>
        <v>8</v>
      </c>
    </row>
    <row r="102" spans="1:16" x14ac:dyDescent="0.25">
      <c r="A102" s="39">
        <v>15</v>
      </c>
      <c r="B102" s="39">
        <f>IFERROR(IF(SUMIFS(tblDaily[Admissions],tblDaily[EntryDate],DATE(2026,3,15),tblDaily[WardCode],"MAE")=0,"",SUMIFS(tblDaily[Admissions],tblDaily[EntryDate],DATE(2026,3,15),tblDaily[WardCode],"MAE")),"")</f>
        <v>1</v>
      </c>
      <c r="C102" s="39" t="str">
        <f>IFERROR(IF(SUMIFS(tblDaily[Discharges],tblDaily[EntryDate],DATE(2026,3,15),tblDaily[WardCode],"MAE")=0,"",SUMIFS(tblDaily[Discharges],tblDaily[EntryDate],DATE(2026,3,15),tblDaily[WardCode],"MAE")),"")</f>
        <v/>
      </c>
      <c r="D102" s="39" t="str">
        <f>IFERROR(IF(SUMIFS(tblDaily[Deaths],tblDaily[EntryDate],DATE(2026,3,15),tblDaily[WardCode],"MAE")=0,"",SUMIFS(tblDaily[Deaths],tblDaily[EntryDate],DATE(2026,3,15),tblDaily[WardCode],"MAE")),"")</f>
        <v/>
      </c>
      <c r="E102" s="39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39" t="str">
        <f>IFERROR(IF(SUMIFS(tblDaily[TransfersIn],tblDaily[EntryDate],DATE(2026,3,15),tblDaily[WardCode],"MAE")=0,"",SUMIFS(tblDaily[TransfersIn],tblDaily[EntryDate],DATE(2026,3,15),tblDaily[WardCode],"MAE")),"")</f>
        <v/>
      </c>
      <c r="G102" s="39">
        <f>IFERROR(IF(SUMIFS(tblDaily[TransfersOut],tblDaily[EntryDate],DATE(2026,3,15),tblDaily[WardCode],"MAE")=0,"",SUMIFS(tblDaily[TransfersOut],tblDaily[EntryDate],DATE(2026,3,15),tblDaily[WardCode],"MAE")),"")</f>
        <v>2</v>
      </c>
      <c r="H102" s="39">
        <f>IFERROR(IF(SUMIFS(tblDaily[Remaining],tblDaily[EntryDate],DATE(2026,3,15),tblDaily[WardCode],"MAE")=0,"",SUMIFS(tblDaily[Remaining],tblDaily[EntryDate],DATE(2026,3,15),tblDaily[WardCode],"MAE")),"")</f>
        <v>2</v>
      </c>
      <c r="I102" s="39">
        <f>IFERROR(IF(SUMIFS(tblDaily[Admissions],tblDaily[EntryDate],DATE(2026,3,15),tblDaily[WardCode],"FAE")=0,"",SUMIFS(tblDaily[Admissions],tblDaily[EntryDate],DATE(2026,3,15),tblDaily[WardCode],"FAE")),"")</f>
        <v>2</v>
      </c>
      <c r="J102" s="39">
        <f>IFERROR(IF(SUMIFS(tblDaily[Discharges],tblDaily[EntryDate],DATE(2026,3,15),tblDaily[WardCode],"FAE")=0,"",SUMIFS(tblDaily[Discharges],tblDaily[EntryDate],DATE(2026,3,15),tblDaily[WardCode],"FAE")),"")</f>
        <v>3</v>
      </c>
      <c r="K102" s="39" t="str">
        <f>IFERROR(IF(SUMIFS(tblDaily[Deaths],tblDaily[EntryDate],DATE(2026,3,15),tblDaily[WardCode],"FAE")=0,"",SUMIFS(tblDaily[Deaths],tblDaily[EntryDate],DATE(2026,3,15),tblDaily[WardCode],"FAE")),"")</f>
        <v/>
      </c>
      <c r="L102" s="39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39" t="str">
        <f>IFERROR(IF(SUMIFS(tblDaily[TransfersIn],tblDaily[EntryDate],DATE(2026,3,15),tblDaily[WardCode],"FAE")=0,"",SUMIFS(tblDaily[TransfersIn],tblDaily[EntryDate],DATE(2026,3,15),tblDaily[WardCode],"FAE")),"")</f>
        <v/>
      </c>
      <c r="N102" s="39">
        <f>IFERROR(IF(SUMIFS(tblDaily[TransfersOut],tblDaily[EntryDate],DATE(2026,3,15),tblDaily[WardCode],"FAE")=0,"",SUMIFS(tblDaily[TransfersOut],tblDaily[EntryDate],DATE(2026,3,15),tblDaily[WardCode],"FAE")),"")</f>
        <v>2</v>
      </c>
      <c r="O102" s="39">
        <f>IFERROR(IF(SUMIFS(tblDaily[Remaining],tblDaily[EntryDate],DATE(2026,3,15),tblDaily[WardCode],"FAE")=0,"",SUMIFS(tblDaily[Remaining],tblDaily[EntryDate],DATE(2026,3,15),tblDaily[WardCode],"FAE")),"")</f>
        <v>2</v>
      </c>
      <c r="P102" s="40">
        <f t="shared" si="2"/>
        <v>4</v>
      </c>
    </row>
    <row r="103" spans="1:16" x14ac:dyDescent="0.25">
      <c r="A103" s="39">
        <v>16</v>
      </c>
      <c r="B103" s="39">
        <f>IFERROR(IF(SUMIFS(tblDaily[Admissions],tblDaily[EntryDate],DATE(2026,3,16),tblDaily[WardCode],"MAE")=0,"",SUMIFS(tblDaily[Admissions],tblDaily[EntryDate],DATE(2026,3,16),tblDaily[WardCode],"MAE")),"")</f>
        <v>3</v>
      </c>
      <c r="C103" s="39">
        <f>IFERROR(IF(SUMIFS(tblDaily[Discharges],tblDaily[EntryDate],DATE(2026,3,16),tblDaily[WardCode],"MAE")=0,"",SUMIFS(tblDaily[Discharges],tblDaily[EntryDate],DATE(2026,3,16),tblDaily[WardCode],"MAE")),"")</f>
        <v>2</v>
      </c>
      <c r="D103" s="39" t="str">
        <f>IFERROR(IF(SUMIFS(tblDaily[Deaths],tblDaily[EntryDate],DATE(2026,3,16),tblDaily[WardCode],"MAE")=0,"",SUMIFS(tblDaily[Deaths],tblDaily[EntryDate],DATE(2026,3,16),tblDaily[WardCode],"MAE")),"")</f>
        <v/>
      </c>
      <c r="E103" s="39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39" t="str">
        <f>IFERROR(IF(SUMIFS(tblDaily[TransfersIn],tblDaily[EntryDate],DATE(2026,3,16),tblDaily[WardCode],"MAE")=0,"",SUMIFS(tblDaily[TransfersIn],tblDaily[EntryDate],DATE(2026,3,16),tblDaily[WardCode],"MAE")),"")</f>
        <v/>
      </c>
      <c r="G103" s="39" t="str">
        <f>IFERROR(IF(SUMIFS(tblDaily[TransfersOut],tblDaily[EntryDate],DATE(2026,3,16),tblDaily[WardCode],"MAE")=0,"",SUMIFS(tblDaily[TransfersOut],tblDaily[EntryDate],DATE(2026,3,16),tblDaily[WardCode],"MAE")),"")</f>
        <v/>
      </c>
      <c r="H103" s="39">
        <f>IFERROR(IF(SUMIFS(tblDaily[Remaining],tblDaily[EntryDate],DATE(2026,3,16),tblDaily[WardCode],"MAE")=0,"",SUMIFS(tblDaily[Remaining],tblDaily[EntryDate],DATE(2026,3,16),tblDaily[WardCode],"MAE")),"")</f>
        <v>3</v>
      </c>
      <c r="I103" s="39">
        <f>IFERROR(IF(SUMIFS(tblDaily[Admissions],tblDaily[EntryDate],DATE(2026,3,16),tblDaily[WardCode],"FAE")=0,"",SUMIFS(tblDaily[Admissions],tblDaily[EntryDate],DATE(2026,3,16),tblDaily[WardCode],"FAE")),"")</f>
        <v>2</v>
      </c>
      <c r="J103" s="39" t="str">
        <f>IFERROR(IF(SUMIFS(tblDaily[Discharges],tblDaily[EntryDate],DATE(2026,3,16),tblDaily[WardCode],"FAE")=0,"",SUMIFS(tblDaily[Discharges],tblDaily[EntryDate],DATE(2026,3,16),tblDaily[WardCode],"FAE")),"")</f>
        <v/>
      </c>
      <c r="K103" s="39" t="str">
        <f>IFERROR(IF(SUMIFS(tblDaily[Deaths],tblDaily[EntryDate],DATE(2026,3,16),tblDaily[WardCode],"FAE")=0,"",SUMIFS(tblDaily[Deaths],tblDaily[EntryDate],DATE(2026,3,16),tblDaily[WardCode],"FAE")),"")</f>
        <v/>
      </c>
      <c r="L103" s="39">
        <f>IFERROR(IF(SUMIFS(tblDaily[DeathsUnder24Hrs],tblDaily[EntryDate],DATE(2026,3,16),tblDaily[WardCode],"FAE")=0,"",SUMIFS(tblDaily[DeathsUnder24Hrs],tblDaily[EntryDate],DATE(2026,3,16),tblDaily[WardCode],"FAE")),"")</f>
        <v>1</v>
      </c>
      <c r="M103" s="39" t="str">
        <f>IFERROR(IF(SUMIFS(tblDaily[TransfersIn],tblDaily[EntryDate],DATE(2026,3,16),tblDaily[WardCode],"FAE")=0,"",SUMIFS(tblDaily[TransfersIn],tblDaily[EntryDate],DATE(2026,3,16),tblDaily[WardCode],"FAE")),"")</f>
        <v/>
      </c>
      <c r="N103" s="39" t="str">
        <f>IFERROR(IF(SUMIFS(tblDaily[TransfersOut],tblDaily[EntryDate],DATE(2026,3,16),tblDaily[WardCode],"FAE")=0,"",SUMIFS(tblDaily[TransfersOut],tblDaily[EntryDate],DATE(2026,3,16),tblDaily[WardCode],"FAE")),"")</f>
        <v/>
      </c>
      <c r="O103" s="39">
        <f>IFERROR(IF(SUMIFS(tblDaily[Remaining],tblDaily[EntryDate],DATE(2026,3,16),tblDaily[WardCode],"FAE")=0,"",SUMIFS(tblDaily[Remaining],tblDaily[EntryDate],DATE(2026,3,16),tblDaily[WardCode],"FAE")),"")</f>
        <v>3</v>
      </c>
      <c r="P103" s="40">
        <f t="shared" si="2"/>
        <v>6</v>
      </c>
    </row>
    <row r="104" spans="1:16" x14ac:dyDescent="0.25">
      <c r="A104" s="39">
        <v>17</v>
      </c>
      <c r="B104" s="39">
        <f>IFERROR(IF(SUMIFS(tblDaily[Admissions],tblDaily[EntryDate],DATE(2026,3,17),tblDaily[WardCode],"MAE")=0,"",SUMIFS(tblDaily[Admissions],tblDaily[EntryDate],DATE(2026,3,17),tblDaily[WardCode],"MAE")),"")</f>
        <v>1</v>
      </c>
      <c r="C104" s="39" t="str">
        <f>IFERROR(IF(SUMIFS(tblDaily[Discharges],tblDaily[EntryDate],DATE(2026,3,17),tblDaily[WardCode],"MAE")=0,"",SUMIFS(tblDaily[Discharges],tblDaily[EntryDate],DATE(2026,3,17),tblDaily[WardCode],"MAE")),"")</f>
        <v/>
      </c>
      <c r="D104" s="39" t="str">
        <f>IFERROR(IF(SUMIFS(tblDaily[Deaths],tblDaily[EntryDate],DATE(2026,3,17),tblDaily[WardCode],"MAE")=0,"",SUMIFS(tblDaily[Deaths],tblDaily[EntryDate],DATE(2026,3,17),tblDaily[WardCode],"MAE")),"")</f>
        <v/>
      </c>
      <c r="E104" s="39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39" t="str">
        <f>IFERROR(IF(SUMIFS(tblDaily[TransfersIn],tblDaily[EntryDate],DATE(2026,3,17),tblDaily[WardCode],"MAE")=0,"",SUMIFS(tblDaily[TransfersIn],tblDaily[EntryDate],DATE(2026,3,17),tblDaily[WardCode],"MAE")),"")</f>
        <v/>
      </c>
      <c r="G104" s="39">
        <f>IFERROR(IF(SUMIFS(tblDaily[TransfersOut],tblDaily[EntryDate],DATE(2026,3,17),tblDaily[WardCode],"MAE")=0,"",SUMIFS(tblDaily[TransfersOut],tblDaily[EntryDate],DATE(2026,3,17),tblDaily[WardCode],"MAE")),"")</f>
        <v>2</v>
      </c>
      <c r="H104" s="39">
        <f>IFERROR(IF(SUMIFS(tblDaily[Remaining],tblDaily[EntryDate],DATE(2026,3,17),tblDaily[WardCode],"MAE")=0,"",SUMIFS(tblDaily[Remaining],tblDaily[EntryDate],DATE(2026,3,17),tblDaily[WardCode],"MAE")),"")</f>
        <v>2</v>
      </c>
      <c r="I104" s="39">
        <f>IFERROR(IF(SUMIFS(tblDaily[Admissions],tblDaily[EntryDate],DATE(2026,3,17),tblDaily[WardCode],"FAE")=0,"",SUMIFS(tblDaily[Admissions],tblDaily[EntryDate],DATE(2026,3,17),tblDaily[WardCode],"FAE")),"")</f>
        <v>4</v>
      </c>
      <c r="J104" s="39" t="str">
        <f>IFERROR(IF(SUMIFS(tblDaily[Discharges],tblDaily[EntryDate],DATE(2026,3,17),tblDaily[WardCode],"FAE")=0,"",SUMIFS(tblDaily[Discharges],tblDaily[EntryDate],DATE(2026,3,17),tblDaily[WardCode],"FAE")),"")</f>
        <v/>
      </c>
      <c r="K104" s="39" t="str">
        <f>IFERROR(IF(SUMIFS(tblDaily[Deaths],tblDaily[EntryDate],DATE(2026,3,17),tblDaily[WardCode],"FAE")=0,"",SUMIFS(tblDaily[Deaths],tblDaily[EntryDate],DATE(2026,3,17),tblDaily[WardCode],"FAE")),"")</f>
        <v/>
      </c>
      <c r="L104" s="39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39" t="str">
        <f>IFERROR(IF(SUMIFS(tblDaily[TransfersIn],tblDaily[EntryDate],DATE(2026,3,17),tblDaily[WardCode],"FAE")=0,"",SUMIFS(tblDaily[TransfersIn],tblDaily[EntryDate],DATE(2026,3,17),tblDaily[WardCode],"FAE")),"")</f>
        <v/>
      </c>
      <c r="N104" s="39" t="str">
        <f>IFERROR(IF(SUMIFS(tblDaily[TransfersOut],tblDaily[EntryDate],DATE(2026,3,17),tblDaily[WardCode],"FAE")=0,"",SUMIFS(tblDaily[TransfersOut],tblDaily[EntryDate],DATE(2026,3,17),tblDaily[WardCode],"FAE")),"")</f>
        <v/>
      </c>
      <c r="O104" s="39">
        <f>IFERROR(IF(SUMIFS(tblDaily[Remaining],tblDaily[EntryDate],DATE(2026,3,17),tblDaily[WardCode],"FAE")=0,"",SUMIFS(tblDaily[Remaining],tblDaily[EntryDate],DATE(2026,3,17),tblDaily[WardCode],"FAE")),"")</f>
        <v>7</v>
      </c>
      <c r="P104" s="40">
        <f t="shared" si="2"/>
        <v>9</v>
      </c>
    </row>
    <row r="105" spans="1:16" x14ac:dyDescent="0.25">
      <c r="A105" s="39">
        <v>18</v>
      </c>
      <c r="B105" s="39">
        <f>IFERROR(IF(SUMIFS(tblDaily[Admissions],tblDaily[EntryDate],DATE(2026,3,18),tblDaily[WardCode],"MAE")=0,"",SUMIFS(tblDaily[Admissions],tblDaily[EntryDate],DATE(2026,3,18),tblDaily[WardCode],"MAE")),"")</f>
        <v>4</v>
      </c>
      <c r="C105" s="39" t="str">
        <f>IFERROR(IF(SUMIFS(tblDaily[Discharges],tblDaily[EntryDate],DATE(2026,3,18),tblDaily[WardCode],"MAE")=0,"",SUMIFS(tblDaily[Discharges],tblDaily[EntryDate],DATE(2026,3,18),tblDaily[WardCode],"MAE")),"")</f>
        <v/>
      </c>
      <c r="D105" s="39" t="str">
        <f>IFERROR(IF(SUMIFS(tblDaily[Deaths],tblDaily[EntryDate],DATE(2026,3,18),tblDaily[WardCode],"MAE")=0,"",SUMIFS(tblDaily[Deaths],tblDaily[EntryDate],DATE(2026,3,18),tblDaily[WardCode],"MAE")),"")</f>
        <v/>
      </c>
      <c r="E105" s="39">
        <f>IFERROR(IF(SUMIFS(tblDaily[DeathsUnder24Hrs],tblDaily[EntryDate],DATE(2026,3,18),tblDaily[WardCode],"MAE")=0,"",SUMIFS(tblDaily[DeathsUnder24Hrs],tblDaily[EntryDate],DATE(2026,3,18),tblDaily[WardCode],"MAE")),"")</f>
        <v>1</v>
      </c>
      <c r="F105" s="39" t="str">
        <f>IFERROR(IF(SUMIFS(tblDaily[TransfersIn],tblDaily[EntryDate],DATE(2026,3,18),tblDaily[WardCode],"MAE")=0,"",SUMIFS(tblDaily[TransfersIn],tblDaily[EntryDate],DATE(2026,3,18),tblDaily[WardCode],"MAE")),"")</f>
        <v/>
      </c>
      <c r="G105" s="39">
        <f>IFERROR(IF(SUMIFS(tblDaily[TransfersOut],tblDaily[EntryDate],DATE(2026,3,18),tblDaily[WardCode],"MAE")=0,"",SUMIFS(tblDaily[TransfersOut],tblDaily[EntryDate],DATE(2026,3,18),tblDaily[WardCode],"MAE")),"")</f>
        <v>1</v>
      </c>
      <c r="H105" s="39">
        <f>IFERROR(IF(SUMIFS(tblDaily[Remaining],tblDaily[EntryDate],DATE(2026,3,18),tblDaily[WardCode],"MAE")=0,"",SUMIFS(tblDaily[Remaining],tblDaily[EntryDate],DATE(2026,3,18),tblDaily[WardCode],"MAE")),"")</f>
        <v>4</v>
      </c>
      <c r="I105" s="39">
        <f>IFERROR(IF(SUMIFS(tblDaily[Admissions],tblDaily[EntryDate],DATE(2026,3,18),tblDaily[WardCode],"FAE")=0,"",SUMIFS(tblDaily[Admissions],tblDaily[EntryDate],DATE(2026,3,18),tblDaily[WardCode],"FAE")),"")</f>
        <v>1</v>
      </c>
      <c r="J105" s="39">
        <f>IFERROR(IF(SUMIFS(tblDaily[Discharges],tblDaily[EntryDate],DATE(2026,3,18),tblDaily[WardCode],"FAE")=0,"",SUMIFS(tblDaily[Discharges],tblDaily[EntryDate],DATE(2026,3,18),tblDaily[WardCode],"FAE")),"")</f>
        <v>2</v>
      </c>
      <c r="K105" s="39" t="str">
        <f>IFERROR(IF(SUMIFS(tblDaily[Deaths],tblDaily[EntryDate],DATE(2026,3,18),tblDaily[WardCode],"FAE")=0,"",SUMIFS(tblDaily[Deaths],tblDaily[EntryDate],DATE(2026,3,18),tblDaily[WardCode],"FAE")),"")</f>
        <v/>
      </c>
      <c r="L105" s="39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39" t="str">
        <f>IFERROR(IF(SUMIFS(tblDaily[TransfersIn],tblDaily[EntryDate],DATE(2026,3,18),tblDaily[WardCode],"FAE")=0,"",SUMIFS(tblDaily[TransfersIn],tblDaily[EntryDate],DATE(2026,3,18),tblDaily[WardCode],"FAE")),"")</f>
        <v/>
      </c>
      <c r="N105" s="39">
        <f>IFERROR(IF(SUMIFS(tblDaily[TransfersOut],tblDaily[EntryDate],DATE(2026,3,18),tblDaily[WardCode],"FAE")=0,"",SUMIFS(tblDaily[TransfersOut],tblDaily[EntryDate],DATE(2026,3,18),tblDaily[WardCode],"FAE")),"")</f>
        <v>4</v>
      </c>
      <c r="O105" s="39">
        <f>IFERROR(IF(SUMIFS(tblDaily[Remaining],tblDaily[EntryDate],DATE(2026,3,18),tblDaily[WardCode],"FAE")=0,"",SUMIFS(tblDaily[Remaining],tblDaily[EntryDate],DATE(2026,3,18),tblDaily[WardCode],"FAE")),"")</f>
        <v>2</v>
      </c>
      <c r="P105" s="40">
        <f t="shared" si="2"/>
        <v>6</v>
      </c>
    </row>
    <row r="106" spans="1:16" x14ac:dyDescent="0.25">
      <c r="A106" s="39">
        <v>19</v>
      </c>
      <c r="B106" s="39">
        <f>IFERROR(IF(SUMIFS(tblDaily[Admissions],tblDaily[EntryDate],DATE(2026,3,19),tblDaily[WardCode],"MAE")=0,"",SUMIFS(tblDaily[Admissions],tblDaily[EntryDate],DATE(2026,3,19),tblDaily[WardCode],"MAE")),"")</f>
        <v>5</v>
      </c>
      <c r="C106" s="39">
        <f>IFERROR(IF(SUMIFS(tblDaily[Discharges],tblDaily[EntryDate],DATE(2026,3,19),tblDaily[WardCode],"MAE")=0,"",SUMIFS(tblDaily[Discharges],tblDaily[EntryDate],DATE(2026,3,19),tblDaily[WardCode],"MAE")),"")</f>
        <v>2</v>
      </c>
      <c r="D106" s="39">
        <f>IFERROR(IF(SUMIFS(tblDaily[Deaths],tblDaily[EntryDate],DATE(2026,3,19),tblDaily[WardCode],"MAE")=0,"",SUMIFS(tblDaily[Deaths],tblDaily[EntryDate],DATE(2026,3,19),tblDaily[WardCode],"MAE")),"")</f>
        <v>2</v>
      </c>
      <c r="E106" s="39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39" t="str">
        <f>IFERROR(IF(SUMIFS(tblDaily[TransfersIn],tblDaily[EntryDate],DATE(2026,3,19),tblDaily[WardCode],"MAE")=0,"",SUMIFS(tblDaily[TransfersIn],tblDaily[EntryDate],DATE(2026,3,19),tblDaily[WardCode],"MAE")),"")</f>
        <v/>
      </c>
      <c r="G106" s="39">
        <f>IFERROR(IF(SUMIFS(tblDaily[TransfersOut],tblDaily[EntryDate],DATE(2026,3,19),tblDaily[WardCode],"MAE")=0,"",SUMIFS(tblDaily[TransfersOut],tblDaily[EntryDate],DATE(2026,3,19),tblDaily[WardCode],"MAE")),"")</f>
        <v>1</v>
      </c>
      <c r="H106" s="39">
        <f>IFERROR(IF(SUMIFS(tblDaily[Remaining],tblDaily[EntryDate],DATE(2026,3,19),tblDaily[WardCode],"MAE")=0,"",SUMIFS(tblDaily[Remaining],tblDaily[EntryDate],DATE(2026,3,19),tblDaily[WardCode],"MAE")),"")</f>
        <v>4</v>
      </c>
      <c r="I106" s="39" t="str">
        <f>IFERROR(IF(SUMIFS(tblDaily[Admissions],tblDaily[EntryDate],DATE(2026,3,19),tblDaily[WardCode],"FAE")=0,"",SUMIFS(tblDaily[Admissions],tblDaily[EntryDate],DATE(2026,3,19),tblDaily[WardCode],"FAE")),"")</f>
        <v/>
      </c>
      <c r="J106" s="39" t="str">
        <f>IFERROR(IF(SUMIFS(tblDaily[Discharges],tblDaily[EntryDate],DATE(2026,3,19),tblDaily[WardCode],"FAE")=0,"",SUMIFS(tblDaily[Discharges],tblDaily[EntryDate],DATE(2026,3,19),tblDaily[WardCode],"FAE")),"")</f>
        <v/>
      </c>
      <c r="K106" s="39" t="str">
        <f>IFERROR(IF(SUMIFS(tblDaily[Deaths],tblDaily[EntryDate],DATE(2026,3,19),tblDaily[WardCode],"FAE")=0,"",SUMIFS(tblDaily[Deaths],tblDaily[EntryDate],DATE(2026,3,19),tblDaily[WardCode],"FAE")),"")</f>
        <v/>
      </c>
      <c r="L106" s="39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39" t="str">
        <f>IFERROR(IF(SUMIFS(tblDaily[TransfersIn],tblDaily[EntryDate],DATE(2026,3,19),tblDaily[WardCode],"FAE")=0,"",SUMIFS(tblDaily[TransfersIn],tblDaily[EntryDate],DATE(2026,3,19),tblDaily[WardCode],"FAE")),"")</f>
        <v/>
      </c>
      <c r="N106" s="39" t="str">
        <f>IFERROR(IF(SUMIFS(tblDaily[TransfersOut],tblDaily[EntryDate],DATE(2026,3,19),tblDaily[WardCode],"FAE")=0,"",SUMIFS(tblDaily[TransfersOut],tblDaily[EntryDate],DATE(2026,3,19),tblDaily[WardCode],"FAE")),"")</f>
        <v/>
      </c>
      <c r="O106" s="39">
        <f>IFERROR(IF(SUMIFS(tblDaily[Remaining],tblDaily[EntryDate],DATE(2026,3,19),tblDaily[WardCode],"FAE")=0,"",SUMIFS(tblDaily[Remaining],tblDaily[EntryDate],DATE(2026,3,19),tblDaily[WardCode],"FAE")),"")</f>
        <v>2</v>
      </c>
      <c r="P106" s="40">
        <f t="shared" si="2"/>
        <v>6</v>
      </c>
    </row>
    <row r="107" spans="1:16" x14ac:dyDescent="0.25">
      <c r="A107" s="39">
        <v>20</v>
      </c>
      <c r="B107" s="39">
        <f>IFERROR(IF(SUMIFS(tblDaily[Admissions],tblDaily[EntryDate],DATE(2026,3,20),tblDaily[WardCode],"MAE")=0,"",SUMIFS(tblDaily[Admissions],tblDaily[EntryDate],DATE(2026,3,20),tblDaily[WardCode],"MAE")),"")</f>
        <v>1</v>
      </c>
      <c r="C107" s="39">
        <f>IFERROR(IF(SUMIFS(tblDaily[Discharges],tblDaily[EntryDate],DATE(2026,3,20),tblDaily[WardCode],"MAE")=0,"",SUMIFS(tblDaily[Discharges],tblDaily[EntryDate],DATE(2026,3,20),tblDaily[WardCode],"MAE")),"")</f>
        <v>1</v>
      </c>
      <c r="D107" s="39">
        <f>IFERROR(IF(SUMIFS(tblDaily[Deaths],tblDaily[EntryDate],DATE(2026,3,20),tblDaily[WardCode],"MAE")=0,"",SUMIFS(tblDaily[Deaths],tblDaily[EntryDate],DATE(2026,3,20),tblDaily[WardCode],"MAE")),"")</f>
        <v>2</v>
      </c>
      <c r="E107" s="39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39" t="str">
        <f>IFERROR(IF(SUMIFS(tblDaily[TransfersIn],tblDaily[EntryDate],DATE(2026,3,20),tblDaily[WardCode],"MAE")=0,"",SUMIFS(tblDaily[TransfersIn],tblDaily[EntryDate],DATE(2026,3,20),tblDaily[WardCode],"MAE")),"")</f>
        <v/>
      </c>
      <c r="G107" s="39">
        <f>IFERROR(IF(SUMIFS(tblDaily[TransfersOut],tblDaily[EntryDate],DATE(2026,3,20),tblDaily[WardCode],"MAE")=0,"",SUMIFS(tblDaily[TransfersOut],tblDaily[EntryDate],DATE(2026,3,20),tblDaily[WardCode],"MAE")),"")</f>
        <v>1</v>
      </c>
      <c r="H107" s="39">
        <f>IFERROR(IF(SUMIFS(tblDaily[Remaining],tblDaily[EntryDate],DATE(2026,3,20),tblDaily[WardCode],"MAE")=0,"",SUMIFS(tblDaily[Remaining],tblDaily[EntryDate],DATE(2026,3,20),tblDaily[WardCode],"MAE")),"")</f>
        <v>1</v>
      </c>
      <c r="I107" s="39">
        <f>IFERROR(IF(SUMIFS(tblDaily[Admissions],tblDaily[EntryDate],DATE(2026,3,20),tblDaily[WardCode],"FAE")=0,"",SUMIFS(tblDaily[Admissions],tblDaily[EntryDate],DATE(2026,3,20),tblDaily[WardCode],"FAE")),"")</f>
        <v>1</v>
      </c>
      <c r="J107" s="39">
        <f>IFERROR(IF(SUMIFS(tblDaily[Discharges],tblDaily[EntryDate],DATE(2026,3,20),tblDaily[WardCode],"FAE")=0,"",SUMIFS(tblDaily[Discharges],tblDaily[EntryDate],DATE(2026,3,20),tblDaily[WardCode],"FAE")),"")</f>
        <v>1</v>
      </c>
      <c r="K107" s="39" t="str">
        <f>IFERROR(IF(SUMIFS(tblDaily[Deaths],tblDaily[EntryDate],DATE(2026,3,20),tblDaily[WardCode],"FAE")=0,"",SUMIFS(tblDaily[Deaths],tblDaily[EntryDate],DATE(2026,3,20),tblDaily[WardCode],"FAE")),"")</f>
        <v/>
      </c>
      <c r="L107" s="39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39" t="str">
        <f>IFERROR(IF(SUMIFS(tblDaily[TransfersIn],tblDaily[EntryDate],DATE(2026,3,20),tblDaily[WardCode],"FAE")=0,"",SUMIFS(tblDaily[TransfersIn],tblDaily[EntryDate],DATE(2026,3,20),tblDaily[WardCode],"FAE")),"")</f>
        <v/>
      </c>
      <c r="N107" s="39">
        <f>IFERROR(IF(SUMIFS(tblDaily[TransfersOut],tblDaily[EntryDate],DATE(2026,3,20),tblDaily[WardCode],"FAE")=0,"",SUMIFS(tblDaily[TransfersOut],tblDaily[EntryDate],DATE(2026,3,20),tblDaily[WardCode],"FAE")),"")</f>
        <v>1</v>
      </c>
      <c r="O107" s="39">
        <f>IFERROR(IF(SUMIFS(tblDaily[Remaining],tblDaily[EntryDate],DATE(2026,3,20),tblDaily[WardCode],"FAE")=0,"",SUMIFS(tblDaily[Remaining],tblDaily[EntryDate],DATE(2026,3,20),tblDaily[WardCode],"FAE")),"")</f>
        <v>1</v>
      </c>
      <c r="P107" s="40">
        <f t="shared" si="2"/>
        <v>2</v>
      </c>
    </row>
    <row r="108" spans="1:16" x14ac:dyDescent="0.25">
      <c r="A108" s="39">
        <v>21</v>
      </c>
      <c r="B108" s="39">
        <f>IFERROR(IF(SUMIFS(tblDaily[Admissions],tblDaily[EntryDate],DATE(2026,3,21),tblDaily[WardCode],"MAE")=0,"",SUMIFS(tblDaily[Admissions],tblDaily[EntryDate],DATE(2026,3,21),tblDaily[WardCode],"MAE")),"")</f>
        <v>1</v>
      </c>
      <c r="C108" s="39">
        <f>IFERROR(IF(SUMIFS(tblDaily[Discharges],tblDaily[EntryDate],DATE(2026,3,21),tblDaily[WardCode],"MAE")=0,"",SUMIFS(tblDaily[Discharges],tblDaily[EntryDate],DATE(2026,3,21),tblDaily[WardCode],"MAE")),"")</f>
        <v>1</v>
      </c>
      <c r="D108" s="39" t="str">
        <f>IFERROR(IF(SUMIFS(tblDaily[Deaths],tblDaily[EntryDate],DATE(2026,3,21),tblDaily[WardCode],"MAE")=0,"",SUMIFS(tblDaily[Deaths],tblDaily[EntryDate],DATE(2026,3,21),tblDaily[WardCode],"MAE")),"")</f>
        <v/>
      </c>
      <c r="E108" s="39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39" t="str">
        <f>IFERROR(IF(SUMIFS(tblDaily[TransfersIn],tblDaily[EntryDate],DATE(2026,3,21),tblDaily[WardCode],"MAE")=0,"",SUMIFS(tblDaily[TransfersIn],tblDaily[EntryDate],DATE(2026,3,21),tblDaily[WardCode],"MAE")),"")</f>
        <v/>
      </c>
      <c r="G108" s="39">
        <f>IFERROR(IF(SUMIFS(tblDaily[TransfersOut],tblDaily[EntryDate],DATE(2026,3,21),tblDaily[WardCode],"MAE")=0,"",SUMIFS(tblDaily[TransfersOut],tblDaily[EntryDate],DATE(2026,3,21),tblDaily[WardCode],"MAE")),"")</f>
        <v>1</v>
      </c>
      <c r="H108" s="39" t="str">
        <f>IFERROR(IF(SUMIFS(tblDaily[Remaining],tblDaily[EntryDate],DATE(2026,3,21),tblDaily[WardCode],"MAE")=0,"",SUMIFS(tblDaily[Remaining],tblDaily[EntryDate],DATE(2026,3,21),tblDaily[WardCode],"MAE")),"")</f>
        <v/>
      </c>
      <c r="I108" s="39">
        <f>IFERROR(IF(SUMIFS(tblDaily[Admissions],tblDaily[EntryDate],DATE(2026,3,21),tblDaily[WardCode],"FAE")=0,"",SUMIFS(tblDaily[Admissions],tblDaily[EntryDate],DATE(2026,3,21),tblDaily[WardCode],"FAE")),"")</f>
        <v>2</v>
      </c>
      <c r="J108" s="39" t="str">
        <f>IFERROR(IF(SUMIFS(tblDaily[Discharges],tblDaily[EntryDate],DATE(2026,3,21),tblDaily[WardCode],"FAE")=0,"",SUMIFS(tblDaily[Discharges],tblDaily[EntryDate],DATE(2026,3,21),tblDaily[WardCode],"FAE")),"")</f>
        <v/>
      </c>
      <c r="K108" s="39" t="str">
        <f>IFERROR(IF(SUMIFS(tblDaily[Deaths],tblDaily[EntryDate],DATE(2026,3,21),tblDaily[WardCode],"FAE")=0,"",SUMIFS(tblDaily[Deaths],tblDaily[EntryDate],DATE(2026,3,21),tblDaily[WardCode],"FAE")),"")</f>
        <v/>
      </c>
      <c r="L108" s="39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39" t="str">
        <f>IFERROR(IF(SUMIFS(tblDaily[TransfersIn],tblDaily[EntryDate],DATE(2026,3,21),tblDaily[WardCode],"FAE")=0,"",SUMIFS(tblDaily[TransfersIn],tblDaily[EntryDate],DATE(2026,3,21),tblDaily[WardCode],"FAE")),"")</f>
        <v/>
      </c>
      <c r="N108" s="39">
        <f>IFERROR(IF(SUMIFS(tblDaily[TransfersOut],tblDaily[EntryDate],DATE(2026,3,21),tblDaily[WardCode],"FAE")=0,"",SUMIFS(tblDaily[TransfersOut],tblDaily[EntryDate],DATE(2026,3,21),tblDaily[WardCode],"FAE")),"")</f>
        <v>1</v>
      </c>
      <c r="O108" s="39">
        <f>IFERROR(IF(SUMIFS(tblDaily[Remaining],tblDaily[EntryDate],DATE(2026,3,21),tblDaily[WardCode],"FAE")=0,"",SUMIFS(tblDaily[Remaining],tblDaily[EntryDate],DATE(2026,3,21),tblDaily[WardCode],"FAE")),"")</f>
        <v>2</v>
      </c>
      <c r="P108" s="40">
        <f t="shared" si="2"/>
        <v>2</v>
      </c>
    </row>
    <row r="109" spans="1:16" x14ac:dyDescent="0.25">
      <c r="A109" s="39">
        <v>22</v>
      </c>
      <c r="B109" s="39">
        <f>IFERROR(IF(SUMIFS(tblDaily[Admissions],tblDaily[EntryDate],DATE(2026,3,22),tblDaily[WardCode],"MAE")=0,"",SUMIFS(tblDaily[Admissions],tblDaily[EntryDate],DATE(2026,3,22),tblDaily[WardCode],"MAE")),"")</f>
        <v>5</v>
      </c>
      <c r="C109" s="39" t="str">
        <f>IFERROR(IF(SUMIFS(tblDaily[Discharges],tblDaily[EntryDate],DATE(2026,3,22),tblDaily[WardCode],"MAE")=0,"",SUMIFS(tblDaily[Discharges],tblDaily[EntryDate],DATE(2026,3,22),tblDaily[WardCode],"MAE")),"")</f>
        <v/>
      </c>
      <c r="D109" s="39" t="str">
        <f>IFERROR(IF(SUMIFS(tblDaily[Deaths],tblDaily[EntryDate],DATE(2026,3,22),tblDaily[WardCode],"MAE")=0,"",SUMIFS(tblDaily[Deaths],tblDaily[EntryDate],DATE(2026,3,22),tblDaily[WardCode],"MAE")),"")</f>
        <v/>
      </c>
      <c r="E109" s="39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39" t="str">
        <f>IFERROR(IF(SUMIFS(tblDaily[TransfersIn],tblDaily[EntryDate],DATE(2026,3,22),tblDaily[WardCode],"MAE")=0,"",SUMIFS(tblDaily[TransfersIn],tblDaily[EntryDate],DATE(2026,3,22),tblDaily[WardCode],"MAE")),"")</f>
        <v/>
      </c>
      <c r="G109" s="39" t="str">
        <f>IFERROR(IF(SUMIFS(tblDaily[TransfersOut],tblDaily[EntryDate],DATE(2026,3,22),tblDaily[WardCode],"MAE")=0,"",SUMIFS(tblDaily[TransfersOut],tblDaily[EntryDate],DATE(2026,3,22),tblDaily[WardCode],"MAE")),"")</f>
        <v/>
      </c>
      <c r="H109" s="39">
        <f>IFERROR(IF(SUMIFS(tblDaily[Remaining],tblDaily[EntryDate],DATE(2026,3,22),tblDaily[WardCode],"MAE")=0,"",SUMIFS(tblDaily[Remaining],tblDaily[EntryDate],DATE(2026,3,22),tblDaily[WardCode],"MAE")),"")</f>
        <v>5</v>
      </c>
      <c r="I109" s="39" t="str">
        <f>IFERROR(IF(SUMIFS(tblDaily[Admissions],tblDaily[EntryDate],DATE(2026,3,22),tblDaily[WardCode],"FAE")=0,"",SUMIFS(tblDaily[Admissions],tblDaily[EntryDate],DATE(2026,3,22),tblDaily[WardCode],"FAE")),"")</f>
        <v/>
      </c>
      <c r="J109" s="39" t="str">
        <f>IFERROR(IF(SUMIFS(tblDaily[Discharges],tblDaily[EntryDate],DATE(2026,3,22),tblDaily[WardCode],"FAE")=0,"",SUMIFS(tblDaily[Discharges],tblDaily[EntryDate],DATE(2026,3,22),tblDaily[WardCode],"FAE")),"")</f>
        <v/>
      </c>
      <c r="K109" s="39" t="str">
        <f>IFERROR(IF(SUMIFS(tblDaily[Deaths],tblDaily[EntryDate],DATE(2026,3,22),tblDaily[WardCode],"FAE")=0,"",SUMIFS(tblDaily[Deaths],tblDaily[EntryDate],DATE(2026,3,22),tblDaily[WardCode],"FAE")),"")</f>
        <v/>
      </c>
      <c r="L109" s="39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39" t="str">
        <f>IFERROR(IF(SUMIFS(tblDaily[TransfersIn],tblDaily[EntryDate],DATE(2026,3,22),tblDaily[WardCode],"FAE")=0,"",SUMIFS(tblDaily[TransfersIn],tblDaily[EntryDate],DATE(2026,3,22),tblDaily[WardCode],"FAE")),"")</f>
        <v/>
      </c>
      <c r="N109" s="39" t="str">
        <f>IFERROR(IF(SUMIFS(tblDaily[TransfersOut],tblDaily[EntryDate],DATE(2026,3,22),tblDaily[WardCode],"FAE")=0,"",SUMIFS(tblDaily[TransfersOut],tblDaily[EntryDate],DATE(2026,3,22),tblDaily[WardCode],"FAE")),"")</f>
        <v/>
      </c>
      <c r="O109" s="39">
        <f>IFERROR(IF(SUMIFS(tblDaily[Remaining],tblDaily[EntryDate],DATE(2026,3,22),tblDaily[WardCode],"FAE")=0,"",SUMIFS(tblDaily[Remaining],tblDaily[EntryDate],DATE(2026,3,22),tblDaily[WardCode],"FAE")),"")</f>
        <v>2</v>
      </c>
      <c r="P109" s="40">
        <f t="shared" si="2"/>
        <v>7</v>
      </c>
    </row>
    <row r="110" spans="1:16" x14ac:dyDescent="0.25">
      <c r="A110" s="39">
        <v>23</v>
      </c>
      <c r="B110" s="39">
        <f>IFERROR(IF(SUMIFS(tblDaily[Admissions],tblDaily[EntryDate],DATE(2026,3,23),tblDaily[WardCode],"MAE")=0,"",SUMIFS(tblDaily[Admissions],tblDaily[EntryDate],DATE(2026,3,23),tblDaily[WardCode],"MAE")),"")</f>
        <v>1</v>
      </c>
      <c r="C110" s="39">
        <f>IFERROR(IF(SUMIFS(tblDaily[Discharges],tblDaily[EntryDate],DATE(2026,3,23),tblDaily[WardCode],"MAE")=0,"",SUMIFS(tblDaily[Discharges],tblDaily[EntryDate],DATE(2026,3,23),tblDaily[WardCode],"MAE")),"")</f>
        <v>1</v>
      </c>
      <c r="D110" s="39" t="str">
        <f>IFERROR(IF(SUMIFS(tblDaily[Deaths],tblDaily[EntryDate],DATE(2026,3,23),tblDaily[WardCode],"MAE")=0,"",SUMIFS(tblDaily[Deaths],tblDaily[EntryDate],DATE(2026,3,23),tblDaily[WardCode],"MAE")),"")</f>
        <v/>
      </c>
      <c r="E110" s="39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39" t="str">
        <f>IFERROR(IF(SUMIFS(tblDaily[TransfersIn],tblDaily[EntryDate],DATE(2026,3,23),tblDaily[WardCode],"MAE")=0,"",SUMIFS(tblDaily[TransfersIn],tblDaily[EntryDate],DATE(2026,3,23),tblDaily[WardCode],"MAE")),"")</f>
        <v/>
      </c>
      <c r="G110" s="39" t="str">
        <f>IFERROR(IF(SUMIFS(tblDaily[TransfersOut],tblDaily[EntryDate],DATE(2026,3,23),tblDaily[WardCode],"MAE")=0,"",SUMIFS(tblDaily[TransfersOut],tblDaily[EntryDate],DATE(2026,3,23),tblDaily[WardCode],"MAE")),"")</f>
        <v/>
      </c>
      <c r="H110" s="39">
        <f>IFERROR(IF(SUMIFS(tblDaily[Remaining],tblDaily[EntryDate],DATE(2026,3,23),tblDaily[WardCode],"MAE")=0,"",SUMIFS(tblDaily[Remaining],tblDaily[EntryDate],DATE(2026,3,23),tblDaily[WardCode],"MAE")),"")</f>
        <v>5</v>
      </c>
      <c r="I110" s="39">
        <f>IFERROR(IF(SUMIFS(tblDaily[Admissions],tblDaily[EntryDate],DATE(2026,3,23),tblDaily[WardCode],"FAE")=0,"",SUMIFS(tblDaily[Admissions],tblDaily[EntryDate],DATE(2026,3,23),tblDaily[WardCode],"FAE")),"")</f>
        <v>4</v>
      </c>
      <c r="J110" s="39" t="str">
        <f>IFERROR(IF(SUMIFS(tblDaily[Discharges],tblDaily[EntryDate],DATE(2026,3,23),tblDaily[WardCode],"FAE")=0,"",SUMIFS(tblDaily[Discharges],tblDaily[EntryDate],DATE(2026,3,23),tblDaily[WardCode],"FAE")),"")</f>
        <v/>
      </c>
      <c r="K110" s="39" t="str">
        <f>IFERROR(IF(SUMIFS(tblDaily[Deaths],tblDaily[EntryDate],DATE(2026,3,23),tblDaily[WardCode],"FAE")=0,"",SUMIFS(tblDaily[Deaths],tblDaily[EntryDate],DATE(2026,3,23),tblDaily[WardCode],"FAE")),"")</f>
        <v/>
      </c>
      <c r="L110" s="39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39" t="str">
        <f>IFERROR(IF(SUMIFS(tblDaily[TransfersIn],tblDaily[EntryDate],DATE(2026,3,23),tblDaily[WardCode],"FAE")=0,"",SUMIFS(tblDaily[TransfersIn],tblDaily[EntryDate],DATE(2026,3,23),tblDaily[WardCode],"FAE")),"")</f>
        <v/>
      </c>
      <c r="N110" s="39">
        <f>IFERROR(IF(SUMIFS(tblDaily[TransfersOut],tblDaily[EntryDate],DATE(2026,3,23),tblDaily[WardCode],"FAE")=0,"",SUMIFS(tblDaily[TransfersOut],tblDaily[EntryDate],DATE(2026,3,23),tblDaily[WardCode],"FAE")),"")</f>
        <v>1</v>
      </c>
      <c r="O110" s="39">
        <f>IFERROR(IF(SUMIFS(tblDaily[Remaining],tblDaily[EntryDate],DATE(2026,3,23),tblDaily[WardCode],"FAE")=0,"",SUMIFS(tblDaily[Remaining],tblDaily[EntryDate],DATE(2026,3,23),tblDaily[WardCode],"FAE")),"")</f>
        <v>5</v>
      </c>
      <c r="P110" s="40">
        <f t="shared" si="2"/>
        <v>10</v>
      </c>
    </row>
    <row r="111" spans="1:16" x14ac:dyDescent="0.25">
      <c r="A111" s="39">
        <v>24</v>
      </c>
      <c r="B111" s="39">
        <f>IFERROR(IF(SUMIFS(tblDaily[Admissions],tblDaily[EntryDate],DATE(2026,3,24),tblDaily[WardCode],"MAE")=0,"",SUMIFS(tblDaily[Admissions],tblDaily[EntryDate],DATE(2026,3,24),tblDaily[WardCode],"MAE")),"")</f>
        <v>2</v>
      </c>
      <c r="C111" s="39">
        <f>IFERROR(IF(SUMIFS(tblDaily[Discharges],tblDaily[EntryDate],DATE(2026,3,24),tblDaily[WardCode],"MAE")=0,"",SUMIFS(tblDaily[Discharges],tblDaily[EntryDate],DATE(2026,3,24),tblDaily[WardCode],"MAE")),"")</f>
        <v>1</v>
      </c>
      <c r="D111" s="39" t="str">
        <f>IFERROR(IF(SUMIFS(tblDaily[Deaths],tblDaily[EntryDate],DATE(2026,3,24),tblDaily[WardCode],"MAE")=0,"",SUMIFS(tblDaily[Deaths],tblDaily[EntryDate],DATE(2026,3,24),tblDaily[WardCode],"MAE")),"")</f>
        <v/>
      </c>
      <c r="E111" s="39">
        <f>IFERROR(IF(SUMIFS(tblDaily[DeathsUnder24Hrs],tblDaily[EntryDate],DATE(2026,3,24),tblDaily[WardCode],"MAE")=0,"",SUMIFS(tblDaily[DeathsUnder24Hrs],tblDaily[EntryDate],DATE(2026,3,24),tblDaily[WardCode],"MAE")),"")</f>
        <v>1</v>
      </c>
      <c r="F111" s="39" t="str">
        <f>IFERROR(IF(SUMIFS(tblDaily[TransfersIn],tblDaily[EntryDate],DATE(2026,3,24),tblDaily[WardCode],"MAE")=0,"",SUMIFS(tblDaily[TransfersIn],tblDaily[EntryDate],DATE(2026,3,24),tblDaily[WardCode],"MAE")),"")</f>
        <v/>
      </c>
      <c r="G111" s="39">
        <f>IFERROR(IF(SUMIFS(tblDaily[TransfersOut],tblDaily[EntryDate],DATE(2026,3,24),tblDaily[WardCode],"MAE")=0,"",SUMIFS(tblDaily[TransfersOut],tblDaily[EntryDate],DATE(2026,3,24),tblDaily[WardCode],"MAE")),"")</f>
        <v>1</v>
      </c>
      <c r="H111" s="39">
        <f>IFERROR(IF(SUMIFS(tblDaily[Remaining],tblDaily[EntryDate],DATE(2026,3,24),tblDaily[WardCode],"MAE")=0,"",SUMIFS(tblDaily[Remaining],tblDaily[EntryDate],DATE(2026,3,24),tblDaily[WardCode],"MAE")),"")</f>
        <v>4</v>
      </c>
      <c r="I111" s="39">
        <f>IFERROR(IF(SUMIFS(tblDaily[Admissions],tblDaily[EntryDate],DATE(2026,3,24),tblDaily[WardCode],"FAE")=0,"",SUMIFS(tblDaily[Admissions],tblDaily[EntryDate],DATE(2026,3,24),tblDaily[WardCode],"FAE")),"")</f>
        <v>3</v>
      </c>
      <c r="J111" s="39" t="str">
        <f>IFERROR(IF(SUMIFS(tblDaily[Discharges],tblDaily[EntryDate],DATE(2026,3,24),tblDaily[WardCode],"FAE")=0,"",SUMIFS(tblDaily[Discharges],tblDaily[EntryDate],DATE(2026,3,24),tblDaily[WardCode],"FAE")),"")</f>
        <v/>
      </c>
      <c r="K111" s="39" t="str">
        <f>IFERROR(IF(SUMIFS(tblDaily[Deaths],tblDaily[EntryDate],DATE(2026,3,24),tblDaily[WardCode],"FAE")=0,"",SUMIFS(tblDaily[Deaths],tblDaily[EntryDate],DATE(2026,3,24),tblDaily[WardCode],"FAE")),"")</f>
        <v/>
      </c>
      <c r="L111" s="39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39" t="str">
        <f>IFERROR(IF(SUMIFS(tblDaily[TransfersIn],tblDaily[EntryDate],DATE(2026,3,24),tblDaily[WardCode],"FAE")=0,"",SUMIFS(tblDaily[TransfersIn],tblDaily[EntryDate],DATE(2026,3,24),tblDaily[WardCode],"FAE")),"")</f>
        <v/>
      </c>
      <c r="N111" s="39">
        <f>IFERROR(IF(SUMIFS(tblDaily[TransfersOut],tblDaily[EntryDate],DATE(2026,3,24),tblDaily[WardCode],"FAE")=0,"",SUMIFS(tblDaily[TransfersOut],tblDaily[EntryDate],DATE(2026,3,24),tblDaily[WardCode],"FAE")),"")</f>
        <v>3</v>
      </c>
      <c r="O111" s="39">
        <f>IFERROR(IF(SUMIFS(tblDaily[Remaining],tblDaily[EntryDate],DATE(2026,3,24),tblDaily[WardCode],"FAE")=0,"",SUMIFS(tblDaily[Remaining],tblDaily[EntryDate],DATE(2026,3,24),tblDaily[WardCode],"FAE")),"")</f>
        <v>5</v>
      </c>
      <c r="P111" s="40">
        <f t="shared" si="2"/>
        <v>9</v>
      </c>
    </row>
    <row r="112" spans="1:16" x14ac:dyDescent="0.25">
      <c r="A112" s="39">
        <v>25</v>
      </c>
      <c r="B112" s="39">
        <f>IFERROR(IF(SUMIFS(tblDaily[Admissions],tblDaily[EntryDate],DATE(2026,3,25),tblDaily[WardCode],"MAE")=0,"",SUMIFS(tblDaily[Admissions],tblDaily[EntryDate],DATE(2026,3,25),tblDaily[WardCode],"MAE")),"")</f>
        <v>2</v>
      </c>
      <c r="C112" s="39" t="str">
        <f>IFERROR(IF(SUMIFS(tblDaily[Discharges],tblDaily[EntryDate],DATE(2026,3,25),tblDaily[WardCode],"MAE")=0,"",SUMIFS(tblDaily[Discharges],tblDaily[EntryDate],DATE(2026,3,25),tblDaily[WardCode],"MAE")),"")</f>
        <v/>
      </c>
      <c r="D112" s="39" t="str">
        <f>IFERROR(IF(SUMIFS(tblDaily[Deaths],tblDaily[EntryDate],DATE(2026,3,25),tblDaily[WardCode],"MAE")=0,"",SUMIFS(tblDaily[Deaths],tblDaily[EntryDate],DATE(2026,3,25),tblDaily[WardCode],"MAE")),"")</f>
        <v/>
      </c>
      <c r="E112" s="39">
        <f>IFERROR(IF(SUMIFS(tblDaily[DeathsUnder24Hrs],tblDaily[EntryDate],DATE(2026,3,25),tblDaily[WardCode],"MAE")=0,"",SUMIFS(tblDaily[DeathsUnder24Hrs],tblDaily[EntryDate],DATE(2026,3,25),tblDaily[WardCode],"MAE")),"")</f>
        <v>1</v>
      </c>
      <c r="F112" s="39" t="str">
        <f>IFERROR(IF(SUMIFS(tblDaily[TransfersIn],tblDaily[EntryDate],DATE(2026,3,25),tblDaily[WardCode],"MAE")=0,"",SUMIFS(tblDaily[TransfersIn],tblDaily[EntryDate],DATE(2026,3,25),tblDaily[WardCode],"MAE")),"")</f>
        <v/>
      </c>
      <c r="G112" s="39">
        <f>IFERROR(IF(SUMIFS(tblDaily[TransfersOut],tblDaily[EntryDate],DATE(2026,3,25),tblDaily[WardCode],"MAE")=0,"",SUMIFS(tblDaily[TransfersOut],tblDaily[EntryDate],DATE(2026,3,25),tblDaily[WardCode],"MAE")),"")</f>
        <v>2</v>
      </c>
      <c r="H112" s="39">
        <f>IFERROR(IF(SUMIFS(tblDaily[Remaining],tblDaily[EntryDate],DATE(2026,3,25),tblDaily[WardCode],"MAE")=0,"",SUMIFS(tblDaily[Remaining],tblDaily[EntryDate],DATE(2026,3,25),tblDaily[WardCode],"MAE")),"")</f>
        <v>3</v>
      </c>
      <c r="I112" s="39">
        <f>IFERROR(IF(SUMIFS(tblDaily[Admissions],tblDaily[EntryDate],DATE(2026,3,25),tblDaily[WardCode],"FAE")=0,"",SUMIFS(tblDaily[Admissions],tblDaily[EntryDate],DATE(2026,3,25),tblDaily[WardCode],"FAE")),"")</f>
        <v>2</v>
      </c>
      <c r="J112" s="39" t="str">
        <f>IFERROR(IF(SUMIFS(tblDaily[Discharges],tblDaily[EntryDate],DATE(2026,3,25),tblDaily[WardCode],"FAE")=0,"",SUMIFS(tblDaily[Discharges],tblDaily[EntryDate],DATE(2026,3,25),tblDaily[WardCode],"FAE")),"")</f>
        <v/>
      </c>
      <c r="K112" s="39" t="str">
        <f>IFERROR(IF(SUMIFS(tblDaily[Deaths],tblDaily[EntryDate],DATE(2026,3,25),tblDaily[WardCode],"FAE")=0,"",SUMIFS(tblDaily[Deaths],tblDaily[EntryDate],DATE(2026,3,25),tblDaily[WardCode],"FAE")),"")</f>
        <v/>
      </c>
      <c r="L112" s="39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39" t="str">
        <f>IFERROR(IF(SUMIFS(tblDaily[TransfersIn],tblDaily[EntryDate],DATE(2026,3,25),tblDaily[WardCode],"FAE")=0,"",SUMIFS(tblDaily[TransfersIn],tblDaily[EntryDate],DATE(2026,3,25),tblDaily[WardCode],"FAE")),"")</f>
        <v/>
      </c>
      <c r="N112" s="39" t="str">
        <f>IFERROR(IF(SUMIFS(tblDaily[TransfersOut],tblDaily[EntryDate],DATE(2026,3,25),tblDaily[WardCode],"FAE")=0,"",SUMIFS(tblDaily[TransfersOut],tblDaily[EntryDate],DATE(2026,3,25),tblDaily[WardCode],"FAE")),"")</f>
        <v/>
      </c>
      <c r="O112" s="39">
        <f>IFERROR(IF(SUMIFS(tblDaily[Remaining],tblDaily[EntryDate],DATE(2026,3,25),tblDaily[WardCode],"FAE")=0,"",SUMIFS(tblDaily[Remaining],tblDaily[EntryDate],DATE(2026,3,25),tblDaily[WardCode],"FAE")),"")</f>
        <v>7</v>
      </c>
      <c r="P112" s="40">
        <f t="shared" si="2"/>
        <v>10</v>
      </c>
    </row>
    <row r="113" spans="1:16" x14ac:dyDescent="0.25">
      <c r="A113" s="39">
        <v>26</v>
      </c>
      <c r="B113" s="39">
        <f>IFERROR(IF(SUMIFS(tblDaily[Admissions],tblDaily[EntryDate],DATE(2026,3,26),tblDaily[WardCode],"MAE")=0,"",SUMIFS(tblDaily[Admissions],tblDaily[EntryDate],DATE(2026,3,26),tblDaily[WardCode],"MAE")),"")</f>
        <v>4</v>
      </c>
      <c r="C113" s="39" t="str">
        <f>IFERROR(IF(SUMIFS(tblDaily[Discharges],tblDaily[EntryDate],DATE(2026,3,26),tblDaily[WardCode],"MAE")=0,"",SUMIFS(tblDaily[Discharges],tblDaily[EntryDate],DATE(2026,3,26),tblDaily[WardCode],"MAE")),"")</f>
        <v/>
      </c>
      <c r="D113" s="39">
        <f>IFERROR(IF(SUMIFS(tblDaily[Deaths],tblDaily[EntryDate],DATE(2026,3,26),tblDaily[WardCode],"MAE")=0,"",SUMIFS(tblDaily[Deaths],tblDaily[EntryDate],DATE(2026,3,26),tblDaily[WardCode],"MAE")),"")</f>
        <v>1</v>
      </c>
      <c r="E113" s="39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39" t="str">
        <f>IFERROR(IF(SUMIFS(tblDaily[TransfersIn],tblDaily[EntryDate],DATE(2026,3,26),tblDaily[WardCode],"MAE")=0,"",SUMIFS(tblDaily[TransfersIn],tblDaily[EntryDate],DATE(2026,3,26),tblDaily[WardCode],"MAE")),"")</f>
        <v/>
      </c>
      <c r="G113" s="39">
        <f>IFERROR(IF(SUMIFS(tblDaily[TransfersOut],tblDaily[EntryDate],DATE(2026,3,26),tblDaily[WardCode],"MAE")=0,"",SUMIFS(tblDaily[TransfersOut],tblDaily[EntryDate],DATE(2026,3,26),tblDaily[WardCode],"MAE")),"")</f>
        <v>3</v>
      </c>
      <c r="H113" s="39">
        <f>IFERROR(IF(SUMIFS(tblDaily[Remaining],tblDaily[EntryDate],DATE(2026,3,26),tblDaily[WardCode],"MAE")=0,"",SUMIFS(tblDaily[Remaining],tblDaily[EntryDate],DATE(2026,3,26),tblDaily[WardCode],"MAE")),"")</f>
        <v>3</v>
      </c>
      <c r="I113" s="39">
        <f>IFERROR(IF(SUMIFS(tblDaily[Admissions],tblDaily[EntryDate],DATE(2026,3,26),tblDaily[WardCode],"FAE")=0,"",SUMIFS(tblDaily[Admissions],tblDaily[EntryDate],DATE(2026,3,26),tblDaily[WardCode],"FAE")),"")</f>
        <v>2</v>
      </c>
      <c r="J113" s="39">
        <f>IFERROR(IF(SUMIFS(tblDaily[Discharges],tblDaily[EntryDate],DATE(2026,3,26),tblDaily[WardCode],"FAE")=0,"",SUMIFS(tblDaily[Discharges],tblDaily[EntryDate],DATE(2026,3,26),tblDaily[WardCode],"FAE")),"")</f>
        <v>2</v>
      </c>
      <c r="K113" s="39" t="str">
        <f>IFERROR(IF(SUMIFS(tblDaily[Deaths],tblDaily[EntryDate],DATE(2026,3,26),tblDaily[WardCode],"FAE")=0,"",SUMIFS(tblDaily[Deaths],tblDaily[EntryDate],DATE(2026,3,26),tblDaily[WardCode],"FAE")),"")</f>
        <v/>
      </c>
      <c r="L113" s="39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39" t="str">
        <f>IFERROR(IF(SUMIFS(tblDaily[TransfersIn],tblDaily[EntryDate],DATE(2026,3,26),tblDaily[WardCode],"FAE")=0,"",SUMIFS(tblDaily[TransfersIn],tblDaily[EntryDate],DATE(2026,3,26),tblDaily[WardCode],"FAE")),"")</f>
        <v/>
      </c>
      <c r="N113" s="39">
        <f>IFERROR(IF(SUMIFS(tblDaily[TransfersOut],tblDaily[EntryDate],DATE(2026,3,26),tblDaily[WardCode],"FAE")=0,"",SUMIFS(tblDaily[TransfersOut],tblDaily[EntryDate],DATE(2026,3,26),tblDaily[WardCode],"FAE")),"")</f>
        <v>1</v>
      </c>
      <c r="O113" s="39">
        <f>IFERROR(IF(SUMIFS(tblDaily[Remaining],tblDaily[EntryDate],DATE(2026,3,26),tblDaily[WardCode],"FAE")=0,"",SUMIFS(tblDaily[Remaining],tblDaily[EntryDate],DATE(2026,3,26),tblDaily[WardCode],"FAE")),"")</f>
        <v>6</v>
      </c>
      <c r="P113" s="40">
        <f t="shared" si="2"/>
        <v>9</v>
      </c>
    </row>
    <row r="114" spans="1:16" x14ac:dyDescent="0.25">
      <c r="A114" s="39">
        <v>27</v>
      </c>
      <c r="B114" s="39">
        <f>IFERROR(IF(SUMIFS(tblDaily[Admissions],tblDaily[EntryDate],DATE(2026,3,27),tblDaily[WardCode],"MAE")=0,"",SUMIFS(tblDaily[Admissions],tblDaily[EntryDate],DATE(2026,3,27),tblDaily[WardCode],"MAE")),"")</f>
        <v>2</v>
      </c>
      <c r="C114" s="39">
        <f>IFERROR(IF(SUMIFS(tblDaily[Discharges],tblDaily[EntryDate],DATE(2026,3,27),tblDaily[WardCode],"MAE")=0,"",SUMIFS(tblDaily[Discharges],tblDaily[EntryDate],DATE(2026,3,27),tblDaily[WardCode],"MAE")),"")</f>
        <v>3</v>
      </c>
      <c r="D114" s="39" t="str">
        <f>IFERROR(IF(SUMIFS(tblDaily[Deaths],tblDaily[EntryDate],DATE(2026,3,27),tblDaily[WardCode],"MAE")=0,"",SUMIFS(tblDaily[Deaths],tblDaily[EntryDate],DATE(2026,3,27),tblDaily[WardCode],"MAE")),"")</f>
        <v/>
      </c>
      <c r="E114" s="39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39" t="str">
        <f>IFERROR(IF(SUMIFS(tblDaily[TransfersIn],tblDaily[EntryDate],DATE(2026,3,27),tblDaily[WardCode],"MAE")=0,"",SUMIFS(tblDaily[TransfersIn],tblDaily[EntryDate],DATE(2026,3,27),tblDaily[WardCode],"MAE")),"")</f>
        <v/>
      </c>
      <c r="G114" s="39" t="str">
        <f>IFERROR(IF(SUMIFS(tblDaily[TransfersOut],tblDaily[EntryDate],DATE(2026,3,27),tblDaily[WardCode],"MAE")=0,"",SUMIFS(tblDaily[TransfersOut],tblDaily[EntryDate],DATE(2026,3,27),tblDaily[WardCode],"MAE")),"")</f>
        <v/>
      </c>
      <c r="H114" s="39">
        <f>IFERROR(IF(SUMIFS(tblDaily[Remaining],tblDaily[EntryDate],DATE(2026,3,27),tblDaily[WardCode],"MAE")=0,"",SUMIFS(tblDaily[Remaining],tblDaily[EntryDate],DATE(2026,3,27),tblDaily[WardCode],"MAE")),"")</f>
        <v>2</v>
      </c>
      <c r="I114" s="39" t="str">
        <f>IFERROR(IF(SUMIFS(tblDaily[Admissions],tblDaily[EntryDate],DATE(2026,3,27),tblDaily[WardCode],"FAE")=0,"",SUMIFS(tblDaily[Admissions],tblDaily[EntryDate],DATE(2026,3,27),tblDaily[WardCode],"FAE")),"")</f>
        <v/>
      </c>
      <c r="J114" s="39" t="str">
        <f>IFERROR(IF(SUMIFS(tblDaily[Discharges],tblDaily[EntryDate],DATE(2026,3,27),tblDaily[WardCode],"FAE")=0,"",SUMIFS(tblDaily[Discharges],tblDaily[EntryDate],DATE(2026,3,27),tblDaily[WardCode],"FAE")),"")</f>
        <v/>
      </c>
      <c r="K114" s="39">
        <f>IFERROR(IF(SUMIFS(tblDaily[Deaths],tblDaily[EntryDate],DATE(2026,3,27),tblDaily[WardCode],"FAE")=0,"",SUMIFS(tblDaily[Deaths],tblDaily[EntryDate],DATE(2026,3,27),tblDaily[WardCode],"FAE")),"")</f>
        <v>3</v>
      </c>
      <c r="L114" s="39">
        <f>IFERROR(IF(SUMIFS(tblDaily[DeathsUnder24Hrs],tblDaily[EntryDate],DATE(2026,3,27),tblDaily[WardCode],"FAE")=0,"",SUMIFS(tblDaily[DeathsUnder24Hrs],tblDaily[EntryDate],DATE(2026,3,27),tblDaily[WardCode],"FAE")),"")</f>
        <v>1</v>
      </c>
      <c r="M114" s="39" t="str">
        <f>IFERROR(IF(SUMIFS(tblDaily[TransfersIn],tblDaily[EntryDate],DATE(2026,3,27),tblDaily[WardCode],"FAE")=0,"",SUMIFS(tblDaily[TransfersIn],tblDaily[EntryDate],DATE(2026,3,27),tblDaily[WardCode],"FAE")),"")</f>
        <v/>
      </c>
      <c r="N114" s="39">
        <f>IFERROR(IF(SUMIFS(tblDaily[TransfersOut],tblDaily[EntryDate],DATE(2026,3,27),tblDaily[WardCode],"FAE")=0,"",SUMIFS(tblDaily[TransfersOut],tblDaily[EntryDate],DATE(2026,3,27),tblDaily[WardCode],"FAE")),"")</f>
        <v>2</v>
      </c>
      <c r="O114" s="39" t="str">
        <f>IFERROR(IF(SUMIFS(tblDaily[Remaining],tblDaily[EntryDate],DATE(2026,3,27),tblDaily[WardCode],"FAE")=0,"",SUMIFS(tblDaily[Remaining],tblDaily[EntryDate],DATE(2026,3,27),tblDaily[WardCode],"FAE")),"")</f>
        <v/>
      </c>
      <c r="P114" s="40">
        <f t="shared" si="2"/>
        <v>2</v>
      </c>
    </row>
    <row r="115" spans="1:16" x14ac:dyDescent="0.25">
      <c r="A115" s="39">
        <v>28</v>
      </c>
      <c r="B115" s="39">
        <f>IFERROR(IF(SUMIFS(tblDaily[Admissions],tblDaily[EntryDate],DATE(2026,3,28),tblDaily[WardCode],"MAE")=0,"",SUMIFS(tblDaily[Admissions],tblDaily[EntryDate],DATE(2026,3,28),tblDaily[WardCode],"MAE")),"")</f>
        <v>3</v>
      </c>
      <c r="C115" s="39" t="str">
        <f>IFERROR(IF(SUMIFS(tblDaily[Discharges],tblDaily[EntryDate],DATE(2026,3,28),tblDaily[WardCode],"MAE")=0,"",SUMIFS(tblDaily[Discharges],tblDaily[EntryDate],DATE(2026,3,28),tblDaily[WardCode],"MAE")),"")</f>
        <v/>
      </c>
      <c r="D115" s="39" t="str">
        <f>IFERROR(IF(SUMIFS(tblDaily[Deaths],tblDaily[EntryDate],DATE(2026,3,28),tblDaily[WardCode],"MAE")=0,"",SUMIFS(tblDaily[Deaths],tblDaily[EntryDate],DATE(2026,3,28),tblDaily[WardCode],"MAE")),"")</f>
        <v/>
      </c>
      <c r="E115" s="39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39" t="str">
        <f>IFERROR(IF(SUMIFS(tblDaily[TransfersIn],tblDaily[EntryDate],DATE(2026,3,28),tblDaily[WardCode],"MAE")=0,"",SUMIFS(tblDaily[TransfersIn],tblDaily[EntryDate],DATE(2026,3,28),tblDaily[WardCode],"MAE")),"")</f>
        <v/>
      </c>
      <c r="G115" s="39">
        <f>IFERROR(IF(SUMIFS(tblDaily[TransfersOut],tblDaily[EntryDate],DATE(2026,3,28),tblDaily[WardCode],"MAE")=0,"",SUMIFS(tblDaily[TransfersOut],tblDaily[EntryDate],DATE(2026,3,28),tblDaily[WardCode],"MAE")),"")</f>
        <v>2</v>
      </c>
      <c r="H115" s="39">
        <f>IFERROR(IF(SUMIFS(tblDaily[Remaining],tblDaily[EntryDate],DATE(2026,3,28),tblDaily[WardCode],"MAE")=0,"",SUMIFS(tblDaily[Remaining],tblDaily[EntryDate],DATE(2026,3,28),tblDaily[WardCode],"MAE")),"")</f>
        <v>3</v>
      </c>
      <c r="I115" s="39">
        <f>IFERROR(IF(SUMIFS(tblDaily[Admissions],tblDaily[EntryDate],DATE(2026,3,28),tblDaily[WardCode],"FAE")=0,"",SUMIFS(tblDaily[Admissions],tblDaily[EntryDate],DATE(2026,3,28),tblDaily[WardCode],"FAE")),"")</f>
        <v>1</v>
      </c>
      <c r="J115" s="39" t="str">
        <f>IFERROR(IF(SUMIFS(tblDaily[Discharges],tblDaily[EntryDate],DATE(2026,3,28),tblDaily[WardCode],"FAE")=0,"",SUMIFS(tblDaily[Discharges],tblDaily[EntryDate],DATE(2026,3,28),tblDaily[WardCode],"FAE")),"")</f>
        <v/>
      </c>
      <c r="K115" s="39" t="str">
        <f>IFERROR(IF(SUMIFS(tblDaily[Deaths],tblDaily[EntryDate],DATE(2026,3,28),tblDaily[WardCode],"FAE")=0,"",SUMIFS(tblDaily[Deaths],tblDaily[EntryDate],DATE(2026,3,28),tblDaily[WardCode],"FAE")),"")</f>
        <v/>
      </c>
      <c r="L115" s="39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39" t="str">
        <f>IFERROR(IF(SUMIFS(tblDaily[TransfersIn],tblDaily[EntryDate],DATE(2026,3,28),tblDaily[WardCode],"FAE")=0,"",SUMIFS(tblDaily[TransfersIn],tblDaily[EntryDate],DATE(2026,3,28),tblDaily[WardCode],"FAE")),"")</f>
        <v/>
      </c>
      <c r="N115" s="39" t="str">
        <f>IFERROR(IF(SUMIFS(tblDaily[TransfersOut],tblDaily[EntryDate],DATE(2026,3,28),tblDaily[WardCode],"FAE")=0,"",SUMIFS(tblDaily[TransfersOut],tblDaily[EntryDate],DATE(2026,3,28),tblDaily[WardCode],"FAE")),"")</f>
        <v/>
      </c>
      <c r="O115" s="39">
        <f>IFERROR(IF(SUMIFS(tblDaily[Remaining],tblDaily[EntryDate],DATE(2026,3,28),tblDaily[WardCode],"FAE")=0,"",SUMIFS(tblDaily[Remaining],tblDaily[EntryDate],DATE(2026,3,28),tblDaily[WardCode],"FAE")),"")</f>
        <v>1</v>
      </c>
      <c r="P115" s="40">
        <f t="shared" si="2"/>
        <v>4</v>
      </c>
    </row>
    <row r="116" spans="1:16" x14ac:dyDescent="0.25">
      <c r="A116" s="39">
        <v>29</v>
      </c>
      <c r="B116" s="39">
        <f>IFERROR(IF(SUMIFS(tblDaily[Admissions],tblDaily[EntryDate],DATE(2026,3,29),tblDaily[WardCode],"MAE")=0,"",SUMIFS(tblDaily[Admissions],tblDaily[EntryDate],DATE(2026,3,29),tblDaily[WardCode],"MAE")),"")</f>
        <v>2</v>
      </c>
      <c r="C116" s="39" t="str">
        <f>IFERROR(IF(SUMIFS(tblDaily[Discharges],tblDaily[EntryDate],DATE(2026,3,29),tblDaily[WardCode],"MAE")=0,"",SUMIFS(tblDaily[Discharges],tblDaily[EntryDate],DATE(2026,3,29),tblDaily[WardCode],"MAE")),"")</f>
        <v/>
      </c>
      <c r="D116" s="39">
        <f>IFERROR(IF(SUMIFS(tblDaily[Deaths],tblDaily[EntryDate],DATE(2026,3,29),tblDaily[WardCode],"MAE")=0,"",SUMIFS(tblDaily[Deaths],tblDaily[EntryDate],DATE(2026,3,29),tblDaily[WardCode],"MAE")),"")</f>
        <v>1</v>
      </c>
      <c r="E116" s="39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39" t="str">
        <f>IFERROR(IF(SUMIFS(tblDaily[TransfersIn],tblDaily[EntryDate],DATE(2026,3,29),tblDaily[WardCode],"MAE")=0,"",SUMIFS(tblDaily[TransfersIn],tblDaily[EntryDate],DATE(2026,3,29),tblDaily[WardCode],"MAE")),"")</f>
        <v/>
      </c>
      <c r="G116" s="39">
        <f>IFERROR(IF(SUMIFS(tblDaily[TransfersOut],tblDaily[EntryDate],DATE(2026,3,29),tblDaily[WardCode],"MAE")=0,"",SUMIFS(tblDaily[TransfersOut],tblDaily[EntryDate],DATE(2026,3,29),tblDaily[WardCode],"MAE")),"")</f>
        <v>1</v>
      </c>
      <c r="H116" s="39">
        <f>IFERROR(IF(SUMIFS(tblDaily[Remaining],tblDaily[EntryDate],DATE(2026,3,29),tblDaily[WardCode],"MAE")=0,"",SUMIFS(tblDaily[Remaining],tblDaily[EntryDate],DATE(2026,3,29),tblDaily[WardCode],"MAE")),"")</f>
        <v>3</v>
      </c>
      <c r="I116" s="39">
        <f>IFERROR(IF(SUMIFS(tblDaily[Admissions],tblDaily[EntryDate],DATE(2026,3,29),tblDaily[WardCode],"FAE")=0,"",SUMIFS(tblDaily[Admissions],tblDaily[EntryDate],DATE(2026,3,29),tblDaily[WardCode],"FAE")),"")</f>
        <v>4</v>
      </c>
      <c r="J116" s="39" t="str">
        <f>IFERROR(IF(SUMIFS(tblDaily[Discharges],tblDaily[EntryDate],DATE(2026,3,29),tblDaily[WardCode],"FAE")=0,"",SUMIFS(tblDaily[Discharges],tblDaily[EntryDate],DATE(2026,3,29),tblDaily[WardCode],"FAE")),"")</f>
        <v/>
      </c>
      <c r="K116" s="39" t="str">
        <f>IFERROR(IF(SUMIFS(tblDaily[Deaths],tblDaily[EntryDate],DATE(2026,3,29),tblDaily[WardCode],"FAE")=0,"",SUMIFS(tblDaily[Deaths],tblDaily[EntryDate],DATE(2026,3,29),tblDaily[WardCode],"FAE")),"")</f>
        <v/>
      </c>
      <c r="L116" s="39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39" t="str">
        <f>IFERROR(IF(SUMIFS(tblDaily[TransfersIn],tblDaily[EntryDate],DATE(2026,3,29),tblDaily[WardCode],"FAE")=0,"",SUMIFS(tblDaily[TransfersIn],tblDaily[EntryDate],DATE(2026,3,29),tblDaily[WardCode],"FAE")),"")</f>
        <v/>
      </c>
      <c r="N116" s="39">
        <f>IFERROR(IF(SUMIFS(tblDaily[TransfersOut],tblDaily[EntryDate],DATE(2026,3,29),tblDaily[WardCode],"FAE")=0,"",SUMIFS(tblDaily[TransfersOut],tblDaily[EntryDate],DATE(2026,3,29),tblDaily[WardCode],"FAE")),"")</f>
        <v>1</v>
      </c>
      <c r="O116" s="39">
        <f>IFERROR(IF(SUMIFS(tblDaily[Remaining],tblDaily[EntryDate],DATE(2026,3,29),tblDaily[WardCode],"FAE")=0,"",SUMIFS(tblDaily[Remaining],tblDaily[EntryDate],DATE(2026,3,29),tblDaily[WardCode],"FAE")),"")</f>
        <v>4</v>
      </c>
      <c r="P116" s="40">
        <f t="shared" si="2"/>
        <v>7</v>
      </c>
    </row>
    <row r="117" spans="1:16" x14ac:dyDescent="0.25">
      <c r="A117" s="39">
        <v>30</v>
      </c>
      <c r="B117" s="39">
        <f>IFERROR(IF(SUMIFS(tblDaily[Admissions],tblDaily[EntryDate],DATE(2026,3,30),tblDaily[WardCode],"MAE")=0,"",SUMIFS(tblDaily[Admissions],tblDaily[EntryDate],DATE(2026,3,30),tblDaily[WardCode],"MAE")),"")</f>
        <v>1</v>
      </c>
      <c r="C117" s="39">
        <f>IFERROR(IF(SUMIFS(tblDaily[Discharges],tblDaily[EntryDate],DATE(2026,3,30),tblDaily[WardCode],"MAE")=0,"",SUMIFS(tblDaily[Discharges],tblDaily[EntryDate],DATE(2026,3,30),tblDaily[WardCode],"MAE")),"")</f>
        <v>1</v>
      </c>
      <c r="D117" s="39">
        <f>IFERROR(IF(SUMIFS(tblDaily[Deaths],tblDaily[EntryDate],DATE(2026,3,30),tblDaily[WardCode],"MAE")=0,"",SUMIFS(tblDaily[Deaths],tblDaily[EntryDate],DATE(2026,3,30),tblDaily[WardCode],"MAE")),"")</f>
        <v>1</v>
      </c>
      <c r="E117" s="39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39" t="str">
        <f>IFERROR(IF(SUMIFS(tblDaily[TransfersIn],tblDaily[EntryDate],DATE(2026,3,30),tblDaily[WardCode],"MAE")=0,"",SUMIFS(tblDaily[TransfersIn],tblDaily[EntryDate],DATE(2026,3,30),tblDaily[WardCode],"MAE")),"")</f>
        <v/>
      </c>
      <c r="G117" s="39" t="str">
        <f>IFERROR(IF(SUMIFS(tblDaily[TransfersOut],tblDaily[EntryDate],DATE(2026,3,30),tblDaily[WardCode],"MAE")=0,"",SUMIFS(tblDaily[TransfersOut],tblDaily[EntryDate],DATE(2026,3,30),tblDaily[WardCode],"MAE")),"")</f>
        <v/>
      </c>
      <c r="H117" s="39">
        <f>IFERROR(IF(SUMIFS(tblDaily[Remaining],tblDaily[EntryDate],DATE(2026,3,30),tblDaily[WardCode],"MAE")=0,"",SUMIFS(tblDaily[Remaining],tblDaily[EntryDate],DATE(2026,3,30),tblDaily[WardCode],"MAE")),"")</f>
        <v>2</v>
      </c>
      <c r="I117" s="39">
        <f>IFERROR(IF(SUMIFS(tblDaily[Admissions],tblDaily[EntryDate],DATE(2026,3,30),tblDaily[WardCode],"FAE")=0,"",SUMIFS(tblDaily[Admissions],tblDaily[EntryDate],DATE(2026,3,30),tblDaily[WardCode],"FAE")),"")</f>
        <v>3</v>
      </c>
      <c r="J117" s="39" t="str">
        <f>IFERROR(IF(SUMIFS(tblDaily[Discharges],tblDaily[EntryDate],DATE(2026,3,30),tblDaily[WardCode],"FAE")=0,"",SUMIFS(tblDaily[Discharges],tblDaily[EntryDate],DATE(2026,3,30),tblDaily[WardCode],"FAE")),"")</f>
        <v/>
      </c>
      <c r="K117" s="39">
        <f>IFERROR(IF(SUMIFS(tblDaily[Deaths],tblDaily[EntryDate],DATE(2026,3,30),tblDaily[WardCode],"FAE")=0,"",SUMIFS(tblDaily[Deaths],tblDaily[EntryDate],DATE(2026,3,30),tblDaily[WardCode],"FAE")),"")</f>
        <v>1</v>
      </c>
      <c r="L117" s="39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39" t="str">
        <f>IFERROR(IF(SUMIFS(tblDaily[TransfersIn],tblDaily[EntryDate],DATE(2026,3,30),tblDaily[WardCode],"FAE")=0,"",SUMIFS(tblDaily[TransfersIn],tblDaily[EntryDate],DATE(2026,3,30),tblDaily[WardCode],"FAE")),"")</f>
        <v/>
      </c>
      <c r="N117" s="39" t="str">
        <f>IFERROR(IF(SUMIFS(tblDaily[TransfersOut],tblDaily[EntryDate],DATE(2026,3,30),tblDaily[WardCode],"FAE")=0,"",SUMIFS(tblDaily[TransfersOut],tblDaily[EntryDate],DATE(2026,3,30),tblDaily[WardCode],"FAE")),"")</f>
        <v/>
      </c>
      <c r="O117" s="39">
        <f>IFERROR(IF(SUMIFS(tblDaily[Remaining],tblDaily[EntryDate],DATE(2026,3,30),tblDaily[WardCode],"FAE")=0,"",SUMIFS(tblDaily[Remaining],tblDaily[EntryDate],DATE(2026,3,30),tblDaily[WardCode],"FAE")),"")</f>
        <v>6</v>
      </c>
      <c r="P117" s="40">
        <f t="shared" si="2"/>
        <v>8</v>
      </c>
    </row>
    <row r="118" spans="1:16" x14ac:dyDescent="0.25">
      <c r="A118" s="39">
        <v>31</v>
      </c>
      <c r="B118" s="39">
        <f>IFERROR(IF(SUMIFS(tblDaily[Admissions],tblDaily[EntryDate],DATE(2026,3,31),tblDaily[WardCode],"MAE")=0,"",SUMIFS(tblDaily[Admissions],tblDaily[EntryDate],DATE(2026,3,31),tblDaily[WardCode],"MAE")),"")</f>
        <v>3</v>
      </c>
      <c r="C118" s="39">
        <f>IFERROR(IF(SUMIFS(tblDaily[Discharges],tblDaily[EntryDate],DATE(2026,3,31),tblDaily[WardCode],"MAE")=0,"",SUMIFS(tblDaily[Discharges],tblDaily[EntryDate],DATE(2026,3,31),tblDaily[WardCode],"MAE")),"")</f>
        <v>1</v>
      </c>
      <c r="D118" s="39" t="str">
        <f>IFERROR(IF(SUMIFS(tblDaily[Deaths],tblDaily[EntryDate],DATE(2026,3,31),tblDaily[WardCode],"MAE")=0,"",SUMIFS(tblDaily[Deaths],tblDaily[EntryDate],DATE(2026,3,31),tblDaily[WardCode],"MAE")),"")</f>
        <v/>
      </c>
      <c r="E118" s="39">
        <f>IFERROR(IF(SUMIFS(tblDaily[DeathsUnder24Hrs],tblDaily[EntryDate],DATE(2026,3,31),tblDaily[WardCode],"MAE")=0,"",SUMIFS(tblDaily[DeathsUnder24Hrs],tblDaily[EntryDate],DATE(2026,3,31),tblDaily[WardCode],"MAE")),"")</f>
        <v>1</v>
      </c>
      <c r="F118" s="39" t="str">
        <f>IFERROR(IF(SUMIFS(tblDaily[TransfersIn],tblDaily[EntryDate],DATE(2026,3,31),tblDaily[WardCode],"MAE")=0,"",SUMIFS(tblDaily[TransfersIn],tblDaily[EntryDate],DATE(2026,3,31),tblDaily[WardCode],"MAE")),"")</f>
        <v/>
      </c>
      <c r="G118" s="39" t="str">
        <f>IFERROR(IF(SUMIFS(tblDaily[TransfersOut],tblDaily[EntryDate],DATE(2026,3,31),tblDaily[WardCode],"MAE")=0,"",SUMIFS(tblDaily[TransfersOut],tblDaily[EntryDate],DATE(2026,3,31),tblDaily[WardCode],"MAE")),"")</f>
        <v/>
      </c>
      <c r="H118" s="39">
        <f>IFERROR(IF(SUMIFS(tblDaily[Remaining],tblDaily[EntryDate],DATE(2026,3,31),tblDaily[WardCode],"MAE")=0,"",SUMIFS(tblDaily[Remaining],tblDaily[EntryDate],DATE(2026,3,31),tblDaily[WardCode],"MAE")),"")</f>
        <v>3</v>
      </c>
      <c r="I118" s="39">
        <f>IFERROR(IF(SUMIFS(tblDaily[Admissions],tblDaily[EntryDate],DATE(2026,3,31),tblDaily[WardCode],"FAE")=0,"",SUMIFS(tblDaily[Admissions],tblDaily[EntryDate],DATE(2026,3,31),tblDaily[WardCode],"FAE")),"")</f>
        <v>3</v>
      </c>
      <c r="J118" s="39">
        <f>IFERROR(IF(SUMIFS(tblDaily[Discharges],tblDaily[EntryDate],DATE(2026,3,31),tblDaily[WardCode],"FAE")=0,"",SUMIFS(tblDaily[Discharges],tblDaily[EntryDate],DATE(2026,3,31),tblDaily[WardCode],"FAE")),"")</f>
        <v>2</v>
      </c>
      <c r="K118" s="39">
        <f>IFERROR(IF(SUMIFS(tblDaily[Deaths],tblDaily[EntryDate],DATE(2026,3,31),tblDaily[WardCode],"FAE")=0,"",SUMIFS(tblDaily[Deaths],tblDaily[EntryDate],DATE(2026,3,31),tblDaily[WardCode],"FAE")),"")</f>
        <v>1</v>
      </c>
      <c r="L118" s="39">
        <f>IFERROR(IF(SUMIFS(tblDaily[DeathsUnder24Hrs],tblDaily[EntryDate],DATE(2026,3,31),tblDaily[WardCode],"FAE")=0,"",SUMIFS(tblDaily[DeathsUnder24Hrs],tblDaily[EntryDate],DATE(2026,3,31),tblDaily[WardCode],"FAE")),"")</f>
        <v>2</v>
      </c>
      <c r="M118" s="39" t="str">
        <f>IFERROR(IF(SUMIFS(tblDaily[TransfersIn],tblDaily[EntryDate],DATE(2026,3,31),tblDaily[WardCode],"FAE")=0,"",SUMIFS(tblDaily[TransfersIn],tblDaily[EntryDate],DATE(2026,3,31),tblDaily[WardCode],"FAE")),"")</f>
        <v/>
      </c>
      <c r="N118" s="39">
        <f>IFERROR(IF(SUMIFS(tblDaily[TransfersOut],tblDaily[EntryDate],DATE(2026,3,31),tblDaily[WardCode],"FAE")=0,"",SUMIFS(tblDaily[TransfersOut],tblDaily[EntryDate],DATE(2026,3,31),tblDaily[WardCode],"FAE")),"")</f>
        <v>1</v>
      </c>
      <c r="O118" s="39">
        <f>IFERROR(IF(SUMIFS(tblDaily[Remaining],tblDaily[EntryDate],DATE(2026,3,31),tblDaily[WardCode],"FAE")=0,"",SUMIFS(tblDaily[Remaining],tblDaily[EntryDate],DATE(2026,3,31),tblDaily[WardCode],"FAE")),"")</f>
        <v>3</v>
      </c>
      <c r="P118" s="40">
        <f t="shared" si="2"/>
        <v>6</v>
      </c>
    </row>
    <row r="119" spans="1:16" x14ac:dyDescent="0.25">
      <c r="A119" s="30" t="s">
        <v>115</v>
      </c>
      <c r="B119" s="30">
        <f>SUMIFS(tblDaily[Admissions],tblDaily[Month],3,tblDaily[WardCode],"MAE") - SUMIFS(tblDaily[DeathsUnder24Hrs],tblDaily[Month],3,tblDaily[WardCode],"MAE")</f>
        <v>66</v>
      </c>
      <c r="C119" s="30">
        <f>SUMIFS(tblDaily[Discharges],tblDaily[Month],3,tblDaily[WardCode],"MAE")</f>
        <v>27</v>
      </c>
      <c r="D119" s="30">
        <f>SUMIFS(tblDaily[Deaths],tblDaily[Month],3,tblDaily[WardCode],"MAE")</f>
        <v>8</v>
      </c>
      <c r="E119" s="30">
        <f>SUMIFS(tblDaily[DeathsUnder24Hrs],tblDaily[Month],3,tblDaily[WardCode],"MAE")</f>
        <v>4</v>
      </c>
      <c r="F119" s="30">
        <f>SUMIFS(tblDaily[TransfersIn],tblDaily[Month],3,tblDaily[WardCode],"MAE")</f>
        <v>0</v>
      </c>
      <c r="G119" s="30">
        <f>SUMIFS(tblDaily[TransfersOut],tblDaily[Month],3,tblDaily[WardCode],"MAE")</f>
        <v>33</v>
      </c>
      <c r="H119" s="30">
        <f>SUMIFS(tblDaily[Remaining],tblDaily[Month],3,tblDaily[WardCode],"MAE")</f>
        <v>73</v>
      </c>
      <c r="I119" s="30">
        <f>SUMIFS(tblDaily[Admissions],tblDaily[Month],3,tblDaily[WardCode],"FAE") - SUMIFS(tblDaily[DeathsUnder24Hrs],tblDaily[Month],3,tblDaily[WardCode],"FAE")</f>
        <v>44</v>
      </c>
      <c r="J119" s="30">
        <f>SUMIFS(tblDaily[Discharges],tblDaily[Month],3,tblDaily[WardCode],"FAE")</f>
        <v>12</v>
      </c>
      <c r="K119" s="30">
        <f>SUMIFS(tblDaily[Deaths],tblDaily[Month],3,tblDaily[WardCode],"FAE")</f>
        <v>5</v>
      </c>
      <c r="L119" s="30">
        <f>SUMIFS(tblDaily[DeathsUnder24Hrs],tblDaily[Month],3,tblDaily[WardCode],"FAE")</f>
        <v>5</v>
      </c>
      <c r="M119" s="30">
        <f>SUMIFS(tblDaily[TransfersIn],tblDaily[Month],3,tblDaily[WardCode],"FAE")</f>
        <v>0</v>
      </c>
      <c r="N119" s="30">
        <f>SUMIFS(tblDaily[TransfersOut],tblDaily[Month],3,tblDaily[WardCode],"FAE")</f>
        <v>25</v>
      </c>
      <c r="O119" s="30">
        <f>SUMIFS(tblDaily[Remaining],tblDaily[Month],3,tblDaily[WardCode],"FAE")</f>
        <v>88</v>
      </c>
      <c r="P119" s="30">
        <f>H119 + O119</f>
        <v>161</v>
      </c>
    </row>
    <row r="121" spans="1:16" ht="18.75" x14ac:dyDescent="0.25">
      <c r="A121" s="32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2" spans="1:16" ht="15.75" x14ac:dyDescent="0.25">
      <c r="A122" s="23" t="s">
        <v>104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6" x14ac:dyDescent="0.25">
      <c r="A123" s="24" t="s">
        <v>4</v>
      </c>
      <c r="B123" s="25" t="s">
        <v>2</v>
      </c>
      <c r="E123" s="24" t="s">
        <v>105</v>
      </c>
      <c r="F123" s="24" t="s">
        <v>125</v>
      </c>
      <c r="M123" s="24" t="s">
        <v>107</v>
      </c>
      <c r="N123" s="24" t="s">
        <v>66</v>
      </c>
    </row>
    <row r="124" spans="1:16" x14ac:dyDescent="0.25">
      <c r="A124" s="24" t="s">
        <v>108</v>
      </c>
      <c r="B124" s="33">
        <f>IFERROR(SUMIFS(tblDaily[Remaining],tblDaily[EntryDate],DATE(2026,3,31),tblDaily[WardCode],"MAE"),0)</f>
        <v>3</v>
      </c>
      <c r="I124" s="33">
        <f>IFERROR(SUMIFS(tblDaily[Remaining],tblDaily[EntryDate],DATE(2026,3,31),tblDaily[WardCode],"FAE"),0)</f>
        <v>3</v>
      </c>
    </row>
    <row r="125" spans="1:16" x14ac:dyDescent="0.25">
      <c r="A125" s="24" t="s">
        <v>109</v>
      </c>
      <c r="B125" s="33">
        <f>IFERROR(INDEX(tblWardConfig[BedComplement],MATCH("MAE",tblWardConfig[WardCode],0)),0)</f>
        <v>10</v>
      </c>
      <c r="I125" s="33">
        <f>IFERROR(INDEX(tblWardConfig[BedComplement],MATCH("FAE",tblWardConfig[WardCode],0)),0)</f>
        <v>10</v>
      </c>
      <c r="O125" s="34">
        <f>B125+I125</f>
        <v>20</v>
      </c>
    </row>
    <row r="126" spans="1:16" x14ac:dyDescent="0.25">
      <c r="A126" s="35" t="s">
        <v>126</v>
      </c>
      <c r="B126" s="36" t="s">
        <v>122</v>
      </c>
      <c r="C126" s="22"/>
      <c r="D126" s="22"/>
      <c r="E126" s="22"/>
      <c r="F126" s="22"/>
      <c r="G126" s="22"/>
      <c r="H126" s="22"/>
      <c r="I126" s="37" t="s">
        <v>123</v>
      </c>
      <c r="J126" s="22"/>
      <c r="K126" s="22"/>
      <c r="L126" s="22"/>
      <c r="M126" s="22"/>
      <c r="N126" s="22"/>
      <c r="O126" s="22"/>
      <c r="P126" s="38" t="s">
        <v>115</v>
      </c>
    </row>
    <row r="127" spans="1:16" x14ac:dyDescent="0.25">
      <c r="A127" s="35" t="s">
        <v>126</v>
      </c>
      <c r="B127" s="35" t="s">
        <v>127</v>
      </c>
      <c r="C127" s="35" t="s">
        <v>128</v>
      </c>
      <c r="D127" s="35" t="s">
        <v>129</v>
      </c>
      <c r="E127" s="35" t="s">
        <v>130</v>
      </c>
      <c r="F127" s="35" t="s">
        <v>131</v>
      </c>
      <c r="G127" s="35" t="s">
        <v>132</v>
      </c>
      <c r="H127" s="35" t="s">
        <v>133</v>
      </c>
      <c r="I127" s="35" t="s">
        <v>127</v>
      </c>
      <c r="J127" s="35" t="s">
        <v>128</v>
      </c>
      <c r="K127" s="35" t="s">
        <v>129</v>
      </c>
      <c r="L127" s="35" t="s">
        <v>130</v>
      </c>
      <c r="M127" s="35" t="s">
        <v>131</v>
      </c>
      <c r="N127" s="35" t="s">
        <v>132</v>
      </c>
      <c r="O127" s="35" t="s">
        <v>133</v>
      </c>
      <c r="P127" s="35" t="s">
        <v>134</v>
      </c>
    </row>
    <row r="128" spans="1:16" x14ac:dyDescent="0.25">
      <c r="A128" s="39">
        <v>1</v>
      </c>
      <c r="B128" s="39">
        <f>IFERROR(IF(SUMIFS(tblDaily[Admissions],tblDaily[EntryDate],DATE(2026,4,1),tblDaily[WardCode],"MAE")=0,"",SUMIFS(tblDaily[Admissions],tblDaily[EntryDate],DATE(2026,4,1),tblDaily[WardCode],"MAE")),"")</f>
        <v>4</v>
      </c>
      <c r="C128" s="39" t="str">
        <f>IFERROR(IF(SUMIFS(tblDaily[Discharges],tblDaily[EntryDate],DATE(2026,4,1),tblDaily[WardCode],"MAE")=0,"",SUMIFS(tblDaily[Discharges],tblDaily[EntryDate],DATE(2026,4,1),tblDaily[WardCode],"MAE")),"")</f>
        <v/>
      </c>
      <c r="D128" s="39">
        <f>IFERROR(IF(SUMIFS(tblDaily[Deaths],tblDaily[EntryDate],DATE(2026,4,1),tblDaily[WardCode],"MAE")=0,"",SUMIFS(tblDaily[Deaths],tblDaily[EntryDate],DATE(2026,4,1),tblDaily[WardCode],"MAE")),"")</f>
        <v>1</v>
      </c>
      <c r="E128" s="39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39" t="str">
        <f>IFERROR(IF(SUMIFS(tblDaily[TransfersIn],tblDaily[EntryDate],DATE(2026,4,1),tblDaily[WardCode],"MAE")=0,"",SUMIFS(tblDaily[TransfersIn],tblDaily[EntryDate],DATE(2026,4,1),tblDaily[WardCode],"MAE")),"")</f>
        <v/>
      </c>
      <c r="G128" s="39">
        <f>IFERROR(IF(SUMIFS(tblDaily[TransfersOut],tblDaily[EntryDate],DATE(2026,4,1),tblDaily[WardCode],"MAE")=0,"",SUMIFS(tblDaily[TransfersOut],tblDaily[EntryDate],DATE(2026,4,1),tblDaily[WardCode],"MAE")),"")</f>
        <v>1</v>
      </c>
      <c r="H128" s="39">
        <f>IFERROR(IF(SUMIFS(tblDaily[Remaining],tblDaily[EntryDate],DATE(2026,4,1),tblDaily[WardCode],"MAE")=0,"",SUMIFS(tblDaily[Remaining],tblDaily[EntryDate],DATE(2026,4,1),tblDaily[WardCode],"MAE")),"")</f>
        <v>5</v>
      </c>
      <c r="I128" s="39">
        <f>IFERROR(IF(SUMIFS(tblDaily[Admissions],tblDaily[EntryDate],DATE(2026,4,1),tblDaily[WardCode],"FAE")=0,"",SUMIFS(tblDaily[Admissions],tblDaily[EntryDate],DATE(2026,4,1),tblDaily[WardCode],"FAE")),"")</f>
        <v>3</v>
      </c>
      <c r="J128" s="39">
        <f>IFERROR(IF(SUMIFS(tblDaily[Discharges],tblDaily[EntryDate],DATE(2026,4,1),tblDaily[WardCode],"FAE")=0,"",SUMIFS(tblDaily[Discharges],tblDaily[EntryDate],DATE(2026,4,1),tblDaily[WardCode],"FAE")),"")</f>
        <v>2</v>
      </c>
      <c r="K128" s="39" t="str">
        <f>IFERROR(IF(SUMIFS(tblDaily[Deaths],tblDaily[EntryDate],DATE(2026,4,1),tblDaily[WardCode],"FAE")=0,"",SUMIFS(tblDaily[Deaths],tblDaily[EntryDate],DATE(2026,4,1),tblDaily[WardCode],"FAE")),"")</f>
        <v/>
      </c>
      <c r="L128" s="39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39" t="str">
        <f>IFERROR(IF(SUMIFS(tblDaily[TransfersIn],tblDaily[EntryDate],DATE(2026,4,1),tblDaily[WardCode],"FAE")=0,"",SUMIFS(tblDaily[TransfersIn],tblDaily[EntryDate],DATE(2026,4,1),tblDaily[WardCode],"FAE")),"")</f>
        <v/>
      </c>
      <c r="N128" s="39" t="str">
        <f>IFERROR(IF(SUMIFS(tblDaily[TransfersOut],tblDaily[EntryDate],DATE(2026,4,1),tblDaily[WardCode],"FAE")=0,"",SUMIFS(tblDaily[TransfersOut],tblDaily[EntryDate],DATE(2026,4,1),tblDaily[WardCode],"FAE")),"")</f>
        <v/>
      </c>
      <c r="O128" s="39">
        <f>IFERROR(IF(SUMIFS(tblDaily[Remaining],tblDaily[EntryDate],DATE(2026,4,1),tblDaily[WardCode],"FAE")=0,"",SUMIFS(tblDaily[Remaining],tblDaily[EntryDate],DATE(2026,4,1),tblDaily[WardCode],"FAE")),"")</f>
        <v>4</v>
      </c>
      <c r="P128" s="40">
        <f t="shared" ref="P128:P157" si="3">IF(AND(H128="", O128=""), "", N(H128) + N(O128))</f>
        <v>9</v>
      </c>
    </row>
    <row r="129" spans="1:16" x14ac:dyDescent="0.25">
      <c r="A129" s="39">
        <v>2</v>
      </c>
      <c r="B129" s="39">
        <f>IFERROR(IF(SUMIFS(tblDaily[Admissions],tblDaily[EntryDate],DATE(2026,4,2),tblDaily[WardCode],"MAE")=0,"",SUMIFS(tblDaily[Admissions],tblDaily[EntryDate],DATE(2026,4,2),tblDaily[WardCode],"MAE")),"")</f>
        <v>3</v>
      </c>
      <c r="C129" s="39">
        <f>IFERROR(IF(SUMIFS(tblDaily[Discharges],tblDaily[EntryDate],DATE(2026,4,2),tblDaily[WardCode],"MAE")=0,"",SUMIFS(tblDaily[Discharges],tblDaily[EntryDate],DATE(2026,4,2),tblDaily[WardCode],"MAE")),"")</f>
        <v>2</v>
      </c>
      <c r="D129" s="39" t="str">
        <f>IFERROR(IF(SUMIFS(tblDaily[Deaths],tblDaily[EntryDate],DATE(2026,4,2),tblDaily[WardCode],"MAE")=0,"",SUMIFS(tblDaily[Deaths],tblDaily[EntryDate],DATE(2026,4,2),tblDaily[WardCode],"MAE")),"")</f>
        <v/>
      </c>
      <c r="E129" s="39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39" t="str">
        <f>IFERROR(IF(SUMIFS(tblDaily[TransfersIn],tblDaily[EntryDate],DATE(2026,4,2),tblDaily[WardCode],"MAE")=0,"",SUMIFS(tblDaily[TransfersIn],tblDaily[EntryDate],DATE(2026,4,2),tblDaily[WardCode],"MAE")),"")</f>
        <v/>
      </c>
      <c r="G129" s="39" t="str">
        <f>IFERROR(IF(SUMIFS(tblDaily[TransfersOut],tblDaily[EntryDate],DATE(2026,4,2),tblDaily[WardCode],"MAE")=0,"",SUMIFS(tblDaily[TransfersOut],tblDaily[EntryDate],DATE(2026,4,2),tblDaily[WardCode],"MAE")),"")</f>
        <v/>
      </c>
      <c r="H129" s="39">
        <f>IFERROR(IF(SUMIFS(tblDaily[Remaining],tblDaily[EntryDate],DATE(2026,4,2),tblDaily[WardCode],"MAE")=0,"",SUMIFS(tblDaily[Remaining],tblDaily[EntryDate],DATE(2026,4,2),tblDaily[WardCode],"MAE")),"")</f>
        <v>6</v>
      </c>
      <c r="I129" s="39">
        <f>IFERROR(IF(SUMIFS(tblDaily[Admissions],tblDaily[EntryDate],DATE(2026,4,2),tblDaily[WardCode],"FAE")=0,"",SUMIFS(tblDaily[Admissions],tblDaily[EntryDate],DATE(2026,4,2),tblDaily[WardCode],"FAE")),"")</f>
        <v>1</v>
      </c>
      <c r="J129" s="39" t="str">
        <f>IFERROR(IF(SUMIFS(tblDaily[Discharges],tblDaily[EntryDate],DATE(2026,4,2),tblDaily[WardCode],"FAE")=0,"",SUMIFS(tblDaily[Discharges],tblDaily[EntryDate],DATE(2026,4,2),tblDaily[WardCode],"FAE")),"")</f>
        <v/>
      </c>
      <c r="K129" s="39" t="str">
        <f>IFERROR(IF(SUMIFS(tblDaily[Deaths],tblDaily[EntryDate],DATE(2026,4,2),tblDaily[WardCode],"FAE")=0,"",SUMIFS(tblDaily[Deaths],tblDaily[EntryDate],DATE(2026,4,2),tblDaily[WardCode],"FAE")),"")</f>
        <v/>
      </c>
      <c r="L129" s="39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39" t="str">
        <f>IFERROR(IF(SUMIFS(tblDaily[TransfersIn],tblDaily[EntryDate],DATE(2026,4,2),tblDaily[WardCode],"FAE")=0,"",SUMIFS(tblDaily[TransfersIn],tblDaily[EntryDate],DATE(2026,4,2),tblDaily[WardCode],"FAE")),"")</f>
        <v/>
      </c>
      <c r="N129" s="39">
        <f>IFERROR(IF(SUMIFS(tblDaily[TransfersOut],tblDaily[EntryDate],DATE(2026,4,2),tblDaily[WardCode],"FAE")=0,"",SUMIFS(tblDaily[TransfersOut],tblDaily[EntryDate],DATE(2026,4,2),tblDaily[WardCode],"FAE")),"")</f>
        <v>2</v>
      </c>
      <c r="O129" s="39">
        <f>IFERROR(IF(SUMIFS(tblDaily[Remaining],tblDaily[EntryDate],DATE(2026,4,2),tblDaily[WardCode],"FAE")=0,"",SUMIFS(tblDaily[Remaining],tblDaily[EntryDate],DATE(2026,4,2),tblDaily[WardCode],"FAE")),"")</f>
        <v>3</v>
      </c>
      <c r="P129" s="40">
        <f t="shared" si="3"/>
        <v>9</v>
      </c>
    </row>
    <row r="130" spans="1:16" x14ac:dyDescent="0.25">
      <c r="A130" s="39">
        <v>3</v>
      </c>
      <c r="B130" s="39" t="str">
        <f>IFERROR(IF(SUMIFS(tblDaily[Admissions],tblDaily[EntryDate],DATE(2026,4,3),tblDaily[WardCode],"MAE")=0,"",SUMIFS(tblDaily[Admissions],tblDaily[EntryDate],DATE(2026,4,3),tblDaily[WardCode],"MAE")),"")</f>
        <v/>
      </c>
      <c r="C130" s="39">
        <f>IFERROR(IF(SUMIFS(tblDaily[Discharges],tblDaily[EntryDate],DATE(2026,4,3),tblDaily[WardCode],"MAE")=0,"",SUMIFS(tblDaily[Discharges],tblDaily[EntryDate],DATE(2026,4,3),tblDaily[WardCode],"MAE")),"")</f>
        <v>3</v>
      </c>
      <c r="D130" s="39" t="str">
        <f>IFERROR(IF(SUMIFS(tblDaily[Deaths],tblDaily[EntryDate],DATE(2026,4,3),tblDaily[WardCode],"MAE")=0,"",SUMIFS(tblDaily[Deaths],tblDaily[EntryDate],DATE(2026,4,3),tblDaily[WardCode],"MAE")),"")</f>
        <v/>
      </c>
      <c r="E130" s="39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39" t="str">
        <f>IFERROR(IF(SUMIFS(tblDaily[TransfersIn],tblDaily[EntryDate],DATE(2026,4,3),tblDaily[WardCode],"MAE")=0,"",SUMIFS(tblDaily[TransfersIn],tblDaily[EntryDate],DATE(2026,4,3),tblDaily[WardCode],"MAE")),"")</f>
        <v/>
      </c>
      <c r="G130" s="39" t="str">
        <f>IFERROR(IF(SUMIFS(tblDaily[TransfersOut],tblDaily[EntryDate],DATE(2026,4,3),tblDaily[WardCode],"MAE")=0,"",SUMIFS(tblDaily[TransfersOut],tblDaily[EntryDate],DATE(2026,4,3),tblDaily[WardCode],"MAE")),"")</f>
        <v/>
      </c>
      <c r="H130" s="39">
        <f>IFERROR(IF(SUMIFS(tblDaily[Remaining],tblDaily[EntryDate],DATE(2026,4,3),tblDaily[WardCode],"MAE")=0,"",SUMIFS(tblDaily[Remaining],tblDaily[EntryDate],DATE(2026,4,3),tblDaily[WardCode],"MAE")),"")</f>
        <v>3</v>
      </c>
      <c r="I130" s="39" t="str">
        <f>IFERROR(IF(SUMIFS(tblDaily[Admissions],tblDaily[EntryDate],DATE(2026,4,3),tblDaily[WardCode],"FAE")=0,"",SUMIFS(tblDaily[Admissions],tblDaily[EntryDate],DATE(2026,4,3),tblDaily[WardCode],"FAE")),"")</f>
        <v/>
      </c>
      <c r="J130" s="39">
        <f>IFERROR(IF(SUMIFS(tblDaily[Discharges],tblDaily[EntryDate],DATE(2026,4,3),tblDaily[WardCode],"FAE")=0,"",SUMIFS(tblDaily[Discharges],tblDaily[EntryDate],DATE(2026,4,3),tblDaily[WardCode],"FAE")),"")</f>
        <v>1</v>
      </c>
      <c r="K130" s="39" t="str">
        <f>IFERROR(IF(SUMIFS(tblDaily[Deaths],tblDaily[EntryDate],DATE(2026,4,3),tblDaily[WardCode],"FAE")=0,"",SUMIFS(tblDaily[Deaths],tblDaily[EntryDate],DATE(2026,4,3),tblDaily[WardCode],"FAE")),"")</f>
        <v/>
      </c>
      <c r="L130" s="39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39" t="str">
        <f>IFERROR(IF(SUMIFS(tblDaily[TransfersIn],tblDaily[EntryDate],DATE(2026,4,3),tblDaily[WardCode],"FAE")=0,"",SUMIFS(tblDaily[TransfersIn],tblDaily[EntryDate],DATE(2026,4,3),tblDaily[WardCode],"FAE")),"")</f>
        <v/>
      </c>
      <c r="N130" s="39">
        <f>IFERROR(IF(SUMIFS(tblDaily[TransfersOut],tblDaily[EntryDate],DATE(2026,4,3),tblDaily[WardCode],"FAE")=0,"",SUMIFS(tblDaily[TransfersOut],tblDaily[EntryDate],DATE(2026,4,3),tblDaily[WardCode],"FAE")),"")</f>
        <v>2</v>
      </c>
      <c r="O130" s="39" t="str">
        <f>IFERROR(IF(SUMIFS(tblDaily[Remaining],tblDaily[EntryDate],DATE(2026,4,3),tblDaily[WardCode],"FAE")=0,"",SUMIFS(tblDaily[Remaining],tblDaily[EntryDate],DATE(2026,4,3),tblDaily[WardCode],"FAE")),"")</f>
        <v/>
      </c>
      <c r="P130" s="40">
        <f t="shared" si="3"/>
        <v>3</v>
      </c>
    </row>
    <row r="131" spans="1:16" x14ac:dyDescent="0.25">
      <c r="A131" s="39">
        <v>4</v>
      </c>
      <c r="B131" s="39">
        <f>IFERROR(IF(SUMIFS(tblDaily[Admissions],tblDaily[EntryDate],DATE(2026,4,4),tblDaily[WardCode],"MAE")=0,"",SUMIFS(tblDaily[Admissions],tblDaily[EntryDate],DATE(2026,4,4),tblDaily[WardCode],"MAE")),"")</f>
        <v>2</v>
      </c>
      <c r="C131" s="39" t="str">
        <f>IFERROR(IF(SUMIFS(tblDaily[Discharges],tblDaily[EntryDate],DATE(2026,4,4),tblDaily[WardCode],"MAE")=0,"",SUMIFS(tblDaily[Discharges],tblDaily[EntryDate],DATE(2026,4,4),tblDaily[WardCode],"MAE")),"")</f>
        <v/>
      </c>
      <c r="D131" s="39" t="str">
        <f>IFERROR(IF(SUMIFS(tblDaily[Deaths],tblDaily[EntryDate],DATE(2026,4,4),tblDaily[WardCode],"MAE")=0,"",SUMIFS(tblDaily[Deaths],tblDaily[EntryDate],DATE(2026,4,4),tblDaily[WardCode],"MAE")),"")</f>
        <v/>
      </c>
      <c r="E131" s="39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39" t="str">
        <f>IFERROR(IF(SUMIFS(tblDaily[TransfersIn],tblDaily[EntryDate],DATE(2026,4,4),tblDaily[WardCode],"MAE")=0,"",SUMIFS(tblDaily[TransfersIn],tblDaily[EntryDate],DATE(2026,4,4),tblDaily[WardCode],"MAE")),"")</f>
        <v/>
      </c>
      <c r="G131" s="39">
        <f>IFERROR(IF(SUMIFS(tblDaily[TransfersOut],tblDaily[EntryDate],DATE(2026,4,4),tblDaily[WardCode],"MAE")=0,"",SUMIFS(tblDaily[TransfersOut],tblDaily[EntryDate],DATE(2026,4,4),tblDaily[WardCode],"MAE")),"")</f>
        <v>1</v>
      </c>
      <c r="H131" s="39">
        <f>IFERROR(IF(SUMIFS(tblDaily[Remaining],tblDaily[EntryDate],DATE(2026,4,4),tblDaily[WardCode],"MAE")=0,"",SUMIFS(tblDaily[Remaining],tblDaily[EntryDate],DATE(2026,4,4),tblDaily[WardCode],"MAE")),"")</f>
        <v>4</v>
      </c>
      <c r="I131" s="39">
        <f>IFERROR(IF(SUMIFS(tblDaily[Admissions],tblDaily[EntryDate],DATE(2026,4,4),tblDaily[WardCode],"FAE")=0,"",SUMIFS(tblDaily[Admissions],tblDaily[EntryDate],DATE(2026,4,4),tblDaily[WardCode],"FAE")),"")</f>
        <v>1</v>
      </c>
      <c r="J131" s="39" t="str">
        <f>IFERROR(IF(SUMIFS(tblDaily[Discharges],tblDaily[EntryDate],DATE(2026,4,4),tblDaily[WardCode],"FAE")=0,"",SUMIFS(tblDaily[Discharges],tblDaily[EntryDate],DATE(2026,4,4),tblDaily[WardCode],"FAE")),"")</f>
        <v/>
      </c>
      <c r="K131" s="39" t="str">
        <f>IFERROR(IF(SUMIFS(tblDaily[Deaths],tblDaily[EntryDate],DATE(2026,4,4),tblDaily[WardCode],"FAE")=0,"",SUMIFS(tblDaily[Deaths],tblDaily[EntryDate],DATE(2026,4,4),tblDaily[WardCode],"FAE")),"")</f>
        <v/>
      </c>
      <c r="L131" s="39">
        <f>IFERROR(IF(SUMIFS(tblDaily[DeathsUnder24Hrs],tblDaily[EntryDate],DATE(2026,4,4),tblDaily[WardCode],"FAE")=0,"",SUMIFS(tblDaily[DeathsUnder24Hrs],tblDaily[EntryDate],DATE(2026,4,4),tblDaily[WardCode],"FAE")),"")</f>
        <v>1</v>
      </c>
      <c r="M131" s="39" t="str">
        <f>IFERROR(IF(SUMIFS(tblDaily[TransfersIn],tblDaily[EntryDate],DATE(2026,4,4),tblDaily[WardCode],"FAE")=0,"",SUMIFS(tblDaily[TransfersIn],tblDaily[EntryDate],DATE(2026,4,4),tblDaily[WardCode],"FAE")),"")</f>
        <v/>
      </c>
      <c r="N131" s="39" t="str">
        <f>IFERROR(IF(SUMIFS(tblDaily[TransfersOut],tblDaily[EntryDate],DATE(2026,4,4),tblDaily[WardCode],"FAE")=0,"",SUMIFS(tblDaily[TransfersOut],tblDaily[EntryDate],DATE(2026,4,4),tblDaily[WardCode],"FAE")),"")</f>
        <v/>
      </c>
      <c r="O131" s="39" t="str">
        <f>IFERROR(IF(SUMIFS(tblDaily[Remaining],tblDaily[EntryDate],DATE(2026,4,4),tblDaily[WardCode],"FAE")=0,"",SUMIFS(tblDaily[Remaining],tblDaily[EntryDate],DATE(2026,4,4),tblDaily[WardCode],"FAE")),"")</f>
        <v/>
      </c>
      <c r="P131" s="40">
        <f t="shared" si="3"/>
        <v>4</v>
      </c>
    </row>
    <row r="132" spans="1:16" x14ac:dyDescent="0.25">
      <c r="A132" s="39">
        <v>5</v>
      </c>
      <c r="B132" s="39" t="str">
        <f>IFERROR(IF(SUMIFS(tblDaily[Admissions],tblDaily[EntryDate],DATE(2026,4,5),tblDaily[WardCode],"MAE")=0,"",SUMIFS(tblDaily[Admissions],tblDaily[EntryDate],DATE(2026,4,5),tblDaily[WardCode],"MAE")),"")</f>
        <v/>
      </c>
      <c r="C132" s="39" t="str">
        <f>IFERROR(IF(SUMIFS(tblDaily[Discharges],tblDaily[EntryDate],DATE(2026,4,5),tblDaily[WardCode],"MAE")=0,"",SUMIFS(tblDaily[Discharges],tblDaily[EntryDate],DATE(2026,4,5),tblDaily[WardCode],"MAE")),"")</f>
        <v/>
      </c>
      <c r="D132" s="39" t="str">
        <f>IFERROR(IF(SUMIFS(tblDaily[Deaths],tblDaily[EntryDate],DATE(2026,4,5),tblDaily[WardCode],"MAE")=0,"",SUMIFS(tblDaily[Deaths],tblDaily[EntryDate],DATE(2026,4,5),tblDaily[WardCode],"MAE")),"")</f>
        <v/>
      </c>
      <c r="E132" s="39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39" t="str">
        <f>IFERROR(IF(SUMIFS(tblDaily[TransfersIn],tblDaily[EntryDate],DATE(2026,4,5),tblDaily[WardCode],"MAE")=0,"",SUMIFS(tblDaily[TransfersIn],tblDaily[EntryDate],DATE(2026,4,5),tblDaily[WardCode],"MAE")),"")</f>
        <v/>
      </c>
      <c r="G132" s="39" t="str">
        <f>IFERROR(IF(SUMIFS(tblDaily[TransfersOut],tblDaily[EntryDate],DATE(2026,4,5),tblDaily[WardCode],"MAE")=0,"",SUMIFS(tblDaily[TransfersOut],tblDaily[EntryDate],DATE(2026,4,5),tblDaily[WardCode],"MAE")),"")</f>
        <v/>
      </c>
      <c r="H132" s="39" t="str">
        <f>IFERROR(IF(SUMIFS(tblDaily[Remaining],tblDaily[EntryDate],DATE(2026,4,5),tblDaily[WardCode],"MAE")=0,"",SUMIFS(tblDaily[Remaining],tblDaily[EntryDate],DATE(2026,4,5),tblDaily[WardCode],"MAE")),"")</f>
        <v/>
      </c>
      <c r="I132" s="39" t="str">
        <f>IFERROR(IF(SUMIFS(tblDaily[Admissions],tblDaily[EntryDate],DATE(2026,4,5),tblDaily[WardCode],"FAE")=0,"",SUMIFS(tblDaily[Admissions],tblDaily[EntryDate],DATE(2026,4,5),tblDaily[WardCode],"FAE")),"")</f>
        <v/>
      </c>
      <c r="J132" s="39" t="str">
        <f>IFERROR(IF(SUMIFS(tblDaily[Discharges],tblDaily[EntryDate],DATE(2026,4,5),tblDaily[WardCode],"FAE")=0,"",SUMIFS(tblDaily[Discharges],tblDaily[EntryDate],DATE(2026,4,5),tblDaily[WardCode],"FAE")),"")</f>
        <v/>
      </c>
      <c r="K132" s="39" t="str">
        <f>IFERROR(IF(SUMIFS(tblDaily[Deaths],tblDaily[EntryDate],DATE(2026,4,5),tblDaily[WardCode],"FAE")=0,"",SUMIFS(tblDaily[Deaths],tblDaily[EntryDate],DATE(2026,4,5),tblDaily[WardCode],"FAE")),"")</f>
        <v/>
      </c>
      <c r="L132" s="39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39" t="str">
        <f>IFERROR(IF(SUMIFS(tblDaily[TransfersIn],tblDaily[EntryDate],DATE(2026,4,5),tblDaily[WardCode],"FAE")=0,"",SUMIFS(tblDaily[TransfersIn],tblDaily[EntryDate],DATE(2026,4,5),tblDaily[WardCode],"FAE")),"")</f>
        <v/>
      </c>
      <c r="N132" s="39" t="str">
        <f>IFERROR(IF(SUMIFS(tblDaily[TransfersOut],tblDaily[EntryDate],DATE(2026,4,5),tblDaily[WardCode],"FAE")=0,"",SUMIFS(tblDaily[TransfersOut],tblDaily[EntryDate],DATE(2026,4,5),tblDaily[WardCode],"FAE")),"")</f>
        <v/>
      </c>
      <c r="O132" s="39" t="str">
        <f>IFERROR(IF(SUMIFS(tblDaily[Remaining],tblDaily[EntryDate],DATE(2026,4,5),tblDaily[WardCode],"FAE")=0,"",SUMIFS(tblDaily[Remaining],tblDaily[EntryDate],DATE(2026,4,5),tblDaily[WardCode],"FAE")),"")</f>
        <v/>
      </c>
      <c r="P132" s="40" t="str">
        <f t="shared" si="3"/>
        <v/>
      </c>
    </row>
    <row r="133" spans="1:16" x14ac:dyDescent="0.25">
      <c r="A133" s="39">
        <v>6</v>
      </c>
      <c r="B133" s="39" t="str">
        <f>IFERROR(IF(SUMIFS(tblDaily[Admissions],tblDaily[EntryDate],DATE(2026,4,6),tblDaily[WardCode],"MAE")=0,"",SUMIFS(tblDaily[Admissions],tblDaily[EntryDate],DATE(2026,4,6),tblDaily[WardCode],"MAE")),"")</f>
        <v/>
      </c>
      <c r="C133" s="39" t="str">
        <f>IFERROR(IF(SUMIFS(tblDaily[Discharges],tblDaily[EntryDate],DATE(2026,4,6),tblDaily[WardCode],"MAE")=0,"",SUMIFS(tblDaily[Discharges],tblDaily[EntryDate],DATE(2026,4,6),tblDaily[WardCode],"MAE")),"")</f>
        <v/>
      </c>
      <c r="D133" s="39" t="str">
        <f>IFERROR(IF(SUMIFS(tblDaily[Deaths],tblDaily[EntryDate],DATE(2026,4,6),tblDaily[WardCode],"MAE")=0,"",SUMIFS(tblDaily[Deaths],tblDaily[EntryDate],DATE(2026,4,6),tblDaily[WardCode],"MAE")),"")</f>
        <v/>
      </c>
      <c r="E133" s="39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39" t="str">
        <f>IFERROR(IF(SUMIFS(tblDaily[TransfersIn],tblDaily[EntryDate],DATE(2026,4,6),tblDaily[WardCode],"MAE")=0,"",SUMIFS(tblDaily[TransfersIn],tblDaily[EntryDate],DATE(2026,4,6),tblDaily[WardCode],"MAE")),"")</f>
        <v/>
      </c>
      <c r="G133" s="39" t="str">
        <f>IFERROR(IF(SUMIFS(tblDaily[TransfersOut],tblDaily[EntryDate],DATE(2026,4,6),tblDaily[WardCode],"MAE")=0,"",SUMIFS(tblDaily[TransfersOut],tblDaily[EntryDate],DATE(2026,4,6),tblDaily[WardCode],"MAE")),"")</f>
        <v/>
      </c>
      <c r="H133" s="39" t="str">
        <f>IFERROR(IF(SUMIFS(tblDaily[Remaining],tblDaily[EntryDate],DATE(2026,4,6),tblDaily[WardCode],"MAE")=0,"",SUMIFS(tblDaily[Remaining],tblDaily[EntryDate],DATE(2026,4,6),tblDaily[WardCode],"MAE")),"")</f>
        <v/>
      </c>
      <c r="I133" s="39" t="str">
        <f>IFERROR(IF(SUMIFS(tblDaily[Admissions],tblDaily[EntryDate],DATE(2026,4,6),tblDaily[WardCode],"FAE")=0,"",SUMIFS(tblDaily[Admissions],tblDaily[EntryDate],DATE(2026,4,6),tblDaily[WardCode],"FAE")),"")</f>
        <v/>
      </c>
      <c r="J133" s="39" t="str">
        <f>IFERROR(IF(SUMIFS(tblDaily[Discharges],tblDaily[EntryDate],DATE(2026,4,6),tblDaily[WardCode],"FAE")=0,"",SUMIFS(tblDaily[Discharges],tblDaily[EntryDate],DATE(2026,4,6),tblDaily[WardCode],"FAE")),"")</f>
        <v/>
      </c>
      <c r="K133" s="39" t="str">
        <f>IFERROR(IF(SUMIFS(tblDaily[Deaths],tblDaily[EntryDate],DATE(2026,4,6),tblDaily[WardCode],"FAE")=0,"",SUMIFS(tblDaily[Deaths],tblDaily[EntryDate],DATE(2026,4,6),tblDaily[WardCode],"FAE")),"")</f>
        <v/>
      </c>
      <c r="L133" s="39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39" t="str">
        <f>IFERROR(IF(SUMIFS(tblDaily[TransfersIn],tblDaily[EntryDate],DATE(2026,4,6),tblDaily[WardCode],"FAE")=0,"",SUMIFS(tblDaily[TransfersIn],tblDaily[EntryDate],DATE(2026,4,6),tblDaily[WardCode],"FAE")),"")</f>
        <v/>
      </c>
      <c r="N133" s="39" t="str">
        <f>IFERROR(IF(SUMIFS(tblDaily[TransfersOut],tblDaily[EntryDate],DATE(2026,4,6),tblDaily[WardCode],"FAE")=0,"",SUMIFS(tblDaily[TransfersOut],tblDaily[EntryDate],DATE(2026,4,6),tblDaily[WardCode],"FAE")),"")</f>
        <v/>
      </c>
      <c r="O133" s="39" t="str">
        <f>IFERROR(IF(SUMIFS(tblDaily[Remaining],tblDaily[EntryDate],DATE(2026,4,6),tblDaily[WardCode],"FAE")=0,"",SUMIFS(tblDaily[Remaining],tblDaily[EntryDate],DATE(2026,4,6),tblDaily[WardCode],"FAE")),"")</f>
        <v/>
      </c>
      <c r="P133" s="40" t="str">
        <f t="shared" si="3"/>
        <v/>
      </c>
    </row>
    <row r="134" spans="1:16" x14ac:dyDescent="0.25">
      <c r="A134" s="39">
        <v>7</v>
      </c>
      <c r="B134" s="39" t="str">
        <f>IFERROR(IF(SUMIFS(tblDaily[Admissions],tblDaily[EntryDate],DATE(2026,4,7),tblDaily[WardCode],"MAE")=0,"",SUMIFS(tblDaily[Admissions],tblDaily[EntryDate],DATE(2026,4,7),tblDaily[WardCode],"MAE")),"")</f>
        <v/>
      </c>
      <c r="C134" s="39" t="str">
        <f>IFERROR(IF(SUMIFS(tblDaily[Discharges],tblDaily[EntryDate],DATE(2026,4,7),tblDaily[WardCode],"MAE")=0,"",SUMIFS(tblDaily[Discharges],tblDaily[EntryDate],DATE(2026,4,7),tblDaily[WardCode],"MAE")),"")</f>
        <v/>
      </c>
      <c r="D134" s="39" t="str">
        <f>IFERROR(IF(SUMIFS(tblDaily[Deaths],tblDaily[EntryDate],DATE(2026,4,7),tblDaily[WardCode],"MAE")=0,"",SUMIFS(tblDaily[Deaths],tblDaily[EntryDate],DATE(2026,4,7),tblDaily[WardCode],"MAE")),"")</f>
        <v/>
      </c>
      <c r="E134" s="39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39" t="str">
        <f>IFERROR(IF(SUMIFS(tblDaily[TransfersIn],tblDaily[EntryDate],DATE(2026,4,7),tblDaily[WardCode],"MAE")=0,"",SUMIFS(tblDaily[TransfersIn],tblDaily[EntryDate],DATE(2026,4,7),tblDaily[WardCode],"MAE")),"")</f>
        <v/>
      </c>
      <c r="G134" s="39" t="str">
        <f>IFERROR(IF(SUMIFS(tblDaily[TransfersOut],tblDaily[EntryDate],DATE(2026,4,7),tblDaily[WardCode],"MAE")=0,"",SUMIFS(tblDaily[TransfersOut],tblDaily[EntryDate],DATE(2026,4,7),tblDaily[WardCode],"MAE")),"")</f>
        <v/>
      </c>
      <c r="H134" s="39" t="str">
        <f>IFERROR(IF(SUMIFS(tblDaily[Remaining],tblDaily[EntryDate],DATE(2026,4,7),tblDaily[WardCode],"MAE")=0,"",SUMIFS(tblDaily[Remaining],tblDaily[EntryDate],DATE(2026,4,7),tblDaily[WardCode],"MAE")),"")</f>
        <v/>
      </c>
      <c r="I134" s="39" t="str">
        <f>IFERROR(IF(SUMIFS(tblDaily[Admissions],tblDaily[EntryDate],DATE(2026,4,7),tblDaily[WardCode],"FAE")=0,"",SUMIFS(tblDaily[Admissions],tblDaily[EntryDate],DATE(2026,4,7),tblDaily[WardCode],"FAE")),"")</f>
        <v/>
      </c>
      <c r="J134" s="39" t="str">
        <f>IFERROR(IF(SUMIFS(tblDaily[Discharges],tblDaily[EntryDate],DATE(2026,4,7),tblDaily[WardCode],"FAE")=0,"",SUMIFS(tblDaily[Discharges],tblDaily[EntryDate],DATE(2026,4,7),tblDaily[WardCode],"FAE")),"")</f>
        <v/>
      </c>
      <c r="K134" s="39" t="str">
        <f>IFERROR(IF(SUMIFS(tblDaily[Deaths],tblDaily[EntryDate],DATE(2026,4,7),tblDaily[WardCode],"FAE")=0,"",SUMIFS(tblDaily[Deaths],tblDaily[EntryDate],DATE(2026,4,7),tblDaily[WardCode],"FAE")),"")</f>
        <v/>
      </c>
      <c r="L134" s="39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39" t="str">
        <f>IFERROR(IF(SUMIFS(tblDaily[TransfersIn],tblDaily[EntryDate],DATE(2026,4,7),tblDaily[WardCode],"FAE")=0,"",SUMIFS(tblDaily[TransfersIn],tblDaily[EntryDate],DATE(2026,4,7),tblDaily[WardCode],"FAE")),"")</f>
        <v/>
      </c>
      <c r="N134" s="39" t="str">
        <f>IFERROR(IF(SUMIFS(tblDaily[TransfersOut],tblDaily[EntryDate],DATE(2026,4,7),tblDaily[WardCode],"FAE")=0,"",SUMIFS(tblDaily[TransfersOut],tblDaily[EntryDate],DATE(2026,4,7),tblDaily[WardCode],"FAE")),"")</f>
        <v/>
      </c>
      <c r="O134" s="39" t="str">
        <f>IFERROR(IF(SUMIFS(tblDaily[Remaining],tblDaily[EntryDate],DATE(2026,4,7),tblDaily[WardCode],"FAE")=0,"",SUMIFS(tblDaily[Remaining],tblDaily[EntryDate],DATE(2026,4,7),tblDaily[WardCode],"FAE")),"")</f>
        <v/>
      </c>
      <c r="P134" s="40" t="str">
        <f t="shared" si="3"/>
        <v/>
      </c>
    </row>
    <row r="135" spans="1:16" x14ac:dyDescent="0.25">
      <c r="A135" s="39">
        <v>8</v>
      </c>
      <c r="B135" s="39" t="str">
        <f>IFERROR(IF(SUMIFS(tblDaily[Admissions],tblDaily[EntryDate],DATE(2026,4,8),tblDaily[WardCode],"MAE")=0,"",SUMIFS(tblDaily[Admissions],tblDaily[EntryDate],DATE(2026,4,8),tblDaily[WardCode],"MAE")),"")</f>
        <v/>
      </c>
      <c r="C135" s="39" t="str">
        <f>IFERROR(IF(SUMIFS(tblDaily[Discharges],tblDaily[EntryDate],DATE(2026,4,8),tblDaily[WardCode],"MAE")=0,"",SUMIFS(tblDaily[Discharges],tblDaily[EntryDate],DATE(2026,4,8),tblDaily[WardCode],"MAE")),"")</f>
        <v/>
      </c>
      <c r="D135" s="39" t="str">
        <f>IFERROR(IF(SUMIFS(tblDaily[Deaths],tblDaily[EntryDate],DATE(2026,4,8),tblDaily[WardCode],"MAE")=0,"",SUMIFS(tblDaily[Deaths],tblDaily[EntryDate],DATE(2026,4,8),tblDaily[WardCode],"MAE")),"")</f>
        <v/>
      </c>
      <c r="E135" s="39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39" t="str">
        <f>IFERROR(IF(SUMIFS(tblDaily[TransfersIn],tblDaily[EntryDate],DATE(2026,4,8),tblDaily[WardCode],"MAE")=0,"",SUMIFS(tblDaily[TransfersIn],tblDaily[EntryDate],DATE(2026,4,8),tblDaily[WardCode],"MAE")),"")</f>
        <v/>
      </c>
      <c r="G135" s="39" t="str">
        <f>IFERROR(IF(SUMIFS(tblDaily[TransfersOut],tblDaily[EntryDate],DATE(2026,4,8),tblDaily[WardCode],"MAE")=0,"",SUMIFS(tblDaily[TransfersOut],tblDaily[EntryDate],DATE(2026,4,8),tblDaily[WardCode],"MAE")),"")</f>
        <v/>
      </c>
      <c r="H135" s="39" t="str">
        <f>IFERROR(IF(SUMIFS(tblDaily[Remaining],tblDaily[EntryDate],DATE(2026,4,8),tblDaily[WardCode],"MAE")=0,"",SUMIFS(tblDaily[Remaining],tblDaily[EntryDate],DATE(2026,4,8),tblDaily[WardCode],"MAE")),"")</f>
        <v/>
      </c>
      <c r="I135" s="39" t="str">
        <f>IFERROR(IF(SUMIFS(tblDaily[Admissions],tblDaily[EntryDate],DATE(2026,4,8),tblDaily[WardCode],"FAE")=0,"",SUMIFS(tblDaily[Admissions],tblDaily[EntryDate],DATE(2026,4,8),tblDaily[WardCode],"FAE")),"")</f>
        <v/>
      </c>
      <c r="J135" s="39" t="str">
        <f>IFERROR(IF(SUMIFS(tblDaily[Discharges],tblDaily[EntryDate],DATE(2026,4,8),tblDaily[WardCode],"FAE")=0,"",SUMIFS(tblDaily[Discharges],tblDaily[EntryDate],DATE(2026,4,8),tblDaily[WardCode],"FAE")),"")</f>
        <v/>
      </c>
      <c r="K135" s="39" t="str">
        <f>IFERROR(IF(SUMIFS(tblDaily[Deaths],tblDaily[EntryDate],DATE(2026,4,8),tblDaily[WardCode],"FAE")=0,"",SUMIFS(tblDaily[Deaths],tblDaily[EntryDate],DATE(2026,4,8),tblDaily[WardCode],"FAE")),"")</f>
        <v/>
      </c>
      <c r="L135" s="39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39" t="str">
        <f>IFERROR(IF(SUMIFS(tblDaily[TransfersIn],tblDaily[EntryDate],DATE(2026,4,8),tblDaily[WardCode],"FAE")=0,"",SUMIFS(tblDaily[TransfersIn],tblDaily[EntryDate],DATE(2026,4,8),tblDaily[WardCode],"FAE")),"")</f>
        <v/>
      </c>
      <c r="N135" s="39" t="str">
        <f>IFERROR(IF(SUMIFS(tblDaily[TransfersOut],tblDaily[EntryDate],DATE(2026,4,8),tblDaily[WardCode],"FAE")=0,"",SUMIFS(tblDaily[TransfersOut],tblDaily[EntryDate],DATE(2026,4,8),tblDaily[WardCode],"FAE")),"")</f>
        <v/>
      </c>
      <c r="O135" s="39" t="str">
        <f>IFERROR(IF(SUMIFS(tblDaily[Remaining],tblDaily[EntryDate],DATE(2026,4,8),tblDaily[WardCode],"FAE")=0,"",SUMIFS(tblDaily[Remaining],tblDaily[EntryDate],DATE(2026,4,8),tblDaily[WardCode],"FAE")),"")</f>
        <v/>
      </c>
      <c r="P135" s="40" t="str">
        <f t="shared" si="3"/>
        <v/>
      </c>
    </row>
    <row r="136" spans="1:16" x14ac:dyDescent="0.25">
      <c r="A136" s="39">
        <v>9</v>
      </c>
      <c r="B136" s="39" t="str">
        <f>IFERROR(IF(SUMIFS(tblDaily[Admissions],tblDaily[EntryDate],DATE(2026,4,9),tblDaily[WardCode],"MAE")=0,"",SUMIFS(tblDaily[Admissions],tblDaily[EntryDate],DATE(2026,4,9),tblDaily[WardCode],"MAE")),"")</f>
        <v/>
      </c>
      <c r="C136" s="39" t="str">
        <f>IFERROR(IF(SUMIFS(tblDaily[Discharges],tblDaily[EntryDate],DATE(2026,4,9),tblDaily[WardCode],"MAE")=0,"",SUMIFS(tblDaily[Discharges],tblDaily[EntryDate],DATE(2026,4,9),tblDaily[WardCode],"MAE")),"")</f>
        <v/>
      </c>
      <c r="D136" s="39" t="str">
        <f>IFERROR(IF(SUMIFS(tblDaily[Deaths],tblDaily[EntryDate],DATE(2026,4,9),tblDaily[WardCode],"MAE")=0,"",SUMIFS(tblDaily[Deaths],tblDaily[EntryDate],DATE(2026,4,9),tblDaily[WardCode],"MAE")),"")</f>
        <v/>
      </c>
      <c r="E136" s="39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39" t="str">
        <f>IFERROR(IF(SUMIFS(tblDaily[TransfersIn],tblDaily[EntryDate],DATE(2026,4,9),tblDaily[WardCode],"MAE")=0,"",SUMIFS(tblDaily[TransfersIn],tblDaily[EntryDate],DATE(2026,4,9),tblDaily[WardCode],"MAE")),"")</f>
        <v/>
      </c>
      <c r="G136" s="39" t="str">
        <f>IFERROR(IF(SUMIFS(tblDaily[TransfersOut],tblDaily[EntryDate],DATE(2026,4,9),tblDaily[WardCode],"MAE")=0,"",SUMIFS(tblDaily[TransfersOut],tblDaily[EntryDate],DATE(2026,4,9),tblDaily[WardCode],"MAE")),"")</f>
        <v/>
      </c>
      <c r="H136" s="39" t="str">
        <f>IFERROR(IF(SUMIFS(tblDaily[Remaining],tblDaily[EntryDate],DATE(2026,4,9),tblDaily[WardCode],"MAE")=0,"",SUMIFS(tblDaily[Remaining],tblDaily[EntryDate],DATE(2026,4,9),tblDaily[WardCode],"MAE")),"")</f>
        <v/>
      </c>
      <c r="I136" s="39" t="str">
        <f>IFERROR(IF(SUMIFS(tblDaily[Admissions],tblDaily[EntryDate],DATE(2026,4,9),tblDaily[WardCode],"FAE")=0,"",SUMIFS(tblDaily[Admissions],tblDaily[EntryDate],DATE(2026,4,9),tblDaily[WardCode],"FAE")),"")</f>
        <v/>
      </c>
      <c r="J136" s="39" t="str">
        <f>IFERROR(IF(SUMIFS(tblDaily[Discharges],tblDaily[EntryDate],DATE(2026,4,9),tblDaily[WardCode],"FAE")=0,"",SUMIFS(tblDaily[Discharges],tblDaily[EntryDate],DATE(2026,4,9),tblDaily[WardCode],"FAE")),"")</f>
        <v/>
      </c>
      <c r="K136" s="39" t="str">
        <f>IFERROR(IF(SUMIFS(tblDaily[Deaths],tblDaily[EntryDate],DATE(2026,4,9),tblDaily[WardCode],"FAE")=0,"",SUMIFS(tblDaily[Deaths],tblDaily[EntryDate],DATE(2026,4,9),tblDaily[WardCode],"FAE")),"")</f>
        <v/>
      </c>
      <c r="L136" s="39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39" t="str">
        <f>IFERROR(IF(SUMIFS(tblDaily[TransfersIn],tblDaily[EntryDate],DATE(2026,4,9),tblDaily[WardCode],"FAE")=0,"",SUMIFS(tblDaily[TransfersIn],tblDaily[EntryDate],DATE(2026,4,9),tblDaily[WardCode],"FAE")),"")</f>
        <v/>
      </c>
      <c r="N136" s="39" t="str">
        <f>IFERROR(IF(SUMIFS(tblDaily[TransfersOut],tblDaily[EntryDate],DATE(2026,4,9),tblDaily[WardCode],"FAE")=0,"",SUMIFS(tblDaily[TransfersOut],tblDaily[EntryDate],DATE(2026,4,9),tblDaily[WardCode],"FAE")),"")</f>
        <v/>
      </c>
      <c r="O136" s="39" t="str">
        <f>IFERROR(IF(SUMIFS(tblDaily[Remaining],tblDaily[EntryDate],DATE(2026,4,9),tblDaily[WardCode],"FAE")=0,"",SUMIFS(tblDaily[Remaining],tblDaily[EntryDate],DATE(2026,4,9),tblDaily[WardCode],"FAE")),"")</f>
        <v/>
      </c>
      <c r="P136" s="40" t="str">
        <f t="shared" si="3"/>
        <v/>
      </c>
    </row>
    <row r="137" spans="1:16" x14ac:dyDescent="0.25">
      <c r="A137" s="39">
        <v>10</v>
      </c>
      <c r="B137" s="39" t="str">
        <f>IFERROR(IF(SUMIFS(tblDaily[Admissions],tblDaily[EntryDate],DATE(2026,4,10),tblDaily[WardCode],"MAE")=0,"",SUMIFS(tblDaily[Admissions],tblDaily[EntryDate],DATE(2026,4,10),tblDaily[WardCode],"MAE")),"")</f>
        <v/>
      </c>
      <c r="C137" s="39" t="str">
        <f>IFERROR(IF(SUMIFS(tblDaily[Discharges],tblDaily[EntryDate],DATE(2026,4,10),tblDaily[WardCode],"MAE")=0,"",SUMIFS(tblDaily[Discharges],tblDaily[EntryDate],DATE(2026,4,10),tblDaily[WardCode],"MAE")),"")</f>
        <v/>
      </c>
      <c r="D137" s="39" t="str">
        <f>IFERROR(IF(SUMIFS(tblDaily[Deaths],tblDaily[EntryDate],DATE(2026,4,10),tblDaily[WardCode],"MAE")=0,"",SUMIFS(tblDaily[Deaths],tblDaily[EntryDate],DATE(2026,4,10),tblDaily[WardCode],"MAE")),"")</f>
        <v/>
      </c>
      <c r="E137" s="39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39" t="str">
        <f>IFERROR(IF(SUMIFS(tblDaily[TransfersIn],tblDaily[EntryDate],DATE(2026,4,10),tblDaily[WardCode],"MAE")=0,"",SUMIFS(tblDaily[TransfersIn],tblDaily[EntryDate],DATE(2026,4,10),tblDaily[WardCode],"MAE")),"")</f>
        <v/>
      </c>
      <c r="G137" s="39" t="str">
        <f>IFERROR(IF(SUMIFS(tblDaily[TransfersOut],tblDaily[EntryDate],DATE(2026,4,10),tblDaily[WardCode],"MAE")=0,"",SUMIFS(tblDaily[TransfersOut],tblDaily[EntryDate],DATE(2026,4,10),tblDaily[WardCode],"MAE")),"")</f>
        <v/>
      </c>
      <c r="H137" s="39" t="str">
        <f>IFERROR(IF(SUMIFS(tblDaily[Remaining],tblDaily[EntryDate],DATE(2026,4,10),tblDaily[WardCode],"MAE")=0,"",SUMIFS(tblDaily[Remaining],tblDaily[EntryDate],DATE(2026,4,10),tblDaily[WardCode],"MAE")),"")</f>
        <v/>
      </c>
      <c r="I137" s="39" t="str">
        <f>IFERROR(IF(SUMIFS(tblDaily[Admissions],tblDaily[EntryDate],DATE(2026,4,10),tblDaily[WardCode],"FAE")=0,"",SUMIFS(tblDaily[Admissions],tblDaily[EntryDate],DATE(2026,4,10),tblDaily[WardCode],"FAE")),"")</f>
        <v/>
      </c>
      <c r="J137" s="39" t="str">
        <f>IFERROR(IF(SUMIFS(tblDaily[Discharges],tblDaily[EntryDate],DATE(2026,4,10),tblDaily[WardCode],"FAE")=0,"",SUMIFS(tblDaily[Discharges],tblDaily[EntryDate],DATE(2026,4,10),tblDaily[WardCode],"FAE")),"")</f>
        <v/>
      </c>
      <c r="K137" s="39" t="str">
        <f>IFERROR(IF(SUMIFS(tblDaily[Deaths],tblDaily[EntryDate],DATE(2026,4,10),tblDaily[WardCode],"FAE")=0,"",SUMIFS(tblDaily[Deaths],tblDaily[EntryDate],DATE(2026,4,10),tblDaily[WardCode],"FAE")),"")</f>
        <v/>
      </c>
      <c r="L137" s="39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39" t="str">
        <f>IFERROR(IF(SUMIFS(tblDaily[TransfersIn],tblDaily[EntryDate],DATE(2026,4,10),tblDaily[WardCode],"FAE")=0,"",SUMIFS(tblDaily[TransfersIn],tblDaily[EntryDate],DATE(2026,4,10),tblDaily[WardCode],"FAE")),"")</f>
        <v/>
      </c>
      <c r="N137" s="39" t="str">
        <f>IFERROR(IF(SUMIFS(tblDaily[TransfersOut],tblDaily[EntryDate],DATE(2026,4,10),tblDaily[WardCode],"FAE")=0,"",SUMIFS(tblDaily[TransfersOut],tblDaily[EntryDate],DATE(2026,4,10),tblDaily[WardCode],"FAE")),"")</f>
        <v/>
      </c>
      <c r="O137" s="39" t="str">
        <f>IFERROR(IF(SUMIFS(tblDaily[Remaining],tblDaily[EntryDate],DATE(2026,4,10),tblDaily[WardCode],"FAE")=0,"",SUMIFS(tblDaily[Remaining],tblDaily[EntryDate],DATE(2026,4,10),tblDaily[WardCode],"FAE")),"")</f>
        <v/>
      </c>
      <c r="P137" s="40" t="str">
        <f t="shared" si="3"/>
        <v/>
      </c>
    </row>
    <row r="138" spans="1:16" x14ac:dyDescent="0.25">
      <c r="A138" s="39">
        <v>11</v>
      </c>
      <c r="B138" s="39" t="str">
        <f>IFERROR(IF(SUMIFS(tblDaily[Admissions],tblDaily[EntryDate],DATE(2026,4,11),tblDaily[WardCode],"MAE")=0,"",SUMIFS(tblDaily[Admissions],tblDaily[EntryDate],DATE(2026,4,11),tblDaily[WardCode],"MAE")),"")</f>
        <v/>
      </c>
      <c r="C138" s="39" t="str">
        <f>IFERROR(IF(SUMIFS(tblDaily[Discharges],tblDaily[EntryDate],DATE(2026,4,11),tblDaily[WardCode],"MAE")=0,"",SUMIFS(tblDaily[Discharges],tblDaily[EntryDate],DATE(2026,4,11),tblDaily[WardCode],"MAE")),"")</f>
        <v/>
      </c>
      <c r="D138" s="39" t="str">
        <f>IFERROR(IF(SUMIFS(tblDaily[Deaths],tblDaily[EntryDate],DATE(2026,4,11),tblDaily[WardCode],"MAE")=0,"",SUMIFS(tblDaily[Deaths],tblDaily[EntryDate],DATE(2026,4,11),tblDaily[WardCode],"MAE")),"")</f>
        <v/>
      </c>
      <c r="E138" s="39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39" t="str">
        <f>IFERROR(IF(SUMIFS(tblDaily[TransfersIn],tblDaily[EntryDate],DATE(2026,4,11),tblDaily[WardCode],"MAE")=0,"",SUMIFS(tblDaily[TransfersIn],tblDaily[EntryDate],DATE(2026,4,11),tblDaily[WardCode],"MAE")),"")</f>
        <v/>
      </c>
      <c r="G138" s="39" t="str">
        <f>IFERROR(IF(SUMIFS(tblDaily[TransfersOut],tblDaily[EntryDate],DATE(2026,4,11),tblDaily[WardCode],"MAE")=0,"",SUMIFS(tblDaily[TransfersOut],tblDaily[EntryDate],DATE(2026,4,11),tblDaily[WardCode],"MAE")),"")</f>
        <v/>
      </c>
      <c r="H138" s="39" t="str">
        <f>IFERROR(IF(SUMIFS(tblDaily[Remaining],tblDaily[EntryDate],DATE(2026,4,11),tblDaily[WardCode],"MAE")=0,"",SUMIFS(tblDaily[Remaining],tblDaily[EntryDate],DATE(2026,4,11),tblDaily[WardCode],"MAE")),"")</f>
        <v/>
      </c>
      <c r="I138" s="39" t="str">
        <f>IFERROR(IF(SUMIFS(tblDaily[Admissions],tblDaily[EntryDate],DATE(2026,4,11),tblDaily[WardCode],"FAE")=0,"",SUMIFS(tblDaily[Admissions],tblDaily[EntryDate],DATE(2026,4,11),tblDaily[WardCode],"FAE")),"")</f>
        <v/>
      </c>
      <c r="J138" s="39" t="str">
        <f>IFERROR(IF(SUMIFS(tblDaily[Discharges],tblDaily[EntryDate],DATE(2026,4,11),tblDaily[WardCode],"FAE")=0,"",SUMIFS(tblDaily[Discharges],tblDaily[EntryDate],DATE(2026,4,11),tblDaily[WardCode],"FAE")),"")</f>
        <v/>
      </c>
      <c r="K138" s="39" t="str">
        <f>IFERROR(IF(SUMIFS(tblDaily[Deaths],tblDaily[EntryDate],DATE(2026,4,11),tblDaily[WardCode],"FAE")=0,"",SUMIFS(tblDaily[Deaths],tblDaily[EntryDate],DATE(2026,4,11),tblDaily[WardCode],"FAE")),"")</f>
        <v/>
      </c>
      <c r="L138" s="39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39" t="str">
        <f>IFERROR(IF(SUMIFS(tblDaily[TransfersIn],tblDaily[EntryDate],DATE(2026,4,11),tblDaily[WardCode],"FAE")=0,"",SUMIFS(tblDaily[TransfersIn],tblDaily[EntryDate],DATE(2026,4,11),tblDaily[WardCode],"FAE")),"")</f>
        <v/>
      </c>
      <c r="N138" s="39" t="str">
        <f>IFERROR(IF(SUMIFS(tblDaily[TransfersOut],tblDaily[EntryDate],DATE(2026,4,11),tblDaily[WardCode],"FAE")=0,"",SUMIFS(tblDaily[TransfersOut],tblDaily[EntryDate],DATE(2026,4,11),tblDaily[WardCode],"FAE")),"")</f>
        <v/>
      </c>
      <c r="O138" s="39" t="str">
        <f>IFERROR(IF(SUMIFS(tblDaily[Remaining],tblDaily[EntryDate],DATE(2026,4,11),tblDaily[WardCode],"FAE")=0,"",SUMIFS(tblDaily[Remaining],tblDaily[EntryDate],DATE(2026,4,11),tblDaily[WardCode],"FAE")),"")</f>
        <v/>
      </c>
      <c r="P138" s="40" t="str">
        <f t="shared" si="3"/>
        <v/>
      </c>
    </row>
    <row r="139" spans="1:16" x14ac:dyDescent="0.25">
      <c r="A139" s="39">
        <v>12</v>
      </c>
      <c r="B139" s="39" t="str">
        <f>IFERROR(IF(SUMIFS(tblDaily[Admissions],tblDaily[EntryDate],DATE(2026,4,12),tblDaily[WardCode],"MAE")=0,"",SUMIFS(tblDaily[Admissions],tblDaily[EntryDate],DATE(2026,4,12),tblDaily[WardCode],"MAE")),"")</f>
        <v/>
      </c>
      <c r="C139" s="39" t="str">
        <f>IFERROR(IF(SUMIFS(tblDaily[Discharges],tblDaily[EntryDate],DATE(2026,4,12),tblDaily[WardCode],"MAE")=0,"",SUMIFS(tblDaily[Discharges],tblDaily[EntryDate],DATE(2026,4,12),tblDaily[WardCode],"MAE")),"")</f>
        <v/>
      </c>
      <c r="D139" s="39" t="str">
        <f>IFERROR(IF(SUMIFS(tblDaily[Deaths],tblDaily[EntryDate],DATE(2026,4,12),tblDaily[WardCode],"MAE")=0,"",SUMIFS(tblDaily[Deaths],tblDaily[EntryDate],DATE(2026,4,12),tblDaily[WardCode],"MAE")),"")</f>
        <v/>
      </c>
      <c r="E139" s="39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39" t="str">
        <f>IFERROR(IF(SUMIFS(tblDaily[TransfersIn],tblDaily[EntryDate],DATE(2026,4,12),tblDaily[WardCode],"MAE")=0,"",SUMIFS(tblDaily[TransfersIn],tblDaily[EntryDate],DATE(2026,4,12),tblDaily[WardCode],"MAE")),"")</f>
        <v/>
      </c>
      <c r="G139" s="39" t="str">
        <f>IFERROR(IF(SUMIFS(tblDaily[TransfersOut],tblDaily[EntryDate],DATE(2026,4,12),tblDaily[WardCode],"MAE")=0,"",SUMIFS(tblDaily[TransfersOut],tblDaily[EntryDate],DATE(2026,4,12),tblDaily[WardCode],"MAE")),"")</f>
        <v/>
      </c>
      <c r="H139" s="39" t="str">
        <f>IFERROR(IF(SUMIFS(tblDaily[Remaining],tblDaily[EntryDate],DATE(2026,4,12),tblDaily[WardCode],"MAE")=0,"",SUMIFS(tblDaily[Remaining],tblDaily[EntryDate],DATE(2026,4,12),tblDaily[WardCode],"MAE")),"")</f>
        <v/>
      </c>
      <c r="I139" s="39" t="str">
        <f>IFERROR(IF(SUMIFS(tblDaily[Admissions],tblDaily[EntryDate],DATE(2026,4,12),tblDaily[WardCode],"FAE")=0,"",SUMIFS(tblDaily[Admissions],tblDaily[EntryDate],DATE(2026,4,12),tblDaily[WardCode],"FAE")),"")</f>
        <v/>
      </c>
      <c r="J139" s="39" t="str">
        <f>IFERROR(IF(SUMIFS(tblDaily[Discharges],tblDaily[EntryDate],DATE(2026,4,12),tblDaily[WardCode],"FAE")=0,"",SUMIFS(tblDaily[Discharges],tblDaily[EntryDate],DATE(2026,4,12),tblDaily[WardCode],"FAE")),"")</f>
        <v/>
      </c>
      <c r="K139" s="39" t="str">
        <f>IFERROR(IF(SUMIFS(tblDaily[Deaths],tblDaily[EntryDate],DATE(2026,4,12),tblDaily[WardCode],"FAE")=0,"",SUMIFS(tblDaily[Deaths],tblDaily[EntryDate],DATE(2026,4,12),tblDaily[WardCode],"FAE")),"")</f>
        <v/>
      </c>
      <c r="L139" s="39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39" t="str">
        <f>IFERROR(IF(SUMIFS(tblDaily[TransfersIn],tblDaily[EntryDate],DATE(2026,4,12),tblDaily[WardCode],"FAE")=0,"",SUMIFS(tblDaily[TransfersIn],tblDaily[EntryDate],DATE(2026,4,12),tblDaily[WardCode],"FAE")),"")</f>
        <v/>
      </c>
      <c r="N139" s="39" t="str">
        <f>IFERROR(IF(SUMIFS(tblDaily[TransfersOut],tblDaily[EntryDate],DATE(2026,4,12),tblDaily[WardCode],"FAE")=0,"",SUMIFS(tblDaily[TransfersOut],tblDaily[EntryDate],DATE(2026,4,12),tblDaily[WardCode],"FAE")),"")</f>
        <v/>
      </c>
      <c r="O139" s="39" t="str">
        <f>IFERROR(IF(SUMIFS(tblDaily[Remaining],tblDaily[EntryDate],DATE(2026,4,12),tblDaily[WardCode],"FAE")=0,"",SUMIFS(tblDaily[Remaining],tblDaily[EntryDate],DATE(2026,4,12),tblDaily[WardCode],"FAE")),"")</f>
        <v/>
      </c>
      <c r="P139" s="40" t="str">
        <f t="shared" si="3"/>
        <v/>
      </c>
    </row>
    <row r="140" spans="1:16" x14ac:dyDescent="0.25">
      <c r="A140" s="39">
        <v>13</v>
      </c>
      <c r="B140" s="39" t="str">
        <f>IFERROR(IF(SUMIFS(tblDaily[Admissions],tblDaily[EntryDate],DATE(2026,4,13),tblDaily[WardCode],"MAE")=0,"",SUMIFS(tblDaily[Admissions],tblDaily[EntryDate],DATE(2026,4,13),tblDaily[WardCode],"MAE")),"")</f>
        <v/>
      </c>
      <c r="C140" s="39" t="str">
        <f>IFERROR(IF(SUMIFS(tblDaily[Discharges],tblDaily[EntryDate],DATE(2026,4,13),tblDaily[WardCode],"MAE")=0,"",SUMIFS(tblDaily[Discharges],tblDaily[EntryDate],DATE(2026,4,13),tblDaily[WardCode],"MAE")),"")</f>
        <v/>
      </c>
      <c r="D140" s="39" t="str">
        <f>IFERROR(IF(SUMIFS(tblDaily[Deaths],tblDaily[EntryDate],DATE(2026,4,13),tblDaily[WardCode],"MAE")=0,"",SUMIFS(tblDaily[Deaths],tblDaily[EntryDate],DATE(2026,4,13),tblDaily[WardCode],"MAE")),"")</f>
        <v/>
      </c>
      <c r="E140" s="39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39" t="str">
        <f>IFERROR(IF(SUMIFS(tblDaily[TransfersIn],tblDaily[EntryDate],DATE(2026,4,13),tblDaily[WardCode],"MAE")=0,"",SUMIFS(tblDaily[TransfersIn],tblDaily[EntryDate],DATE(2026,4,13),tblDaily[WardCode],"MAE")),"")</f>
        <v/>
      </c>
      <c r="G140" s="39" t="str">
        <f>IFERROR(IF(SUMIFS(tblDaily[TransfersOut],tblDaily[EntryDate],DATE(2026,4,13),tblDaily[WardCode],"MAE")=0,"",SUMIFS(tblDaily[TransfersOut],tblDaily[EntryDate],DATE(2026,4,13),tblDaily[WardCode],"MAE")),"")</f>
        <v/>
      </c>
      <c r="H140" s="39" t="str">
        <f>IFERROR(IF(SUMIFS(tblDaily[Remaining],tblDaily[EntryDate],DATE(2026,4,13),tblDaily[WardCode],"MAE")=0,"",SUMIFS(tblDaily[Remaining],tblDaily[EntryDate],DATE(2026,4,13),tblDaily[WardCode],"MAE")),"")</f>
        <v/>
      </c>
      <c r="I140" s="39" t="str">
        <f>IFERROR(IF(SUMIFS(tblDaily[Admissions],tblDaily[EntryDate],DATE(2026,4,13),tblDaily[WardCode],"FAE")=0,"",SUMIFS(tblDaily[Admissions],tblDaily[EntryDate],DATE(2026,4,13),tblDaily[WardCode],"FAE")),"")</f>
        <v/>
      </c>
      <c r="J140" s="39" t="str">
        <f>IFERROR(IF(SUMIFS(tblDaily[Discharges],tblDaily[EntryDate],DATE(2026,4,13),tblDaily[WardCode],"FAE")=0,"",SUMIFS(tblDaily[Discharges],tblDaily[EntryDate],DATE(2026,4,13),tblDaily[WardCode],"FAE")),"")</f>
        <v/>
      </c>
      <c r="K140" s="39" t="str">
        <f>IFERROR(IF(SUMIFS(tblDaily[Deaths],tblDaily[EntryDate],DATE(2026,4,13),tblDaily[WardCode],"FAE")=0,"",SUMIFS(tblDaily[Deaths],tblDaily[EntryDate],DATE(2026,4,13),tblDaily[WardCode],"FAE")),"")</f>
        <v/>
      </c>
      <c r="L140" s="39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39" t="str">
        <f>IFERROR(IF(SUMIFS(tblDaily[TransfersIn],tblDaily[EntryDate],DATE(2026,4,13),tblDaily[WardCode],"FAE")=0,"",SUMIFS(tblDaily[TransfersIn],tblDaily[EntryDate],DATE(2026,4,13),tblDaily[WardCode],"FAE")),"")</f>
        <v/>
      </c>
      <c r="N140" s="39" t="str">
        <f>IFERROR(IF(SUMIFS(tblDaily[TransfersOut],tblDaily[EntryDate],DATE(2026,4,13),tblDaily[WardCode],"FAE")=0,"",SUMIFS(tblDaily[TransfersOut],tblDaily[EntryDate],DATE(2026,4,13),tblDaily[WardCode],"FAE")),"")</f>
        <v/>
      </c>
      <c r="O140" s="39" t="str">
        <f>IFERROR(IF(SUMIFS(tblDaily[Remaining],tblDaily[EntryDate],DATE(2026,4,13),tblDaily[WardCode],"FAE")=0,"",SUMIFS(tblDaily[Remaining],tblDaily[EntryDate],DATE(2026,4,13),tblDaily[WardCode],"FAE")),"")</f>
        <v/>
      </c>
      <c r="P140" s="40" t="str">
        <f t="shared" si="3"/>
        <v/>
      </c>
    </row>
    <row r="141" spans="1:16" x14ac:dyDescent="0.25">
      <c r="A141" s="39">
        <v>14</v>
      </c>
      <c r="B141" s="39" t="str">
        <f>IFERROR(IF(SUMIFS(tblDaily[Admissions],tblDaily[EntryDate],DATE(2026,4,14),tblDaily[WardCode],"MAE")=0,"",SUMIFS(tblDaily[Admissions],tblDaily[EntryDate],DATE(2026,4,14),tblDaily[WardCode],"MAE")),"")</f>
        <v/>
      </c>
      <c r="C141" s="39" t="str">
        <f>IFERROR(IF(SUMIFS(tblDaily[Discharges],tblDaily[EntryDate],DATE(2026,4,14),tblDaily[WardCode],"MAE")=0,"",SUMIFS(tblDaily[Discharges],tblDaily[EntryDate],DATE(2026,4,14),tblDaily[WardCode],"MAE")),"")</f>
        <v/>
      </c>
      <c r="D141" s="39" t="str">
        <f>IFERROR(IF(SUMIFS(tblDaily[Deaths],tblDaily[EntryDate],DATE(2026,4,14),tblDaily[WardCode],"MAE")=0,"",SUMIFS(tblDaily[Deaths],tblDaily[EntryDate],DATE(2026,4,14),tblDaily[WardCode],"MAE")),"")</f>
        <v/>
      </c>
      <c r="E141" s="39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39" t="str">
        <f>IFERROR(IF(SUMIFS(tblDaily[TransfersIn],tblDaily[EntryDate],DATE(2026,4,14),tblDaily[WardCode],"MAE")=0,"",SUMIFS(tblDaily[TransfersIn],tblDaily[EntryDate],DATE(2026,4,14),tblDaily[WardCode],"MAE")),"")</f>
        <v/>
      </c>
      <c r="G141" s="39" t="str">
        <f>IFERROR(IF(SUMIFS(tblDaily[TransfersOut],tblDaily[EntryDate],DATE(2026,4,14),tblDaily[WardCode],"MAE")=0,"",SUMIFS(tblDaily[TransfersOut],tblDaily[EntryDate],DATE(2026,4,14),tblDaily[WardCode],"MAE")),"")</f>
        <v/>
      </c>
      <c r="H141" s="39" t="str">
        <f>IFERROR(IF(SUMIFS(tblDaily[Remaining],tblDaily[EntryDate],DATE(2026,4,14),tblDaily[WardCode],"MAE")=0,"",SUMIFS(tblDaily[Remaining],tblDaily[EntryDate],DATE(2026,4,14),tblDaily[WardCode],"MAE")),"")</f>
        <v/>
      </c>
      <c r="I141" s="39" t="str">
        <f>IFERROR(IF(SUMIFS(tblDaily[Admissions],tblDaily[EntryDate],DATE(2026,4,14),tblDaily[WardCode],"FAE")=0,"",SUMIFS(tblDaily[Admissions],tblDaily[EntryDate],DATE(2026,4,14),tblDaily[WardCode],"FAE")),"")</f>
        <v/>
      </c>
      <c r="J141" s="39" t="str">
        <f>IFERROR(IF(SUMIFS(tblDaily[Discharges],tblDaily[EntryDate],DATE(2026,4,14),tblDaily[WardCode],"FAE")=0,"",SUMIFS(tblDaily[Discharges],tblDaily[EntryDate],DATE(2026,4,14),tblDaily[WardCode],"FAE")),"")</f>
        <v/>
      </c>
      <c r="K141" s="39" t="str">
        <f>IFERROR(IF(SUMIFS(tblDaily[Deaths],tblDaily[EntryDate],DATE(2026,4,14),tblDaily[WardCode],"FAE")=0,"",SUMIFS(tblDaily[Deaths],tblDaily[EntryDate],DATE(2026,4,14),tblDaily[WardCode],"FAE")),"")</f>
        <v/>
      </c>
      <c r="L141" s="39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39" t="str">
        <f>IFERROR(IF(SUMIFS(tblDaily[TransfersIn],tblDaily[EntryDate],DATE(2026,4,14),tblDaily[WardCode],"FAE")=0,"",SUMIFS(tblDaily[TransfersIn],tblDaily[EntryDate],DATE(2026,4,14),tblDaily[WardCode],"FAE")),"")</f>
        <v/>
      </c>
      <c r="N141" s="39" t="str">
        <f>IFERROR(IF(SUMIFS(tblDaily[TransfersOut],tblDaily[EntryDate],DATE(2026,4,14),tblDaily[WardCode],"FAE")=0,"",SUMIFS(tblDaily[TransfersOut],tblDaily[EntryDate],DATE(2026,4,14),tblDaily[WardCode],"FAE")),"")</f>
        <v/>
      </c>
      <c r="O141" s="39" t="str">
        <f>IFERROR(IF(SUMIFS(tblDaily[Remaining],tblDaily[EntryDate],DATE(2026,4,14),tblDaily[WardCode],"FAE")=0,"",SUMIFS(tblDaily[Remaining],tblDaily[EntryDate],DATE(2026,4,14),tblDaily[WardCode],"FAE")),"")</f>
        <v/>
      </c>
      <c r="P141" s="40" t="str">
        <f t="shared" si="3"/>
        <v/>
      </c>
    </row>
    <row r="142" spans="1:16" x14ac:dyDescent="0.25">
      <c r="A142" s="39">
        <v>15</v>
      </c>
      <c r="B142" s="39" t="str">
        <f>IFERROR(IF(SUMIFS(tblDaily[Admissions],tblDaily[EntryDate],DATE(2026,4,15),tblDaily[WardCode],"MAE")=0,"",SUMIFS(tblDaily[Admissions],tblDaily[EntryDate],DATE(2026,4,15),tblDaily[WardCode],"MAE")),"")</f>
        <v/>
      </c>
      <c r="C142" s="39" t="str">
        <f>IFERROR(IF(SUMIFS(tblDaily[Discharges],tblDaily[EntryDate],DATE(2026,4,15),tblDaily[WardCode],"MAE")=0,"",SUMIFS(tblDaily[Discharges],tblDaily[EntryDate],DATE(2026,4,15),tblDaily[WardCode],"MAE")),"")</f>
        <v/>
      </c>
      <c r="D142" s="39" t="str">
        <f>IFERROR(IF(SUMIFS(tblDaily[Deaths],tblDaily[EntryDate],DATE(2026,4,15),tblDaily[WardCode],"MAE")=0,"",SUMIFS(tblDaily[Deaths],tblDaily[EntryDate],DATE(2026,4,15),tblDaily[WardCode],"MAE")),"")</f>
        <v/>
      </c>
      <c r="E142" s="39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39" t="str">
        <f>IFERROR(IF(SUMIFS(tblDaily[TransfersIn],tblDaily[EntryDate],DATE(2026,4,15),tblDaily[WardCode],"MAE")=0,"",SUMIFS(tblDaily[TransfersIn],tblDaily[EntryDate],DATE(2026,4,15),tblDaily[WardCode],"MAE")),"")</f>
        <v/>
      </c>
      <c r="G142" s="39" t="str">
        <f>IFERROR(IF(SUMIFS(tblDaily[TransfersOut],tblDaily[EntryDate],DATE(2026,4,15),tblDaily[WardCode],"MAE")=0,"",SUMIFS(tblDaily[TransfersOut],tblDaily[EntryDate],DATE(2026,4,15),tblDaily[WardCode],"MAE")),"")</f>
        <v/>
      </c>
      <c r="H142" s="39" t="str">
        <f>IFERROR(IF(SUMIFS(tblDaily[Remaining],tblDaily[EntryDate],DATE(2026,4,15),tblDaily[WardCode],"MAE")=0,"",SUMIFS(tblDaily[Remaining],tblDaily[EntryDate],DATE(2026,4,15),tblDaily[WardCode],"MAE")),"")</f>
        <v/>
      </c>
      <c r="I142" s="39" t="str">
        <f>IFERROR(IF(SUMIFS(tblDaily[Admissions],tblDaily[EntryDate],DATE(2026,4,15),tblDaily[WardCode],"FAE")=0,"",SUMIFS(tblDaily[Admissions],tblDaily[EntryDate],DATE(2026,4,15),tblDaily[WardCode],"FAE")),"")</f>
        <v/>
      </c>
      <c r="J142" s="39" t="str">
        <f>IFERROR(IF(SUMIFS(tblDaily[Discharges],tblDaily[EntryDate],DATE(2026,4,15),tblDaily[WardCode],"FAE")=0,"",SUMIFS(tblDaily[Discharges],tblDaily[EntryDate],DATE(2026,4,15),tblDaily[WardCode],"FAE")),"")</f>
        <v/>
      </c>
      <c r="K142" s="39" t="str">
        <f>IFERROR(IF(SUMIFS(tblDaily[Deaths],tblDaily[EntryDate],DATE(2026,4,15),tblDaily[WardCode],"FAE")=0,"",SUMIFS(tblDaily[Deaths],tblDaily[EntryDate],DATE(2026,4,15),tblDaily[WardCode],"FAE")),"")</f>
        <v/>
      </c>
      <c r="L142" s="39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39" t="str">
        <f>IFERROR(IF(SUMIFS(tblDaily[TransfersIn],tblDaily[EntryDate],DATE(2026,4,15),tblDaily[WardCode],"FAE")=0,"",SUMIFS(tblDaily[TransfersIn],tblDaily[EntryDate],DATE(2026,4,15),tblDaily[WardCode],"FAE")),"")</f>
        <v/>
      </c>
      <c r="N142" s="39" t="str">
        <f>IFERROR(IF(SUMIFS(tblDaily[TransfersOut],tblDaily[EntryDate],DATE(2026,4,15),tblDaily[WardCode],"FAE")=0,"",SUMIFS(tblDaily[TransfersOut],tblDaily[EntryDate],DATE(2026,4,15),tblDaily[WardCode],"FAE")),"")</f>
        <v/>
      </c>
      <c r="O142" s="39" t="str">
        <f>IFERROR(IF(SUMIFS(tblDaily[Remaining],tblDaily[EntryDate],DATE(2026,4,15),tblDaily[WardCode],"FAE")=0,"",SUMIFS(tblDaily[Remaining],tblDaily[EntryDate],DATE(2026,4,15),tblDaily[WardCode],"FAE")),"")</f>
        <v/>
      </c>
      <c r="P142" s="40" t="str">
        <f t="shared" si="3"/>
        <v/>
      </c>
    </row>
    <row r="143" spans="1:16" x14ac:dyDescent="0.25">
      <c r="A143" s="39">
        <v>16</v>
      </c>
      <c r="B143" s="39" t="str">
        <f>IFERROR(IF(SUMIFS(tblDaily[Admissions],tblDaily[EntryDate],DATE(2026,4,16),tblDaily[WardCode],"MAE")=0,"",SUMIFS(tblDaily[Admissions],tblDaily[EntryDate],DATE(2026,4,16),tblDaily[WardCode],"MAE")),"")</f>
        <v/>
      </c>
      <c r="C143" s="39" t="str">
        <f>IFERROR(IF(SUMIFS(tblDaily[Discharges],tblDaily[EntryDate],DATE(2026,4,16),tblDaily[WardCode],"MAE")=0,"",SUMIFS(tblDaily[Discharges],tblDaily[EntryDate],DATE(2026,4,16),tblDaily[WardCode],"MAE")),"")</f>
        <v/>
      </c>
      <c r="D143" s="39" t="str">
        <f>IFERROR(IF(SUMIFS(tblDaily[Deaths],tblDaily[EntryDate],DATE(2026,4,16),tblDaily[WardCode],"MAE")=0,"",SUMIFS(tblDaily[Deaths],tblDaily[EntryDate],DATE(2026,4,16),tblDaily[WardCode],"MAE")),"")</f>
        <v/>
      </c>
      <c r="E143" s="39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39" t="str">
        <f>IFERROR(IF(SUMIFS(tblDaily[TransfersIn],tblDaily[EntryDate],DATE(2026,4,16),tblDaily[WardCode],"MAE")=0,"",SUMIFS(tblDaily[TransfersIn],tblDaily[EntryDate],DATE(2026,4,16),tblDaily[WardCode],"MAE")),"")</f>
        <v/>
      </c>
      <c r="G143" s="39" t="str">
        <f>IFERROR(IF(SUMIFS(tblDaily[TransfersOut],tblDaily[EntryDate],DATE(2026,4,16),tblDaily[WardCode],"MAE")=0,"",SUMIFS(tblDaily[TransfersOut],tblDaily[EntryDate],DATE(2026,4,16),tblDaily[WardCode],"MAE")),"")</f>
        <v/>
      </c>
      <c r="H143" s="39" t="str">
        <f>IFERROR(IF(SUMIFS(tblDaily[Remaining],tblDaily[EntryDate],DATE(2026,4,16),tblDaily[WardCode],"MAE")=0,"",SUMIFS(tblDaily[Remaining],tblDaily[EntryDate],DATE(2026,4,16),tblDaily[WardCode],"MAE")),"")</f>
        <v/>
      </c>
      <c r="I143" s="39" t="str">
        <f>IFERROR(IF(SUMIFS(tblDaily[Admissions],tblDaily[EntryDate],DATE(2026,4,16),tblDaily[WardCode],"FAE")=0,"",SUMIFS(tblDaily[Admissions],tblDaily[EntryDate],DATE(2026,4,16),tblDaily[WardCode],"FAE")),"")</f>
        <v/>
      </c>
      <c r="J143" s="39" t="str">
        <f>IFERROR(IF(SUMIFS(tblDaily[Discharges],tblDaily[EntryDate],DATE(2026,4,16),tblDaily[WardCode],"FAE")=0,"",SUMIFS(tblDaily[Discharges],tblDaily[EntryDate],DATE(2026,4,16),tblDaily[WardCode],"FAE")),"")</f>
        <v/>
      </c>
      <c r="K143" s="39" t="str">
        <f>IFERROR(IF(SUMIFS(tblDaily[Deaths],tblDaily[EntryDate],DATE(2026,4,16),tblDaily[WardCode],"FAE")=0,"",SUMIFS(tblDaily[Deaths],tblDaily[EntryDate],DATE(2026,4,16),tblDaily[WardCode],"FAE")),"")</f>
        <v/>
      </c>
      <c r="L143" s="39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39" t="str">
        <f>IFERROR(IF(SUMIFS(tblDaily[TransfersIn],tblDaily[EntryDate],DATE(2026,4,16),tblDaily[WardCode],"FAE")=0,"",SUMIFS(tblDaily[TransfersIn],tblDaily[EntryDate],DATE(2026,4,16),tblDaily[WardCode],"FAE")),"")</f>
        <v/>
      </c>
      <c r="N143" s="39" t="str">
        <f>IFERROR(IF(SUMIFS(tblDaily[TransfersOut],tblDaily[EntryDate],DATE(2026,4,16),tblDaily[WardCode],"FAE")=0,"",SUMIFS(tblDaily[TransfersOut],tblDaily[EntryDate],DATE(2026,4,16),tblDaily[WardCode],"FAE")),"")</f>
        <v/>
      </c>
      <c r="O143" s="39" t="str">
        <f>IFERROR(IF(SUMIFS(tblDaily[Remaining],tblDaily[EntryDate],DATE(2026,4,16),tblDaily[WardCode],"FAE")=0,"",SUMIFS(tblDaily[Remaining],tblDaily[EntryDate],DATE(2026,4,16),tblDaily[WardCode],"FAE")),"")</f>
        <v/>
      </c>
      <c r="P143" s="40" t="str">
        <f t="shared" si="3"/>
        <v/>
      </c>
    </row>
    <row r="144" spans="1:16" x14ac:dyDescent="0.25">
      <c r="A144" s="39">
        <v>17</v>
      </c>
      <c r="B144" s="39" t="str">
        <f>IFERROR(IF(SUMIFS(tblDaily[Admissions],tblDaily[EntryDate],DATE(2026,4,17),tblDaily[WardCode],"MAE")=0,"",SUMIFS(tblDaily[Admissions],tblDaily[EntryDate],DATE(2026,4,17),tblDaily[WardCode],"MAE")),"")</f>
        <v/>
      </c>
      <c r="C144" s="39" t="str">
        <f>IFERROR(IF(SUMIFS(tblDaily[Discharges],tblDaily[EntryDate],DATE(2026,4,17),tblDaily[WardCode],"MAE")=0,"",SUMIFS(tblDaily[Discharges],tblDaily[EntryDate],DATE(2026,4,17),tblDaily[WardCode],"MAE")),"")</f>
        <v/>
      </c>
      <c r="D144" s="39" t="str">
        <f>IFERROR(IF(SUMIFS(tblDaily[Deaths],tblDaily[EntryDate],DATE(2026,4,17),tblDaily[WardCode],"MAE")=0,"",SUMIFS(tblDaily[Deaths],tblDaily[EntryDate],DATE(2026,4,17),tblDaily[WardCode],"MAE")),"")</f>
        <v/>
      </c>
      <c r="E144" s="39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39" t="str">
        <f>IFERROR(IF(SUMIFS(tblDaily[TransfersIn],tblDaily[EntryDate],DATE(2026,4,17),tblDaily[WardCode],"MAE")=0,"",SUMIFS(tblDaily[TransfersIn],tblDaily[EntryDate],DATE(2026,4,17),tblDaily[WardCode],"MAE")),"")</f>
        <v/>
      </c>
      <c r="G144" s="39" t="str">
        <f>IFERROR(IF(SUMIFS(tblDaily[TransfersOut],tblDaily[EntryDate],DATE(2026,4,17),tblDaily[WardCode],"MAE")=0,"",SUMIFS(tblDaily[TransfersOut],tblDaily[EntryDate],DATE(2026,4,17),tblDaily[WardCode],"MAE")),"")</f>
        <v/>
      </c>
      <c r="H144" s="39" t="str">
        <f>IFERROR(IF(SUMIFS(tblDaily[Remaining],tblDaily[EntryDate],DATE(2026,4,17),tblDaily[WardCode],"MAE")=0,"",SUMIFS(tblDaily[Remaining],tblDaily[EntryDate],DATE(2026,4,17),tblDaily[WardCode],"MAE")),"")</f>
        <v/>
      </c>
      <c r="I144" s="39" t="str">
        <f>IFERROR(IF(SUMIFS(tblDaily[Admissions],tblDaily[EntryDate],DATE(2026,4,17),tblDaily[WardCode],"FAE")=0,"",SUMIFS(tblDaily[Admissions],tblDaily[EntryDate],DATE(2026,4,17),tblDaily[WardCode],"FAE")),"")</f>
        <v/>
      </c>
      <c r="J144" s="39" t="str">
        <f>IFERROR(IF(SUMIFS(tblDaily[Discharges],tblDaily[EntryDate],DATE(2026,4,17),tblDaily[WardCode],"FAE")=0,"",SUMIFS(tblDaily[Discharges],tblDaily[EntryDate],DATE(2026,4,17),tblDaily[WardCode],"FAE")),"")</f>
        <v/>
      </c>
      <c r="K144" s="39" t="str">
        <f>IFERROR(IF(SUMIFS(tblDaily[Deaths],tblDaily[EntryDate],DATE(2026,4,17),tblDaily[WardCode],"FAE")=0,"",SUMIFS(tblDaily[Deaths],tblDaily[EntryDate],DATE(2026,4,17),tblDaily[WardCode],"FAE")),"")</f>
        <v/>
      </c>
      <c r="L144" s="39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39" t="str">
        <f>IFERROR(IF(SUMIFS(tblDaily[TransfersIn],tblDaily[EntryDate],DATE(2026,4,17),tblDaily[WardCode],"FAE")=0,"",SUMIFS(tblDaily[TransfersIn],tblDaily[EntryDate],DATE(2026,4,17),tblDaily[WardCode],"FAE")),"")</f>
        <v/>
      </c>
      <c r="N144" s="39" t="str">
        <f>IFERROR(IF(SUMIFS(tblDaily[TransfersOut],tblDaily[EntryDate],DATE(2026,4,17),tblDaily[WardCode],"FAE")=0,"",SUMIFS(tblDaily[TransfersOut],tblDaily[EntryDate],DATE(2026,4,17),tblDaily[WardCode],"FAE")),"")</f>
        <v/>
      </c>
      <c r="O144" s="39" t="str">
        <f>IFERROR(IF(SUMIFS(tblDaily[Remaining],tblDaily[EntryDate],DATE(2026,4,17),tblDaily[WardCode],"FAE")=0,"",SUMIFS(tblDaily[Remaining],tblDaily[EntryDate],DATE(2026,4,17),tblDaily[WardCode],"FAE")),"")</f>
        <v/>
      </c>
      <c r="P144" s="40" t="str">
        <f t="shared" si="3"/>
        <v/>
      </c>
    </row>
    <row r="145" spans="1:16" x14ac:dyDescent="0.25">
      <c r="A145" s="39">
        <v>18</v>
      </c>
      <c r="B145" s="39" t="str">
        <f>IFERROR(IF(SUMIFS(tblDaily[Admissions],tblDaily[EntryDate],DATE(2026,4,18),tblDaily[WardCode],"MAE")=0,"",SUMIFS(tblDaily[Admissions],tblDaily[EntryDate],DATE(2026,4,18),tblDaily[WardCode],"MAE")),"")</f>
        <v/>
      </c>
      <c r="C145" s="39" t="str">
        <f>IFERROR(IF(SUMIFS(tblDaily[Discharges],tblDaily[EntryDate],DATE(2026,4,18),tblDaily[WardCode],"MAE")=0,"",SUMIFS(tblDaily[Discharges],tblDaily[EntryDate],DATE(2026,4,18),tblDaily[WardCode],"MAE")),"")</f>
        <v/>
      </c>
      <c r="D145" s="39" t="str">
        <f>IFERROR(IF(SUMIFS(tblDaily[Deaths],tblDaily[EntryDate],DATE(2026,4,18),tblDaily[WardCode],"MAE")=0,"",SUMIFS(tblDaily[Deaths],tblDaily[EntryDate],DATE(2026,4,18),tblDaily[WardCode],"MAE")),"")</f>
        <v/>
      </c>
      <c r="E145" s="39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39" t="str">
        <f>IFERROR(IF(SUMIFS(tblDaily[TransfersIn],tblDaily[EntryDate],DATE(2026,4,18),tblDaily[WardCode],"MAE")=0,"",SUMIFS(tblDaily[TransfersIn],tblDaily[EntryDate],DATE(2026,4,18),tblDaily[WardCode],"MAE")),"")</f>
        <v/>
      </c>
      <c r="G145" s="39" t="str">
        <f>IFERROR(IF(SUMIFS(tblDaily[TransfersOut],tblDaily[EntryDate],DATE(2026,4,18),tblDaily[WardCode],"MAE")=0,"",SUMIFS(tblDaily[TransfersOut],tblDaily[EntryDate],DATE(2026,4,18),tblDaily[WardCode],"MAE")),"")</f>
        <v/>
      </c>
      <c r="H145" s="39" t="str">
        <f>IFERROR(IF(SUMIFS(tblDaily[Remaining],tblDaily[EntryDate],DATE(2026,4,18),tblDaily[WardCode],"MAE")=0,"",SUMIFS(tblDaily[Remaining],tblDaily[EntryDate],DATE(2026,4,18),tblDaily[WardCode],"MAE")),"")</f>
        <v/>
      </c>
      <c r="I145" s="39" t="str">
        <f>IFERROR(IF(SUMIFS(tblDaily[Admissions],tblDaily[EntryDate],DATE(2026,4,18),tblDaily[WardCode],"FAE")=0,"",SUMIFS(tblDaily[Admissions],tblDaily[EntryDate],DATE(2026,4,18),tblDaily[WardCode],"FAE")),"")</f>
        <v/>
      </c>
      <c r="J145" s="39" t="str">
        <f>IFERROR(IF(SUMIFS(tblDaily[Discharges],tblDaily[EntryDate],DATE(2026,4,18),tblDaily[WardCode],"FAE")=0,"",SUMIFS(tblDaily[Discharges],tblDaily[EntryDate],DATE(2026,4,18),tblDaily[WardCode],"FAE")),"")</f>
        <v/>
      </c>
      <c r="K145" s="39" t="str">
        <f>IFERROR(IF(SUMIFS(tblDaily[Deaths],tblDaily[EntryDate],DATE(2026,4,18),tblDaily[WardCode],"FAE")=0,"",SUMIFS(tblDaily[Deaths],tblDaily[EntryDate],DATE(2026,4,18),tblDaily[WardCode],"FAE")),"")</f>
        <v/>
      </c>
      <c r="L145" s="39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39" t="str">
        <f>IFERROR(IF(SUMIFS(tblDaily[TransfersIn],tblDaily[EntryDate],DATE(2026,4,18),tblDaily[WardCode],"FAE")=0,"",SUMIFS(tblDaily[TransfersIn],tblDaily[EntryDate],DATE(2026,4,18),tblDaily[WardCode],"FAE")),"")</f>
        <v/>
      </c>
      <c r="N145" s="39" t="str">
        <f>IFERROR(IF(SUMIFS(tblDaily[TransfersOut],tblDaily[EntryDate],DATE(2026,4,18),tblDaily[WardCode],"FAE")=0,"",SUMIFS(tblDaily[TransfersOut],tblDaily[EntryDate],DATE(2026,4,18),tblDaily[WardCode],"FAE")),"")</f>
        <v/>
      </c>
      <c r="O145" s="39" t="str">
        <f>IFERROR(IF(SUMIFS(tblDaily[Remaining],tblDaily[EntryDate],DATE(2026,4,18),tblDaily[WardCode],"FAE")=0,"",SUMIFS(tblDaily[Remaining],tblDaily[EntryDate],DATE(2026,4,18),tblDaily[WardCode],"FAE")),"")</f>
        <v/>
      </c>
      <c r="P145" s="40" t="str">
        <f t="shared" si="3"/>
        <v/>
      </c>
    </row>
    <row r="146" spans="1:16" x14ac:dyDescent="0.25">
      <c r="A146" s="39">
        <v>19</v>
      </c>
      <c r="B146" s="39" t="str">
        <f>IFERROR(IF(SUMIFS(tblDaily[Admissions],tblDaily[EntryDate],DATE(2026,4,19),tblDaily[WardCode],"MAE")=0,"",SUMIFS(tblDaily[Admissions],tblDaily[EntryDate],DATE(2026,4,19),tblDaily[WardCode],"MAE")),"")</f>
        <v/>
      </c>
      <c r="C146" s="39" t="str">
        <f>IFERROR(IF(SUMIFS(tblDaily[Discharges],tblDaily[EntryDate],DATE(2026,4,19),tblDaily[WardCode],"MAE")=0,"",SUMIFS(tblDaily[Discharges],tblDaily[EntryDate],DATE(2026,4,19),tblDaily[WardCode],"MAE")),"")</f>
        <v/>
      </c>
      <c r="D146" s="39" t="str">
        <f>IFERROR(IF(SUMIFS(tblDaily[Deaths],tblDaily[EntryDate],DATE(2026,4,19),tblDaily[WardCode],"MAE")=0,"",SUMIFS(tblDaily[Deaths],tblDaily[EntryDate],DATE(2026,4,19),tblDaily[WardCode],"MAE")),"")</f>
        <v/>
      </c>
      <c r="E146" s="39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39" t="str">
        <f>IFERROR(IF(SUMIFS(tblDaily[TransfersIn],tblDaily[EntryDate],DATE(2026,4,19),tblDaily[WardCode],"MAE")=0,"",SUMIFS(tblDaily[TransfersIn],tblDaily[EntryDate],DATE(2026,4,19),tblDaily[WardCode],"MAE")),"")</f>
        <v/>
      </c>
      <c r="G146" s="39" t="str">
        <f>IFERROR(IF(SUMIFS(tblDaily[TransfersOut],tblDaily[EntryDate],DATE(2026,4,19),tblDaily[WardCode],"MAE")=0,"",SUMIFS(tblDaily[TransfersOut],tblDaily[EntryDate],DATE(2026,4,19),tblDaily[WardCode],"MAE")),"")</f>
        <v/>
      </c>
      <c r="H146" s="39" t="str">
        <f>IFERROR(IF(SUMIFS(tblDaily[Remaining],tblDaily[EntryDate],DATE(2026,4,19),tblDaily[WardCode],"MAE")=0,"",SUMIFS(tblDaily[Remaining],tblDaily[EntryDate],DATE(2026,4,19),tblDaily[WardCode],"MAE")),"")</f>
        <v/>
      </c>
      <c r="I146" s="39" t="str">
        <f>IFERROR(IF(SUMIFS(tblDaily[Admissions],tblDaily[EntryDate],DATE(2026,4,19),tblDaily[WardCode],"FAE")=0,"",SUMIFS(tblDaily[Admissions],tblDaily[EntryDate],DATE(2026,4,19),tblDaily[WardCode],"FAE")),"")</f>
        <v/>
      </c>
      <c r="J146" s="39" t="str">
        <f>IFERROR(IF(SUMIFS(tblDaily[Discharges],tblDaily[EntryDate],DATE(2026,4,19),tblDaily[WardCode],"FAE")=0,"",SUMIFS(tblDaily[Discharges],tblDaily[EntryDate],DATE(2026,4,19),tblDaily[WardCode],"FAE")),"")</f>
        <v/>
      </c>
      <c r="K146" s="39" t="str">
        <f>IFERROR(IF(SUMIFS(tblDaily[Deaths],tblDaily[EntryDate],DATE(2026,4,19),tblDaily[WardCode],"FAE")=0,"",SUMIFS(tblDaily[Deaths],tblDaily[EntryDate],DATE(2026,4,19),tblDaily[WardCode],"FAE")),"")</f>
        <v/>
      </c>
      <c r="L146" s="39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39" t="str">
        <f>IFERROR(IF(SUMIFS(tblDaily[TransfersIn],tblDaily[EntryDate],DATE(2026,4,19),tblDaily[WardCode],"FAE")=0,"",SUMIFS(tblDaily[TransfersIn],tblDaily[EntryDate],DATE(2026,4,19),tblDaily[WardCode],"FAE")),"")</f>
        <v/>
      </c>
      <c r="N146" s="39" t="str">
        <f>IFERROR(IF(SUMIFS(tblDaily[TransfersOut],tblDaily[EntryDate],DATE(2026,4,19),tblDaily[WardCode],"FAE")=0,"",SUMIFS(tblDaily[TransfersOut],tblDaily[EntryDate],DATE(2026,4,19),tblDaily[WardCode],"FAE")),"")</f>
        <v/>
      </c>
      <c r="O146" s="39" t="str">
        <f>IFERROR(IF(SUMIFS(tblDaily[Remaining],tblDaily[EntryDate],DATE(2026,4,19),tblDaily[WardCode],"FAE")=0,"",SUMIFS(tblDaily[Remaining],tblDaily[EntryDate],DATE(2026,4,19),tblDaily[WardCode],"FAE")),"")</f>
        <v/>
      </c>
      <c r="P146" s="40" t="str">
        <f t="shared" si="3"/>
        <v/>
      </c>
    </row>
    <row r="147" spans="1:16" x14ac:dyDescent="0.25">
      <c r="A147" s="39">
        <v>20</v>
      </c>
      <c r="B147" s="39" t="str">
        <f>IFERROR(IF(SUMIFS(tblDaily[Admissions],tblDaily[EntryDate],DATE(2026,4,20),tblDaily[WardCode],"MAE")=0,"",SUMIFS(tblDaily[Admissions],tblDaily[EntryDate],DATE(2026,4,20),tblDaily[WardCode],"MAE")),"")</f>
        <v/>
      </c>
      <c r="C147" s="39" t="str">
        <f>IFERROR(IF(SUMIFS(tblDaily[Discharges],tblDaily[EntryDate],DATE(2026,4,20),tblDaily[WardCode],"MAE")=0,"",SUMIFS(tblDaily[Discharges],tblDaily[EntryDate],DATE(2026,4,20),tblDaily[WardCode],"MAE")),"")</f>
        <v/>
      </c>
      <c r="D147" s="39" t="str">
        <f>IFERROR(IF(SUMIFS(tblDaily[Deaths],tblDaily[EntryDate],DATE(2026,4,20),tblDaily[WardCode],"MAE")=0,"",SUMIFS(tblDaily[Deaths],tblDaily[EntryDate],DATE(2026,4,20),tblDaily[WardCode],"MAE")),"")</f>
        <v/>
      </c>
      <c r="E147" s="39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39" t="str">
        <f>IFERROR(IF(SUMIFS(tblDaily[TransfersIn],tblDaily[EntryDate],DATE(2026,4,20),tblDaily[WardCode],"MAE")=0,"",SUMIFS(tblDaily[TransfersIn],tblDaily[EntryDate],DATE(2026,4,20),tblDaily[WardCode],"MAE")),"")</f>
        <v/>
      </c>
      <c r="G147" s="39" t="str">
        <f>IFERROR(IF(SUMIFS(tblDaily[TransfersOut],tblDaily[EntryDate],DATE(2026,4,20),tblDaily[WardCode],"MAE")=0,"",SUMIFS(tblDaily[TransfersOut],tblDaily[EntryDate],DATE(2026,4,20),tblDaily[WardCode],"MAE")),"")</f>
        <v/>
      </c>
      <c r="H147" s="39" t="str">
        <f>IFERROR(IF(SUMIFS(tblDaily[Remaining],tblDaily[EntryDate],DATE(2026,4,20),tblDaily[WardCode],"MAE")=0,"",SUMIFS(tblDaily[Remaining],tblDaily[EntryDate],DATE(2026,4,20),tblDaily[WardCode],"MAE")),"")</f>
        <v/>
      </c>
      <c r="I147" s="39" t="str">
        <f>IFERROR(IF(SUMIFS(tblDaily[Admissions],tblDaily[EntryDate],DATE(2026,4,20),tblDaily[WardCode],"FAE")=0,"",SUMIFS(tblDaily[Admissions],tblDaily[EntryDate],DATE(2026,4,20),tblDaily[WardCode],"FAE")),"")</f>
        <v/>
      </c>
      <c r="J147" s="39" t="str">
        <f>IFERROR(IF(SUMIFS(tblDaily[Discharges],tblDaily[EntryDate],DATE(2026,4,20),tblDaily[WardCode],"FAE")=0,"",SUMIFS(tblDaily[Discharges],tblDaily[EntryDate],DATE(2026,4,20),tblDaily[WardCode],"FAE")),"")</f>
        <v/>
      </c>
      <c r="K147" s="39" t="str">
        <f>IFERROR(IF(SUMIFS(tblDaily[Deaths],tblDaily[EntryDate],DATE(2026,4,20),tblDaily[WardCode],"FAE")=0,"",SUMIFS(tblDaily[Deaths],tblDaily[EntryDate],DATE(2026,4,20),tblDaily[WardCode],"FAE")),"")</f>
        <v/>
      </c>
      <c r="L147" s="39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39" t="str">
        <f>IFERROR(IF(SUMIFS(tblDaily[TransfersIn],tblDaily[EntryDate],DATE(2026,4,20),tblDaily[WardCode],"FAE")=0,"",SUMIFS(tblDaily[TransfersIn],tblDaily[EntryDate],DATE(2026,4,20),tblDaily[WardCode],"FAE")),"")</f>
        <v/>
      </c>
      <c r="N147" s="39" t="str">
        <f>IFERROR(IF(SUMIFS(tblDaily[TransfersOut],tblDaily[EntryDate],DATE(2026,4,20),tblDaily[WardCode],"FAE")=0,"",SUMIFS(tblDaily[TransfersOut],tblDaily[EntryDate],DATE(2026,4,20),tblDaily[WardCode],"FAE")),"")</f>
        <v/>
      </c>
      <c r="O147" s="39" t="str">
        <f>IFERROR(IF(SUMIFS(tblDaily[Remaining],tblDaily[EntryDate],DATE(2026,4,20),tblDaily[WardCode],"FAE")=0,"",SUMIFS(tblDaily[Remaining],tblDaily[EntryDate],DATE(2026,4,20),tblDaily[WardCode],"FAE")),"")</f>
        <v/>
      </c>
      <c r="P147" s="40" t="str">
        <f t="shared" si="3"/>
        <v/>
      </c>
    </row>
    <row r="148" spans="1:16" x14ac:dyDescent="0.25">
      <c r="A148" s="39">
        <v>21</v>
      </c>
      <c r="B148" s="39" t="str">
        <f>IFERROR(IF(SUMIFS(tblDaily[Admissions],tblDaily[EntryDate],DATE(2026,4,21),tblDaily[WardCode],"MAE")=0,"",SUMIFS(tblDaily[Admissions],tblDaily[EntryDate],DATE(2026,4,21),tblDaily[WardCode],"MAE")),"")</f>
        <v/>
      </c>
      <c r="C148" s="39" t="str">
        <f>IFERROR(IF(SUMIFS(tblDaily[Discharges],tblDaily[EntryDate],DATE(2026,4,21),tblDaily[WardCode],"MAE")=0,"",SUMIFS(tblDaily[Discharges],tblDaily[EntryDate],DATE(2026,4,21),tblDaily[WardCode],"MAE")),"")</f>
        <v/>
      </c>
      <c r="D148" s="39" t="str">
        <f>IFERROR(IF(SUMIFS(tblDaily[Deaths],tblDaily[EntryDate],DATE(2026,4,21),tblDaily[WardCode],"MAE")=0,"",SUMIFS(tblDaily[Deaths],tblDaily[EntryDate],DATE(2026,4,21),tblDaily[WardCode],"MAE")),"")</f>
        <v/>
      </c>
      <c r="E148" s="39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39" t="str">
        <f>IFERROR(IF(SUMIFS(tblDaily[TransfersIn],tblDaily[EntryDate],DATE(2026,4,21),tblDaily[WardCode],"MAE")=0,"",SUMIFS(tblDaily[TransfersIn],tblDaily[EntryDate],DATE(2026,4,21),tblDaily[WardCode],"MAE")),"")</f>
        <v/>
      </c>
      <c r="G148" s="39" t="str">
        <f>IFERROR(IF(SUMIFS(tblDaily[TransfersOut],tblDaily[EntryDate],DATE(2026,4,21),tblDaily[WardCode],"MAE")=0,"",SUMIFS(tblDaily[TransfersOut],tblDaily[EntryDate],DATE(2026,4,21),tblDaily[WardCode],"MAE")),"")</f>
        <v/>
      </c>
      <c r="H148" s="39" t="str">
        <f>IFERROR(IF(SUMIFS(tblDaily[Remaining],tblDaily[EntryDate],DATE(2026,4,21),tblDaily[WardCode],"MAE")=0,"",SUMIFS(tblDaily[Remaining],tblDaily[EntryDate],DATE(2026,4,21),tblDaily[WardCode],"MAE")),"")</f>
        <v/>
      </c>
      <c r="I148" s="39" t="str">
        <f>IFERROR(IF(SUMIFS(tblDaily[Admissions],tblDaily[EntryDate],DATE(2026,4,21),tblDaily[WardCode],"FAE")=0,"",SUMIFS(tblDaily[Admissions],tblDaily[EntryDate],DATE(2026,4,21),tblDaily[WardCode],"FAE")),"")</f>
        <v/>
      </c>
      <c r="J148" s="39" t="str">
        <f>IFERROR(IF(SUMIFS(tblDaily[Discharges],tblDaily[EntryDate],DATE(2026,4,21),tblDaily[WardCode],"FAE")=0,"",SUMIFS(tblDaily[Discharges],tblDaily[EntryDate],DATE(2026,4,21),tblDaily[WardCode],"FAE")),"")</f>
        <v/>
      </c>
      <c r="K148" s="39" t="str">
        <f>IFERROR(IF(SUMIFS(tblDaily[Deaths],tblDaily[EntryDate],DATE(2026,4,21),tblDaily[WardCode],"FAE")=0,"",SUMIFS(tblDaily[Deaths],tblDaily[EntryDate],DATE(2026,4,21),tblDaily[WardCode],"FAE")),"")</f>
        <v/>
      </c>
      <c r="L148" s="39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39" t="str">
        <f>IFERROR(IF(SUMIFS(tblDaily[TransfersIn],tblDaily[EntryDate],DATE(2026,4,21),tblDaily[WardCode],"FAE")=0,"",SUMIFS(tblDaily[TransfersIn],tblDaily[EntryDate],DATE(2026,4,21),tblDaily[WardCode],"FAE")),"")</f>
        <v/>
      </c>
      <c r="N148" s="39" t="str">
        <f>IFERROR(IF(SUMIFS(tblDaily[TransfersOut],tblDaily[EntryDate],DATE(2026,4,21),tblDaily[WardCode],"FAE")=0,"",SUMIFS(tblDaily[TransfersOut],tblDaily[EntryDate],DATE(2026,4,21),tblDaily[WardCode],"FAE")),"")</f>
        <v/>
      </c>
      <c r="O148" s="39" t="str">
        <f>IFERROR(IF(SUMIFS(tblDaily[Remaining],tblDaily[EntryDate],DATE(2026,4,21),tblDaily[WardCode],"FAE")=0,"",SUMIFS(tblDaily[Remaining],tblDaily[EntryDate],DATE(2026,4,21),tblDaily[WardCode],"FAE")),"")</f>
        <v/>
      </c>
      <c r="P148" s="40" t="str">
        <f t="shared" si="3"/>
        <v/>
      </c>
    </row>
    <row r="149" spans="1:16" x14ac:dyDescent="0.25">
      <c r="A149" s="39">
        <v>22</v>
      </c>
      <c r="B149" s="39" t="str">
        <f>IFERROR(IF(SUMIFS(tblDaily[Admissions],tblDaily[EntryDate],DATE(2026,4,22),tblDaily[WardCode],"MAE")=0,"",SUMIFS(tblDaily[Admissions],tblDaily[EntryDate],DATE(2026,4,22),tblDaily[WardCode],"MAE")),"")</f>
        <v/>
      </c>
      <c r="C149" s="39" t="str">
        <f>IFERROR(IF(SUMIFS(tblDaily[Discharges],tblDaily[EntryDate],DATE(2026,4,22),tblDaily[WardCode],"MAE")=0,"",SUMIFS(tblDaily[Discharges],tblDaily[EntryDate],DATE(2026,4,22),tblDaily[WardCode],"MAE")),"")</f>
        <v/>
      </c>
      <c r="D149" s="39" t="str">
        <f>IFERROR(IF(SUMIFS(tblDaily[Deaths],tblDaily[EntryDate],DATE(2026,4,22),tblDaily[WardCode],"MAE")=0,"",SUMIFS(tblDaily[Deaths],tblDaily[EntryDate],DATE(2026,4,22),tblDaily[WardCode],"MAE")),"")</f>
        <v/>
      </c>
      <c r="E149" s="39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39" t="str">
        <f>IFERROR(IF(SUMIFS(tblDaily[TransfersIn],tblDaily[EntryDate],DATE(2026,4,22),tblDaily[WardCode],"MAE")=0,"",SUMIFS(tblDaily[TransfersIn],tblDaily[EntryDate],DATE(2026,4,22),tblDaily[WardCode],"MAE")),"")</f>
        <v/>
      </c>
      <c r="G149" s="39" t="str">
        <f>IFERROR(IF(SUMIFS(tblDaily[TransfersOut],tblDaily[EntryDate],DATE(2026,4,22),tblDaily[WardCode],"MAE")=0,"",SUMIFS(tblDaily[TransfersOut],tblDaily[EntryDate],DATE(2026,4,22),tblDaily[WardCode],"MAE")),"")</f>
        <v/>
      </c>
      <c r="H149" s="39" t="str">
        <f>IFERROR(IF(SUMIFS(tblDaily[Remaining],tblDaily[EntryDate],DATE(2026,4,22),tblDaily[WardCode],"MAE")=0,"",SUMIFS(tblDaily[Remaining],tblDaily[EntryDate],DATE(2026,4,22),tblDaily[WardCode],"MAE")),"")</f>
        <v/>
      </c>
      <c r="I149" s="39" t="str">
        <f>IFERROR(IF(SUMIFS(tblDaily[Admissions],tblDaily[EntryDate],DATE(2026,4,22),tblDaily[WardCode],"FAE")=0,"",SUMIFS(tblDaily[Admissions],tblDaily[EntryDate],DATE(2026,4,22),tblDaily[WardCode],"FAE")),"")</f>
        <v/>
      </c>
      <c r="J149" s="39" t="str">
        <f>IFERROR(IF(SUMIFS(tblDaily[Discharges],tblDaily[EntryDate],DATE(2026,4,22),tblDaily[WardCode],"FAE")=0,"",SUMIFS(tblDaily[Discharges],tblDaily[EntryDate],DATE(2026,4,22),tblDaily[WardCode],"FAE")),"")</f>
        <v/>
      </c>
      <c r="K149" s="39" t="str">
        <f>IFERROR(IF(SUMIFS(tblDaily[Deaths],tblDaily[EntryDate],DATE(2026,4,22),tblDaily[WardCode],"FAE")=0,"",SUMIFS(tblDaily[Deaths],tblDaily[EntryDate],DATE(2026,4,22),tblDaily[WardCode],"FAE")),"")</f>
        <v/>
      </c>
      <c r="L149" s="39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39" t="str">
        <f>IFERROR(IF(SUMIFS(tblDaily[TransfersIn],tblDaily[EntryDate],DATE(2026,4,22),tblDaily[WardCode],"FAE")=0,"",SUMIFS(tblDaily[TransfersIn],tblDaily[EntryDate],DATE(2026,4,22),tblDaily[WardCode],"FAE")),"")</f>
        <v/>
      </c>
      <c r="N149" s="39" t="str">
        <f>IFERROR(IF(SUMIFS(tblDaily[TransfersOut],tblDaily[EntryDate],DATE(2026,4,22),tblDaily[WardCode],"FAE")=0,"",SUMIFS(tblDaily[TransfersOut],tblDaily[EntryDate],DATE(2026,4,22),tblDaily[WardCode],"FAE")),"")</f>
        <v/>
      </c>
      <c r="O149" s="39" t="str">
        <f>IFERROR(IF(SUMIFS(tblDaily[Remaining],tblDaily[EntryDate],DATE(2026,4,22),tblDaily[WardCode],"FAE")=0,"",SUMIFS(tblDaily[Remaining],tblDaily[EntryDate],DATE(2026,4,22),tblDaily[WardCode],"FAE")),"")</f>
        <v/>
      </c>
      <c r="P149" s="40" t="str">
        <f t="shared" si="3"/>
        <v/>
      </c>
    </row>
    <row r="150" spans="1:16" x14ac:dyDescent="0.25">
      <c r="A150" s="39">
        <v>23</v>
      </c>
      <c r="B150" s="39" t="str">
        <f>IFERROR(IF(SUMIFS(tblDaily[Admissions],tblDaily[EntryDate],DATE(2026,4,23),tblDaily[WardCode],"MAE")=0,"",SUMIFS(tblDaily[Admissions],tblDaily[EntryDate],DATE(2026,4,23),tblDaily[WardCode],"MAE")),"")</f>
        <v/>
      </c>
      <c r="C150" s="39" t="str">
        <f>IFERROR(IF(SUMIFS(tblDaily[Discharges],tblDaily[EntryDate],DATE(2026,4,23),tblDaily[WardCode],"MAE")=0,"",SUMIFS(tblDaily[Discharges],tblDaily[EntryDate],DATE(2026,4,23),tblDaily[WardCode],"MAE")),"")</f>
        <v/>
      </c>
      <c r="D150" s="39" t="str">
        <f>IFERROR(IF(SUMIFS(tblDaily[Deaths],tblDaily[EntryDate],DATE(2026,4,23),tblDaily[WardCode],"MAE")=0,"",SUMIFS(tblDaily[Deaths],tblDaily[EntryDate],DATE(2026,4,23),tblDaily[WardCode],"MAE")),"")</f>
        <v/>
      </c>
      <c r="E150" s="39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39" t="str">
        <f>IFERROR(IF(SUMIFS(tblDaily[TransfersIn],tblDaily[EntryDate],DATE(2026,4,23),tblDaily[WardCode],"MAE")=0,"",SUMIFS(tblDaily[TransfersIn],tblDaily[EntryDate],DATE(2026,4,23),tblDaily[WardCode],"MAE")),"")</f>
        <v/>
      </c>
      <c r="G150" s="39" t="str">
        <f>IFERROR(IF(SUMIFS(tblDaily[TransfersOut],tblDaily[EntryDate],DATE(2026,4,23),tblDaily[WardCode],"MAE")=0,"",SUMIFS(tblDaily[TransfersOut],tblDaily[EntryDate],DATE(2026,4,23),tblDaily[WardCode],"MAE")),"")</f>
        <v/>
      </c>
      <c r="H150" s="39" t="str">
        <f>IFERROR(IF(SUMIFS(tblDaily[Remaining],tblDaily[EntryDate],DATE(2026,4,23),tblDaily[WardCode],"MAE")=0,"",SUMIFS(tblDaily[Remaining],tblDaily[EntryDate],DATE(2026,4,23),tblDaily[WardCode],"MAE")),"")</f>
        <v/>
      </c>
      <c r="I150" s="39" t="str">
        <f>IFERROR(IF(SUMIFS(tblDaily[Admissions],tblDaily[EntryDate],DATE(2026,4,23),tblDaily[WardCode],"FAE")=0,"",SUMIFS(tblDaily[Admissions],tblDaily[EntryDate],DATE(2026,4,23),tblDaily[WardCode],"FAE")),"")</f>
        <v/>
      </c>
      <c r="J150" s="39" t="str">
        <f>IFERROR(IF(SUMIFS(tblDaily[Discharges],tblDaily[EntryDate],DATE(2026,4,23),tblDaily[WardCode],"FAE")=0,"",SUMIFS(tblDaily[Discharges],tblDaily[EntryDate],DATE(2026,4,23),tblDaily[WardCode],"FAE")),"")</f>
        <v/>
      </c>
      <c r="K150" s="39" t="str">
        <f>IFERROR(IF(SUMIFS(tblDaily[Deaths],tblDaily[EntryDate],DATE(2026,4,23),tblDaily[WardCode],"FAE")=0,"",SUMIFS(tblDaily[Deaths],tblDaily[EntryDate],DATE(2026,4,23),tblDaily[WardCode],"FAE")),"")</f>
        <v/>
      </c>
      <c r="L150" s="39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39" t="str">
        <f>IFERROR(IF(SUMIFS(tblDaily[TransfersIn],tblDaily[EntryDate],DATE(2026,4,23),tblDaily[WardCode],"FAE")=0,"",SUMIFS(tblDaily[TransfersIn],tblDaily[EntryDate],DATE(2026,4,23),tblDaily[WardCode],"FAE")),"")</f>
        <v/>
      </c>
      <c r="N150" s="39" t="str">
        <f>IFERROR(IF(SUMIFS(tblDaily[TransfersOut],tblDaily[EntryDate],DATE(2026,4,23),tblDaily[WardCode],"FAE")=0,"",SUMIFS(tblDaily[TransfersOut],tblDaily[EntryDate],DATE(2026,4,23),tblDaily[WardCode],"FAE")),"")</f>
        <v/>
      </c>
      <c r="O150" s="39" t="str">
        <f>IFERROR(IF(SUMIFS(tblDaily[Remaining],tblDaily[EntryDate],DATE(2026,4,23),tblDaily[WardCode],"FAE")=0,"",SUMIFS(tblDaily[Remaining],tblDaily[EntryDate],DATE(2026,4,23),tblDaily[WardCode],"FAE")),"")</f>
        <v/>
      </c>
      <c r="P150" s="40" t="str">
        <f t="shared" si="3"/>
        <v/>
      </c>
    </row>
    <row r="151" spans="1:16" x14ac:dyDescent="0.25">
      <c r="A151" s="39">
        <v>24</v>
      </c>
      <c r="B151" s="39" t="str">
        <f>IFERROR(IF(SUMIFS(tblDaily[Admissions],tblDaily[EntryDate],DATE(2026,4,24),tblDaily[WardCode],"MAE")=0,"",SUMIFS(tblDaily[Admissions],tblDaily[EntryDate],DATE(2026,4,24),tblDaily[WardCode],"MAE")),"")</f>
        <v/>
      </c>
      <c r="C151" s="39" t="str">
        <f>IFERROR(IF(SUMIFS(tblDaily[Discharges],tblDaily[EntryDate],DATE(2026,4,24),tblDaily[WardCode],"MAE")=0,"",SUMIFS(tblDaily[Discharges],tblDaily[EntryDate],DATE(2026,4,24),tblDaily[WardCode],"MAE")),"")</f>
        <v/>
      </c>
      <c r="D151" s="39" t="str">
        <f>IFERROR(IF(SUMIFS(tblDaily[Deaths],tblDaily[EntryDate],DATE(2026,4,24),tblDaily[WardCode],"MAE")=0,"",SUMIFS(tblDaily[Deaths],tblDaily[EntryDate],DATE(2026,4,24),tblDaily[WardCode],"MAE")),"")</f>
        <v/>
      </c>
      <c r="E151" s="39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39" t="str">
        <f>IFERROR(IF(SUMIFS(tblDaily[TransfersIn],tblDaily[EntryDate],DATE(2026,4,24),tblDaily[WardCode],"MAE")=0,"",SUMIFS(tblDaily[TransfersIn],tblDaily[EntryDate],DATE(2026,4,24),tblDaily[WardCode],"MAE")),"")</f>
        <v/>
      </c>
      <c r="G151" s="39" t="str">
        <f>IFERROR(IF(SUMIFS(tblDaily[TransfersOut],tblDaily[EntryDate],DATE(2026,4,24),tblDaily[WardCode],"MAE")=0,"",SUMIFS(tblDaily[TransfersOut],tblDaily[EntryDate],DATE(2026,4,24),tblDaily[WardCode],"MAE")),"")</f>
        <v/>
      </c>
      <c r="H151" s="39" t="str">
        <f>IFERROR(IF(SUMIFS(tblDaily[Remaining],tblDaily[EntryDate],DATE(2026,4,24),tblDaily[WardCode],"MAE")=0,"",SUMIFS(tblDaily[Remaining],tblDaily[EntryDate],DATE(2026,4,24),tblDaily[WardCode],"MAE")),"")</f>
        <v/>
      </c>
      <c r="I151" s="39" t="str">
        <f>IFERROR(IF(SUMIFS(tblDaily[Admissions],tblDaily[EntryDate],DATE(2026,4,24),tblDaily[WardCode],"FAE")=0,"",SUMIFS(tblDaily[Admissions],tblDaily[EntryDate],DATE(2026,4,24),tblDaily[WardCode],"FAE")),"")</f>
        <v/>
      </c>
      <c r="J151" s="39" t="str">
        <f>IFERROR(IF(SUMIFS(tblDaily[Discharges],tblDaily[EntryDate],DATE(2026,4,24),tblDaily[WardCode],"FAE")=0,"",SUMIFS(tblDaily[Discharges],tblDaily[EntryDate],DATE(2026,4,24),tblDaily[WardCode],"FAE")),"")</f>
        <v/>
      </c>
      <c r="K151" s="39" t="str">
        <f>IFERROR(IF(SUMIFS(tblDaily[Deaths],tblDaily[EntryDate],DATE(2026,4,24),tblDaily[WardCode],"FAE")=0,"",SUMIFS(tblDaily[Deaths],tblDaily[EntryDate],DATE(2026,4,24),tblDaily[WardCode],"FAE")),"")</f>
        <v/>
      </c>
      <c r="L151" s="39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39" t="str">
        <f>IFERROR(IF(SUMIFS(tblDaily[TransfersIn],tblDaily[EntryDate],DATE(2026,4,24),tblDaily[WardCode],"FAE")=0,"",SUMIFS(tblDaily[TransfersIn],tblDaily[EntryDate],DATE(2026,4,24),tblDaily[WardCode],"FAE")),"")</f>
        <v/>
      </c>
      <c r="N151" s="39" t="str">
        <f>IFERROR(IF(SUMIFS(tblDaily[TransfersOut],tblDaily[EntryDate],DATE(2026,4,24),tblDaily[WardCode],"FAE")=0,"",SUMIFS(tblDaily[TransfersOut],tblDaily[EntryDate],DATE(2026,4,24),tblDaily[WardCode],"FAE")),"")</f>
        <v/>
      </c>
      <c r="O151" s="39" t="str">
        <f>IFERROR(IF(SUMIFS(tblDaily[Remaining],tblDaily[EntryDate],DATE(2026,4,24),tblDaily[WardCode],"FAE")=0,"",SUMIFS(tblDaily[Remaining],tblDaily[EntryDate],DATE(2026,4,24),tblDaily[WardCode],"FAE")),"")</f>
        <v/>
      </c>
      <c r="P151" s="40" t="str">
        <f t="shared" si="3"/>
        <v/>
      </c>
    </row>
    <row r="152" spans="1:16" x14ac:dyDescent="0.25">
      <c r="A152" s="39">
        <v>25</v>
      </c>
      <c r="B152" s="39" t="str">
        <f>IFERROR(IF(SUMIFS(tblDaily[Admissions],tblDaily[EntryDate],DATE(2026,4,25),tblDaily[WardCode],"MAE")=0,"",SUMIFS(tblDaily[Admissions],tblDaily[EntryDate],DATE(2026,4,25),tblDaily[WardCode],"MAE")),"")</f>
        <v/>
      </c>
      <c r="C152" s="39" t="str">
        <f>IFERROR(IF(SUMIFS(tblDaily[Discharges],tblDaily[EntryDate],DATE(2026,4,25),tblDaily[WardCode],"MAE")=0,"",SUMIFS(tblDaily[Discharges],tblDaily[EntryDate],DATE(2026,4,25),tblDaily[WardCode],"MAE")),"")</f>
        <v/>
      </c>
      <c r="D152" s="39" t="str">
        <f>IFERROR(IF(SUMIFS(tblDaily[Deaths],tblDaily[EntryDate],DATE(2026,4,25),tblDaily[WardCode],"MAE")=0,"",SUMIFS(tblDaily[Deaths],tblDaily[EntryDate],DATE(2026,4,25),tblDaily[WardCode],"MAE")),"")</f>
        <v/>
      </c>
      <c r="E152" s="39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39" t="str">
        <f>IFERROR(IF(SUMIFS(tblDaily[TransfersIn],tblDaily[EntryDate],DATE(2026,4,25),tblDaily[WardCode],"MAE")=0,"",SUMIFS(tblDaily[TransfersIn],tblDaily[EntryDate],DATE(2026,4,25),tblDaily[WardCode],"MAE")),"")</f>
        <v/>
      </c>
      <c r="G152" s="39" t="str">
        <f>IFERROR(IF(SUMIFS(tblDaily[TransfersOut],tblDaily[EntryDate],DATE(2026,4,25),tblDaily[WardCode],"MAE")=0,"",SUMIFS(tblDaily[TransfersOut],tblDaily[EntryDate],DATE(2026,4,25),tblDaily[WardCode],"MAE")),"")</f>
        <v/>
      </c>
      <c r="H152" s="39" t="str">
        <f>IFERROR(IF(SUMIFS(tblDaily[Remaining],tblDaily[EntryDate],DATE(2026,4,25),tblDaily[WardCode],"MAE")=0,"",SUMIFS(tblDaily[Remaining],tblDaily[EntryDate],DATE(2026,4,25),tblDaily[WardCode],"MAE")),"")</f>
        <v/>
      </c>
      <c r="I152" s="39" t="str">
        <f>IFERROR(IF(SUMIFS(tblDaily[Admissions],tblDaily[EntryDate],DATE(2026,4,25),tblDaily[WardCode],"FAE")=0,"",SUMIFS(tblDaily[Admissions],tblDaily[EntryDate],DATE(2026,4,25),tblDaily[WardCode],"FAE")),"")</f>
        <v/>
      </c>
      <c r="J152" s="39" t="str">
        <f>IFERROR(IF(SUMIFS(tblDaily[Discharges],tblDaily[EntryDate],DATE(2026,4,25),tblDaily[WardCode],"FAE")=0,"",SUMIFS(tblDaily[Discharges],tblDaily[EntryDate],DATE(2026,4,25),tblDaily[WardCode],"FAE")),"")</f>
        <v/>
      </c>
      <c r="K152" s="39" t="str">
        <f>IFERROR(IF(SUMIFS(tblDaily[Deaths],tblDaily[EntryDate],DATE(2026,4,25),tblDaily[WardCode],"FAE")=0,"",SUMIFS(tblDaily[Deaths],tblDaily[EntryDate],DATE(2026,4,25),tblDaily[WardCode],"FAE")),"")</f>
        <v/>
      </c>
      <c r="L152" s="39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39" t="str">
        <f>IFERROR(IF(SUMIFS(tblDaily[TransfersIn],tblDaily[EntryDate],DATE(2026,4,25),tblDaily[WardCode],"FAE")=0,"",SUMIFS(tblDaily[TransfersIn],tblDaily[EntryDate],DATE(2026,4,25),tblDaily[WardCode],"FAE")),"")</f>
        <v/>
      </c>
      <c r="N152" s="39" t="str">
        <f>IFERROR(IF(SUMIFS(tblDaily[TransfersOut],tblDaily[EntryDate],DATE(2026,4,25),tblDaily[WardCode],"FAE")=0,"",SUMIFS(tblDaily[TransfersOut],tblDaily[EntryDate],DATE(2026,4,25),tblDaily[WardCode],"FAE")),"")</f>
        <v/>
      </c>
      <c r="O152" s="39" t="str">
        <f>IFERROR(IF(SUMIFS(tblDaily[Remaining],tblDaily[EntryDate],DATE(2026,4,25),tblDaily[WardCode],"FAE")=0,"",SUMIFS(tblDaily[Remaining],tblDaily[EntryDate],DATE(2026,4,25),tblDaily[WardCode],"FAE")),"")</f>
        <v/>
      </c>
      <c r="P152" s="40" t="str">
        <f t="shared" si="3"/>
        <v/>
      </c>
    </row>
    <row r="153" spans="1:16" x14ac:dyDescent="0.25">
      <c r="A153" s="39">
        <v>26</v>
      </c>
      <c r="B153" s="39" t="str">
        <f>IFERROR(IF(SUMIFS(tblDaily[Admissions],tblDaily[EntryDate],DATE(2026,4,26),tblDaily[WardCode],"MAE")=0,"",SUMIFS(tblDaily[Admissions],tblDaily[EntryDate],DATE(2026,4,26),tblDaily[WardCode],"MAE")),"")</f>
        <v/>
      </c>
      <c r="C153" s="39" t="str">
        <f>IFERROR(IF(SUMIFS(tblDaily[Discharges],tblDaily[EntryDate],DATE(2026,4,26),tblDaily[WardCode],"MAE")=0,"",SUMIFS(tblDaily[Discharges],tblDaily[EntryDate],DATE(2026,4,26),tblDaily[WardCode],"MAE")),"")</f>
        <v/>
      </c>
      <c r="D153" s="39" t="str">
        <f>IFERROR(IF(SUMIFS(tblDaily[Deaths],tblDaily[EntryDate],DATE(2026,4,26),tblDaily[WardCode],"MAE")=0,"",SUMIFS(tblDaily[Deaths],tblDaily[EntryDate],DATE(2026,4,26),tblDaily[WardCode],"MAE")),"")</f>
        <v/>
      </c>
      <c r="E153" s="39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39" t="str">
        <f>IFERROR(IF(SUMIFS(tblDaily[TransfersIn],tblDaily[EntryDate],DATE(2026,4,26),tblDaily[WardCode],"MAE")=0,"",SUMIFS(tblDaily[TransfersIn],tblDaily[EntryDate],DATE(2026,4,26),tblDaily[WardCode],"MAE")),"")</f>
        <v/>
      </c>
      <c r="G153" s="39" t="str">
        <f>IFERROR(IF(SUMIFS(tblDaily[TransfersOut],tblDaily[EntryDate],DATE(2026,4,26),tblDaily[WardCode],"MAE")=0,"",SUMIFS(tblDaily[TransfersOut],tblDaily[EntryDate],DATE(2026,4,26),tblDaily[WardCode],"MAE")),"")</f>
        <v/>
      </c>
      <c r="H153" s="39" t="str">
        <f>IFERROR(IF(SUMIFS(tblDaily[Remaining],tblDaily[EntryDate],DATE(2026,4,26),tblDaily[WardCode],"MAE")=0,"",SUMIFS(tblDaily[Remaining],tblDaily[EntryDate],DATE(2026,4,26),tblDaily[WardCode],"MAE")),"")</f>
        <v/>
      </c>
      <c r="I153" s="39" t="str">
        <f>IFERROR(IF(SUMIFS(tblDaily[Admissions],tblDaily[EntryDate],DATE(2026,4,26),tblDaily[WardCode],"FAE")=0,"",SUMIFS(tblDaily[Admissions],tblDaily[EntryDate],DATE(2026,4,26),tblDaily[WardCode],"FAE")),"")</f>
        <v/>
      </c>
      <c r="J153" s="39" t="str">
        <f>IFERROR(IF(SUMIFS(tblDaily[Discharges],tblDaily[EntryDate],DATE(2026,4,26),tblDaily[WardCode],"FAE")=0,"",SUMIFS(tblDaily[Discharges],tblDaily[EntryDate],DATE(2026,4,26),tblDaily[WardCode],"FAE")),"")</f>
        <v/>
      </c>
      <c r="K153" s="39" t="str">
        <f>IFERROR(IF(SUMIFS(tblDaily[Deaths],tblDaily[EntryDate],DATE(2026,4,26),tblDaily[WardCode],"FAE")=0,"",SUMIFS(tblDaily[Deaths],tblDaily[EntryDate],DATE(2026,4,26),tblDaily[WardCode],"FAE")),"")</f>
        <v/>
      </c>
      <c r="L153" s="39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39" t="str">
        <f>IFERROR(IF(SUMIFS(tblDaily[TransfersIn],tblDaily[EntryDate],DATE(2026,4,26),tblDaily[WardCode],"FAE")=0,"",SUMIFS(tblDaily[TransfersIn],tblDaily[EntryDate],DATE(2026,4,26),tblDaily[WardCode],"FAE")),"")</f>
        <v/>
      </c>
      <c r="N153" s="39" t="str">
        <f>IFERROR(IF(SUMIFS(tblDaily[TransfersOut],tblDaily[EntryDate],DATE(2026,4,26),tblDaily[WardCode],"FAE")=0,"",SUMIFS(tblDaily[TransfersOut],tblDaily[EntryDate],DATE(2026,4,26),tblDaily[WardCode],"FAE")),"")</f>
        <v/>
      </c>
      <c r="O153" s="39" t="str">
        <f>IFERROR(IF(SUMIFS(tblDaily[Remaining],tblDaily[EntryDate],DATE(2026,4,26),tblDaily[WardCode],"FAE")=0,"",SUMIFS(tblDaily[Remaining],tblDaily[EntryDate],DATE(2026,4,26),tblDaily[WardCode],"FAE")),"")</f>
        <v/>
      </c>
      <c r="P153" s="40" t="str">
        <f t="shared" si="3"/>
        <v/>
      </c>
    </row>
    <row r="154" spans="1:16" x14ac:dyDescent="0.25">
      <c r="A154" s="39">
        <v>27</v>
      </c>
      <c r="B154" s="39" t="str">
        <f>IFERROR(IF(SUMIFS(tblDaily[Admissions],tblDaily[EntryDate],DATE(2026,4,27),tblDaily[WardCode],"MAE")=0,"",SUMIFS(tblDaily[Admissions],tblDaily[EntryDate],DATE(2026,4,27),tblDaily[WardCode],"MAE")),"")</f>
        <v/>
      </c>
      <c r="C154" s="39" t="str">
        <f>IFERROR(IF(SUMIFS(tblDaily[Discharges],tblDaily[EntryDate],DATE(2026,4,27),tblDaily[WardCode],"MAE")=0,"",SUMIFS(tblDaily[Discharges],tblDaily[EntryDate],DATE(2026,4,27),tblDaily[WardCode],"MAE")),"")</f>
        <v/>
      </c>
      <c r="D154" s="39" t="str">
        <f>IFERROR(IF(SUMIFS(tblDaily[Deaths],tblDaily[EntryDate],DATE(2026,4,27),tblDaily[WardCode],"MAE")=0,"",SUMIFS(tblDaily[Deaths],tblDaily[EntryDate],DATE(2026,4,27),tblDaily[WardCode],"MAE")),"")</f>
        <v/>
      </c>
      <c r="E154" s="39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39" t="str">
        <f>IFERROR(IF(SUMIFS(tblDaily[TransfersIn],tblDaily[EntryDate],DATE(2026,4,27),tblDaily[WardCode],"MAE")=0,"",SUMIFS(tblDaily[TransfersIn],tblDaily[EntryDate],DATE(2026,4,27),tblDaily[WardCode],"MAE")),"")</f>
        <v/>
      </c>
      <c r="G154" s="39" t="str">
        <f>IFERROR(IF(SUMIFS(tblDaily[TransfersOut],tblDaily[EntryDate],DATE(2026,4,27),tblDaily[WardCode],"MAE")=0,"",SUMIFS(tblDaily[TransfersOut],tblDaily[EntryDate],DATE(2026,4,27),tblDaily[WardCode],"MAE")),"")</f>
        <v/>
      </c>
      <c r="H154" s="39" t="str">
        <f>IFERROR(IF(SUMIFS(tblDaily[Remaining],tblDaily[EntryDate],DATE(2026,4,27),tblDaily[WardCode],"MAE")=0,"",SUMIFS(tblDaily[Remaining],tblDaily[EntryDate],DATE(2026,4,27),tblDaily[WardCode],"MAE")),"")</f>
        <v/>
      </c>
      <c r="I154" s="39" t="str">
        <f>IFERROR(IF(SUMIFS(tblDaily[Admissions],tblDaily[EntryDate],DATE(2026,4,27),tblDaily[WardCode],"FAE")=0,"",SUMIFS(tblDaily[Admissions],tblDaily[EntryDate],DATE(2026,4,27),tblDaily[WardCode],"FAE")),"")</f>
        <v/>
      </c>
      <c r="J154" s="39" t="str">
        <f>IFERROR(IF(SUMIFS(tblDaily[Discharges],tblDaily[EntryDate],DATE(2026,4,27),tblDaily[WardCode],"FAE")=0,"",SUMIFS(tblDaily[Discharges],tblDaily[EntryDate],DATE(2026,4,27),tblDaily[WardCode],"FAE")),"")</f>
        <v/>
      </c>
      <c r="K154" s="39" t="str">
        <f>IFERROR(IF(SUMIFS(tblDaily[Deaths],tblDaily[EntryDate],DATE(2026,4,27),tblDaily[WardCode],"FAE")=0,"",SUMIFS(tblDaily[Deaths],tblDaily[EntryDate],DATE(2026,4,27),tblDaily[WardCode],"FAE")),"")</f>
        <v/>
      </c>
      <c r="L154" s="39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39" t="str">
        <f>IFERROR(IF(SUMIFS(tblDaily[TransfersIn],tblDaily[EntryDate],DATE(2026,4,27),tblDaily[WardCode],"FAE")=0,"",SUMIFS(tblDaily[TransfersIn],tblDaily[EntryDate],DATE(2026,4,27),tblDaily[WardCode],"FAE")),"")</f>
        <v/>
      </c>
      <c r="N154" s="39" t="str">
        <f>IFERROR(IF(SUMIFS(tblDaily[TransfersOut],tblDaily[EntryDate],DATE(2026,4,27),tblDaily[WardCode],"FAE")=0,"",SUMIFS(tblDaily[TransfersOut],tblDaily[EntryDate],DATE(2026,4,27),tblDaily[WardCode],"FAE")),"")</f>
        <v/>
      </c>
      <c r="O154" s="39" t="str">
        <f>IFERROR(IF(SUMIFS(tblDaily[Remaining],tblDaily[EntryDate],DATE(2026,4,27),tblDaily[WardCode],"FAE")=0,"",SUMIFS(tblDaily[Remaining],tblDaily[EntryDate],DATE(2026,4,27),tblDaily[WardCode],"FAE")),"")</f>
        <v/>
      </c>
      <c r="P154" s="40" t="str">
        <f t="shared" si="3"/>
        <v/>
      </c>
    </row>
    <row r="155" spans="1:16" x14ac:dyDescent="0.25">
      <c r="A155" s="39">
        <v>28</v>
      </c>
      <c r="B155" s="39" t="str">
        <f>IFERROR(IF(SUMIFS(tblDaily[Admissions],tblDaily[EntryDate],DATE(2026,4,28),tblDaily[WardCode],"MAE")=0,"",SUMIFS(tblDaily[Admissions],tblDaily[EntryDate],DATE(2026,4,28),tblDaily[WardCode],"MAE")),"")</f>
        <v/>
      </c>
      <c r="C155" s="39" t="str">
        <f>IFERROR(IF(SUMIFS(tblDaily[Discharges],tblDaily[EntryDate],DATE(2026,4,28),tblDaily[WardCode],"MAE")=0,"",SUMIFS(tblDaily[Discharges],tblDaily[EntryDate],DATE(2026,4,28),tblDaily[WardCode],"MAE")),"")</f>
        <v/>
      </c>
      <c r="D155" s="39" t="str">
        <f>IFERROR(IF(SUMIFS(tblDaily[Deaths],tblDaily[EntryDate],DATE(2026,4,28),tblDaily[WardCode],"MAE")=0,"",SUMIFS(tblDaily[Deaths],tblDaily[EntryDate],DATE(2026,4,28),tblDaily[WardCode],"MAE")),"")</f>
        <v/>
      </c>
      <c r="E155" s="39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39" t="str">
        <f>IFERROR(IF(SUMIFS(tblDaily[TransfersIn],tblDaily[EntryDate],DATE(2026,4,28),tblDaily[WardCode],"MAE")=0,"",SUMIFS(tblDaily[TransfersIn],tblDaily[EntryDate],DATE(2026,4,28),tblDaily[WardCode],"MAE")),"")</f>
        <v/>
      </c>
      <c r="G155" s="39" t="str">
        <f>IFERROR(IF(SUMIFS(tblDaily[TransfersOut],tblDaily[EntryDate],DATE(2026,4,28),tblDaily[WardCode],"MAE")=0,"",SUMIFS(tblDaily[TransfersOut],tblDaily[EntryDate],DATE(2026,4,28),tblDaily[WardCode],"MAE")),"")</f>
        <v/>
      </c>
      <c r="H155" s="39" t="str">
        <f>IFERROR(IF(SUMIFS(tblDaily[Remaining],tblDaily[EntryDate],DATE(2026,4,28),tblDaily[WardCode],"MAE")=0,"",SUMIFS(tblDaily[Remaining],tblDaily[EntryDate],DATE(2026,4,28),tblDaily[WardCode],"MAE")),"")</f>
        <v/>
      </c>
      <c r="I155" s="39" t="str">
        <f>IFERROR(IF(SUMIFS(tblDaily[Admissions],tblDaily[EntryDate],DATE(2026,4,28),tblDaily[WardCode],"FAE")=0,"",SUMIFS(tblDaily[Admissions],tblDaily[EntryDate],DATE(2026,4,28),tblDaily[WardCode],"FAE")),"")</f>
        <v/>
      </c>
      <c r="J155" s="39" t="str">
        <f>IFERROR(IF(SUMIFS(tblDaily[Discharges],tblDaily[EntryDate],DATE(2026,4,28),tblDaily[WardCode],"FAE")=0,"",SUMIFS(tblDaily[Discharges],tblDaily[EntryDate],DATE(2026,4,28),tblDaily[WardCode],"FAE")),"")</f>
        <v/>
      </c>
      <c r="K155" s="39" t="str">
        <f>IFERROR(IF(SUMIFS(tblDaily[Deaths],tblDaily[EntryDate],DATE(2026,4,28),tblDaily[WardCode],"FAE")=0,"",SUMIFS(tblDaily[Deaths],tblDaily[EntryDate],DATE(2026,4,28),tblDaily[WardCode],"FAE")),"")</f>
        <v/>
      </c>
      <c r="L155" s="39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39" t="str">
        <f>IFERROR(IF(SUMIFS(tblDaily[TransfersIn],tblDaily[EntryDate],DATE(2026,4,28),tblDaily[WardCode],"FAE")=0,"",SUMIFS(tblDaily[TransfersIn],tblDaily[EntryDate],DATE(2026,4,28),tblDaily[WardCode],"FAE")),"")</f>
        <v/>
      </c>
      <c r="N155" s="39" t="str">
        <f>IFERROR(IF(SUMIFS(tblDaily[TransfersOut],tblDaily[EntryDate],DATE(2026,4,28),tblDaily[WardCode],"FAE")=0,"",SUMIFS(tblDaily[TransfersOut],tblDaily[EntryDate],DATE(2026,4,28),tblDaily[WardCode],"FAE")),"")</f>
        <v/>
      </c>
      <c r="O155" s="39" t="str">
        <f>IFERROR(IF(SUMIFS(tblDaily[Remaining],tblDaily[EntryDate],DATE(2026,4,28),tblDaily[WardCode],"FAE")=0,"",SUMIFS(tblDaily[Remaining],tblDaily[EntryDate],DATE(2026,4,28),tblDaily[WardCode],"FAE")),"")</f>
        <v/>
      </c>
      <c r="P155" s="40" t="str">
        <f t="shared" si="3"/>
        <v/>
      </c>
    </row>
    <row r="156" spans="1:16" x14ac:dyDescent="0.25">
      <c r="A156" s="39">
        <v>29</v>
      </c>
      <c r="B156" s="39" t="str">
        <f>IFERROR(IF(SUMIFS(tblDaily[Admissions],tblDaily[EntryDate],DATE(2026,4,29),tblDaily[WardCode],"MAE")=0,"",SUMIFS(tblDaily[Admissions],tblDaily[EntryDate],DATE(2026,4,29),tblDaily[WardCode],"MAE")),"")</f>
        <v/>
      </c>
      <c r="C156" s="39" t="str">
        <f>IFERROR(IF(SUMIFS(tblDaily[Discharges],tblDaily[EntryDate],DATE(2026,4,29),tblDaily[WardCode],"MAE")=0,"",SUMIFS(tblDaily[Discharges],tblDaily[EntryDate],DATE(2026,4,29),tblDaily[WardCode],"MAE")),"")</f>
        <v/>
      </c>
      <c r="D156" s="39" t="str">
        <f>IFERROR(IF(SUMIFS(tblDaily[Deaths],tblDaily[EntryDate],DATE(2026,4,29),tblDaily[WardCode],"MAE")=0,"",SUMIFS(tblDaily[Deaths],tblDaily[EntryDate],DATE(2026,4,29),tblDaily[WardCode],"MAE")),"")</f>
        <v/>
      </c>
      <c r="E156" s="39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39" t="str">
        <f>IFERROR(IF(SUMIFS(tblDaily[TransfersIn],tblDaily[EntryDate],DATE(2026,4,29),tblDaily[WardCode],"MAE")=0,"",SUMIFS(tblDaily[TransfersIn],tblDaily[EntryDate],DATE(2026,4,29),tblDaily[WardCode],"MAE")),"")</f>
        <v/>
      </c>
      <c r="G156" s="39" t="str">
        <f>IFERROR(IF(SUMIFS(tblDaily[TransfersOut],tblDaily[EntryDate],DATE(2026,4,29),tblDaily[WardCode],"MAE")=0,"",SUMIFS(tblDaily[TransfersOut],tblDaily[EntryDate],DATE(2026,4,29),tblDaily[WardCode],"MAE")),"")</f>
        <v/>
      </c>
      <c r="H156" s="39" t="str">
        <f>IFERROR(IF(SUMIFS(tblDaily[Remaining],tblDaily[EntryDate],DATE(2026,4,29),tblDaily[WardCode],"MAE")=0,"",SUMIFS(tblDaily[Remaining],tblDaily[EntryDate],DATE(2026,4,29),tblDaily[WardCode],"MAE")),"")</f>
        <v/>
      </c>
      <c r="I156" s="39" t="str">
        <f>IFERROR(IF(SUMIFS(tblDaily[Admissions],tblDaily[EntryDate],DATE(2026,4,29),tblDaily[WardCode],"FAE")=0,"",SUMIFS(tblDaily[Admissions],tblDaily[EntryDate],DATE(2026,4,29),tblDaily[WardCode],"FAE")),"")</f>
        <v/>
      </c>
      <c r="J156" s="39" t="str">
        <f>IFERROR(IF(SUMIFS(tblDaily[Discharges],tblDaily[EntryDate],DATE(2026,4,29),tblDaily[WardCode],"FAE")=0,"",SUMIFS(tblDaily[Discharges],tblDaily[EntryDate],DATE(2026,4,29),tblDaily[WardCode],"FAE")),"")</f>
        <v/>
      </c>
      <c r="K156" s="39" t="str">
        <f>IFERROR(IF(SUMIFS(tblDaily[Deaths],tblDaily[EntryDate],DATE(2026,4,29),tblDaily[WardCode],"FAE")=0,"",SUMIFS(tblDaily[Deaths],tblDaily[EntryDate],DATE(2026,4,29),tblDaily[WardCode],"FAE")),"")</f>
        <v/>
      </c>
      <c r="L156" s="39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39" t="str">
        <f>IFERROR(IF(SUMIFS(tblDaily[TransfersIn],tblDaily[EntryDate],DATE(2026,4,29),tblDaily[WardCode],"FAE")=0,"",SUMIFS(tblDaily[TransfersIn],tblDaily[EntryDate],DATE(2026,4,29),tblDaily[WardCode],"FAE")),"")</f>
        <v/>
      </c>
      <c r="N156" s="39" t="str">
        <f>IFERROR(IF(SUMIFS(tblDaily[TransfersOut],tblDaily[EntryDate],DATE(2026,4,29),tblDaily[WardCode],"FAE")=0,"",SUMIFS(tblDaily[TransfersOut],tblDaily[EntryDate],DATE(2026,4,29),tblDaily[WardCode],"FAE")),"")</f>
        <v/>
      </c>
      <c r="O156" s="39" t="str">
        <f>IFERROR(IF(SUMIFS(tblDaily[Remaining],tblDaily[EntryDate],DATE(2026,4,29),tblDaily[WardCode],"FAE")=0,"",SUMIFS(tblDaily[Remaining],tblDaily[EntryDate],DATE(2026,4,29),tblDaily[WardCode],"FAE")),"")</f>
        <v/>
      </c>
      <c r="P156" s="40" t="str">
        <f t="shared" si="3"/>
        <v/>
      </c>
    </row>
    <row r="157" spans="1:16" x14ac:dyDescent="0.25">
      <c r="A157" s="39">
        <v>30</v>
      </c>
      <c r="B157" s="39" t="str">
        <f>IFERROR(IF(SUMIFS(tblDaily[Admissions],tblDaily[EntryDate],DATE(2026,4,30),tblDaily[WardCode],"MAE")=0,"",SUMIFS(tblDaily[Admissions],tblDaily[EntryDate],DATE(2026,4,30),tblDaily[WardCode],"MAE")),"")</f>
        <v/>
      </c>
      <c r="C157" s="39" t="str">
        <f>IFERROR(IF(SUMIFS(tblDaily[Discharges],tblDaily[EntryDate],DATE(2026,4,30),tblDaily[WardCode],"MAE")=0,"",SUMIFS(tblDaily[Discharges],tblDaily[EntryDate],DATE(2026,4,30),tblDaily[WardCode],"MAE")),"")</f>
        <v/>
      </c>
      <c r="D157" s="39" t="str">
        <f>IFERROR(IF(SUMIFS(tblDaily[Deaths],tblDaily[EntryDate],DATE(2026,4,30),tblDaily[WardCode],"MAE")=0,"",SUMIFS(tblDaily[Deaths],tblDaily[EntryDate],DATE(2026,4,30),tblDaily[WardCode],"MAE")),"")</f>
        <v/>
      </c>
      <c r="E157" s="39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39" t="str">
        <f>IFERROR(IF(SUMIFS(tblDaily[TransfersIn],tblDaily[EntryDate],DATE(2026,4,30),tblDaily[WardCode],"MAE")=0,"",SUMIFS(tblDaily[TransfersIn],tblDaily[EntryDate],DATE(2026,4,30),tblDaily[WardCode],"MAE")),"")</f>
        <v/>
      </c>
      <c r="G157" s="39" t="str">
        <f>IFERROR(IF(SUMIFS(tblDaily[TransfersOut],tblDaily[EntryDate],DATE(2026,4,30),tblDaily[WardCode],"MAE")=0,"",SUMIFS(tblDaily[TransfersOut],tblDaily[EntryDate],DATE(2026,4,30),tblDaily[WardCode],"MAE")),"")</f>
        <v/>
      </c>
      <c r="H157" s="39" t="str">
        <f>IFERROR(IF(SUMIFS(tblDaily[Remaining],tblDaily[EntryDate],DATE(2026,4,30),tblDaily[WardCode],"MAE")=0,"",SUMIFS(tblDaily[Remaining],tblDaily[EntryDate],DATE(2026,4,30),tblDaily[WardCode],"MAE")),"")</f>
        <v/>
      </c>
      <c r="I157" s="39" t="str">
        <f>IFERROR(IF(SUMIFS(tblDaily[Admissions],tblDaily[EntryDate],DATE(2026,4,30),tblDaily[WardCode],"FAE")=0,"",SUMIFS(tblDaily[Admissions],tblDaily[EntryDate],DATE(2026,4,30),tblDaily[WardCode],"FAE")),"")</f>
        <v/>
      </c>
      <c r="J157" s="39" t="str">
        <f>IFERROR(IF(SUMIFS(tblDaily[Discharges],tblDaily[EntryDate],DATE(2026,4,30),tblDaily[WardCode],"FAE")=0,"",SUMIFS(tblDaily[Discharges],tblDaily[EntryDate],DATE(2026,4,30),tblDaily[WardCode],"FAE")),"")</f>
        <v/>
      </c>
      <c r="K157" s="39" t="str">
        <f>IFERROR(IF(SUMIFS(tblDaily[Deaths],tblDaily[EntryDate],DATE(2026,4,30),tblDaily[WardCode],"FAE")=0,"",SUMIFS(tblDaily[Deaths],tblDaily[EntryDate],DATE(2026,4,30),tblDaily[WardCode],"FAE")),"")</f>
        <v/>
      </c>
      <c r="L157" s="39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39" t="str">
        <f>IFERROR(IF(SUMIFS(tblDaily[TransfersIn],tblDaily[EntryDate],DATE(2026,4,30),tblDaily[WardCode],"FAE")=0,"",SUMIFS(tblDaily[TransfersIn],tblDaily[EntryDate],DATE(2026,4,30),tblDaily[WardCode],"FAE")),"")</f>
        <v/>
      </c>
      <c r="N157" s="39" t="str">
        <f>IFERROR(IF(SUMIFS(tblDaily[TransfersOut],tblDaily[EntryDate],DATE(2026,4,30),tblDaily[WardCode],"FAE")=0,"",SUMIFS(tblDaily[TransfersOut],tblDaily[EntryDate],DATE(2026,4,30),tblDaily[WardCode],"FAE")),"")</f>
        <v/>
      </c>
      <c r="O157" s="39" t="str">
        <f>IFERROR(IF(SUMIFS(tblDaily[Remaining],tblDaily[EntryDate],DATE(2026,4,30),tblDaily[WardCode],"FAE")=0,"",SUMIFS(tblDaily[Remaining],tblDaily[EntryDate],DATE(2026,4,30),tblDaily[WardCode],"FAE")),"")</f>
        <v/>
      </c>
      <c r="P157" s="40" t="str">
        <f t="shared" si="3"/>
        <v/>
      </c>
    </row>
    <row r="158" spans="1:16" x14ac:dyDescent="0.25">
      <c r="A158" s="39">
        <v>31</v>
      </c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</row>
    <row r="159" spans="1:16" x14ac:dyDescent="0.25">
      <c r="A159" s="30" t="s">
        <v>115</v>
      </c>
      <c r="B159" s="30">
        <f>SUMIFS(tblDaily[Admissions],tblDaily[Month],4,tblDaily[WardCode],"MAE") - SUMIFS(tblDaily[DeathsUnder24Hrs],tblDaily[Month],4,tblDaily[WardCode],"MAE")</f>
        <v>9</v>
      </c>
      <c r="C159" s="30">
        <f>SUMIFS(tblDaily[Discharges],tblDaily[Month],4,tblDaily[WardCode],"MAE")</f>
        <v>5</v>
      </c>
      <c r="D159" s="30">
        <f>SUMIFS(tblDaily[Deaths],tblDaily[Month],4,tblDaily[WardCode],"MAE")</f>
        <v>1</v>
      </c>
      <c r="E159" s="30">
        <f>SUMIFS(tblDaily[DeathsUnder24Hrs],tblDaily[Month],4,tblDaily[WardCode],"MAE")</f>
        <v>0</v>
      </c>
      <c r="F159" s="30">
        <f>SUMIFS(tblDaily[TransfersIn],tblDaily[Month],4,tblDaily[WardCode],"MAE")</f>
        <v>0</v>
      </c>
      <c r="G159" s="30">
        <f>SUMIFS(tblDaily[TransfersOut],tblDaily[Month],4,tblDaily[WardCode],"MAE")</f>
        <v>2</v>
      </c>
      <c r="H159" s="30">
        <f>SUMIFS(tblDaily[Remaining],tblDaily[Month],4,tblDaily[WardCode],"MAE")</f>
        <v>18</v>
      </c>
      <c r="I159" s="30">
        <f>SUMIFS(tblDaily[Admissions],tblDaily[Month],4,tblDaily[WardCode],"FAE") - SUMIFS(tblDaily[DeathsUnder24Hrs],tblDaily[Month],4,tblDaily[WardCode],"FAE")</f>
        <v>4</v>
      </c>
      <c r="J159" s="30">
        <f>SUMIFS(tblDaily[Discharges],tblDaily[Month],4,tblDaily[WardCode],"FAE")</f>
        <v>3</v>
      </c>
      <c r="K159" s="30">
        <f>SUMIFS(tblDaily[Deaths],tblDaily[Month],4,tblDaily[WardCode],"FAE")</f>
        <v>0</v>
      </c>
      <c r="L159" s="30">
        <f>SUMIFS(tblDaily[DeathsUnder24Hrs],tblDaily[Month],4,tblDaily[WardCode],"FAE")</f>
        <v>1</v>
      </c>
      <c r="M159" s="30">
        <f>SUMIFS(tblDaily[TransfersIn],tblDaily[Month],4,tblDaily[WardCode],"FAE")</f>
        <v>0</v>
      </c>
      <c r="N159" s="30">
        <f>SUMIFS(tblDaily[TransfersOut],tblDaily[Month],4,tblDaily[WardCode],"FAE")</f>
        <v>4</v>
      </c>
      <c r="O159" s="30">
        <f>SUMIFS(tblDaily[Remaining],tblDaily[Month],4,tblDaily[WardCode],"FAE")</f>
        <v>7</v>
      </c>
      <c r="P159" s="30">
        <f>H159 + O159</f>
        <v>25</v>
      </c>
    </row>
    <row r="161" spans="1:16" ht="18.75" x14ac:dyDescent="0.25">
      <c r="A161" s="32" t="s">
        <v>0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6" ht="15.75" x14ac:dyDescent="0.25">
      <c r="A162" s="23" t="s">
        <v>104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6" x14ac:dyDescent="0.25">
      <c r="A163" s="24" t="s">
        <v>4</v>
      </c>
      <c r="B163" s="25" t="s">
        <v>2</v>
      </c>
      <c r="E163" s="24" t="s">
        <v>105</v>
      </c>
      <c r="F163" s="24" t="s">
        <v>125</v>
      </c>
      <c r="M163" s="24" t="s">
        <v>107</v>
      </c>
      <c r="N163" s="24" t="s">
        <v>67</v>
      </c>
    </row>
    <row r="164" spans="1:16" x14ac:dyDescent="0.25">
      <c r="A164" s="24" t="s">
        <v>108</v>
      </c>
      <c r="B164" s="33">
        <f>IFERROR(SUMIFS(tblDaily[Remaining],tblDaily[EntryDate],DATE(2026,4,30),tblDaily[WardCode],"MAE"),0)</f>
        <v>0</v>
      </c>
      <c r="I164" s="33">
        <f>IFERROR(SUMIFS(tblDaily[Remaining],tblDaily[EntryDate],DATE(2026,4,30),tblDaily[WardCode],"FAE"),0)</f>
        <v>0</v>
      </c>
    </row>
    <row r="165" spans="1:16" x14ac:dyDescent="0.25">
      <c r="A165" s="24" t="s">
        <v>109</v>
      </c>
      <c r="B165" s="33">
        <f>IFERROR(INDEX(tblWardConfig[BedComplement],MATCH("MAE",tblWardConfig[WardCode],0)),0)</f>
        <v>10</v>
      </c>
      <c r="I165" s="33">
        <f>IFERROR(INDEX(tblWardConfig[BedComplement],MATCH("FAE",tblWardConfig[WardCode],0)),0)</f>
        <v>10</v>
      </c>
      <c r="O165" s="34">
        <f>B165+I165</f>
        <v>20</v>
      </c>
    </row>
    <row r="166" spans="1:16" x14ac:dyDescent="0.25">
      <c r="A166" s="35" t="s">
        <v>126</v>
      </c>
      <c r="B166" s="36" t="s">
        <v>122</v>
      </c>
      <c r="C166" s="22"/>
      <c r="D166" s="22"/>
      <c r="E166" s="22"/>
      <c r="F166" s="22"/>
      <c r="G166" s="22"/>
      <c r="H166" s="22"/>
      <c r="I166" s="37" t="s">
        <v>123</v>
      </c>
      <c r="J166" s="22"/>
      <c r="K166" s="22"/>
      <c r="L166" s="22"/>
      <c r="M166" s="22"/>
      <c r="N166" s="22"/>
      <c r="O166" s="22"/>
      <c r="P166" s="38" t="s">
        <v>115</v>
      </c>
    </row>
    <row r="167" spans="1:16" x14ac:dyDescent="0.25">
      <c r="A167" s="35" t="s">
        <v>126</v>
      </c>
      <c r="B167" s="35" t="s">
        <v>127</v>
      </c>
      <c r="C167" s="35" t="s">
        <v>128</v>
      </c>
      <c r="D167" s="35" t="s">
        <v>129</v>
      </c>
      <c r="E167" s="35" t="s">
        <v>130</v>
      </c>
      <c r="F167" s="35" t="s">
        <v>131</v>
      </c>
      <c r="G167" s="35" t="s">
        <v>132</v>
      </c>
      <c r="H167" s="35" t="s">
        <v>133</v>
      </c>
      <c r="I167" s="35" t="s">
        <v>127</v>
      </c>
      <c r="J167" s="35" t="s">
        <v>128</v>
      </c>
      <c r="K167" s="35" t="s">
        <v>129</v>
      </c>
      <c r="L167" s="35" t="s">
        <v>130</v>
      </c>
      <c r="M167" s="35" t="s">
        <v>131</v>
      </c>
      <c r="N167" s="35" t="s">
        <v>132</v>
      </c>
      <c r="O167" s="35" t="s">
        <v>133</v>
      </c>
      <c r="P167" s="35" t="s">
        <v>134</v>
      </c>
    </row>
    <row r="168" spans="1:16" x14ac:dyDescent="0.25">
      <c r="A168" s="39">
        <v>1</v>
      </c>
      <c r="B168" s="39" t="str">
        <f>IFERROR(IF(SUMIFS(tblDaily[Admissions],tblDaily[EntryDate],DATE(2026,5,1),tblDaily[WardCode],"MAE")=0,"",SUMIFS(tblDaily[Admissions],tblDaily[EntryDate],DATE(2026,5,1),tblDaily[WardCode],"MAE")),"")</f>
        <v/>
      </c>
      <c r="C168" s="39" t="str">
        <f>IFERROR(IF(SUMIFS(tblDaily[Discharges],tblDaily[EntryDate],DATE(2026,5,1),tblDaily[WardCode],"MAE")=0,"",SUMIFS(tblDaily[Discharges],tblDaily[EntryDate],DATE(2026,5,1),tblDaily[WardCode],"MAE")),"")</f>
        <v/>
      </c>
      <c r="D168" s="39" t="str">
        <f>IFERROR(IF(SUMIFS(tblDaily[Deaths],tblDaily[EntryDate],DATE(2026,5,1),tblDaily[WardCode],"MAE")=0,"",SUMIFS(tblDaily[Deaths],tblDaily[EntryDate],DATE(2026,5,1),tblDaily[WardCode],"MAE")),"")</f>
        <v/>
      </c>
      <c r="E168" s="39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39" t="str">
        <f>IFERROR(IF(SUMIFS(tblDaily[TransfersIn],tblDaily[EntryDate],DATE(2026,5,1),tblDaily[WardCode],"MAE")=0,"",SUMIFS(tblDaily[TransfersIn],tblDaily[EntryDate],DATE(2026,5,1),tblDaily[WardCode],"MAE")),"")</f>
        <v/>
      </c>
      <c r="G168" s="39" t="str">
        <f>IFERROR(IF(SUMIFS(tblDaily[TransfersOut],tblDaily[EntryDate],DATE(2026,5,1),tblDaily[WardCode],"MAE")=0,"",SUMIFS(tblDaily[TransfersOut],tblDaily[EntryDate],DATE(2026,5,1),tblDaily[WardCode],"MAE")),"")</f>
        <v/>
      </c>
      <c r="H168" s="39" t="str">
        <f>IFERROR(IF(SUMIFS(tblDaily[Remaining],tblDaily[EntryDate],DATE(2026,5,1),tblDaily[WardCode],"MAE")=0,"",SUMIFS(tblDaily[Remaining],tblDaily[EntryDate],DATE(2026,5,1),tblDaily[WardCode],"MAE")),"")</f>
        <v/>
      </c>
      <c r="I168" s="39" t="str">
        <f>IFERROR(IF(SUMIFS(tblDaily[Admissions],tblDaily[EntryDate],DATE(2026,5,1),tblDaily[WardCode],"FAE")=0,"",SUMIFS(tblDaily[Admissions],tblDaily[EntryDate],DATE(2026,5,1),tblDaily[WardCode],"FAE")),"")</f>
        <v/>
      </c>
      <c r="J168" s="39" t="str">
        <f>IFERROR(IF(SUMIFS(tblDaily[Discharges],tblDaily[EntryDate],DATE(2026,5,1),tblDaily[WardCode],"FAE")=0,"",SUMIFS(tblDaily[Discharges],tblDaily[EntryDate],DATE(2026,5,1),tblDaily[WardCode],"FAE")),"")</f>
        <v/>
      </c>
      <c r="K168" s="39" t="str">
        <f>IFERROR(IF(SUMIFS(tblDaily[Deaths],tblDaily[EntryDate],DATE(2026,5,1),tblDaily[WardCode],"FAE")=0,"",SUMIFS(tblDaily[Deaths],tblDaily[EntryDate],DATE(2026,5,1),tblDaily[WardCode],"FAE")),"")</f>
        <v/>
      </c>
      <c r="L168" s="39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39" t="str">
        <f>IFERROR(IF(SUMIFS(tblDaily[TransfersIn],tblDaily[EntryDate],DATE(2026,5,1),tblDaily[WardCode],"FAE")=0,"",SUMIFS(tblDaily[TransfersIn],tblDaily[EntryDate],DATE(2026,5,1),tblDaily[WardCode],"FAE")),"")</f>
        <v/>
      </c>
      <c r="N168" s="39" t="str">
        <f>IFERROR(IF(SUMIFS(tblDaily[TransfersOut],tblDaily[EntryDate],DATE(2026,5,1),tblDaily[WardCode],"FAE")=0,"",SUMIFS(tblDaily[TransfersOut],tblDaily[EntryDate],DATE(2026,5,1),tblDaily[WardCode],"FAE")),"")</f>
        <v/>
      </c>
      <c r="O168" s="39" t="str">
        <f>IFERROR(IF(SUMIFS(tblDaily[Remaining],tblDaily[EntryDate],DATE(2026,5,1),tblDaily[WardCode],"FAE")=0,"",SUMIFS(tblDaily[Remaining],tblDaily[EntryDate],DATE(2026,5,1),tblDaily[WardCode],"FAE")),"")</f>
        <v/>
      </c>
      <c r="P168" s="40" t="str">
        <f t="shared" ref="P168:P198" si="4">IF(AND(H168="", O168=""), "", N(H168) + N(O168))</f>
        <v/>
      </c>
    </row>
    <row r="169" spans="1:16" x14ac:dyDescent="0.25">
      <c r="A169" s="39">
        <v>2</v>
      </c>
      <c r="B169" s="39" t="str">
        <f>IFERROR(IF(SUMIFS(tblDaily[Admissions],tblDaily[EntryDate],DATE(2026,5,2),tblDaily[WardCode],"MAE")=0,"",SUMIFS(tblDaily[Admissions],tblDaily[EntryDate],DATE(2026,5,2),tblDaily[WardCode],"MAE")),"")</f>
        <v/>
      </c>
      <c r="C169" s="39" t="str">
        <f>IFERROR(IF(SUMIFS(tblDaily[Discharges],tblDaily[EntryDate],DATE(2026,5,2),tblDaily[WardCode],"MAE")=0,"",SUMIFS(tblDaily[Discharges],tblDaily[EntryDate],DATE(2026,5,2),tblDaily[WardCode],"MAE")),"")</f>
        <v/>
      </c>
      <c r="D169" s="39" t="str">
        <f>IFERROR(IF(SUMIFS(tblDaily[Deaths],tblDaily[EntryDate],DATE(2026,5,2),tblDaily[WardCode],"MAE")=0,"",SUMIFS(tblDaily[Deaths],tblDaily[EntryDate],DATE(2026,5,2),tblDaily[WardCode],"MAE")),"")</f>
        <v/>
      </c>
      <c r="E169" s="39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39" t="str">
        <f>IFERROR(IF(SUMIFS(tblDaily[TransfersIn],tblDaily[EntryDate],DATE(2026,5,2),tblDaily[WardCode],"MAE")=0,"",SUMIFS(tblDaily[TransfersIn],tblDaily[EntryDate],DATE(2026,5,2),tblDaily[WardCode],"MAE")),"")</f>
        <v/>
      </c>
      <c r="G169" s="39" t="str">
        <f>IFERROR(IF(SUMIFS(tblDaily[TransfersOut],tblDaily[EntryDate],DATE(2026,5,2),tblDaily[WardCode],"MAE")=0,"",SUMIFS(tblDaily[TransfersOut],tblDaily[EntryDate],DATE(2026,5,2),tblDaily[WardCode],"MAE")),"")</f>
        <v/>
      </c>
      <c r="H169" s="39" t="str">
        <f>IFERROR(IF(SUMIFS(tblDaily[Remaining],tblDaily[EntryDate],DATE(2026,5,2),tblDaily[WardCode],"MAE")=0,"",SUMIFS(tblDaily[Remaining],tblDaily[EntryDate],DATE(2026,5,2),tblDaily[WardCode],"MAE")),"")</f>
        <v/>
      </c>
      <c r="I169" s="39" t="str">
        <f>IFERROR(IF(SUMIFS(tblDaily[Admissions],tblDaily[EntryDate],DATE(2026,5,2),tblDaily[WardCode],"FAE")=0,"",SUMIFS(tblDaily[Admissions],tblDaily[EntryDate],DATE(2026,5,2),tblDaily[WardCode],"FAE")),"")</f>
        <v/>
      </c>
      <c r="J169" s="39" t="str">
        <f>IFERROR(IF(SUMIFS(tblDaily[Discharges],tblDaily[EntryDate],DATE(2026,5,2),tblDaily[WardCode],"FAE")=0,"",SUMIFS(tblDaily[Discharges],tblDaily[EntryDate],DATE(2026,5,2),tblDaily[WardCode],"FAE")),"")</f>
        <v/>
      </c>
      <c r="K169" s="39" t="str">
        <f>IFERROR(IF(SUMIFS(tblDaily[Deaths],tblDaily[EntryDate],DATE(2026,5,2),tblDaily[WardCode],"FAE")=0,"",SUMIFS(tblDaily[Deaths],tblDaily[EntryDate],DATE(2026,5,2),tblDaily[WardCode],"FAE")),"")</f>
        <v/>
      </c>
      <c r="L169" s="39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39" t="str">
        <f>IFERROR(IF(SUMIFS(tblDaily[TransfersIn],tblDaily[EntryDate],DATE(2026,5,2),tblDaily[WardCode],"FAE")=0,"",SUMIFS(tblDaily[TransfersIn],tblDaily[EntryDate],DATE(2026,5,2),tblDaily[WardCode],"FAE")),"")</f>
        <v/>
      </c>
      <c r="N169" s="39" t="str">
        <f>IFERROR(IF(SUMIFS(tblDaily[TransfersOut],tblDaily[EntryDate],DATE(2026,5,2),tblDaily[WardCode],"FAE")=0,"",SUMIFS(tblDaily[TransfersOut],tblDaily[EntryDate],DATE(2026,5,2),tblDaily[WardCode],"FAE")),"")</f>
        <v/>
      </c>
      <c r="O169" s="39" t="str">
        <f>IFERROR(IF(SUMIFS(tblDaily[Remaining],tblDaily[EntryDate],DATE(2026,5,2),tblDaily[WardCode],"FAE")=0,"",SUMIFS(tblDaily[Remaining],tblDaily[EntryDate],DATE(2026,5,2),tblDaily[WardCode],"FAE")),"")</f>
        <v/>
      </c>
      <c r="P169" s="40" t="str">
        <f t="shared" si="4"/>
        <v/>
      </c>
    </row>
    <row r="170" spans="1:16" x14ac:dyDescent="0.25">
      <c r="A170" s="39">
        <v>3</v>
      </c>
      <c r="B170" s="39" t="str">
        <f>IFERROR(IF(SUMIFS(tblDaily[Admissions],tblDaily[EntryDate],DATE(2026,5,3),tblDaily[WardCode],"MAE")=0,"",SUMIFS(tblDaily[Admissions],tblDaily[EntryDate],DATE(2026,5,3),tblDaily[WardCode],"MAE")),"")</f>
        <v/>
      </c>
      <c r="C170" s="39" t="str">
        <f>IFERROR(IF(SUMIFS(tblDaily[Discharges],tblDaily[EntryDate],DATE(2026,5,3),tblDaily[WardCode],"MAE")=0,"",SUMIFS(tblDaily[Discharges],tblDaily[EntryDate],DATE(2026,5,3),tblDaily[WardCode],"MAE")),"")</f>
        <v/>
      </c>
      <c r="D170" s="39" t="str">
        <f>IFERROR(IF(SUMIFS(tblDaily[Deaths],tblDaily[EntryDate],DATE(2026,5,3),tblDaily[WardCode],"MAE")=0,"",SUMIFS(tblDaily[Deaths],tblDaily[EntryDate],DATE(2026,5,3),tblDaily[WardCode],"MAE")),"")</f>
        <v/>
      </c>
      <c r="E170" s="39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39" t="str">
        <f>IFERROR(IF(SUMIFS(tblDaily[TransfersIn],tblDaily[EntryDate],DATE(2026,5,3),tblDaily[WardCode],"MAE")=0,"",SUMIFS(tblDaily[TransfersIn],tblDaily[EntryDate],DATE(2026,5,3),tblDaily[WardCode],"MAE")),"")</f>
        <v/>
      </c>
      <c r="G170" s="39" t="str">
        <f>IFERROR(IF(SUMIFS(tblDaily[TransfersOut],tblDaily[EntryDate],DATE(2026,5,3),tblDaily[WardCode],"MAE")=0,"",SUMIFS(tblDaily[TransfersOut],tblDaily[EntryDate],DATE(2026,5,3),tblDaily[WardCode],"MAE")),"")</f>
        <v/>
      </c>
      <c r="H170" s="39" t="str">
        <f>IFERROR(IF(SUMIFS(tblDaily[Remaining],tblDaily[EntryDate],DATE(2026,5,3),tblDaily[WardCode],"MAE")=0,"",SUMIFS(tblDaily[Remaining],tblDaily[EntryDate],DATE(2026,5,3),tblDaily[WardCode],"MAE")),"")</f>
        <v/>
      </c>
      <c r="I170" s="39" t="str">
        <f>IFERROR(IF(SUMIFS(tblDaily[Admissions],tblDaily[EntryDate],DATE(2026,5,3),tblDaily[WardCode],"FAE")=0,"",SUMIFS(tblDaily[Admissions],tblDaily[EntryDate],DATE(2026,5,3),tblDaily[WardCode],"FAE")),"")</f>
        <v/>
      </c>
      <c r="J170" s="39" t="str">
        <f>IFERROR(IF(SUMIFS(tblDaily[Discharges],tblDaily[EntryDate],DATE(2026,5,3),tblDaily[WardCode],"FAE")=0,"",SUMIFS(tblDaily[Discharges],tblDaily[EntryDate],DATE(2026,5,3),tblDaily[WardCode],"FAE")),"")</f>
        <v/>
      </c>
      <c r="K170" s="39" t="str">
        <f>IFERROR(IF(SUMIFS(tblDaily[Deaths],tblDaily[EntryDate],DATE(2026,5,3),tblDaily[WardCode],"FAE")=0,"",SUMIFS(tblDaily[Deaths],tblDaily[EntryDate],DATE(2026,5,3),tblDaily[WardCode],"FAE")),"")</f>
        <v/>
      </c>
      <c r="L170" s="39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39" t="str">
        <f>IFERROR(IF(SUMIFS(tblDaily[TransfersIn],tblDaily[EntryDate],DATE(2026,5,3),tblDaily[WardCode],"FAE")=0,"",SUMIFS(tblDaily[TransfersIn],tblDaily[EntryDate],DATE(2026,5,3),tblDaily[WardCode],"FAE")),"")</f>
        <v/>
      </c>
      <c r="N170" s="39" t="str">
        <f>IFERROR(IF(SUMIFS(tblDaily[TransfersOut],tblDaily[EntryDate],DATE(2026,5,3),tblDaily[WardCode],"FAE")=0,"",SUMIFS(tblDaily[TransfersOut],tblDaily[EntryDate],DATE(2026,5,3),tblDaily[WardCode],"FAE")),"")</f>
        <v/>
      </c>
      <c r="O170" s="39" t="str">
        <f>IFERROR(IF(SUMIFS(tblDaily[Remaining],tblDaily[EntryDate],DATE(2026,5,3),tblDaily[WardCode],"FAE")=0,"",SUMIFS(tblDaily[Remaining],tblDaily[EntryDate],DATE(2026,5,3),tblDaily[WardCode],"FAE")),"")</f>
        <v/>
      </c>
      <c r="P170" s="40" t="str">
        <f t="shared" si="4"/>
        <v/>
      </c>
    </row>
    <row r="171" spans="1:16" x14ac:dyDescent="0.25">
      <c r="A171" s="39">
        <v>4</v>
      </c>
      <c r="B171" s="39" t="str">
        <f>IFERROR(IF(SUMIFS(tblDaily[Admissions],tblDaily[EntryDate],DATE(2026,5,4),tblDaily[WardCode],"MAE")=0,"",SUMIFS(tblDaily[Admissions],tblDaily[EntryDate],DATE(2026,5,4),tblDaily[WardCode],"MAE")),"")</f>
        <v/>
      </c>
      <c r="C171" s="39" t="str">
        <f>IFERROR(IF(SUMIFS(tblDaily[Discharges],tblDaily[EntryDate],DATE(2026,5,4),tblDaily[WardCode],"MAE")=0,"",SUMIFS(tblDaily[Discharges],tblDaily[EntryDate],DATE(2026,5,4),tblDaily[WardCode],"MAE")),"")</f>
        <v/>
      </c>
      <c r="D171" s="39" t="str">
        <f>IFERROR(IF(SUMIFS(tblDaily[Deaths],tblDaily[EntryDate],DATE(2026,5,4),tblDaily[WardCode],"MAE")=0,"",SUMIFS(tblDaily[Deaths],tblDaily[EntryDate],DATE(2026,5,4),tblDaily[WardCode],"MAE")),"")</f>
        <v/>
      </c>
      <c r="E171" s="39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39" t="str">
        <f>IFERROR(IF(SUMIFS(tblDaily[TransfersIn],tblDaily[EntryDate],DATE(2026,5,4),tblDaily[WardCode],"MAE")=0,"",SUMIFS(tblDaily[TransfersIn],tblDaily[EntryDate],DATE(2026,5,4),tblDaily[WardCode],"MAE")),"")</f>
        <v/>
      </c>
      <c r="G171" s="39" t="str">
        <f>IFERROR(IF(SUMIFS(tblDaily[TransfersOut],tblDaily[EntryDate],DATE(2026,5,4),tblDaily[WardCode],"MAE")=0,"",SUMIFS(tblDaily[TransfersOut],tblDaily[EntryDate],DATE(2026,5,4),tblDaily[WardCode],"MAE")),"")</f>
        <v/>
      </c>
      <c r="H171" s="39" t="str">
        <f>IFERROR(IF(SUMIFS(tblDaily[Remaining],tblDaily[EntryDate],DATE(2026,5,4),tblDaily[WardCode],"MAE")=0,"",SUMIFS(tblDaily[Remaining],tblDaily[EntryDate],DATE(2026,5,4),tblDaily[WardCode],"MAE")),"")</f>
        <v/>
      </c>
      <c r="I171" s="39" t="str">
        <f>IFERROR(IF(SUMIFS(tblDaily[Admissions],tblDaily[EntryDate],DATE(2026,5,4),tblDaily[WardCode],"FAE")=0,"",SUMIFS(tblDaily[Admissions],tblDaily[EntryDate],DATE(2026,5,4),tblDaily[WardCode],"FAE")),"")</f>
        <v/>
      </c>
      <c r="J171" s="39" t="str">
        <f>IFERROR(IF(SUMIFS(tblDaily[Discharges],tblDaily[EntryDate],DATE(2026,5,4),tblDaily[WardCode],"FAE")=0,"",SUMIFS(tblDaily[Discharges],tblDaily[EntryDate],DATE(2026,5,4),tblDaily[WardCode],"FAE")),"")</f>
        <v/>
      </c>
      <c r="K171" s="39" t="str">
        <f>IFERROR(IF(SUMIFS(tblDaily[Deaths],tblDaily[EntryDate],DATE(2026,5,4),tblDaily[WardCode],"FAE")=0,"",SUMIFS(tblDaily[Deaths],tblDaily[EntryDate],DATE(2026,5,4),tblDaily[WardCode],"FAE")),"")</f>
        <v/>
      </c>
      <c r="L171" s="39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39" t="str">
        <f>IFERROR(IF(SUMIFS(tblDaily[TransfersIn],tblDaily[EntryDate],DATE(2026,5,4),tblDaily[WardCode],"FAE")=0,"",SUMIFS(tblDaily[TransfersIn],tblDaily[EntryDate],DATE(2026,5,4),tblDaily[WardCode],"FAE")),"")</f>
        <v/>
      </c>
      <c r="N171" s="39" t="str">
        <f>IFERROR(IF(SUMIFS(tblDaily[TransfersOut],tblDaily[EntryDate],DATE(2026,5,4),tblDaily[WardCode],"FAE")=0,"",SUMIFS(tblDaily[TransfersOut],tblDaily[EntryDate],DATE(2026,5,4),tblDaily[WardCode],"FAE")),"")</f>
        <v/>
      </c>
      <c r="O171" s="39" t="str">
        <f>IFERROR(IF(SUMIFS(tblDaily[Remaining],tblDaily[EntryDate],DATE(2026,5,4),tblDaily[WardCode],"FAE")=0,"",SUMIFS(tblDaily[Remaining],tblDaily[EntryDate],DATE(2026,5,4),tblDaily[WardCode],"FAE")),"")</f>
        <v/>
      </c>
      <c r="P171" s="40" t="str">
        <f t="shared" si="4"/>
        <v/>
      </c>
    </row>
    <row r="172" spans="1:16" x14ac:dyDescent="0.25">
      <c r="A172" s="39">
        <v>5</v>
      </c>
      <c r="B172" s="39" t="str">
        <f>IFERROR(IF(SUMIFS(tblDaily[Admissions],tblDaily[EntryDate],DATE(2026,5,5),tblDaily[WardCode],"MAE")=0,"",SUMIFS(tblDaily[Admissions],tblDaily[EntryDate],DATE(2026,5,5),tblDaily[WardCode],"MAE")),"")</f>
        <v/>
      </c>
      <c r="C172" s="39" t="str">
        <f>IFERROR(IF(SUMIFS(tblDaily[Discharges],tblDaily[EntryDate],DATE(2026,5,5),tblDaily[WardCode],"MAE")=0,"",SUMIFS(tblDaily[Discharges],tblDaily[EntryDate],DATE(2026,5,5),tblDaily[WardCode],"MAE")),"")</f>
        <v/>
      </c>
      <c r="D172" s="39" t="str">
        <f>IFERROR(IF(SUMIFS(tblDaily[Deaths],tblDaily[EntryDate],DATE(2026,5,5),tblDaily[WardCode],"MAE")=0,"",SUMIFS(tblDaily[Deaths],tblDaily[EntryDate],DATE(2026,5,5),tblDaily[WardCode],"MAE")),"")</f>
        <v/>
      </c>
      <c r="E172" s="39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39" t="str">
        <f>IFERROR(IF(SUMIFS(tblDaily[TransfersIn],tblDaily[EntryDate],DATE(2026,5,5),tblDaily[WardCode],"MAE")=0,"",SUMIFS(tblDaily[TransfersIn],tblDaily[EntryDate],DATE(2026,5,5),tblDaily[WardCode],"MAE")),"")</f>
        <v/>
      </c>
      <c r="G172" s="39" t="str">
        <f>IFERROR(IF(SUMIFS(tblDaily[TransfersOut],tblDaily[EntryDate],DATE(2026,5,5),tblDaily[WardCode],"MAE")=0,"",SUMIFS(tblDaily[TransfersOut],tblDaily[EntryDate],DATE(2026,5,5),tblDaily[WardCode],"MAE")),"")</f>
        <v/>
      </c>
      <c r="H172" s="39" t="str">
        <f>IFERROR(IF(SUMIFS(tblDaily[Remaining],tblDaily[EntryDate],DATE(2026,5,5),tblDaily[WardCode],"MAE")=0,"",SUMIFS(tblDaily[Remaining],tblDaily[EntryDate],DATE(2026,5,5),tblDaily[WardCode],"MAE")),"")</f>
        <v/>
      </c>
      <c r="I172" s="39" t="str">
        <f>IFERROR(IF(SUMIFS(tblDaily[Admissions],tblDaily[EntryDate],DATE(2026,5,5),tblDaily[WardCode],"FAE")=0,"",SUMIFS(tblDaily[Admissions],tblDaily[EntryDate],DATE(2026,5,5),tblDaily[WardCode],"FAE")),"")</f>
        <v/>
      </c>
      <c r="J172" s="39" t="str">
        <f>IFERROR(IF(SUMIFS(tblDaily[Discharges],tblDaily[EntryDate],DATE(2026,5,5),tblDaily[WardCode],"FAE")=0,"",SUMIFS(tblDaily[Discharges],tblDaily[EntryDate],DATE(2026,5,5),tblDaily[WardCode],"FAE")),"")</f>
        <v/>
      </c>
      <c r="K172" s="39" t="str">
        <f>IFERROR(IF(SUMIFS(tblDaily[Deaths],tblDaily[EntryDate],DATE(2026,5,5),tblDaily[WardCode],"FAE")=0,"",SUMIFS(tblDaily[Deaths],tblDaily[EntryDate],DATE(2026,5,5),tblDaily[WardCode],"FAE")),"")</f>
        <v/>
      </c>
      <c r="L172" s="39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39" t="str">
        <f>IFERROR(IF(SUMIFS(tblDaily[TransfersIn],tblDaily[EntryDate],DATE(2026,5,5),tblDaily[WardCode],"FAE")=0,"",SUMIFS(tblDaily[TransfersIn],tblDaily[EntryDate],DATE(2026,5,5),tblDaily[WardCode],"FAE")),"")</f>
        <v/>
      </c>
      <c r="N172" s="39" t="str">
        <f>IFERROR(IF(SUMIFS(tblDaily[TransfersOut],tblDaily[EntryDate],DATE(2026,5,5),tblDaily[WardCode],"FAE")=0,"",SUMIFS(tblDaily[TransfersOut],tblDaily[EntryDate],DATE(2026,5,5),tblDaily[WardCode],"FAE")),"")</f>
        <v/>
      </c>
      <c r="O172" s="39" t="str">
        <f>IFERROR(IF(SUMIFS(tblDaily[Remaining],tblDaily[EntryDate],DATE(2026,5,5),tblDaily[WardCode],"FAE")=0,"",SUMIFS(tblDaily[Remaining],tblDaily[EntryDate],DATE(2026,5,5),tblDaily[WardCode],"FAE")),"")</f>
        <v/>
      </c>
      <c r="P172" s="40" t="str">
        <f t="shared" si="4"/>
        <v/>
      </c>
    </row>
    <row r="173" spans="1:16" x14ac:dyDescent="0.25">
      <c r="A173" s="39">
        <v>6</v>
      </c>
      <c r="B173" s="39" t="str">
        <f>IFERROR(IF(SUMIFS(tblDaily[Admissions],tblDaily[EntryDate],DATE(2026,5,6),tblDaily[WardCode],"MAE")=0,"",SUMIFS(tblDaily[Admissions],tblDaily[EntryDate],DATE(2026,5,6),tblDaily[WardCode],"MAE")),"")</f>
        <v/>
      </c>
      <c r="C173" s="39" t="str">
        <f>IFERROR(IF(SUMIFS(tblDaily[Discharges],tblDaily[EntryDate],DATE(2026,5,6),tblDaily[WardCode],"MAE")=0,"",SUMIFS(tblDaily[Discharges],tblDaily[EntryDate],DATE(2026,5,6),tblDaily[WardCode],"MAE")),"")</f>
        <v/>
      </c>
      <c r="D173" s="39" t="str">
        <f>IFERROR(IF(SUMIFS(tblDaily[Deaths],tblDaily[EntryDate],DATE(2026,5,6),tblDaily[WardCode],"MAE")=0,"",SUMIFS(tblDaily[Deaths],tblDaily[EntryDate],DATE(2026,5,6),tblDaily[WardCode],"MAE")),"")</f>
        <v/>
      </c>
      <c r="E173" s="39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39" t="str">
        <f>IFERROR(IF(SUMIFS(tblDaily[TransfersIn],tblDaily[EntryDate],DATE(2026,5,6),tblDaily[WardCode],"MAE")=0,"",SUMIFS(tblDaily[TransfersIn],tblDaily[EntryDate],DATE(2026,5,6),tblDaily[WardCode],"MAE")),"")</f>
        <v/>
      </c>
      <c r="G173" s="39" t="str">
        <f>IFERROR(IF(SUMIFS(tblDaily[TransfersOut],tblDaily[EntryDate],DATE(2026,5,6),tblDaily[WardCode],"MAE")=0,"",SUMIFS(tblDaily[TransfersOut],tblDaily[EntryDate],DATE(2026,5,6),tblDaily[WardCode],"MAE")),"")</f>
        <v/>
      </c>
      <c r="H173" s="39" t="str">
        <f>IFERROR(IF(SUMIFS(tblDaily[Remaining],tblDaily[EntryDate],DATE(2026,5,6),tblDaily[WardCode],"MAE")=0,"",SUMIFS(tblDaily[Remaining],tblDaily[EntryDate],DATE(2026,5,6),tblDaily[WardCode],"MAE")),"")</f>
        <v/>
      </c>
      <c r="I173" s="39" t="str">
        <f>IFERROR(IF(SUMIFS(tblDaily[Admissions],tblDaily[EntryDate],DATE(2026,5,6),tblDaily[WardCode],"FAE")=0,"",SUMIFS(tblDaily[Admissions],tblDaily[EntryDate],DATE(2026,5,6),tblDaily[WardCode],"FAE")),"")</f>
        <v/>
      </c>
      <c r="J173" s="39" t="str">
        <f>IFERROR(IF(SUMIFS(tblDaily[Discharges],tblDaily[EntryDate],DATE(2026,5,6),tblDaily[WardCode],"FAE")=0,"",SUMIFS(tblDaily[Discharges],tblDaily[EntryDate],DATE(2026,5,6),tblDaily[WardCode],"FAE")),"")</f>
        <v/>
      </c>
      <c r="K173" s="39" t="str">
        <f>IFERROR(IF(SUMIFS(tblDaily[Deaths],tblDaily[EntryDate],DATE(2026,5,6),tblDaily[WardCode],"FAE")=0,"",SUMIFS(tblDaily[Deaths],tblDaily[EntryDate],DATE(2026,5,6),tblDaily[WardCode],"FAE")),"")</f>
        <v/>
      </c>
      <c r="L173" s="39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39" t="str">
        <f>IFERROR(IF(SUMIFS(tblDaily[TransfersIn],tblDaily[EntryDate],DATE(2026,5,6),tblDaily[WardCode],"FAE")=0,"",SUMIFS(tblDaily[TransfersIn],tblDaily[EntryDate],DATE(2026,5,6),tblDaily[WardCode],"FAE")),"")</f>
        <v/>
      </c>
      <c r="N173" s="39" t="str">
        <f>IFERROR(IF(SUMIFS(tblDaily[TransfersOut],tblDaily[EntryDate],DATE(2026,5,6),tblDaily[WardCode],"FAE")=0,"",SUMIFS(tblDaily[TransfersOut],tblDaily[EntryDate],DATE(2026,5,6),tblDaily[WardCode],"FAE")),"")</f>
        <v/>
      </c>
      <c r="O173" s="39" t="str">
        <f>IFERROR(IF(SUMIFS(tblDaily[Remaining],tblDaily[EntryDate],DATE(2026,5,6),tblDaily[WardCode],"FAE")=0,"",SUMIFS(tblDaily[Remaining],tblDaily[EntryDate],DATE(2026,5,6),tblDaily[WardCode],"FAE")),"")</f>
        <v/>
      </c>
      <c r="P173" s="40" t="str">
        <f t="shared" si="4"/>
        <v/>
      </c>
    </row>
    <row r="174" spans="1:16" x14ac:dyDescent="0.25">
      <c r="A174" s="39">
        <v>7</v>
      </c>
      <c r="B174" s="39" t="str">
        <f>IFERROR(IF(SUMIFS(tblDaily[Admissions],tblDaily[EntryDate],DATE(2026,5,7),tblDaily[WardCode],"MAE")=0,"",SUMIFS(tblDaily[Admissions],tblDaily[EntryDate],DATE(2026,5,7),tblDaily[WardCode],"MAE")),"")</f>
        <v/>
      </c>
      <c r="C174" s="39" t="str">
        <f>IFERROR(IF(SUMIFS(tblDaily[Discharges],tblDaily[EntryDate],DATE(2026,5,7),tblDaily[WardCode],"MAE")=0,"",SUMIFS(tblDaily[Discharges],tblDaily[EntryDate],DATE(2026,5,7),tblDaily[WardCode],"MAE")),"")</f>
        <v/>
      </c>
      <c r="D174" s="39" t="str">
        <f>IFERROR(IF(SUMIFS(tblDaily[Deaths],tblDaily[EntryDate],DATE(2026,5,7),tblDaily[WardCode],"MAE")=0,"",SUMIFS(tblDaily[Deaths],tblDaily[EntryDate],DATE(2026,5,7),tblDaily[WardCode],"MAE")),"")</f>
        <v/>
      </c>
      <c r="E174" s="39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39" t="str">
        <f>IFERROR(IF(SUMIFS(tblDaily[TransfersIn],tblDaily[EntryDate],DATE(2026,5,7),tblDaily[WardCode],"MAE")=0,"",SUMIFS(tblDaily[TransfersIn],tblDaily[EntryDate],DATE(2026,5,7),tblDaily[WardCode],"MAE")),"")</f>
        <v/>
      </c>
      <c r="G174" s="39" t="str">
        <f>IFERROR(IF(SUMIFS(tblDaily[TransfersOut],tblDaily[EntryDate],DATE(2026,5,7),tblDaily[WardCode],"MAE")=0,"",SUMIFS(tblDaily[TransfersOut],tblDaily[EntryDate],DATE(2026,5,7),tblDaily[WardCode],"MAE")),"")</f>
        <v/>
      </c>
      <c r="H174" s="39" t="str">
        <f>IFERROR(IF(SUMIFS(tblDaily[Remaining],tblDaily[EntryDate],DATE(2026,5,7),tblDaily[WardCode],"MAE")=0,"",SUMIFS(tblDaily[Remaining],tblDaily[EntryDate],DATE(2026,5,7),tblDaily[WardCode],"MAE")),"")</f>
        <v/>
      </c>
      <c r="I174" s="39" t="str">
        <f>IFERROR(IF(SUMIFS(tblDaily[Admissions],tblDaily[EntryDate],DATE(2026,5,7),tblDaily[WardCode],"FAE")=0,"",SUMIFS(tblDaily[Admissions],tblDaily[EntryDate],DATE(2026,5,7),tblDaily[WardCode],"FAE")),"")</f>
        <v/>
      </c>
      <c r="J174" s="39" t="str">
        <f>IFERROR(IF(SUMIFS(tblDaily[Discharges],tblDaily[EntryDate],DATE(2026,5,7),tblDaily[WardCode],"FAE")=0,"",SUMIFS(tblDaily[Discharges],tblDaily[EntryDate],DATE(2026,5,7),tblDaily[WardCode],"FAE")),"")</f>
        <v/>
      </c>
      <c r="K174" s="39" t="str">
        <f>IFERROR(IF(SUMIFS(tblDaily[Deaths],tblDaily[EntryDate],DATE(2026,5,7),tblDaily[WardCode],"FAE")=0,"",SUMIFS(tblDaily[Deaths],tblDaily[EntryDate],DATE(2026,5,7),tblDaily[WardCode],"FAE")),"")</f>
        <v/>
      </c>
      <c r="L174" s="39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39" t="str">
        <f>IFERROR(IF(SUMIFS(tblDaily[TransfersIn],tblDaily[EntryDate],DATE(2026,5,7),tblDaily[WardCode],"FAE")=0,"",SUMIFS(tblDaily[TransfersIn],tblDaily[EntryDate],DATE(2026,5,7),tblDaily[WardCode],"FAE")),"")</f>
        <v/>
      </c>
      <c r="N174" s="39" t="str">
        <f>IFERROR(IF(SUMIFS(tblDaily[TransfersOut],tblDaily[EntryDate],DATE(2026,5,7),tblDaily[WardCode],"FAE")=0,"",SUMIFS(tblDaily[TransfersOut],tblDaily[EntryDate],DATE(2026,5,7),tblDaily[WardCode],"FAE")),"")</f>
        <v/>
      </c>
      <c r="O174" s="39" t="str">
        <f>IFERROR(IF(SUMIFS(tblDaily[Remaining],tblDaily[EntryDate],DATE(2026,5,7),tblDaily[WardCode],"FAE")=0,"",SUMIFS(tblDaily[Remaining],tblDaily[EntryDate],DATE(2026,5,7),tblDaily[WardCode],"FAE")),"")</f>
        <v/>
      </c>
      <c r="P174" s="40" t="str">
        <f t="shared" si="4"/>
        <v/>
      </c>
    </row>
    <row r="175" spans="1:16" x14ac:dyDescent="0.25">
      <c r="A175" s="39">
        <v>8</v>
      </c>
      <c r="B175" s="39" t="str">
        <f>IFERROR(IF(SUMIFS(tblDaily[Admissions],tblDaily[EntryDate],DATE(2026,5,8),tblDaily[WardCode],"MAE")=0,"",SUMIFS(tblDaily[Admissions],tblDaily[EntryDate],DATE(2026,5,8),tblDaily[WardCode],"MAE")),"")</f>
        <v/>
      </c>
      <c r="C175" s="39" t="str">
        <f>IFERROR(IF(SUMIFS(tblDaily[Discharges],tblDaily[EntryDate],DATE(2026,5,8),tblDaily[WardCode],"MAE")=0,"",SUMIFS(tblDaily[Discharges],tblDaily[EntryDate],DATE(2026,5,8),tblDaily[WardCode],"MAE")),"")</f>
        <v/>
      </c>
      <c r="D175" s="39" t="str">
        <f>IFERROR(IF(SUMIFS(tblDaily[Deaths],tblDaily[EntryDate],DATE(2026,5,8),tblDaily[WardCode],"MAE")=0,"",SUMIFS(tblDaily[Deaths],tblDaily[EntryDate],DATE(2026,5,8),tblDaily[WardCode],"MAE")),"")</f>
        <v/>
      </c>
      <c r="E175" s="39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39" t="str">
        <f>IFERROR(IF(SUMIFS(tblDaily[TransfersIn],tblDaily[EntryDate],DATE(2026,5,8),tblDaily[WardCode],"MAE")=0,"",SUMIFS(tblDaily[TransfersIn],tblDaily[EntryDate],DATE(2026,5,8),tblDaily[WardCode],"MAE")),"")</f>
        <v/>
      </c>
      <c r="G175" s="39" t="str">
        <f>IFERROR(IF(SUMIFS(tblDaily[TransfersOut],tblDaily[EntryDate],DATE(2026,5,8),tblDaily[WardCode],"MAE")=0,"",SUMIFS(tblDaily[TransfersOut],tblDaily[EntryDate],DATE(2026,5,8),tblDaily[WardCode],"MAE")),"")</f>
        <v/>
      </c>
      <c r="H175" s="39" t="str">
        <f>IFERROR(IF(SUMIFS(tblDaily[Remaining],tblDaily[EntryDate],DATE(2026,5,8),tblDaily[WardCode],"MAE")=0,"",SUMIFS(tblDaily[Remaining],tblDaily[EntryDate],DATE(2026,5,8),tblDaily[WardCode],"MAE")),"")</f>
        <v/>
      </c>
      <c r="I175" s="39" t="str">
        <f>IFERROR(IF(SUMIFS(tblDaily[Admissions],tblDaily[EntryDate],DATE(2026,5,8),tblDaily[WardCode],"FAE")=0,"",SUMIFS(tblDaily[Admissions],tblDaily[EntryDate],DATE(2026,5,8),tblDaily[WardCode],"FAE")),"")</f>
        <v/>
      </c>
      <c r="J175" s="39" t="str">
        <f>IFERROR(IF(SUMIFS(tblDaily[Discharges],tblDaily[EntryDate],DATE(2026,5,8),tblDaily[WardCode],"FAE")=0,"",SUMIFS(tblDaily[Discharges],tblDaily[EntryDate],DATE(2026,5,8),tblDaily[WardCode],"FAE")),"")</f>
        <v/>
      </c>
      <c r="K175" s="39" t="str">
        <f>IFERROR(IF(SUMIFS(tblDaily[Deaths],tblDaily[EntryDate],DATE(2026,5,8),tblDaily[WardCode],"FAE")=0,"",SUMIFS(tblDaily[Deaths],tblDaily[EntryDate],DATE(2026,5,8),tblDaily[WardCode],"FAE")),"")</f>
        <v/>
      </c>
      <c r="L175" s="39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39" t="str">
        <f>IFERROR(IF(SUMIFS(tblDaily[TransfersIn],tblDaily[EntryDate],DATE(2026,5,8),tblDaily[WardCode],"FAE")=0,"",SUMIFS(tblDaily[TransfersIn],tblDaily[EntryDate],DATE(2026,5,8),tblDaily[WardCode],"FAE")),"")</f>
        <v/>
      </c>
      <c r="N175" s="39" t="str">
        <f>IFERROR(IF(SUMIFS(tblDaily[TransfersOut],tblDaily[EntryDate],DATE(2026,5,8),tblDaily[WardCode],"FAE")=0,"",SUMIFS(tblDaily[TransfersOut],tblDaily[EntryDate],DATE(2026,5,8),tblDaily[WardCode],"FAE")),"")</f>
        <v/>
      </c>
      <c r="O175" s="39" t="str">
        <f>IFERROR(IF(SUMIFS(tblDaily[Remaining],tblDaily[EntryDate],DATE(2026,5,8),tblDaily[WardCode],"FAE")=0,"",SUMIFS(tblDaily[Remaining],tblDaily[EntryDate],DATE(2026,5,8),tblDaily[WardCode],"FAE")),"")</f>
        <v/>
      </c>
      <c r="P175" s="40" t="str">
        <f t="shared" si="4"/>
        <v/>
      </c>
    </row>
    <row r="176" spans="1:16" x14ac:dyDescent="0.25">
      <c r="A176" s="39">
        <v>9</v>
      </c>
      <c r="B176" s="39" t="str">
        <f>IFERROR(IF(SUMIFS(tblDaily[Admissions],tblDaily[EntryDate],DATE(2026,5,9),tblDaily[WardCode],"MAE")=0,"",SUMIFS(tblDaily[Admissions],tblDaily[EntryDate],DATE(2026,5,9),tblDaily[WardCode],"MAE")),"")</f>
        <v/>
      </c>
      <c r="C176" s="39" t="str">
        <f>IFERROR(IF(SUMIFS(tblDaily[Discharges],tblDaily[EntryDate],DATE(2026,5,9),tblDaily[WardCode],"MAE")=0,"",SUMIFS(tblDaily[Discharges],tblDaily[EntryDate],DATE(2026,5,9),tblDaily[WardCode],"MAE")),"")</f>
        <v/>
      </c>
      <c r="D176" s="39" t="str">
        <f>IFERROR(IF(SUMIFS(tblDaily[Deaths],tblDaily[EntryDate],DATE(2026,5,9),tblDaily[WardCode],"MAE")=0,"",SUMIFS(tblDaily[Deaths],tblDaily[EntryDate],DATE(2026,5,9),tblDaily[WardCode],"MAE")),"")</f>
        <v/>
      </c>
      <c r="E176" s="39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39" t="str">
        <f>IFERROR(IF(SUMIFS(tblDaily[TransfersIn],tblDaily[EntryDate],DATE(2026,5,9),tblDaily[WardCode],"MAE")=0,"",SUMIFS(tblDaily[TransfersIn],tblDaily[EntryDate],DATE(2026,5,9),tblDaily[WardCode],"MAE")),"")</f>
        <v/>
      </c>
      <c r="G176" s="39" t="str">
        <f>IFERROR(IF(SUMIFS(tblDaily[TransfersOut],tblDaily[EntryDate],DATE(2026,5,9),tblDaily[WardCode],"MAE")=0,"",SUMIFS(tblDaily[TransfersOut],tblDaily[EntryDate],DATE(2026,5,9),tblDaily[WardCode],"MAE")),"")</f>
        <v/>
      </c>
      <c r="H176" s="39" t="str">
        <f>IFERROR(IF(SUMIFS(tblDaily[Remaining],tblDaily[EntryDate],DATE(2026,5,9),tblDaily[WardCode],"MAE")=0,"",SUMIFS(tblDaily[Remaining],tblDaily[EntryDate],DATE(2026,5,9),tblDaily[WardCode],"MAE")),"")</f>
        <v/>
      </c>
      <c r="I176" s="39" t="str">
        <f>IFERROR(IF(SUMIFS(tblDaily[Admissions],tblDaily[EntryDate],DATE(2026,5,9),tblDaily[WardCode],"FAE")=0,"",SUMIFS(tblDaily[Admissions],tblDaily[EntryDate],DATE(2026,5,9),tblDaily[WardCode],"FAE")),"")</f>
        <v/>
      </c>
      <c r="J176" s="39" t="str">
        <f>IFERROR(IF(SUMIFS(tblDaily[Discharges],tblDaily[EntryDate],DATE(2026,5,9),tblDaily[WardCode],"FAE")=0,"",SUMIFS(tblDaily[Discharges],tblDaily[EntryDate],DATE(2026,5,9),tblDaily[WardCode],"FAE")),"")</f>
        <v/>
      </c>
      <c r="K176" s="39" t="str">
        <f>IFERROR(IF(SUMIFS(tblDaily[Deaths],tblDaily[EntryDate],DATE(2026,5,9),tblDaily[WardCode],"FAE")=0,"",SUMIFS(tblDaily[Deaths],tblDaily[EntryDate],DATE(2026,5,9),tblDaily[WardCode],"FAE")),"")</f>
        <v/>
      </c>
      <c r="L176" s="39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39" t="str">
        <f>IFERROR(IF(SUMIFS(tblDaily[TransfersIn],tblDaily[EntryDate],DATE(2026,5,9),tblDaily[WardCode],"FAE")=0,"",SUMIFS(tblDaily[TransfersIn],tblDaily[EntryDate],DATE(2026,5,9),tblDaily[WardCode],"FAE")),"")</f>
        <v/>
      </c>
      <c r="N176" s="39" t="str">
        <f>IFERROR(IF(SUMIFS(tblDaily[TransfersOut],tblDaily[EntryDate],DATE(2026,5,9),tblDaily[WardCode],"FAE")=0,"",SUMIFS(tblDaily[TransfersOut],tblDaily[EntryDate],DATE(2026,5,9),tblDaily[WardCode],"FAE")),"")</f>
        <v/>
      </c>
      <c r="O176" s="39" t="str">
        <f>IFERROR(IF(SUMIFS(tblDaily[Remaining],tblDaily[EntryDate],DATE(2026,5,9),tblDaily[WardCode],"FAE")=0,"",SUMIFS(tblDaily[Remaining],tblDaily[EntryDate],DATE(2026,5,9),tblDaily[WardCode],"FAE")),"")</f>
        <v/>
      </c>
      <c r="P176" s="40" t="str">
        <f t="shared" si="4"/>
        <v/>
      </c>
    </row>
    <row r="177" spans="1:16" x14ac:dyDescent="0.25">
      <c r="A177" s="39">
        <v>10</v>
      </c>
      <c r="B177" s="39" t="str">
        <f>IFERROR(IF(SUMIFS(tblDaily[Admissions],tblDaily[EntryDate],DATE(2026,5,10),tblDaily[WardCode],"MAE")=0,"",SUMIFS(tblDaily[Admissions],tblDaily[EntryDate],DATE(2026,5,10),tblDaily[WardCode],"MAE")),"")</f>
        <v/>
      </c>
      <c r="C177" s="39" t="str">
        <f>IFERROR(IF(SUMIFS(tblDaily[Discharges],tblDaily[EntryDate],DATE(2026,5,10),tblDaily[WardCode],"MAE")=0,"",SUMIFS(tblDaily[Discharges],tblDaily[EntryDate],DATE(2026,5,10),tblDaily[WardCode],"MAE")),"")</f>
        <v/>
      </c>
      <c r="D177" s="39" t="str">
        <f>IFERROR(IF(SUMIFS(tblDaily[Deaths],tblDaily[EntryDate],DATE(2026,5,10),tblDaily[WardCode],"MAE")=0,"",SUMIFS(tblDaily[Deaths],tblDaily[EntryDate],DATE(2026,5,10),tblDaily[WardCode],"MAE")),"")</f>
        <v/>
      </c>
      <c r="E177" s="39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39" t="str">
        <f>IFERROR(IF(SUMIFS(tblDaily[TransfersIn],tblDaily[EntryDate],DATE(2026,5,10),tblDaily[WardCode],"MAE")=0,"",SUMIFS(tblDaily[TransfersIn],tblDaily[EntryDate],DATE(2026,5,10),tblDaily[WardCode],"MAE")),"")</f>
        <v/>
      </c>
      <c r="G177" s="39" t="str">
        <f>IFERROR(IF(SUMIFS(tblDaily[TransfersOut],tblDaily[EntryDate],DATE(2026,5,10),tblDaily[WardCode],"MAE")=0,"",SUMIFS(tblDaily[TransfersOut],tblDaily[EntryDate],DATE(2026,5,10),tblDaily[WardCode],"MAE")),"")</f>
        <v/>
      </c>
      <c r="H177" s="39" t="str">
        <f>IFERROR(IF(SUMIFS(tblDaily[Remaining],tblDaily[EntryDate],DATE(2026,5,10),tblDaily[WardCode],"MAE")=0,"",SUMIFS(tblDaily[Remaining],tblDaily[EntryDate],DATE(2026,5,10),tblDaily[WardCode],"MAE")),"")</f>
        <v/>
      </c>
      <c r="I177" s="39" t="str">
        <f>IFERROR(IF(SUMIFS(tblDaily[Admissions],tblDaily[EntryDate],DATE(2026,5,10),tblDaily[WardCode],"FAE")=0,"",SUMIFS(tblDaily[Admissions],tblDaily[EntryDate],DATE(2026,5,10),tblDaily[WardCode],"FAE")),"")</f>
        <v/>
      </c>
      <c r="J177" s="39" t="str">
        <f>IFERROR(IF(SUMIFS(tblDaily[Discharges],tblDaily[EntryDate],DATE(2026,5,10),tblDaily[WardCode],"FAE")=0,"",SUMIFS(tblDaily[Discharges],tblDaily[EntryDate],DATE(2026,5,10),tblDaily[WardCode],"FAE")),"")</f>
        <v/>
      </c>
      <c r="K177" s="39" t="str">
        <f>IFERROR(IF(SUMIFS(tblDaily[Deaths],tblDaily[EntryDate],DATE(2026,5,10),tblDaily[WardCode],"FAE")=0,"",SUMIFS(tblDaily[Deaths],tblDaily[EntryDate],DATE(2026,5,10),tblDaily[WardCode],"FAE")),"")</f>
        <v/>
      </c>
      <c r="L177" s="39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39" t="str">
        <f>IFERROR(IF(SUMIFS(tblDaily[TransfersIn],tblDaily[EntryDate],DATE(2026,5,10),tblDaily[WardCode],"FAE")=0,"",SUMIFS(tblDaily[TransfersIn],tblDaily[EntryDate],DATE(2026,5,10),tblDaily[WardCode],"FAE")),"")</f>
        <v/>
      </c>
      <c r="N177" s="39" t="str">
        <f>IFERROR(IF(SUMIFS(tblDaily[TransfersOut],tblDaily[EntryDate],DATE(2026,5,10),tblDaily[WardCode],"FAE")=0,"",SUMIFS(tblDaily[TransfersOut],tblDaily[EntryDate],DATE(2026,5,10),tblDaily[WardCode],"FAE")),"")</f>
        <v/>
      </c>
      <c r="O177" s="39" t="str">
        <f>IFERROR(IF(SUMIFS(tblDaily[Remaining],tblDaily[EntryDate],DATE(2026,5,10),tblDaily[WardCode],"FAE")=0,"",SUMIFS(tblDaily[Remaining],tblDaily[EntryDate],DATE(2026,5,10),tblDaily[WardCode],"FAE")),"")</f>
        <v/>
      </c>
      <c r="P177" s="40" t="str">
        <f t="shared" si="4"/>
        <v/>
      </c>
    </row>
    <row r="178" spans="1:16" x14ac:dyDescent="0.25">
      <c r="A178" s="39">
        <v>11</v>
      </c>
      <c r="B178" s="39" t="str">
        <f>IFERROR(IF(SUMIFS(tblDaily[Admissions],tblDaily[EntryDate],DATE(2026,5,11),tblDaily[WardCode],"MAE")=0,"",SUMIFS(tblDaily[Admissions],tblDaily[EntryDate],DATE(2026,5,11),tblDaily[WardCode],"MAE")),"")</f>
        <v/>
      </c>
      <c r="C178" s="39" t="str">
        <f>IFERROR(IF(SUMIFS(tblDaily[Discharges],tblDaily[EntryDate],DATE(2026,5,11),tblDaily[WardCode],"MAE")=0,"",SUMIFS(tblDaily[Discharges],tblDaily[EntryDate],DATE(2026,5,11),tblDaily[WardCode],"MAE")),"")</f>
        <v/>
      </c>
      <c r="D178" s="39" t="str">
        <f>IFERROR(IF(SUMIFS(tblDaily[Deaths],tblDaily[EntryDate],DATE(2026,5,11),tblDaily[WardCode],"MAE")=0,"",SUMIFS(tblDaily[Deaths],tblDaily[EntryDate],DATE(2026,5,11),tblDaily[WardCode],"MAE")),"")</f>
        <v/>
      </c>
      <c r="E178" s="39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39" t="str">
        <f>IFERROR(IF(SUMIFS(tblDaily[TransfersIn],tblDaily[EntryDate],DATE(2026,5,11),tblDaily[WardCode],"MAE")=0,"",SUMIFS(tblDaily[TransfersIn],tblDaily[EntryDate],DATE(2026,5,11),tblDaily[WardCode],"MAE")),"")</f>
        <v/>
      </c>
      <c r="G178" s="39" t="str">
        <f>IFERROR(IF(SUMIFS(tblDaily[TransfersOut],tblDaily[EntryDate],DATE(2026,5,11),tblDaily[WardCode],"MAE")=0,"",SUMIFS(tblDaily[TransfersOut],tblDaily[EntryDate],DATE(2026,5,11),tblDaily[WardCode],"MAE")),"")</f>
        <v/>
      </c>
      <c r="H178" s="39" t="str">
        <f>IFERROR(IF(SUMIFS(tblDaily[Remaining],tblDaily[EntryDate],DATE(2026,5,11),tblDaily[WardCode],"MAE")=0,"",SUMIFS(tblDaily[Remaining],tblDaily[EntryDate],DATE(2026,5,11),tblDaily[WardCode],"MAE")),"")</f>
        <v/>
      </c>
      <c r="I178" s="39" t="str">
        <f>IFERROR(IF(SUMIFS(tblDaily[Admissions],tblDaily[EntryDate],DATE(2026,5,11),tblDaily[WardCode],"FAE")=0,"",SUMIFS(tblDaily[Admissions],tblDaily[EntryDate],DATE(2026,5,11),tblDaily[WardCode],"FAE")),"")</f>
        <v/>
      </c>
      <c r="J178" s="39" t="str">
        <f>IFERROR(IF(SUMIFS(tblDaily[Discharges],tblDaily[EntryDate],DATE(2026,5,11),tblDaily[WardCode],"FAE")=0,"",SUMIFS(tblDaily[Discharges],tblDaily[EntryDate],DATE(2026,5,11),tblDaily[WardCode],"FAE")),"")</f>
        <v/>
      </c>
      <c r="K178" s="39" t="str">
        <f>IFERROR(IF(SUMIFS(tblDaily[Deaths],tblDaily[EntryDate],DATE(2026,5,11),tblDaily[WardCode],"FAE")=0,"",SUMIFS(tblDaily[Deaths],tblDaily[EntryDate],DATE(2026,5,11),tblDaily[WardCode],"FAE")),"")</f>
        <v/>
      </c>
      <c r="L178" s="39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39" t="str">
        <f>IFERROR(IF(SUMIFS(tblDaily[TransfersIn],tblDaily[EntryDate],DATE(2026,5,11),tblDaily[WardCode],"FAE")=0,"",SUMIFS(tblDaily[TransfersIn],tblDaily[EntryDate],DATE(2026,5,11),tblDaily[WardCode],"FAE")),"")</f>
        <v/>
      </c>
      <c r="N178" s="39" t="str">
        <f>IFERROR(IF(SUMIFS(tblDaily[TransfersOut],tblDaily[EntryDate],DATE(2026,5,11),tblDaily[WardCode],"FAE")=0,"",SUMIFS(tblDaily[TransfersOut],tblDaily[EntryDate],DATE(2026,5,11),tblDaily[WardCode],"FAE")),"")</f>
        <v/>
      </c>
      <c r="O178" s="39" t="str">
        <f>IFERROR(IF(SUMIFS(tblDaily[Remaining],tblDaily[EntryDate],DATE(2026,5,11),tblDaily[WardCode],"FAE")=0,"",SUMIFS(tblDaily[Remaining],tblDaily[EntryDate],DATE(2026,5,11),tblDaily[WardCode],"FAE")),"")</f>
        <v/>
      </c>
      <c r="P178" s="40" t="str">
        <f t="shared" si="4"/>
        <v/>
      </c>
    </row>
    <row r="179" spans="1:16" x14ac:dyDescent="0.25">
      <c r="A179" s="39">
        <v>12</v>
      </c>
      <c r="B179" s="39" t="str">
        <f>IFERROR(IF(SUMIFS(tblDaily[Admissions],tblDaily[EntryDate],DATE(2026,5,12),tblDaily[WardCode],"MAE")=0,"",SUMIFS(tblDaily[Admissions],tblDaily[EntryDate],DATE(2026,5,12),tblDaily[WardCode],"MAE")),"")</f>
        <v/>
      </c>
      <c r="C179" s="39" t="str">
        <f>IFERROR(IF(SUMIFS(tblDaily[Discharges],tblDaily[EntryDate],DATE(2026,5,12),tblDaily[WardCode],"MAE")=0,"",SUMIFS(tblDaily[Discharges],tblDaily[EntryDate],DATE(2026,5,12),tblDaily[WardCode],"MAE")),"")</f>
        <v/>
      </c>
      <c r="D179" s="39" t="str">
        <f>IFERROR(IF(SUMIFS(tblDaily[Deaths],tblDaily[EntryDate],DATE(2026,5,12),tblDaily[WardCode],"MAE")=0,"",SUMIFS(tblDaily[Deaths],tblDaily[EntryDate],DATE(2026,5,12),tblDaily[WardCode],"MAE")),"")</f>
        <v/>
      </c>
      <c r="E179" s="39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39" t="str">
        <f>IFERROR(IF(SUMIFS(tblDaily[TransfersIn],tblDaily[EntryDate],DATE(2026,5,12),tblDaily[WardCode],"MAE")=0,"",SUMIFS(tblDaily[TransfersIn],tblDaily[EntryDate],DATE(2026,5,12),tblDaily[WardCode],"MAE")),"")</f>
        <v/>
      </c>
      <c r="G179" s="39" t="str">
        <f>IFERROR(IF(SUMIFS(tblDaily[TransfersOut],tblDaily[EntryDate],DATE(2026,5,12),tblDaily[WardCode],"MAE")=0,"",SUMIFS(tblDaily[TransfersOut],tblDaily[EntryDate],DATE(2026,5,12),tblDaily[WardCode],"MAE")),"")</f>
        <v/>
      </c>
      <c r="H179" s="39" t="str">
        <f>IFERROR(IF(SUMIFS(tblDaily[Remaining],tblDaily[EntryDate],DATE(2026,5,12),tblDaily[WardCode],"MAE")=0,"",SUMIFS(tblDaily[Remaining],tblDaily[EntryDate],DATE(2026,5,12),tblDaily[WardCode],"MAE")),"")</f>
        <v/>
      </c>
      <c r="I179" s="39" t="str">
        <f>IFERROR(IF(SUMIFS(tblDaily[Admissions],tblDaily[EntryDate],DATE(2026,5,12),tblDaily[WardCode],"FAE")=0,"",SUMIFS(tblDaily[Admissions],tblDaily[EntryDate],DATE(2026,5,12),tblDaily[WardCode],"FAE")),"")</f>
        <v/>
      </c>
      <c r="J179" s="39" t="str">
        <f>IFERROR(IF(SUMIFS(tblDaily[Discharges],tblDaily[EntryDate],DATE(2026,5,12),tblDaily[WardCode],"FAE")=0,"",SUMIFS(tblDaily[Discharges],tblDaily[EntryDate],DATE(2026,5,12),tblDaily[WardCode],"FAE")),"")</f>
        <v/>
      </c>
      <c r="K179" s="39" t="str">
        <f>IFERROR(IF(SUMIFS(tblDaily[Deaths],tblDaily[EntryDate],DATE(2026,5,12),tblDaily[WardCode],"FAE")=0,"",SUMIFS(tblDaily[Deaths],tblDaily[EntryDate],DATE(2026,5,12),tblDaily[WardCode],"FAE")),"")</f>
        <v/>
      </c>
      <c r="L179" s="39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39" t="str">
        <f>IFERROR(IF(SUMIFS(tblDaily[TransfersIn],tblDaily[EntryDate],DATE(2026,5,12),tblDaily[WardCode],"FAE")=0,"",SUMIFS(tblDaily[TransfersIn],tblDaily[EntryDate],DATE(2026,5,12),tblDaily[WardCode],"FAE")),"")</f>
        <v/>
      </c>
      <c r="N179" s="39" t="str">
        <f>IFERROR(IF(SUMIFS(tblDaily[TransfersOut],tblDaily[EntryDate],DATE(2026,5,12),tblDaily[WardCode],"FAE")=0,"",SUMIFS(tblDaily[TransfersOut],tblDaily[EntryDate],DATE(2026,5,12),tblDaily[WardCode],"FAE")),"")</f>
        <v/>
      </c>
      <c r="O179" s="39" t="str">
        <f>IFERROR(IF(SUMIFS(tblDaily[Remaining],tblDaily[EntryDate],DATE(2026,5,12),tblDaily[WardCode],"FAE")=0,"",SUMIFS(tblDaily[Remaining],tblDaily[EntryDate],DATE(2026,5,12),tblDaily[WardCode],"FAE")),"")</f>
        <v/>
      </c>
      <c r="P179" s="40" t="str">
        <f t="shared" si="4"/>
        <v/>
      </c>
    </row>
    <row r="180" spans="1:16" x14ac:dyDescent="0.25">
      <c r="A180" s="39">
        <v>13</v>
      </c>
      <c r="B180" s="39" t="str">
        <f>IFERROR(IF(SUMIFS(tblDaily[Admissions],tblDaily[EntryDate],DATE(2026,5,13),tblDaily[WardCode],"MAE")=0,"",SUMIFS(tblDaily[Admissions],tblDaily[EntryDate],DATE(2026,5,13),tblDaily[WardCode],"MAE")),"")</f>
        <v/>
      </c>
      <c r="C180" s="39" t="str">
        <f>IFERROR(IF(SUMIFS(tblDaily[Discharges],tblDaily[EntryDate],DATE(2026,5,13),tblDaily[WardCode],"MAE")=0,"",SUMIFS(tblDaily[Discharges],tblDaily[EntryDate],DATE(2026,5,13),tblDaily[WardCode],"MAE")),"")</f>
        <v/>
      </c>
      <c r="D180" s="39" t="str">
        <f>IFERROR(IF(SUMIFS(tblDaily[Deaths],tblDaily[EntryDate],DATE(2026,5,13),tblDaily[WardCode],"MAE")=0,"",SUMIFS(tblDaily[Deaths],tblDaily[EntryDate],DATE(2026,5,13),tblDaily[WardCode],"MAE")),"")</f>
        <v/>
      </c>
      <c r="E180" s="39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39" t="str">
        <f>IFERROR(IF(SUMIFS(tblDaily[TransfersIn],tblDaily[EntryDate],DATE(2026,5,13),tblDaily[WardCode],"MAE")=0,"",SUMIFS(tblDaily[TransfersIn],tblDaily[EntryDate],DATE(2026,5,13),tblDaily[WardCode],"MAE")),"")</f>
        <v/>
      </c>
      <c r="G180" s="39" t="str">
        <f>IFERROR(IF(SUMIFS(tblDaily[TransfersOut],tblDaily[EntryDate],DATE(2026,5,13),tblDaily[WardCode],"MAE")=0,"",SUMIFS(tblDaily[TransfersOut],tblDaily[EntryDate],DATE(2026,5,13),tblDaily[WardCode],"MAE")),"")</f>
        <v/>
      </c>
      <c r="H180" s="39" t="str">
        <f>IFERROR(IF(SUMIFS(tblDaily[Remaining],tblDaily[EntryDate],DATE(2026,5,13),tblDaily[WardCode],"MAE")=0,"",SUMIFS(tblDaily[Remaining],tblDaily[EntryDate],DATE(2026,5,13),tblDaily[WardCode],"MAE")),"")</f>
        <v/>
      </c>
      <c r="I180" s="39" t="str">
        <f>IFERROR(IF(SUMIFS(tblDaily[Admissions],tblDaily[EntryDate],DATE(2026,5,13),tblDaily[WardCode],"FAE")=0,"",SUMIFS(tblDaily[Admissions],tblDaily[EntryDate],DATE(2026,5,13),tblDaily[WardCode],"FAE")),"")</f>
        <v/>
      </c>
      <c r="J180" s="39" t="str">
        <f>IFERROR(IF(SUMIFS(tblDaily[Discharges],tblDaily[EntryDate],DATE(2026,5,13),tblDaily[WardCode],"FAE")=0,"",SUMIFS(tblDaily[Discharges],tblDaily[EntryDate],DATE(2026,5,13),tblDaily[WardCode],"FAE")),"")</f>
        <v/>
      </c>
      <c r="K180" s="39" t="str">
        <f>IFERROR(IF(SUMIFS(tblDaily[Deaths],tblDaily[EntryDate],DATE(2026,5,13),tblDaily[WardCode],"FAE")=0,"",SUMIFS(tblDaily[Deaths],tblDaily[EntryDate],DATE(2026,5,13),tblDaily[WardCode],"FAE")),"")</f>
        <v/>
      </c>
      <c r="L180" s="39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39" t="str">
        <f>IFERROR(IF(SUMIFS(tblDaily[TransfersIn],tblDaily[EntryDate],DATE(2026,5,13),tblDaily[WardCode],"FAE")=0,"",SUMIFS(tblDaily[TransfersIn],tblDaily[EntryDate],DATE(2026,5,13),tblDaily[WardCode],"FAE")),"")</f>
        <v/>
      </c>
      <c r="N180" s="39" t="str">
        <f>IFERROR(IF(SUMIFS(tblDaily[TransfersOut],tblDaily[EntryDate],DATE(2026,5,13),tblDaily[WardCode],"FAE")=0,"",SUMIFS(tblDaily[TransfersOut],tblDaily[EntryDate],DATE(2026,5,13),tblDaily[WardCode],"FAE")),"")</f>
        <v/>
      </c>
      <c r="O180" s="39" t="str">
        <f>IFERROR(IF(SUMIFS(tblDaily[Remaining],tblDaily[EntryDate],DATE(2026,5,13),tblDaily[WardCode],"FAE")=0,"",SUMIFS(tblDaily[Remaining],tblDaily[EntryDate],DATE(2026,5,13),tblDaily[WardCode],"FAE")),"")</f>
        <v/>
      </c>
      <c r="P180" s="40" t="str">
        <f t="shared" si="4"/>
        <v/>
      </c>
    </row>
    <row r="181" spans="1:16" x14ac:dyDescent="0.25">
      <c r="A181" s="39">
        <v>14</v>
      </c>
      <c r="B181" s="39" t="str">
        <f>IFERROR(IF(SUMIFS(tblDaily[Admissions],tblDaily[EntryDate],DATE(2026,5,14),tblDaily[WardCode],"MAE")=0,"",SUMIFS(tblDaily[Admissions],tblDaily[EntryDate],DATE(2026,5,14),tblDaily[WardCode],"MAE")),"")</f>
        <v/>
      </c>
      <c r="C181" s="39" t="str">
        <f>IFERROR(IF(SUMIFS(tblDaily[Discharges],tblDaily[EntryDate],DATE(2026,5,14),tblDaily[WardCode],"MAE")=0,"",SUMIFS(tblDaily[Discharges],tblDaily[EntryDate],DATE(2026,5,14),tblDaily[WardCode],"MAE")),"")</f>
        <v/>
      </c>
      <c r="D181" s="39" t="str">
        <f>IFERROR(IF(SUMIFS(tblDaily[Deaths],tblDaily[EntryDate],DATE(2026,5,14),tblDaily[WardCode],"MAE")=0,"",SUMIFS(tblDaily[Deaths],tblDaily[EntryDate],DATE(2026,5,14),tblDaily[WardCode],"MAE")),"")</f>
        <v/>
      </c>
      <c r="E181" s="39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39" t="str">
        <f>IFERROR(IF(SUMIFS(tblDaily[TransfersIn],tblDaily[EntryDate],DATE(2026,5,14),tblDaily[WardCode],"MAE")=0,"",SUMIFS(tblDaily[TransfersIn],tblDaily[EntryDate],DATE(2026,5,14),tblDaily[WardCode],"MAE")),"")</f>
        <v/>
      </c>
      <c r="G181" s="39" t="str">
        <f>IFERROR(IF(SUMIFS(tblDaily[TransfersOut],tblDaily[EntryDate],DATE(2026,5,14),tblDaily[WardCode],"MAE")=0,"",SUMIFS(tblDaily[TransfersOut],tblDaily[EntryDate],DATE(2026,5,14),tblDaily[WardCode],"MAE")),"")</f>
        <v/>
      </c>
      <c r="H181" s="39" t="str">
        <f>IFERROR(IF(SUMIFS(tblDaily[Remaining],tblDaily[EntryDate],DATE(2026,5,14),tblDaily[WardCode],"MAE")=0,"",SUMIFS(tblDaily[Remaining],tblDaily[EntryDate],DATE(2026,5,14),tblDaily[WardCode],"MAE")),"")</f>
        <v/>
      </c>
      <c r="I181" s="39" t="str">
        <f>IFERROR(IF(SUMIFS(tblDaily[Admissions],tblDaily[EntryDate],DATE(2026,5,14),tblDaily[WardCode],"FAE")=0,"",SUMIFS(tblDaily[Admissions],tblDaily[EntryDate],DATE(2026,5,14),tblDaily[WardCode],"FAE")),"")</f>
        <v/>
      </c>
      <c r="J181" s="39" t="str">
        <f>IFERROR(IF(SUMIFS(tblDaily[Discharges],tblDaily[EntryDate],DATE(2026,5,14),tblDaily[WardCode],"FAE")=0,"",SUMIFS(tblDaily[Discharges],tblDaily[EntryDate],DATE(2026,5,14),tblDaily[WardCode],"FAE")),"")</f>
        <v/>
      </c>
      <c r="K181" s="39" t="str">
        <f>IFERROR(IF(SUMIFS(tblDaily[Deaths],tblDaily[EntryDate],DATE(2026,5,14),tblDaily[WardCode],"FAE")=0,"",SUMIFS(tblDaily[Deaths],tblDaily[EntryDate],DATE(2026,5,14),tblDaily[WardCode],"FAE")),"")</f>
        <v/>
      </c>
      <c r="L181" s="39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39" t="str">
        <f>IFERROR(IF(SUMIFS(tblDaily[TransfersIn],tblDaily[EntryDate],DATE(2026,5,14),tblDaily[WardCode],"FAE")=0,"",SUMIFS(tblDaily[TransfersIn],tblDaily[EntryDate],DATE(2026,5,14),tblDaily[WardCode],"FAE")),"")</f>
        <v/>
      </c>
      <c r="N181" s="39" t="str">
        <f>IFERROR(IF(SUMIFS(tblDaily[TransfersOut],tblDaily[EntryDate],DATE(2026,5,14),tblDaily[WardCode],"FAE")=0,"",SUMIFS(tblDaily[TransfersOut],tblDaily[EntryDate],DATE(2026,5,14),tblDaily[WardCode],"FAE")),"")</f>
        <v/>
      </c>
      <c r="O181" s="39" t="str">
        <f>IFERROR(IF(SUMIFS(tblDaily[Remaining],tblDaily[EntryDate],DATE(2026,5,14),tblDaily[WardCode],"FAE")=0,"",SUMIFS(tblDaily[Remaining],tblDaily[EntryDate],DATE(2026,5,14),tblDaily[WardCode],"FAE")),"")</f>
        <v/>
      </c>
      <c r="P181" s="40" t="str">
        <f t="shared" si="4"/>
        <v/>
      </c>
    </row>
    <row r="182" spans="1:16" x14ac:dyDescent="0.25">
      <c r="A182" s="39">
        <v>15</v>
      </c>
      <c r="B182" s="39" t="str">
        <f>IFERROR(IF(SUMIFS(tblDaily[Admissions],tblDaily[EntryDate],DATE(2026,5,15),tblDaily[WardCode],"MAE")=0,"",SUMIFS(tblDaily[Admissions],tblDaily[EntryDate],DATE(2026,5,15),tblDaily[WardCode],"MAE")),"")</f>
        <v/>
      </c>
      <c r="C182" s="39" t="str">
        <f>IFERROR(IF(SUMIFS(tblDaily[Discharges],tblDaily[EntryDate],DATE(2026,5,15),tblDaily[WardCode],"MAE")=0,"",SUMIFS(tblDaily[Discharges],tblDaily[EntryDate],DATE(2026,5,15),tblDaily[WardCode],"MAE")),"")</f>
        <v/>
      </c>
      <c r="D182" s="39" t="str">
        <f>IFERROR(IF(SUMIFS(tblDaily[Deaths],tblDaily[EntryDate],DATE(2026,5,15),tblDaily[WardCode],"MAE")=0,"",SUMIFS(tblDaily[Deaths],tblDaily[EntryDate],DATE(2026,5,15),tblDaily[WardCode],"MAE")),"")</f>
        <v/>
      </c>
      <c r="E182" s="39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39" t="str">
        <f>IFERROR(IF(SUMIFS(tblDaily[TransfersIn],tblDaily[EntryDate],DATE(2026,5,15),tblDaily[WardCode],"MAE")=0,"",SUMIFS(tblDaily[TransfersIn],tblDaily[EntryDate],DATE(2026,5,15),tblDaily[WardCode],"MAE")),"")</f>
        <v/>
      </c>
      <c r="G182" s="39" t="str">
        <f>IFERROR(IF(SUMIFS(tblDaily[TransfersOut],tblDaily[EntryDate],DATE(2026,5,15),tblDaily[WardCode],"MAE")=0,"",SUMIFS(tblDaily[TransfersOut],tblDaily[EntryDate],DATE(2026,5,15),tblDaily[WardCode],"MAE")),"")</f>
        <v/>
      </c>
      <c r="H182" s="39" t="str">
        <f>IFERROR(IF(SUMIFS(tblDaily[Remaining],tblDaily[EntryDate],DATE(2026,5,15),tblDaily[WardCode],"MAE")=0,"",SUMIFS(tblDaily[Remaining],tblDaily[EntryDate],DATE(2026,5,15),tblDaily[WardCode],"MAE")),"")</f>
        <v/>
      </c>
      <c r="I182" s="39" t="str">
        <f>IFERROR(IF(SUMIFS(tblDaily[Admissions],tblDaily[EntryDate],DATE(2026,5,15),tblDaily[WardCode],"FAE")=0,"",SUMIFS(tblDaily[Admissions],tblDaily[EntryDate],DATE(2026,5,15),tblDaily[WardCode],"FAE")),"")</f>
        <v/>
      </c>
      <c r="J182" s="39" t="str">
        <f>IFERROR(IF(SUMIFS(tblDaily[Discharges],tblDaily[EntryDate],DATE(2026,5,15),tblDaily[WardCode],"FAE")=0,"",SUMIFS(tblDaily[Discharges],tblDaily[EntryDate],DATE(2026,5,15),tblDaily[WardCode],"FAE")),"")</f>
        <v/>
      </c>
      <c r="K182" s="39" t="str">
        <f>IFERROR(IF(SUMIFS(tblDaily[Deaths],tblDaily[EntryDate],DATE(2026,5,15),tblDaily[WardCode],"FAE")=0,"",SUMIFS(tblDaily[Deaths],tblDaily[EntryDate],DATE(2026,5,15),tblDaily[WardCode],"FAE")),"")</f>
        <v/>
      </c>
      <c r="L182" s="39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39" t="str">
        <f>IFERROR(IF(SUMIFS(tblDaily[TransfersIn],tblDaily[EntryDate],DATE(2026,5,15),tblDaily[WardCode],"FAE")=0,"",SUMIFS(tblDaily[TransfersIn],tblDaily[EntryDate],DATE(2026,5,15),tblDaily[WardCode],"FAE")),"")</f>
        <v/>
      </c>
      <c r="N182" s="39" t="str">
        <f>IFERROR(IF(SUMIFS(tblDaily[TransfersOut],tblDaily[EntryDate],DATE(2026,5,15),tblDaily[WardCode],"FAE")=0,"",SUMIFS(tblDaily[TransfersOut],tblDaily[EntryDate],DATE(2026,5,15),tblDaily[WardCode],"FAE")),"")</f>
        <v/>
      </c>
      <c r="O182" s="39" t="str">
        <f>IFERROR(IF(SUMIFS(tblDaily[Remaining],tblDaily[EntryDate],DATE(2026,5,15),tblDaily[WardCode],"FAE")=0,"",SUMIFS(tblDaily[Remaining],tblDaily[EntryDate],DATE(2026,5,15),tblDaily[WardCode],"FAE")),"")</f>
        <v/>
      </c>
      <c r="P182" s="40" t="str">
        <f t="shared" si="4"/>
        <v/>
      </c>
    </row>
    <row r="183" spans="1:16" x14ac:dyDescent="0.25">
      <c r="A183" s="39">
        <v>16</v>
      </c>
      <c r="B183" s="39" t="str">
        <f>IFERROR(IF(SUMIFS(tblDaily[Admissions],tblDaily[EntryDate],DATE(2026,5,16),tblDaily[WardCode],"MAE")=0,"",SUMIFS(tblDaily[Admissions],tblDaily[EntryDate],DATE(2026,5,16),tblDaily[WardCode],"MAE")),"")</f>
        <v/>
      </c>
      <c r="C183" s="39" t="str">
        <f>IFERROR(IF(SUMIFS(tblDaily[Discharges],tblDaily[EntryDate],DATE(2026,5,16),tblDaily[WardCode],"MAE")=0,"",SUMIFS(tblDaily[Discharges],tblDaily[EntryDate],DATE(2026,5,16),tblDaily[WardCode],"MAE")),"")</f>
        <v/>
      </c>
      <c r="D183" s="39" t="str">
        <f>IFERROR(IF(SUMIFS(tblDaily[Deaths],tblDaily[EntryDate],DATE(2026,5,16),tblDaily[WardCode],"MAE")=0,"",SUMIFS(tblDaily[Deaths],tblDaily[EntryDate],DATE(2026,5,16),tblDaily[WardCode],"MAE")),"")</f>
        <v/>
      </c>
      <c r="E183" s="39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39" t="str">
        <f>IFERROR(IF(SUMIFS(tblDaily[TransfersIn],tblDaily[EntryDate],DATE(2026,5,16),tblDaily[WardCode],"MAE")=0,"",SUMIFS(tblDaily[TransfersIn],tblDaily[EntryDate],DATE(2026,5,16),tblDaily[WardCode],"MAE")),"")</f>
        <v/>
      </c>
      <c r="G183" s="39" t="str">
        <f>IFERROR(IF(SUMIFS(tblDaily[TransfersOut],tblDaily[EntryDate],DATE(2026,5,16),tblDaily[WardCode],"MAE")=0,"",SUMIFS(tblDaily[TransfersOut],tblDaily[EntryDate],DATE(2026,5,16),tblDaily[WardCode],"MAE")),"")</f>
        <v/>
      </c>
      <c r="H183" s="39" t="str">
        <f>IFERROR(IF(SUMIFS(tblDaily[Remaining],tblDaily[EntryDate],DATE(2026,5,16),tblDaily[WardCode],"MAE")=0,"",SUMIFS(tblDaily[Remaining],tblDaily[EntryDate],DATE(2026,5,16),tblDaily[WardCode],"MAE")),"")</f>
        <v/>
      </c>
      <c r="I183" s="39" t="str">
        <f>IFERROR(IF(SUMIFS(tblDaily[Admissions],tblDaily[EntryDate],DATE(2026,5,16),tblDaily[WardCode],"FAE")=0,"",SUMIFS(tblDaily[Admissions],tblDaily[EntryDate],DATE(2026,5,16),tblDaily[WardCode],"FAE")),"")</f>
        <v/>
      </c>
      <c r="J183" s="39" t="str">
        <f>IFERROR(IF(SUMIFS(tblDaily[Discharges],tblDaily[EntryDate],DATE(2026,5,16),tblDaily[WardCode],"FAE")=0,"",SUMIFS(tblDaily[Discharges],tblDaily[EntryDate],DATE(2026,5,16),tblDaily[WardCode],"FAE")),"")</f>
        <v/>
      </c>
      <c r="K183" s="39" t="str">
        <f>IFERROR(IF(SUMIFS(tblDaily[Deaths],tblDaily[EntryDate],DATE(2026,5,16),tblDaily[WardCode],"FAE")=0,"",SUMIFS(tblDaily[Deaths],tblDaily[EntryDate],DATE(2026,5,16),tblDaily[WardCode],"FAE")),"")</f>
        <v/>
      </c>
      <c r="L183" s="39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39" t="str">
        <f>IFERROR(IF(SUMIFS(tblDaily[TransfersIn],tblDaily[EntryDate],DATE(2026,5,16),tblDaily[WardCode],"FAE")=0,"",SUMIFS(tblDaily[TransfersIn],tblDaily[EntryDate],DATE(2026,5,16),tblDaily[WardCode],"FAE")),"")</f>
        <v/>
      </c>
      <c r="N183" s="39" t="str">
        <f>IFERROR(IF(SUMIFS(tblDaily[TransfersOut],tblDaily[EntryDate],DATE(2026,5,16),tblDaily[WardCode],"FAE")=0,"",SUMIFS(tblDaily[TransfersOut],tblDaily[EntryDate],DATE(2026,5,16),tblDaily[WardCode],"FAE")),"")</f>
        <v/>
      </c>
      <c r="O183" s="39" t="str">
        <f>IFERROR(IF(SUMIFS(tblDaily[Remaining],tblDaily[EntryDate],DATE(2026,5,16),tblDaily[WardCode],"FAE")=0,"",SUMIFS(tblDaily[Remaining],tblDaily[EntryDate],DATE(2026,5,16),tblDaily[WardCode],"FAE")),"")</f>
        <v/>
      </c>
      <c r="P183" s="40" t="str">
        <f t="shared" si="4"/>
        <v/>
      </c>
    </row>
    <row r="184" spans="1:16" x14ac:dyDescent="0.25">
      <c r="A184" s="39">
        <v>17</v>
      </c>
      <c r="B184" s="39" t="str">
        <f>IFERROR(IF(SUMIFS(tblDaily[Admissions],tblDaily[EntryDate],DATE(2026,5,17),tblDaily[WardCode],"MAE")=0,"",SUMIFS(tblDaily[Admissions],tblDaily[EntryDate],DATE(2026,5,17),tblDaily[WardCode],"MAE")),"")</f>
        <v/>
      </c>
      <c r="C184" s="39" t="str">
        <f>IFERROR(IF(SUMIFS(tblDaily[Discharges],tblDaily[EntryDate],DATE(2026,5,17),tblDaily[WardCode],"MAE")=0,"",SUMIFS(tblDaily[Discharges],tblDaily[EntryDate],DATE(2026,5,17),tblDaily[WardCode],"MAE")),"")</f>
        <v/>
      </c>
      <c r="D184" s="39" t="str">
        <f>IFERROR(IF(SUMIFS(tblDaily[Deaths],tblDaily[EntryDate],DATE(2026,5,17),tblDaily[WardCode],"MAE")=0,"",SUMIFS(tblDaily[Deaths],tblDaily[EntryDate],DATE(2026,5,17),tblDaily[WardCode],"MAE")),"")</f>
        <v/>
      </c>
      <c r="E184" s="39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39" t="str">
        <f>IFERROR(IF(SUMIFS(tblDaily[TransfersIn],tblDaily[EntryDate],DATE(2026,5,17),tblDaily[WardCode],"MAE")=0,"",SUMIFS(tblDaily[TransfersIn],tblDaily[EntryDate],DATE(2026,5,17),tblDaily[WardCode],"MAE")),"")</f>
        <v/>
      </c>
      <c r="G184" s="39" t="str">
        <f>IFERROR(IF(SUMIFS(tblDaily[TransfersOut],tblDaily[EntryDate],DATE(2026,5,17),tblDaily[WardCode],"MAE")=0,"",SUMIFS(tblDaily[TransfersOut],tblDaily[EntryDate],DATE(2026,5,17),tblDaily[WardCode],"MAE")),"")</f>
        <v/>
      </c>
      <c r="H184" s="39" t="str">
        <f>IFERROR(IF(SUMIFS(tblDaily[Remaining],tblDaily[EntryDate],DATE(2026,5,17),tblDaily[WardCode],"MAE")=0,"",SUMIFS(tblDaily[Remaining],tblDaily[EntryDate],DATE(2026,5,17),tblDaily[WardCode],"MAE")),"")</f>
        <v/>
      </c>
      <c r="I184" s="39" t="str">
        <f>IFERROR(IF(SUMIFS(tblDaily[Admissions],tblDaily[EntryDate],DATE(2026,5,17),tblDaily[WardCode],"FAE")=0,"",SUMIFS(tblDaily[Admissions],tblDaily[EntryDate],DATE(2026,5,17),tblDaily[WardCode],"FAE")),"")</f>
        <v/>
      </c>
      <c r="J184" s="39" t="str">
        <f>IFERROR(IF(SUMIFS(tblDaily[Discharges],tblDaily[EntryDate],DATE(2026,5,17),tblDaily[WardCode],"FAE")=0,"",SUMIFS(tblDaily[Discharges],tblDaily[EntryDate],DATE(2026,5,17),tblDaily[WardCode],"FAE")),"")</f>
        <v/>
      </c>
      <c r="K184" s="39" t="str">
        <f>IFERROR(IF(SUMIFS(tblDaily[Deaths],tblDaily[EntryDate],DATE(2026,5,17),tblDaily[WardCode],"FAE")=0,"",SUMIFS(tblDaily[Deaths],tblDaily[EntryDate],DATE(2026,5,17),tblDaily[WardCode],"FAE")),"")</f>
        <v/>
      </c>
      <c r="L184" s="39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39" t="str">
        <f>IFERROR(IF(SUMIFS(tblDaily[TransfersIn],tblDaily[EntryDate],DATE(2026,5,17),tblDaily[WardCode],"FAE")=0,"",SUMIFS(tblDaily[TransfersIn],tblDaily[EntryDate],DATE(2026,5,17),tblDaily[WardCode],"FAE")),"")</f>
        <v/>
      </c>
      <c r="N184" s="39" t="str">
        <f>IFERROR(IF(SUMIFS(tblDaily[TransfersOut],tblDaily[EntryDate],DATE(2026,5,17),tblDaily[WardCode],"FAE")=0,"",SUMIFS(tblDaily[TransfersOut],tblDaily[EntryDate],DATE(2026,5,17),tblDaily[WardCode],"FAE")),"")</f>
        <v/>
      </c>
      <c r="O184" s="39" t="str">
        <f>IFERROR(IF(SUMIFS(tblDaily[Remaining],tblDaily[EntryDate],DATE(2026,5,17),tblDaily[WardCode],"FAE")=0,"",SUMIFS(tblDaily[Remaining],tblDaily[EntryDate],DATE(2026,5,17),tblDaily[WardCode],"FAE")),"")</f>
        <v/>
      </c>
      <c r="P184" s="40" t="str">
        <f t="shared" si="4"/>
        <v/>
      </c>
    </row>
    <row r="185" spans="1:16" x14ac:dyDescent="0.25">
      <c r="A185" s="39">
        <v>18</v>
      </c>
      <c r="B185" s="39" t="str">
        <f>IFERROR(IF(SUMIFS(tblDaily[Admissions],tblDaily[EntryDate],DATE(2026,5,18),tblDaily[WardCode],"MAE")=0,"",SUMIFS(tblDaily[Admissions],tblDaily[EntryDate],DATE(2026,5,18),tblDaily[WardCode],"MAE")),"")</f>
        <v/>
      </c>
      <c r="C185" s="39" t="str">
        <f>IFERROR(IF(SUMIFS(tblDaily[Discharges],tblDaily[EntryDate],DATE(2026,5,18),tblDaily[WardCode],"MAE")=0,"",SUMIFS(tblDaily[Discharges],tblDaily[EntryDate],DATE(2026,5,18),tblDaily[WardCode],"MAE")),"")</f>
        <v/>
      </c>
      <c r="D185" s="39" t="str">
        <f>IFERROR(IF(SUMIFS(tblDaily[Deaths],tblDaily[EntryDate],DATE(2026,5,18),tblDaily[WardCode],"MAE")=0,"",SUMIFS(tblDaily[Deaths],tblDaily[EntryDate],DATE(2026,5,18),tblDaily[WardCode],"MAE")),"")</f>
        <v/>
      </c>
      <c r="E185" s="39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39" t="str">
        <f>IFERROR(IF(SUMIFS(tblDaily[TransfersIn],tblDaily[EntryDate],DATE(2026,5,18),tblDaily[WardCode],"MAE")=0,"",SUMIFS(tblDaily[TransfersIn],tblDaily[EntryDate],DATE(2026,5,18),tblDaily[WardCode],"MAE")),"")</f>
        <v/>
      </c>
      <c r="G185" s="39" t="str">
        <f>IFERROR(IF(SUMIFS(tblDaily[TransfersOut],tblDaily[EntryDate],DATE(2026,5,18),tblDaily[WardCode],"MAE")=0,"",SUMIFS(tblDaily[TransfersOut],tblDaily[EntryDate],DATE(2026,5,18),tblDaily[WardCode],"MAE")),"")</f>
        <v/>
      </c>
      <c r="H185" s="39" t="str">
        <f>IFERROR(IF(SUMIFS(tblDaily[Remaining],tblDaily[EntryDate],DATE(2026,5,18),tblDaily[WardCode],"MAE")=0,"",SUMIFS(tblDaily[Remaining],tblDaily[EntryDate],DATE(2026,5,18),tblDaily[WardCode],"MAE")),"")</f>
        <v/>
      </c>
      <c r="I185" s="39" t="str">
        <f>IFERROR(IF(SUMIFS(tblDaily[Admissions],tblDaily[EntryDate],DATE(2026,5,18),tblDaily[WardCode],"FAE")=0,"",SUMIFS(tblDaily[Admissions],tblDaily[EntryDate],DATE(2026,5,18),tblDaily[WardCode],"FAE")),"")</f>
        <v/>
      </c>
      <c r="J185" s="39" t="str">
        <f>IFERROR(IF(SUMIFS(tblDaily[Discharges],tblDaily[EntryDate],DATE(2026,5,18),tblDaily[WardCode],"FAE")=0,"",SUMIFS(tblDaily[Discharges],tblDaily[EntryDate],DATE(2026,5,18),tblDaily[WardCode],"FAE")),"")</f>
        <v/>
      </c>
      <c r="K185" s="39" t="str">
        <f>IFERROR(IF(SUMIFS(tblDaily[Deaths],tblDaily[EntryDate],DATE(2026,5,18),tblDaily[WardCode],"FAE")=0,"",SUMIFS(tblDaily[Deaths],tblDaily[EntryDate],DATE(2026,5,18),tblDaily[WardCode],"FAE")),"")</f>
        <v/>
      </c>
      <c r="L185" s="39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39" t="str">
        <f>IFERROR(IF(SUMIFS(tblDaily[TransfersIn],tblDaily[EntryDate],DATE(2026,5,18),tblDaily[WardCode],"FAE")=0,"",SUMIFS(tblDaily[TransfersIn],tblDaily[EntryDate],DATE(2026,5,18),tblDaily[WardCode],"FAE")),"")</f>
        <v/>
      </c>
      <c r="N185" s="39" t="str">
        <f>IFERROR(IF(SUMIFS(tblDaily[TransfersOut],tblDaily[EntryDate],DATE(2026,5,18),tblDaily[WardCode],"FAE")=0,"",SUMIFS(tblDaily[TransfersOut],tblDaily[EntryDate],DATE(2026,5,18),tblDaily[WardCode],"FAE")),"")</f>
        <v/>
      </c>
      <c r="O185" s="39" t="str">
        <f>IFERROR(IF(SUMIFS(tblDaily[Remaining],tblDaily[EntryDate],DATE(2026,5,18),tblDaily[WardCode],"FAE")=0,"",SUMIFS(tblDaily[Remaining],tblDaily[EntryDate],DATE(2026,5,18),tblDaily[WardCode],"FAE")),"")</f>
        <v/>
      </c>
      <c r="P185" s="40" t="str">
        <f t="shared" si="4"/>
        <v/>
      </c>
    </row>
    <row r="186" spans="1:16" x14ac:dyDescent="0.25">
      <c r="A186" s="39">
        <v>19</v>
      </c>
      <c r="B186" s="39" t="str">
        <f>IFERROR(IF(SUMIFS(tblDaily[Admissions],tblDaily[EntryDate],DATE(2026,5,19),tblDaily[WardCode],"MAE")=0,"",SUMIFS(tblDaily[Admissions],tblDaily[EntryDate],DATE(2026,5,19),tblDaily[WardCode],"MAE")),"")</f>
        <v/>
      </c>
      <c r="C186" s="39" t="str">
        <f>IFERROR(IF(SUMIFS(tblDaily[Discharges],tblDaily[EntryDate],DATE(2026,5,19),tblDaily[WardCode],"MAE")=0,"",SUMIFS(tblDaily[Discharges],tblDaily[EntryDate],DATE(2026,5,19),tblDaily[WardCode],"MAE")),"")</f>
        <v/>
      </c>
      <c r="D186" s="39" t="str">
        <f>IFERROR(IF(SUMIFS(tblDaily[Deaths],tblDaily[EntryDate],DATE(2026,5,19),tblDaily[WardCode],"MAE")=0,"",SUMIFS(tblDaily[Deaths],tblDaily[EntryDate],DATE(2026,5,19),tblDaily[WardCode],"MAE")),"")</f>
        <v/>
      </c>
      <c r="E186" s="39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39" t="str">
        <f>IFERROR(IF(SUMIFS(tblDaily[TransfersIn],tblDaily[EntryDate],DATE(2026,5,19),tblDaily[WardCode],"MAE")=0,"",SUMIFS(tblDaily[TransfersIn],tblDaily[EntryDate],DATE(2026,5,19),tblDaily[WardCode],"MAE")),"")</f>
        <v/>
      </c>
      <c r="G186" s="39" t="str">
        <f>IFERROR(IF(SUMIFS(tblDaily[TransfersOut],tblDaily[EntryDate],DATE(2026,5,19),tblDaily[WardCode],"MAE")=0,"",SUMIFS(tblDaily[TransfersOut],tblDaily[EntryDate],DATE(2026,5,19),tblDaily[WardCode],"MAE")),"")</f>
        <v/>
      </c>
      <c r="H186" s="39" t="str">
        <f>IFERROR(IF(SUMIFS(tblDaily[Remaining],tblDaily[EntryDate],DATE(2026,5,19),tblDaily[WardCode],"MAE")=0,"",SUMIFS(tblDaily[Remaining],tblDaily[EntryDate],DATE(2026,5,19),tblDaily[WardCode],"MAE")),"")</f>
        <v/>
      </c>
      <c r="I186" s="39" t="str">
        <f>IFERROR(IF(SUMIFS(tblDaily[Admissions],tblDaily[EntryDate],DATE(2026,5,19),tblDaily[WardCode],"FAE")=0,"",SUMIFS(tblDaily[Admissions],tblDaily[EntryDate],DATE(2026,5,19),tblDaily[WardCode],"FAE")),"")</f>
        <v/>
      </c>
      <c r="J186" s="39" t="str">
        <f>IFERROR(IF(SUMIFS(tblDaily[Discharges],tblDaily[EntryDate],DATE(2026,5,19),tblDaily[WardCode],"FAE")=0,"",SUMIFS(tblDaily[Discharges],tblDaily[EntryDate],DATE(2026,5,19),tblDaily[WardCode],"FAE")),"")</f>
        <v/>
      </c>
      <c r="K186" s="39" t="str">
        <f>IFERROR(IF(SUMIFS(tblDaily[Deaths],tblDaily[EntryDate],DATE(2026,5,19),tblDaily[WardCode],"FAE")=0,"",SUMIFS(tblDaily[Deaths],tblDaily[EntryDate],DATE(2026,5,19),tblDaily[WardCode],"FAE")),"")</f>
        <v/>
      </c>
      <c r="L186" s="39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39" t="str">
        <f>IFERROR(IF(SUMIFS(tblDaily[TransfersIn],tblDaily[EntryDate],DATE(2026,5,19),tblDaily[WardCode],"FAE")=0,"",SUMIFS(tblDaily[TransfersIn],tblDaily[EntryDate],DATE(2026,5,19),tblDaily[WardCode],"FAE")),"")</f>
        <v/>
      </c>
      <c r="N186" s="39" t="str">
        <f>IFERROR(IF(SUMIFS(tblDaily[TransfersOut],tblDaily[EntryDate],DATE(2026,5,19),tblDaily[WardCode],"FAE")=0,"",SUMIFS(tblDaily[TransfersOut],tblDaily[EntryDate],DATE(2026,5,19),tblDaily[WardCode],"FAE")),"")</f>
        <v/>
      </c>
      <c r="O186" s="39" t="str">
        <f>IFERROR(IF(SUMIFS(tblDaily[Remaining],tblDaily[EntryDate],DATE(2026,5,19),tblDaily[WardCode],"FAE")=0,"",SUMIFS(tblDaily[Remaining],tblDaily[EntryDate],DATE(2026,5,19),tblDaily[WardCode],"FAE")),"")</f>
        <v/>
      </c>
      <c r="P186" s="40" t="str">
        <f t="shared" si="4"/>
        <v/>
      </c>
    </row>
    <row r="187" spans="1:16" x14ac:dyDescent="0.25">
      <c r="A187" s="39">
        <v>20</v>
      </c>
      <c r="B187" s="39" t="str">
        <f>IFERROR(IF(SUMIFS(tblDaily[Admissions],tblDaily[EntryDate],DATE(2026,5,20),tblDaily[WardCode],"MAE")=0,"",SUMIFS(tblDaily[Admissions],tblDaily[EntryDate],DATE(2026,5,20),tblDaily[WardCode],"MAE")),"")</f>
        <v/>
      </c>
      <c r="C187" s="39" t="str">
        <f>IFERROR(IF(SUMIFS(tblDaily[Discharges],tblDaily[EntryDate],DATE(2026,5,20),tblDaily[WardCode],"MAE")=0,"",SUMIFS(tblDaily[Discharges],tblDaily[EntryDate],DATE(2026,5,20),tblDaily[WardCode],"MAE")),"")</f>
        <v/>
      </c>
      <c r="D187" s="39" t="str">
        <f>IFERROR(IF(SUMIFS(tblDaily[Deaths],tblDaily[EntryDate],DATE(2026,5,20),tblDaily[WardCode],"MAE")=0,"",SUMIFS(tblDaily[Deaths],tblDaily[EntryDate],DATE(2026,5,20),tblDaily[WardCode],"MAE")),"")</f>
        <v/>
      </c>
      <c r="E187" s="39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39" t="str">
        <f>IFERROR(IF(SUMIFS(tblDaily[TransfersIn],tblDaily[EntryDate],DATE(2026,5,20),tblDaily[WardCode],"MAE")=0,"",SUMIFS(tblDaily[TransfersIn],tblDaily[EntryDate],DATE(2026,5,20),tblDaily[WardCode],"MAE")),"")</f>
        <v/>
      </c>
      <c r="G187" s="39" t="str">
        <f>IFERROR(IF(SUMIFS(tblDaily[TransfersOut],tblDaily[EntryDate],DATE(2026,5,20),tblDaily[WardCode],"MAE")=0,"",SUMIFS(tblDaily[TransfersOut],tblDaily[EntryDate],DATE(2026,5,20),tblDaily[WardCode],"MAE")),"")</f>
        <v/>
      </c>
      <c r="H187" s="39" t="str">
        <f>IFERROR(IF(SUMIFS(tblDaily[Remaining],tblDaily[EntryDate],DATE(2026,5,20),tblDaily[WardCode],"MAE")=0,"",SUMIFS(tblDaily[Remaining],tblDaily[EntryDate],DATE(2026,5,20),tblDaily[WardCode],"MAE")),"")</f>
        <v/>
      </c>
      <c r="I187" s="39" t="str">
        <f>IFERROR(IF(SUMIFS(tblDaily[Admissions],tblDaily[EntryDate],DATE(2026,5,20),tblDaily[WardCode],"FAE")=0,"",SUMIFS(tblDaily[Admissions],tblDaily[EntryDate],DATE(2026,5,20),tblDaily[WardCode],"FAE")),"")</f>
        <v/>
      </c>
      <c r="J187" s="39" t="str">
        <f>IFERROR(IF(SUMIFS(tblDaily[Discharges],tblDaily[EntryDate],DATE(2026,5,20),tblDaily[WardCode],"FAE")=0,"",SUMIFS(tblDaily[Discharges],tblDaily[EntryDate],DATE(2026,5,20),tblDaily[WardCode],"FAE")),"")</f>
        <v/>
      </c>
      <c r="K187" s="39" t="str">
        <f>IFERROR(IF(SUMIFS(tblDaily[Deaths],tblDaily[EntryDate],DATE(2026,5,20),tblDaily[WardCode],"FAE")=0,"",SUMIFS(tblDaily[Deaths],tblDaily[EntryDate],DATE(2026,5,20),tblDaily[WardCode],"FAE")),"")</f>
        <v/>
      </c>
      <c r="L187" s="39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39" t="str">
        <f>IFERROR(IF(SUMIFS(tblDaily[TransfersIn],tblDaily[EntryDate],DATE(2026,5,20),tblDaily[WardCode],"FAE")=0,"",SUMIFS(tblDaily[TransfersIn],tblDaily[EntryDate],DATE(2026,5,20),tblDaily[WardCode],"FAE")),"")</f>
        <v/>
      </c>
      <c r="N187" s="39" t="str">
        <f>IFERROR(IF(SUMIFS(tblDaily[TransfersOut],tblDaily[EntryDate],DATE(2026,5,20),tblDaily[WardCode],"FAE")=0,"",SUMIFS(tblDaily[TransfersOut],tblDaily[EntryDate],DATE(2026,5,20),tblDaily[WardCode],"FAE")),"")</f>
        <v/>
      </c>
      <c r="O187" s="39" t="str">
        <f>IFERROR(IF(SUMIFS(tblDaily[Remaining],tblDaily[EntryDate],DATE(2026,5,20),tblDaily[WardCode],"FAE")=0,"",SUMIFS(tblDaily[Remaining],tblDaily[EntryDate],DATE(2026,5,20),tblDaily[WardCode],"FAE")),"")</f>
        <v/>
      </c>
      <c r="P187" s="40" t="str">
        <f t="shared" si="4"/>
        <v/>
      </c>
    </row>
    <row r="188" spans="1:16" x14ac:dyDescent="0.25">
      <c r="A188" s="39">
        <v>21</v>
      </c>
      <c r="B188" s="39" t="str">
        <f>IFERROR(IF(SUMIFS(tblDaily[Admissions],tblDaily[EntryDate],DATE(2026,5,21),tblDaily[WardCode],"MAE")=0,"",SUMIFS(tblDaily[Admissions],tblDaily[EntryDate],DATE(2026,5,21),tblDaily[WardCode],"MAE")),"")</f>
        <v/>
      </c>
      <c r="C188" s="39" t="str">
        <f>IFERROR(IF(SUMIFS(tblDaily[Discharges],tblDaily[EntryDate],DATE(2026,5,21),tblDaily[WardCode],"MAE")=0,"",SUMIFS(tblDaily[Discharges],tblDaily[EntryDate],DATE(2026,5,21),tblDaily[WardCode],"MAE")),"")</f>
        <v/>
      </c>
      <c r="D188" s="39" t="str">
        <f>IFERROR(IF(SUMIFS(tblDaily[Deaths],tblDaily[EntryDate],DATE(2026,5,21),tblDaily[WardCode],"MAE")=0,"",SUMIFS(tblDaily[Deaths],tblDaily[EntryDate],DATE(2026,5,21),tblDaily[WardCode],"MAE")),"")</f>
        <v/>
      </c>
      <c r="E188" s="39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39" t="str">
        <f>IFERROR(IF(SUMIFS(tblDaily[TransfersIn],tblDaily[EntryDate],DATE(2026,5,21),tblDaily[WardCode],"MAE")=0,"",SUMIFS(tblDaily[TransfersIn],tblDaily[EntryDate],DATE(2026,5,21),tblDaily[WardCode],"MAE")),"")</f>
        <v/>
      </c>
      <c r="G188" s="39" t="str">
        <f>IFERROR(IF(SUMIFS(tblDaily[TransfersOut],tblDaily[EntryDate],DATE(2026,5,21),tblDaily[WardCode],"MAE")=0,"",SUMIFS(tblDaily[TransfersOut],tblDaily[EntryDate],DATE(2026,5,21),tblDaily[WardCode],"MAE")),"")</f>
        <v/>
      </c>
      <c r="H188" s="39" t="str">
        <f>IFERROR(IF(SUMIFS(tblDaily[Remaining],tblDaily[EntryDate],DATE(2026,5,21),tblDaily[WardCode],"MAE")=0,"",SUMIFS(tblDaily[Remaining],tblDaily[EntryDate],DATE(2026,5,21),tblDaily[WardCode],"MAE")),"")</f>
        <v/>
      </c>
      <c r="I188" s="39" t="str">
        <f>IFERROR(IF(SUMIFS(tblDaily[Admissions],tblDaily[EntryDate],DATE(2026,5,21),tblDaily[WardCode],"FAE")=0,"",SUMIFS(tblDaily[Admissions],tblDaily[EntryDate],DATE(2026,5,21),tblDaily[WardCode],"FAE")),"")</f>
        <v/>
      </c>
      <c r="J188" s="39" t="str">
        <f>IFERROR(IF(SUMIFS(tblDaily[Discharges],tblDaily[EntryDate],DATE(2026,5,21),tblDaily[WardCode],"FAE")=0,"",SUMIFS(tblDaily[Discharges],tblDaily[EntryDate],DATE(2026,5,21),tblDaily[WardCode],"FAE")),"")</f>
        <v/>
      </c>
      <c r="K188" s="39" t="str">
        <f>IFERROR(IF(SUMIFS(tblDaily[Deaths],tblDaily[EntryDate],DATE(2026,5,21),tblDaily[WardCode],"FAE")=0,"",SUMIFS(tblDaily[Deaths],tblDaily[EntryDate],DATE(2026,5,21),tblDaily[WardCode],"FAE")),"")</f>
        <v/>
      </c>
      <c r="L188" s="39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39" t="str">
        <f>IFERROR(IF(SUMIFS(tblDaily[TransfersIn],tblDaily[EntryDate],DATE(2026,5,21),tblDaily[WardCode],"FAE")=0,"",SUMIFS(tblDaily[TransfersIn],tblDaily[EntryDate],DATE(2026,5,21),tblDaily[WardCode],"FAE")),"")</f>
        <v/>
      </c>
      <c r="N188" s="39" t="str">
        <f>IFERROR(IF(SUMIFS(tblDaily[TransfersOut],tblDaily[EntryDate],DATE(2026,5,21),tblDaily[WardCode],"FAE")=0,"",SUMIFS(tblDaily[TransfersOut],tblDaily[EntryDate],DATE(2026,5,21),tblDaily[WardCode],"FAE")),"")</f>
        <v/>
      </c>
      <c r="O188" s="39" t="str">
        <f>IFERROR(IF(SUMIFS(tblDaily[Remaining],tblDaily[EntryDate],DATE(2026,5,21),tblDaily[WardCode],"FAE")=0,"",SUMIFS(tblDaily[Remaining],tblDaily[EntryDate],DATE(2026,5,21),tblDaily[WardCode],"FAE")),"")</f>
        <v/>
      </c>
      <c r="P188" s="40" t="str">
        <f t="shared" si="4"/>
        <v/>
      </c>
    </row>
    <row r="189" spans="1:16" x14ac:dyDescent="0.25">
      <c r="A189" s="39">
        <v>22</v>
      </c>
      <c r="B189" s="39" t="str">
        <f>IFERROR(IF(SUMIFS(tblDaily[Admissions],tblDaily[EntryDate],DATE(2026,5,22),tblDaily[WardCode],"MAE")=0,"",SUMIFS(tblDaily[Admissions],tblDaily[EntryDate],DATE(2026,5,22),tblDaily[WardCode],"MAE")),"")</f>
        <v/>
      </c>
      <c r="C189" s="39" t="str">
        <f>IFERROR(IF(SUMIFS(tblDaily[Discharges],tblDaily[EntryDate],DATE(2026,5,22),tblDaily[WardCode],"MAE")=0,"",SUMIFS(tblDaily[Discharges],tblDaily[EntryDate],DATE(2026,5,22),tblDaily[WardCode],"MAE")),"")</f>
        <v/>
      </c>
      <c r="D189" s="39" t="str">
        <f>IFERROR(IF(SUMIFS(tblDaily[Deaths],tblDaily[EntryDate],DATE(2026,5,22),tblDaily[WardCode],"MAE")=0,"",SUMIFS(tblDaily[Deaths],tblDaily[EntryDate],DATE(2026,5,22),tblDaily[WardCode],"MAE")),"")</f>
        <v/>
      </c>
      <c r="E189" s="39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39" t="str">
        <f>IFERROR(IF(SUMIFS(tblDaily[TransfersIn],tblDaily[EntryDate],DATE(2026,5,22),tblDaily[WardCode],"MAE")=0,"",SUMIFS(tblDaily[TransfersIn],tblDaily[EntryDate],DATE(2026,5,22),tblDaily[WardCode],"MAE")),"")</f>
        <v/>
      </c>
      <c r="G189" s="39" t="str">
        <f>IFERROR(IF(SUMIFS(tblDaily[TransfersOut],tblDaily[EntryDate],DATE(2026,5,22),tblDaily[WardCode],"MAE")=0,"",SUMIFS(tblDaily[TransfersOut],tblDaily[EntryDate],DATE(2026,5,22),tblDaily[WardCode],"MAE")),"")</f>
        <v/>
      </c>
      <c r="H189" s="39" t="str">
        <f>IFERROR(IF(SUMIFS(tblDaily[Remaining],tblDaily[EntryDate],DATE(2026,5,22),tblDaily[WardCode],"MAE")=0,"",SUMIFS(tblDaily[Remaining],tblDaily[EntryDate],DATE(2026,5,22),tblDaily[WardCode],"MAE")),"")</f>
        <v/>
      </c>
      <c r="I189" s="39" t="str">
        <f>IFERROR(IF(SUMIFS(tblDaily[Admissions],tblDaily[EntryDate],DATE(2026,5,22),tblDaily[WardCode],"FAE")=0,"",SUMIFS(tblDaily[Admissions],tblDaily[EntryDate],DATE(2026,5,22),tblDaily[WardCode],"FAE")),"")</f>
        <v/>
      </c>
      <c r="J189" s="39" t="str">
        <f>IFERROR(IF(SUMIFS(tblDaily[Discharges],tblDaily[EntryDate],DATE(2026,5,22),tblDaily[WardCode],"FAE")=0,"",SUMIFS(tblDaily[Discharges],tblDaily[EntryDate],DATE(2026,5,22),tblDaily[WardCode],"FAE")),"")</f>
        <v/>
      </c>
      <c r="K189" s="39" t="str">
        <f>IFERROR(IF(SUMIFS(tblDaily[Deaths],tblDaily[EntryDate],DATE(2026,5,22),tblDaily[WardCode],"FAE")=0,"",SUMIFS(tblDaily[Deaths],tblDaily[EntryDate],DATE(2026,5,22),tblDaily[WardCode],"FAE")),"")</f>
        <v/>
      </c>
      <c r="L189" s="39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39" t="str">
        <f>IFERROR(IF(SUMIFS(tblDaily[TransfersIn],tblDaily[EntryDate],DATE(2026,5,22),tblDaily[WardCode],"FAE")=0,"",SUMIFS(tblDaily[TransfersIn],tblDaily[EntryDate],DATE(2026,5,22),tblDaily[WardCode],"FAE")),"")</f>
        <v/>
      </c>
      <c r="N189" s="39" t="str">
        <f>IFERROR(IF(SUMIFS(tblDaily[TransfersOut],tblDaily[EntryDate],DATE(2026,5,22),tblDaily[WardCode],"FAE")=0,"",SUMIFS(tblDaily[TransfersOut],tblDaily[EntryDate],DATE(2026,5,22),tblDaily[WardCode],"FAE")),"")</f>
        <v/>
      </c>
      <c r="O189" s="39" t="str">
        <f>IFERROR(IF(SUMIFS(tblDaily[Remaining],tblDaily[EntryDate],DATE(2026,5,22),tblDaily[WardCode],"FAE")=0,"",SUMIFS(tblDaily[Remaining],tblDaily[EntryDate],DATE(2026,5,22),tblDaily[WardCode],"FAE")),"")</f>
        <v/>
      </c>
      <c r="P189" s="40" t="str">
        <f t="shared" si="4"/>
        <v/>
      </c>
    </row>
    <row r="190" spans="1:16" x14ac:dyDescent="0.25">
      <c r="A190" s="39">
        <v>23</v>
      </c>
      <c r="B190" s="39" t="str">
        <f>IFERROR(IF(SUMIFS(tblDaily[Admissions],tblDaily[EntryDate],DATE(2026,5,23),tblDaily[WardCode],"MAE")=0,"",SUMIFS(tblDaily[Admissions],tblDaily[EntryDate],DATE(2026,5,23),tblDaily[WardCode],"MAE")),"")</f>
        <v/>
      </c>
      <c r="C190" s="39" t="str">
        <f>IFERROR(IF(SUMIFS(tblDaily[Discharges],tblDaily[EntryDate],DATE(2026,5,23),tblDaily[WardCode],"MAE")=0,"",SUMIFS(tblDaily[Discharges],tblDaily[EntryDate],DATE(2026,5,23),tblDaily[WardCode],"MAE")),"")</f>
        <v/>
      </c>
      <c r="D190" s="39" t="str">
        <f>IFERROR(IF(SUMIFS(tblDaily[Deaths],tblDaily[EntryDate],DATE(2026,5,23),tblDaily[WardCode],"MAE")=0,"",SUMIFS(tblDaily[Deaths],tblDaily[EntryDate],DATE(2026,5,23),tblDaily[WardCode],"MAE")),"")</f>
        <v/>
      </c>
      <c r="E190" s="39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39" t="str">
        <f>IFERROR(IF(SUMIFS(tblDaily[TransfersIn],tblDaily[EntryDate],DATE(2026,5,23),tblDaily[WardCode],"MAE")=0,"",SUMIFS(tblDaily[TransfersIn],tblDaily[EntryDate],DATE(2026,5,23),tblDaily[WardCode],"MAE")),"")</f>
        <v/>
      </c>
      <c r="G190" s="39" t="str">
        <f>IFERROR(IF(SUMIFS(tblDaily[TransfersOut],tblDaily[EntryDate],DATE(2026,5,23),tblDaily[WardCode],"MAE")=0,"",SUMIFS(tblDaily[TransfersOut],tblDaily[EntryDate],DATE(2026,5,23),tblDaily[WardCode],"MAE")),"")</f>
        <v/>
      </c>
      <c r="H190" s="39" t="str">
        <f>IFERROR(IF(SUMIFS(tblDaily[Remaining],tblDaily[EntryDate],DATE(2026,5,23),tblDaily[WardCode],"MAE")=0,"",SUMIFS(tblDaily[Remaining],tblDaily[EntryDate],DATE(2026,5,23),tblDaily[WardCode],"MAE")),"")</f>
        <v/>
      </c>
      <c r="I190" s="39" t="str">
        <f>IFERROR(IF(SUMIFS(tblDaily[Admissions],tblDaily[EntryDate],DATE(2026,5,23),tblDaily[WardCode],"FAE")=0,"",SUMIFS(tblDaily[Admissions],tblDaily[EntryDate],DATE(2026,5,23),tblDaily[WardCode],"FAE")),"")</f>
        <v/>
      </c>
      <c r="J190" s="39" t="str">
        <f>IFERROR(IF(SUMIFS(tblDaily[Discharges],tblDaily[EntryDate],DATE(2026,5,23),tblDaily[WardCode],"FAE")=0,"",SUMIFS(tblDaily[Discharges],tblDaily[EntryDate],DATE(2026,5,23),tblDaily[WardCode],"FAE")),"")</f>
        <v/>
      </c>
      <c r="K190" s="39" t="str">
        <f>IFERROR(IF(SUMIFS(tblDaily[Deaths],tblDaily[EntryDate],DATE(2026,5,23),tblDaily[WardCode],"FAE")=0,"",SUMIFS(tblDaily[Deaths],tblDaily[EntryDate],DATE(2026,5,23),tblDaily[WardCode],"FAE")),"")</f>
        <v/>
      </c>
      <c r="L190" s="39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39" t="str">
        <f>IFERROR(IF(SUMIFS(tblDaily[TransfersIn],tblDaily[EntryDate],DATE(2026,5,23),tblDaily[WardCode],"FAE")=0,"",SUMIFS(tblDaily[TransfersIn],tblDaily[EntryDate],DATE(2026,5,23),tblDaily[WardCode],"FAE")),"")</f>
        <v/>
      </c>
      <c r="N190" s="39" t="str">
        <f>IFERROR(IF(SUMIFS(tblDaily[TransfersOut],tblDaily[EntryDate],DATE(2026,5,23),tblDaily[WardCode],"FAE")=0,"",SUMIFS(tblDaily[TransfersOut],tblDaily[EntryDate],DATE(2026,5,23),tblDaily[WardCode],"FAE")),"")</f>
        <v/>
      </c>
      <c r="O190" s="39" t="str">
        <f>IFERROR(IF(SUMIFS(tblDaily[Remaining],tblDaily[EntryDate],DATE(2026,5,23),tblDaily[WardCode],"FAE")=0,"",SUMIFS(tblDaily[Remaining],tblDaily[EntryDate],DATE(2026,5,23),tblDaily[WardCode],"FAE")),"")</f>
        <v/>
      </c>
      <c r="P190" s="40" t="str">
        <f t="shared" si="4"/>
        <v/>
      </c>
    </row>
    <row r="191" spans="1:16" x14ac:dyDescent="0.25">
      <c r="A191" s="39">
        <v>24</v>
      </c>
      <c r="B191" s="39" t="str">
        <f>IFERROR(IF(SUMIFS(tblDaily[Admissions],tblDaily[EntryDate],DATE(2026,5,24),tblDaily[WardCode],"MAE")=0,"",SUMIFS(tblDaily[Admissions],tblDaily[EntryDate],DATE(2026,5,24),tblDaily[WardCode],"MAE")),"")</f>
        <v/>
      </c>
      <c r="C191" s="39" t="str">
        <f>IFERROR(IF(SUMIFS(tblDaily[Discharges],tblDaily[EntryDate],DATE(2026,5,24),tblDaily[WardCode],"MAE")=0,"",SUMIFS(tblDaily[Discharges],tblDaily[EntryDate],DATE(2026,5,24),tblDaily[WardCode],"MAE")),"")</f>
        <v/>
      </c>
      <c r="D191" s="39" t="str">
        <f>IFERROR(IF(SUMIFS(tblDaily[Deaths],tblDaily[EntryDate],DATE(2026,5,24),tblDaily[WardCode],"MAE")=0,"",SUMIFS(tblDaily[Deaths],tblDaily[EntryDate],DATE(2026,5,24),tblDaily[WardCode],"MAE")),"")</f>
        <v/>
      </c>
      <c r="E191" s="39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39" t="str">
        <f>IFERROR(IF(SUMIFS(tblDaily[TransfersIn],tblDaily[EntryDate],DATE(2026,5,24),tblDaily[WardCode],"MAE")=0,"",SUMIFS(tblDaily[TransfersIn],tblDaily[EntryDate],DATE(2026,5,24),tblDaily[WardCode],"MAE")),"")</f>
        <v/>
      </c>
      <c r="G191" s="39" t="str">
        <f>IFERROR(IF(SUMIFS(tblDaily[TransfersOut],tblDaily[EntryDate],DATE(2026,5,24),tblDaily[WardCode],"MAE")=0,"",SUMIFS(tblDaily[TransfersOut],tblDaily[EntryDate],DATE(2026,5,24),tblDaily[WardCode],"MAE")),"")</f>
        <v/>
      </c>
      <c r="H191" s="39" t="str">
        <f>IFERROR(IF(SUMIFS(tblDaily[Remaining],tblDaily[EntryDate],DATE(2026,5,24),tblDaily[WardCode],"MAE")=0,"",SUMIFS(tblDaily[Remaining],tblDaily[EntryDate],DATE(2026,5,24),tblDaily[WardCode],"MAE")),"")</f>
        <v/>
      </c>
      <c r="I191" s="39" t="str">
        <f>IFERROR(IF(SUMIFS(tblDaily[Admissions],tblDaily[EntryDate],DATE(2026,5,24),tblDaily[WardCode],"FAE")=0,"",SUMIFS(tblDaily[Admissions],tblDaily[EntryDate],DATE(2026,5,24),tblDaily[WardCode],"FAE")),"")</f>
        <v/>
      </c>
      <c r="J191" s="39" t="str">
        <f>IFERROR(IF(SUMIFS(tblDaily[Discharges],tblDaily[EntryDate],DATE(2026,5,24),tblDaily[WardCode],"FAE")=0,"",SUMIFS(tblDaily[Discharges],tblDaily[EntryDate],DATE(2026,5,24),tblDaily[WardCode],"FAE")),"")</f>
        <v/>
      </c>
      <c r="K191" s="39" t="str">
        <f>IFERROR(IF(SUMIFS(tblDaily[Deaths],tblDaily[EntryDate],DATE(2026,5,24),tblDaily[WardCode],"FAE")=0,"",SUMIFS(tblDaily[Deaths],tblDaily[EntryDate],DATE(2026,5,24),tblDaily[WardCode],"FAE")),"")</f>
        <v/>
      </c>
      <c r="L191" s="39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39" t="str">
        <f>IFERROR(IF(SUMIFS(tblDaily[TransfersIn],tblDaily[EntryDate],DATE(2026,5,24),tblDaily[WardCode],"FAE")=0,"",SUMIFS(tblDaily[TransfersIn],tblDaily[EntryDate],DATE(2026,5,24),tblDaily[WardCode],"FAE")),"")</f>
        <v/>
      </c>
      <c r="N191" s="39" t="str">
        <f>IFERROR(IF(SUMIFS(tblDaily[TransfersOut],tblDaily[EntryDate],DATE(2026,5,24),tblDaily[WardCode],"FAE")=0,"",SUMIFS(tblDaily[TransfersOut],tblDaily[EntryDate],DATE(2026,5,24),tblDaily[WardCode],"FAE")),"")</f>
        <v/>
      </c>
      <c r="O191" s="39" t="str">
        <f>IFERROR(IF(SUMIFS(tblDaily[Remaining],tblDaily[EntryDate],DATE(2026,5,24),tblDaily[WardCode],"FAE")=0,"",SUMIFS(tblDaily[Remaining],tblDaily[EntryDate],DATE(2026,5,24),tblDaily[WardCode],"FAE")),"")</f>
        <v/>
      </c>
      <c r="P191" s="40" t="str">
        <f t="shared" si="4"/>
        <v/>
      </c>
    </row>
    <row r="192" spans="1:16" x14ac:dyDescent="0.25">
      <c r="A192" s="39">
        <v>25</v>
      </c>
      <c r="B192" s="39" t="str">
        <f>IFERROR(IF(SUMIFS(tblDaily[Admissions],tblDaily[EntryDate],DATE(2026,5,25),tblDaily[WardCode],"MAE")=0,"",SUMIFS(tblDaily[Admissions],tblDaily[EntryDate],DATE(2026,5,25),tblDaily[WardCode],"MAE")),"")</f>
        <v/>
      </c>
      <c r="C192" s="39" t="str">
        <f>IFERROR(IF(SUMIFS(tblDaily[Discharges],tblDaily[EntryDate],DATE(2026,5,25),tblDaily[WardCode],"MAE")=0,"",SUMIFS(tblDaily[Discharges],tblDaily[EntryDate],DATE(2026,5,25),tblDaily[WardCode],"MAE")),"")</f>
        <v/>
      </c>
      <c r="D192" s="39" t="str">
        <f>IFERROR(IF(SUMIFS(tblDaily[Deaths],tblDaily[EntryDate],DATE(2026,5,25),tblDaily[WardCode],"MAE")=0,"",SUMIFS(tblDaily[Deaths],tblDaily[EntryDate],DATE(2026,5,25),tblDaily[WardCode],"MAE")),"")</f>
        <v/>
      </c>
      <c r="E192" s="39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39" t="str">
        <f>IFERROR(IF(SUMIFS(tblDaily[TransfersIn],tblDaily[EntryDate],DATE(2026,5,25),tblDaily[WardCode],"MAE")=0,"",SUMIFS(tblDaily[TransfersIn],tblDaily[EntryDate],DATE(2026,5,25),tblDaily[WardCode],"MAE")),"")</f>
        <v/>
      </c>
      <c r="G192" s="39" t="str">
        <f>IFERROR(IF(SUMIFS(tblDaily[TransfersOut],tblDaily[EntryDate],DATE(2026,5,25),tblDaily[WardCode],"MAE")=0,"",SUMIFS(tblDaily[TransfersOut],tblDaily[EntryDate],DATE(2026,5,25),tblDaily[WardCode],"MAE")),"")</f>
        <v/>
      </c>
      <c r="H192" s="39" t="str">
        <f>IFERROR(IF(SUMIFS(tblDaily[Remaining],tblDaily[EntryDate],DATE(2026,5,25),tblDaily[WardCode],"MAE")=0,"",SUMIFS(tblDaily[Remaining],tblDaily[EntryDate],DATE(2026,5,25),tblDaily[WardCode],"MAE")),"")</f>
        <v/>
      </c>
      <c r="I192" s="39" t="str">
        <f>IFERROR(IF(SUMIFS(tblDaily[Admissions],tblDaily[EntryDate],DATE(2026,5,25),tblDaily[WardCode],"FAE")=0,"",SUMIFS(tblDaily[Admissions],tblDaily[EntryDate],DATE(2026,5,25),tblDaily[WardCode],"FAE")),"")</f>
        <v/>
      </c>
      <c r="J192" s="39" t="str">
        <f>IFERROR(IF(SUMIFS(tblDaily[Discharges],tblDaily[EntryDate],DATE(2026,5,25),tblDaily[WardCode],"FAE")=0,"",SUMIFS(tblDaily[Discharges],tblDaily[EntryDate],DATE(2026,5,25),tblDaily[WardCode],"FAE")),"")</f>
        <v/>
      </c>
      <c r="K192" s="39" t="str">
        <f>IFERROR(IF(SUMIFS(tblDaily[Deaths],tblDaily[EntryDate],DATE(2026,5,25),tblDaily[WardCode],"FAE")=0,"",SUMIFS(tblDaily[Deaths],tblDaily[EntryDate],DATE(2026,5,25),tblDaily[WardCode],"FAE")),"")</f>
        <v/>
      </c>
      <c r="L192" s="39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39" t="str">
        <f>IFERROR(IF(SUMIFS(tblDaily[TransfersIn],tblDaily[EntryDate],DATE(2026,5,25),tblDaily[WardCode],"FAE")=0,"",SUMIFS(tblDaily[TransfersIn],tblDaily[EntryDate],DATE(2026,5,25),tblDaily[WardCode],"FAE")),"")</f>
        <v/>
      </c>
      <c r="N192" s="39" t="str">
        <f>IFERROR(IF(SUMIFS(tblDaily[TransfersOut],tblDaily[EntryDate],DATE(2026,5,25),tblDaily[WardCode],"FAE")=0,"",SUMIFS(tblDaily[TransfersOut],tblDaily[EntryDate],DATE(2026,5,25),tblDaily[WardCode],"FAE")),"")</f>
        <v/>
      </c>
      <c r="O192" s="39" t="str">
        <f>IFERROR(IF(SUMIFS(tblDaily[Remaining],tblDaily[EntryDate],DATE(2026,5,25),tblDaily[WardCode],"FAE")=0,"",SUMIFS(tblDaily[Remaining],tblDaily[EntryDate],DATE(2026,5,25),tblDaily[WardCode],"FAE")),"")</f>
        <v/>
      </c>
      <c r="P192" s="40" t="str">
        <f t="shared" si="4"/>
        <v/>
      </c>
    </row>
    <row r="193" spans="1:16" x14ac:dyDescent="0.25">
      <c r="A193" s="39">
        <v>26</v>
      </c>
      <c r="B193" s="39" t="str">
        <f>IFERROR(IF(SUMIFS(tblDaily[Admissions],tblDaily[EntryDate],DATE(2026,5,26),tblDaily[WardCode],"MAE")=0,"",SUMIFS(tblDaily[Admissions],tblDaily[EntryDate],DATE(2026,5,26),tblDaily[WardCode],"MAE")),"")</f>
        <v/>
      </c>
      <c r="C193" s="39" t="str">
        <f>IFERROR(IF(SUMIFS(tblDaily[Discharges],tblDaily[EntryDate],DATE(2026,5,26),tblDaily[WardCode],"MAE")=0,"",SUMIFS(tblDaily[Discharges],tblDaily[EntryDate],DATE(2026,5,26),tblDaily[WardCode],"MAE")),"")</f>
        <v/>
      </c>
      <c r="D193" s="39" t="str">
        <f>IFERROR(IF(SUMIFS(tblDaily[Deaths],tblDaily[EntryDate],DATE(2026,5,26),tblDaily[WardCode],"MAE")=0,"",SUMIFS(tblDaily[Deaths],tblDaily[EntryDate],DATE(2026,5,26),tblDaily[WardCode],"MAE")),"")</f>
        <v/>
      </c>
      <c r="E193" s="39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39" t="str">
        <f>IFERROR(IF(SUMIFS(tblDaily[TransfersIn],tblDaily[EntryDate],DATE(2026,5,26),tblDaily[WardCode],"MAE")=0,"",SUMIFS(tblDaily[TransfersIn],tblDaily[EntryDate],DATE(2026,5,26),tblDaily[WardCode],"MAE")),"")</f>
        <v/>
      </c>
      <c r="G193" s="39" t="str">
        <f>IFERROR(IF(SUMIFS(tblDaily[TransfersOut],tblDaily[EntryDate],DATE(2026,5,26),tblDaily[WardCode],"MAE")=0,"",SUMIFS(tblDaily[TransfersOut],tblDaily[EntryDate],DATE(2026,5,26),tblDaily[WardCode],"MAE")),"")</f>
        <v/>
      </c>
      <c r="H193" s="39" t="str">
        <f>IFERROR(IF(SUMIFS(tblDaily[Remaining],tblDaily[EntryDate],DATE(2026,5,26),tblDaily[WardCode],"MAE")=0,"",SUMIFS(tblDaily[Remaining],tblDaily[EntryDate],DATE(2026,5,26),tblDaily[WardCode],"MAE")),"")</f>
        <v/>
      </c>
      <c r="I193" s="39" t="str">
        <f>IFERROR(IF(SUMIFS(tblDaily[Admissions],tblDaily[EntryDate],DATE(2026,5,26),tblDaily[WardCode],"FAE")=0,"",SUMIFS(tblDaily[Admissions],tblDaily[EntryDate],DATE(2026,5,26),tblDaily[WardCode],"FAE")),"")</f>
        <v/>
      </c>
      <c r="J193" s="39" t="str">
        <f>IFERROR(IF(SUMIFS(tblDaily[Discharges],tblDaily[EntryDate],DATE(2026,5,26),tblDaily[WardCode],"FAE")=0,"",SUMIFS(tblDaily[Discharges],tblDaily[EntryDate],DATE(2026,5,26),tblDaily[WardCode],"FAE")),"")</f>
        <v/>
      </c>
      <c r="K193" s="39" t="str">
        <f>IFERROR(IF(SUMIFS(tblDaily[Deaths],tblDaily[EntryDate],DATE(2026,5,26),tblDaily[WardCode],"FAE")=0,"",SUMIFS(tblDaily[Deaths],tblDaily[EntryDate],DATE(2026,5,26),tblDaily[WardCode],"FAE")),"")</f>
        <v/>
      </c>
      <c r="L193" s="39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39" t="str">
        <f>IFERROR(IF(SUMIFS(tblDaily[TransfersIn],tblDaily[EntryDate],DATE(2026,5,26),tblDaily[WardCode],"FAE")=0,"",SUMIFS(tblDaily[TransfersIn],tblDaily[EntryDate],DATE(2026,5,26),tblDaily[WardCode],"FAE")),"")</f>
        <v/>
      </c>
      <c r="N193" s="39" t="str">
        <f>IFERROR(IF(SUMIFS(tblDaily[TransfersOut],tblDaily[EntryDate],DATE(2026,5,26),tblDaily[WardCode],"FAE")=0,"",SUMIFS(tblDaily[TransfersOut],tblDaily[EntryDate],DATE(2026,5,26),tblDaily[WardCode],"FAE")),"")</f>
        <v/>
      </c>
      <c r="O193" s="39" t="str">
        <f>IFERROR(IF(SUMIFS(tblDaily[Remaining],tblDaily[EntryDate],DATE(2026,5,26),tblDaily[WardCode],"FAE")=0,"",SUMIFS(tblDaily[Remaining],tblDaily[EntryDate],DATE(2026,5,26),tblDaily[WardCode],"FAE")),"")</f>
        <v/>
      </c>
      <c r="P193" s="40" t="str">
        <f t="shared" si="4"/>
        <v/>
      </c>
    </row>
    <row r="194" spans="1:16" x14ac:dyDescent="0.25">
      <c r="A194" s="39">
        <v>27</v>
      </c>
      <c r="B194" s="39" t="str">
        <f>IFERROR(IF(SUMIFS(tblDaily[Admissions],tblDaily[EntryDate],DATE(2026,5,27),tblDaily[WardCode],"MAE")=0,"",SUMIFS(tblDaily[Admissions],tblDaily[EntryDate],DATE(2026,5,27),tblDaily[WardCode],"MAE")),"")</f>
        <v/>
      </c>
      <c r="C194" s="39" t="str">
        <f>IFERROR(IF(SUMIFS(tblDaily[Discharges],tblDaily[EntryDate],DATE(2026,5,27),tblDaily[WardCode],"MAE")=0,"",SUMIFS(tblDaily[Discharges],tblDaily[EntryDate],DATE(2026,5,27),tblDaily[WardCode],"MAE")),"")</f>
        <v/>
      </c>
      <c r="D194" s="39" t="str">
        <f>IFERROR(IF(SUMIFS(tblDaily[Deaths],tblDaily[EntryDate],DATE(2026,5,27),tblDaily[WardCode],"MAE")=0,"",SUMIFS(tblDaily[Deaths],tblDaily[EntryDate],DATE(2026,5,27),tblDaily[WardCode],"MAE")),"")</f>
        <v/>
      </c>
      <c r="E194" s="39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39" t="str">
        <f>IFERROR(IF(SUMIFS(tblDaily[TransfersIn],tblDaily[EntryDate],DATE(2026,5,27),tblDaily[WardCode],"MAE")=0,"",SUMIFS(tblDaily[TransfersIn],tblDaily[EntryDate],DATE(2026,5,27),tblDaily[WardCode],"MAE")),"")</f>
        <v/>
      </c>
      <c r="G194" s="39" t="str">
        <f>IFERROR(IF(SUMIFS(tblDaily[TransfersOut],tblDaily[EntryDate],DATE(2026,5,27),tblDaily[WardCode],"MAE")=0,"",SUMIFS(tblDaily[TransfersOut],tblDaily[EntryDate],DATE(2026,5,27),tblDaily[WardCode],"MAE")),"")</f>
        <v/>
      </c>
      <c r="H194" s="39" t="str">
        <f>IFERROR(IF(SUMIFS(tblDaily[Remaining],tblDaily[EntryDate],DATE(2026,5,27),tblDaily[WardCode],"MAE")=0,"",SUMIFS(tblDaily[Remaining],tblDaily[EntryDate],DATE(2026,5,27),tblDaily[WardCode],"MAE")),"")</f>
        <v/>
      </c>
      <c r="I194" s="39" t="str">
        <f>IFERROR(IF(SUMIFS(tblDaily[Admissions],tblDaily[EntryDate],DATE(2026,5,27),tblDaily[WardCode],"FAE")=0,"",SUMIFS(tblDaily[Admissions],tblDaily[EntryDate],DATE(2026,5,27),tblDaily[WardCode],"FAE")),"")</f>
        <v/>
      </c>
      <c r="J194" s="39" t="str">
        <f>IFERROR(IF(SUMIFS(tblDaily[Discharges],tblDaily[EntryDate],DATE(2026,5,27),tblDaily[WardCode],"FAE")=0,"",SUMIFS(tblDaily[Discharges],tblDaily[EntryDate],DATE(2026,5,27),tblDaily[WardCode],"FAE")),"")</f>
        <v/>
      </c>
      <c r="K194" s="39" t="str">
        <f>IFERROR(IF(SUMIFS(tblDaily[Deaths],tblDaily[EntryDate],DATE(2026,5,27),tblDaily[WardCode],"FAE")=0,"",SUMIFS(tblDaily[Deaths],tblDaily[EntryDate],DATE(2026,5,27),tblDaily[WardCode],"FAE")),"")</f>
        <v/>
      </c>
      <c r="L194" s="39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39" t="str">
        <f>IFERROR(IF(SUMIFS(tblDaily[TransfersIn],tblDaily[EntryDate],DATE(2026,5,27),tblDaily[WardCode],"FAE")=0,"",SUMIFS(tblDaily[TransfersIn],tblDaily[EntryDate],DATE(2026,5,27),tblDaily[WardCode],"FAE")),"")</f>
        <v/>
      </c>
      <c r="N194" s="39" t="str">
        <f>IFERROR(IF(SUMIFS(tblDaily[TransfersOut],tblDaily[EntryDate],DATE(2026,5,27),tblDaily[WardCode],"FAE")=0,"",SUMIFS(tblDaily[TransfersOut],tblDaily[EntryDate],DATE(2026,5,27),tblDaily[WardCode],"FAE")),"")</f>
        <v/>
      </c>
      <c r="O194" s="39" t="str">
        <f>IFERROR(IF(SUMIFS(tblDaily[Remaining],tblDaily[EntryDate],DATE(2026,5,27),tblDaily[WardCode],"FAE")=0,"",SUMIFS(tblDaily[Remaining],tblDaily[EntryDate],DATE(2026,5,27),tblDaily[WardCode],"FAE")),"")</f>
        <v/>
      </c>
      <c r="P194" s="40" t="str">
        <f t="shared" si="4"/>
        <v/>
      </c>
    </row>
    <row r="195" spans="1:16" x14ac:dyDescent="0.25">
      <c r="A195" s="39">
        <v>28</v>
      </c>
      <c r="B195" s="39" t="str">
        <f>IFERROR(IF(SUMIFS(tblDaily[Admissions],tblDaily[EntryDate],DATE(2026,5,28),tblDaily[WardCode],"MAE")=0,"",SUMIFS(tblDaily[Admissions],tblDaily[EntryDate],DATE(2026,5,28),tblDaily[WardCode],"MAE")),"")</f>
        <v/>
      </c>
      <c r="C195" s="39" t="str">
        <f>IFERROR(IF(SUMIFS(tblDaily[Discharges],tblDaily[EntryDate],DATE(2026,5,28),tblDaily[WardCode],"MAE")=0,"",SUMIFS(tblDaily[Discharges],tblDaily[EntryDate],DATE(2026,5,28),tblDaily[WardCode],"MAE")),"")</f>
        <v/>
      </c>
      <c r="D195" s="39" t="str">
        <f>IFERROR(IF(SUMIFS(tblDaily[Deaths],tblDaily[EntryDate],DATE(2026,5,28),tblDaily[WardCode],"MAE")=0,"",SUMIFS(tblDaily[Deaths],tblDaily[EntryDate],DATE(2026,5,28),tblDaily[WardCode],"MAE")),"")</f>
        <v/>
      </c>
      <c r="E195" s="39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39" t="str">
        <f>IFERROR(IF(SUMIFS(tblDaily[TransfersIn],tblDaily[EntryDate],DATE(2026,5,28),tblDaily[WardCode],"MAE")=0,"",SUMIFS(tblDaily[TransfersIn],tblDaily[EntryDate],DATE(2026,5,28),tblDaily[WardCode],"MAE")),"")</f>
        <v/>
      </c>
      <c r="G195" s="39" t="str">
        <f>IFERROR(IF(SUMIFS(tblDaily[TransfersOut],tblDaily[EntryDate],DATE(2026,5,28),tblDaily[WardCode],"MAE")=0,"",SUMIFS(tblDaily[TransfersOut],tblDaily[EntryDate],DATE(2026,5,28),tblDaily[WardCode],"MAE")),"")</f>
        <v/>
      </c>
      <c r="H195" s="39" t="str">
        <f>IFERROR(IF(SUMIFS(tblDaily[Remaining],tblDaily[EntryDate],DATE(2026,5,28),tblDaily[WardCode],"MAE")=0,"",SUMIFS(tblDaily[Remaining],tblDaily[EntryDate],DATE(2026,5,28),tblDaily[WardCode],"MAE")),"")</f>
        <v/>
      </c>
      <c r="I195" s="39" t="str">
        <f>IFERROR(IF(SUMIFS(tblDaily[Admissions],tblDaily[EntryDate],DATE(2026,5,28),tblDaily[WardCode],"FAE")=0,"",SUMIFS(tblDaily[Admissions],tblDaily[EntryDate],DATE(2026,5,28),tblDaily[WardCode],"FAE")),"")</f>
        <v/>
      </c>
      <c r="J195" s="39" t="str">
        <f>IFERROR(IF(SUMIFS(tblDaily[Discharges],tblDaily[EntryDate],DATE(2026,5,28),tblDaily[WardCode],"FAE")=0,"",SUMIFS(tblDaily[Discharges],tblDaily[EntryDate],DATE(2026,5,28),tblDaily[WardCode],"FAE")),"")</f>
        <v/>
      </c>
      <c r="K195" s="39" t="str">
        <f>IFERROR(IF(SUMIFS(tblDaily[Deaths],tblDaily[EntryDate],DATE(2026,5,28),tblDaily[WardCode],"FAE")=0,"",SUMIFS(tblDaily[Deaths],tblDaily[EntryDate],DATE(2026,5,28),tblDaily[WardCode],"FAE")),"")</f>
        <v/>
      </c>
      <c r="L195" s="39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39" t="str">
        <f>IFERROR(IF(SUMIFS(tblDaily[TransfersIn],tblDaily[EntryDate],DATE(2026,5,28),tblDaily[WardCode],"FAE")=0,"",SUMIFS(tblDaily[TransfersIn],tblDaily[EntryDate],DATE(2026,5,28),tblDaily[WardCode],"FAE")),"")</f>
        <v/>
      </c>
      <c r="N195" s="39" t="str">
        <f>IFERROR(IF(SUMIFS(tblDaily[TransfersOut],tblDaily[EntryDate],DATE(2026,5,28),tblDaily[WardCode],"FAE")=0,"",SUMIFS(tblDaily[TransfersOut],tblDaily[EntryDate],DATE(2026,5,28),tblDaily[WardCode],"FAE")),"")</f>
        <v/>
      </c>
      <c r="O195" s="39" t="str">
        <f>IFERROR(IF(SUMIFS(tblDaily[Remaining],tblDaily[EntryDate],DATE(2026,5,28),tblDaily[WardCode],"FAE")=0,"",SUMIFS(tblDaily[Remaining],tblDaily[EntryDate],DATE(2026,5,28),tblDaily[WardCode],"FAE")),"")</f>
        <v/>
      </c>
      <c r="P195" s="40" t="str">
        <f t="shared" si="4"/>
        <v/>
      </c>
    </row>
    <row r="196" spans="1:16" x14ac:dyDescent="0.25">
      <c r="A196" s="39">
        <v>29</v>
      </c>
      <c r="B196" s="39" t="str">
        <f>IFERROR(IF(SUMIFS(tblDaily[Admissions],tblDaily[EntryDate],DATE(2026,5,29),tblDaily[WardCode],"MAE")=0,"",SUMIFS(tblDaily[Admissions],tblDaily[EntryDate],DATE(2026,5,29),tblDaily[WardCode],"MAE")),"")</f>
        <v/>
      </c>
      <c r="C196" s="39" t="str">
        <f>IFERROR(IF(SUMIFS(tblDaily[Discharges],tblDaily[EntryDate],DATE(2026,5,29),tblDaily[WardCode],"MAE")=0,"",SUMIFS(tblDaily[Discharges],tblDaily[EntryDate],DATE(2026,5,29),tblDaily[WardCode],"MAE")),"")</f>
        <v/>
      </c>
      <c r="D196" s="39" t="str">
        <f>IFERROR(IF(SUMIFS(tblDaily[Deaths],tblDaily[EntryDate],DATE(2026,5,29),tblDaily[WardCode],"MAE")=0,"",SUMIFS(tblDaily[Deaths],tblDaily[EntryDate],DATE(2026,5,29),tblDaily[WardCode],"MAE")),"")</f>
        <v/>
      </c>
      <c r="E196" s="39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39" t="str">
        <f>IFERROR(IF(SUMIFS(tblDaily[TransfersIn],tblDaily[EntryDate],DATE(2026,5,29),tblDaily[WardCode],"MAE")=0,"",SUMIFS(tblDaily[TransfersIn],tblDaily[EntryDate],DATE(2026,5,29),tblDaily[WardCode],"MAE")),"")</f>
        <v/>
      </c>
      <c r="G196" s="39" t="str">
        <f>IFERROR(IF(SUMIFS(tblDaily[TransfersOut],tblDaily[EntryDate],DATE(2026,5,29),tblDaily[WardCode],"MAE")=0,"",SUMIFS(tblDaily[TransfersOut],tblDaily[EntryDate],DATE(2026,5,29),tblDaily[WardCode],"MAE")),"")</f>
        <v/>
      </c>
      <c r="H196" s="39" t="str">
        <f>IFERROR(IF(SUMIFS(tblDaily[Remaining],tblDaily[EntryDate],DATE(2026,5,29),tblDaily[WardCode],"MAE")=0,"",SUMIFS(tblDaily[Remaining],tblDaily[EntryDate],DATE(2026,5,29),tblDaily[WardCode],"MAE")),"")</f>
        <v/>
      </c>
      <c r="I196" s="39" t="str">
        <f>IFERROR(IF(SUMIFS(tblDaily[Admissions],tblDaily[EntryDate],DATE(2026,5,29),tblDaily[WardCode],"FAE")=0,"",SUMIFS(tblDaily[Admissions],tblDaily[EntryDate],DATE(2026,5,29),tblDaily[WardCode],"FAE")),"")</f>
        <v/>
      </c>
      <c r="J196" s="39" t="str">
        <f>IFERROR(IF(SUMIFS(tblDaily[Discharges],tblDaily[EntryDate],DATE(2026,5,29),tblDaily[WardCode],"FAE")=0,"",SUMIFS(tblDaily[Discharges],tblDaily[EntryDate],DATE(2026,5,29),tblDaily[WardCode],"FAE")),"")</f>
        <v/>
      </c>
      <c r="K196" s="39" t="str">
        <f>IFERROR(IF(SUMIFS(tblDaily[Deaths],tblDaily[EntryDate],DATE(2026,5,29),tblDaily[WardCode],"FAE")=0,"",SUMIFS(tblDaily[Deaths],tblDaily[EntryDate],DATE(2026,5,29),tblDaily[WardCode],"FAE")),"")</f>
        <v/>
      </c>
      <c r="L196" s="39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39" t="str">
        <f>IFERROR(IF(SUMIFS(tblDaily[TransfersIn],tblDaily[EntryDate],DATE(2026,5,29),tblDaily[WardCode],"FAE")=0,"",SUMIFS(tblDaily[TransfersIn],tblDaily[EntryDate],DATE(2026,5,29),tblDaily[WardCode],"FAE")),"")</f>
        <v/>
      </c>
      <c r="N196" s="39" t="str">
        <f>IFERROR(IF(SUMIFS(tblDaily[TransfersOut],tblDaily[EntryDate],DATE(2026,5,29),tblDaily[WardCode],"FAE")=0,"",SUMIFS(tblDaily[TransfersOut],tblDaily[EntryDate],DATE(2026,5,29),tblDaily[WardCode],"FAE")),"")</f>
        <v/>
      </c>
      <c r="O196" s="39" t="str">
        <f>IFERROR(IF(SUMIFS(tblDaily[Remaining],tblDaily[EntryDate],DATE(2026,5,29),tblDaily[WardCode],"FAE")=0,"",SUMIFS(tblDaily[Remaining],tblDaily[EntryDate],DATE(2026,5,29),tblDaily[WardCode],"FAE")),"")</f>
        <v/>
      </c>
      <c r="P196" s="40" t="str">
        <f t="shared" si="4"/>
        <v/>
      </c>
    </row>
    <row r="197" spans="1:16" x14ac:dyDescent="0.25">
      <c r="A197" s="39">
        <v>30</v>
      </c>
      <c r="B197" s="39" t="str">
        <f>IFERROR(IF(SUMIFS(tblDaily[Admissions],tblDaily[EntryDate],DATE(2026,5,30),tblDaily[WardCode],"MAE")=0,"",SUMIFS(tblDaily[Admissions],tblDaily[EntryDate],DATE(2026,5,30),tblDaily[WardCode],"MAE")),"")</f>
        <v/>
      </c>
      <c r="C197" s="39" t="str">
        <f>IFERROR(IF(SUMIFS(tblDaily[Discharges],tblDaily[EntryDate],DATE(2026,5,30),tblDaily[WardCode],"MAE")=0,"",SUMIFS(tblDaily[Discharges],tblDaily[EntryDate],DATE(2026,5,30),tblDaily[WardCode],"MAE")),"")</f>
        <v/>
      </c>
      <c r="D197" s="39" t="str">
        <f>IFERROR(IF(SUMIFS(tblDaily[Deaths],tblDaily[EntryDate],DATE(2026,5,30),tblDaily[WardCode],"MAE")=0,"",SUMIFS(tblDaily[Deaths],tblDaily[EntryDate],DATE(2026,5,30),tblDaily[WardCode],"MAE")),"")</f>
        <v/>
      </c>
      <c r="E197" s="39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39" t="str">
        <f>IFERROR(IF(SUMIFS(tblDaily[TransfersIn],tblDaily[EntryDate],DATE(2026,5,30),tblDaily[WardCode],"MAE")=0,"",SUMIFS(tblDaily[TransfersIn],tblDaily[EntryDate],DATE(2026,5,30),tblDaily[WardCode],"MAE")),"")</f>
        <v/>
      </c>
      <c r="G197" s="39" t="str">
        <f>IFERROR(IF(SUMIFS(tblDaily[TransfersOut],tblDaily[EntryDate],DATE(2026,5,30),tblDaily[WardCode],"MAE")=0,"",SUMIFS(tblDaily[TransfersOut],tblDaily[EntryDate],DATE(2026,5,30),tblDaily[WardCode],"MAE")),"")</f>
        <v/>
      </c>
      <c r="H197" s="39" t="str">
        <f>IFERROR(IF(SUMIFS(tblDaily[Remaining],tblDaily[EntryDate],DATE(2026,5,30),tblDaily[WardCode],"MAE")=0,"",SUMIFS(tblDaily[Remaining],tblDaily[EntryDate],DATE(2026,5,30),tblDaily[WardCode],"MAE")),"")</f>
        <v/>
      </c>
      <c r="I197" s="39" t="str">
        <f>IFERROR(IF(SUMIFS(tblDaily[Admissions],tblDaily[EntryDate],DATE(2026,5,30),tblDaily[WardCode],"FAE")=0,"",SUMIFS(tblDaily[Admissions],tblDaily[EntryDate],DATE(2026,5,30),tblDaily[WardCode],"FAE")),"")</f>
        <v/>
      </c>
      <c r="J197" s="39" t="str">
        <f>IFERROR(IF(SUMIFS(tblDaily[Discharges],tblDaily[EntryDate],DATE(2026,5,30),tblDaily[WardCode],"FAE")=0,"",SUMIFS(tblDaily[Discharges],tblDaily[EntryDate],DATE(2026,5,30),tblDaily[WardCode],"FAE")),"")</f>
        <v/>
      </c>
      <c r="K197" s="39" t="str">
        <f>IFERROR(IF(SUMIFS(tblDaily[Deaths],tblDaily[EntryDate],DATE(2026,5,30),tblDaily[WardCode],"FAE")=0,"",SUMIFS(tblDaily[Deaths],tblDaily[EntryDate],DATE(2026,5,30),tblDaily[WardCode],"FAE")),"")</f>
        <v/>
      </c>
      <c r="L197" s="39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39" t="str">
        <f>IFERROR(IF(SUMIFS(tblDaily[TransfersIn],tblDaily[EntryDate],DATE(2026,5,30),tblDaily[WardCode],"FAE")=0,"",SUMIFS(tblDaily[TransfersIn],tblDaily[EntryDate],DATE(2026,5,30),tblDaily[WardCode],"FAE")),"")</f>
        <v/>
      </c>
      <c r="N197" s="39" t="str">
        <f>IFERROR(IF(SUMIFS(tblDaily[TransfersOut],tblDaily[EntryDate],DATE(2026,5,30),tblDaily[WardCode],"FAE")=0,"",SUMIFS(tblDaily[TransfersOut],tblDaily[EntryDate],DATE(2026,5,30),tblDaily[WardCode],"FAE")),"")</f>
        <v/>
      </c>
      <c r="O197" s="39" t="str">
        <f>IFERROR(IF(SUMIFS(tblDaily[Remaining],tblDaily[EntryDate],DATE(2026,5,30),tblDaily[WardCode],"FAE")=0,"",SUMIFS(tblDaily[Remaining],tblDaily[EntryDate],DATE(2026,5,30),tblDaily[WardCode],"FAE")),"")</f>
        <v/>
      </c>
      <c r="P197" s="40" t="str">
        <f t="shared" si="4"/>
        <v/>
      </c>
    </row>
    <row r="198" spans="1:16" x14ac:dyDescent="0.25">
      <c r="A198" s="39">
        <v>31</v>
      </c>
      <c r="B198" s="39" t="str">
        <f>IFERROR(IF(SUMIFS(tblDaily[Admissions],tblDaily[EntryDate],DATE(2026,5,31),tblDaily[WardCode],"MAE")=0,"",SUMIFS(tblDaily[Admissions],tblDaily[EntryDate],DATE(2026,5,31),tblDaily[WardCode],"MAE")),"")</f>
        <v/>
      </c>
      <c r="C198" s="39" t="str">
        <f>IFERROR(IF(SUMIFS(tblDaily[Discharges],tblDaily[EntryDate],DATE(2026,5,31),tblDaily[WardCode],"MAE")=0,"",SUMIFS(tblDaily[Discharges],tblDaily[EntryDate],DATE(2026,5,31),tblDaily[WardCode],"MAE")),"")</f>
        <v/>
      </c>
      <c r="D198" s="39" t="str">
        <f>IFERROR(IF(SUMIFS(tblDaily[Deaths],tblDaily[EntryDate],DATE(2026,5,31),tblDaily[WardCode],"MAE")=0,"",SUMIFS(tblDaily[Deaths],tblDaily[EntryDate],DATE(2026,5,31),tblDaily[WardCode],"MAE")),"")</f>
        <v/>
      </c>
      <c r="E198" s="39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39" t="str">
        <f>IFERROR(IF(SUMIFS(tblDaily[TransfersIn],tblDaily[EntryDate],DATE(2026,5,31),tblDaily[WardCode],"MAE")=0,"",SUMIFS(tblDaily[TransfersIn],tblDaily[EntryDate],DATE(2026,5,31),tblDaily[WardCode],"MAE")),"")</f>
        <v/>
      </c>
      <c r="G198" s="39" t="str">
        <f>IFERROR(IF(SUMIFS(tblDaily[TransfersOut],tblDaily[EntryDate],DATE(2026,5,31),tblDaily[WardCode],"MAE")=0,"",SUMIFS(tblDaily[TransfersOut],tblDaily[EntryDate],DATE(2026,5,31),tblDaily[WardCode],"MAE")),"")</f>
        <v/>
      </c>
      <c r="H198" s="39" t="str">
        <f>IFERROR(IF(SUMIFS(tblDaily[Remaining],tblDaily[EntryDate],DATE(2026,5,31),tblDaily[WardCode],"MAE")=0,"",SUMIFS(tblDaily[Remaining],tblDaily[EntryDate],DATE(2026,5,31),tblDaily[WardCode],"MAE")),"")</f>
        <v/>
      </c>
      <c r="I198" s="39" t="str">
        <f>IFERROR(IF(SUMIFS(tblDaily[Admissions],tblDaily[EntryDate],DATE(2026,5,31),tblDaily[WardCode],"FAE")=0,"",SUMIFS(tblDaily[Admissions],tblDaily[EntryDate],DATE(2026,5,31),tblDaily[WardCode],"FAE")),"")</f>
        <v/>
      </c>
      <c r="J198" s="39" t="str">
        <f>IFERROR(IF(SUMIFS(tblDaily[Discharges],tblDaily[EntryDate],DATE(2026,5,31),tblDaily[WardCode],"FAE")=0,"",SUMIFS(tblDaily[Discharges],tblDaily[EntryDate],DATE(2026,5,31),tblDaily[WardCode],"FAE")),"")</f>
        <v/>
      </c>
      <c r="K198" s="39" t="str">
        <f>IFERROR(IF(SUMIFS(tblDaily[Deaths],tblDaily[EntryDate],DATE(2026,5,31),tblDaily[WardCode],"FAE")=0,"",SUMIFS(tblDaily[Deaths],tblDaily[EntryDate],DATE(2026,5,31),tblDaily[WardCode],"FAE")),"")</f>
        <v/>
      </c>
      <c r="L198" s="39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39" t="str">
        <f>IFERROR(IF(SUMIFS(tblDaily[TransfersIn],tblDaily[EntryDate],DATE(2026,5,31),tblDaily[WardCode],"FAE")=0,"",SUMIFS(tblDaily[TransfersIn],tblDaily[EntryDate],DATE(2026,5,31),tblDaily[WardCode],"FAE")),"")</f>
        <v/>
      </c>
      <c r="N198" s="39" t="str">
        <f>IFERROR(IF(SUMIFS(tblDaily[TransfersOut],tblDaily[EntryDate],DATE(2026,5,31),tblDaily[WardCode],"FAE")=0,"",SUMIFS(tblDaily[TransfersOut],tblDaily[EntryDate],DATE(2026,5,31),tblDaily[WardCode],"FAE")),"")</f>
        <v/>
      </c>
      <c r="O198" s="39" t="str">
        <f>IFERROR(IF(SUMIFS(tblDaily[Remaining],tblDaily[EntryDate],DATE(2026,5,31),tblDaily[WardCode],"FAE")=0,"",SUMIFS(tblDaily[Remaining],tblDaily[EntryDate],DATE(2026,5,31),tblDaily[WardCode],"FAE")),"")</f>
        <v/>
      </c>
      <c r="P198" s="40" t="str">
        <f t="shared" si="4"/>
        <v/>
      </c>
    </row>
    <row r="199" spans="1:16" x14ac:dyDescent="0.25">
      <c r="A199" s="30" t="s">
        <v>115</v>
      </c>
      <c r="B199" s="30">
        <f>SUMIFS(tblDaily[Admissions],tblDaily[Month],5,tblDaily[WardCode],"MAE") - SUMIFS(tblDaily[DeathsUnder24Hrs],tblDaily[Month],5,tblDaily[WardCode],"MAE")</f>
        <v>0</v>
      </c>
      <c r="C199" s="30">
        <f>SUMIFS(tblDaily[Discharges],tblDaily[Month],5,tblDaily[WardCode],"MAE")</f>
        <v>0</v>
      </c>
      <c r="D199" s="30">
        <f>SUMIFS(tblDaily[Deaths],tblDaily[Month],5,tblDaily[WardCode],"MAE")</f>
        <v>0</v>
      </c>
      <c r="E199" s="30">
        <f>SUMIFS(tblDaily[DeathsUnder24Hrs],tblDaily[Month],5,tblDaily[WardCode],"MAE")</f>
        <v>0</v>
      </c>
      <c r="F199" s="30">
        <f>SUMIFS(tblDaily[TransfersIn],tblDaily[Month],5,tblDaily[WardCode],"MAE")</f>
        <v>0</v>
      </c>
      <c r="G199" s="30">
        <f>SUMIFS(tblDaily[TransfersOut],tblDaily[Month],5,tblDaily[WardCode],"MAE")</f>
        <v>0</v>
      </c>
      <c r="H199" s="30">
        <f>SUMIFS(tblDaily[Remaining],tblDaily[Month],5,tblDaily[WardCode],"MAE")</f>
        <v>0</v>
      </c>
      <c r="I199" s="30">
        <f>SUMIFS(tblDaily[Admissions],tblDaily[Month],5,tblDaily[WardCode],"FAE") - SUMIFS(tblDaily[DeathsUnder24Hrs],tblDaily[Month],5,tblDaily[WardCode],"FAE")</f>
        <v>0</v>
      </c>
      <c r="J199" s="30">
        <f>SUMIFS(tblDaily[Discharges],tblDaily[Month],5,tblDaily[WardCode],"FAE")</f>
        <v>0</v>
      </c>
      <c r="K199" s="30">
        <f>SUMIFS(tblDaily[Deaths],tblDaily[Month],5,tblDaily[WardCode],"FAE")</f>
        <v>0</v>
      </c>
      <c r="L199" s="30">
        <f>SUMIFS(tblDaily[DeathsUnder24Hrs],tblDaily[Month],5,tblDaily[WardCode],"FAE")</f>
        <v>0</v>
      </c>
      <c r="M199" s="30">
        <f>SUMIFS(tblDaily[TransfersIn],tblDaily[Month],5,tblDaily[WardCode],"FAE")</f>
        <v>0</v>
      </c>
      <c r="N199" s="30">
        <f>SUMIFS(tblDaily[TransfersOut],tblDaily[Month],5,tblDaily[WardCode],"FAE")</f>
        <v>0</v>
      </c>
      <c r="O199" s="30">
        <f>SUMIFS(tblDaily[Remaining],tblDaily[Month],5,tblDaily[WardCode],"FAE")</f>
        <v>0</v>
      </c>
      <c r="P199" s="30">
        <f>H199 + O199</f>
        <v>0</v>
      </c>
    </row>
    <row r="201" spans="1:16" ht="18.75" x14ac:dyDescent="0.25">
      <c r="A201" s="32" t="s">
        <v>0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</row>
    <row r="202" spans="1:16" ht="15.75" x14ac:dyDescent="0.25">
      <c r="A202" s="23" t="s">
        <v>104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</row>
    <row r="203" spans="1:16" x14ac:dyDescent="0.25">
      <c r="A203" s="24" t="s">
        <v>4</v>
      </c>
      <c r="B203" s="25" t="s">
        <v>2</v>
      </c>
      <c r="E203" s="24" t="s">
        <v>105</v>
      </c>
      <c r="F203" s="24" t="s">
        <v>125</v>
      </c>
      <c r="M203" s="24" t="s">
        <v>107</v>
      </c>
      <c r="N203" s="24" t="s">
        <v>68</v>
      </c>
    </row>
    <row r="204" spans="1:16" x14ac:dyDescent="0.25">
      <c r="A204" s="24" t="s">
        <v>108</v>
      </c>
      <c r="B204" s="33">
        <f>IFERROR(SUMIFS(tblDaily[Remaining],tblDaily[EntryDate],DATE(2026,5,31),tblDaily[WardCode],"MAE"),0)</f>
        <v>0</v>
      </c>
      <c r="I204" s="33">
        <f>IFERROR(SUMIFS(tblDaily[Remaining],tblDaily[EntryDate],DATE(2026,5,31),tblDaily[WardCode],"FAE"),0)</f>
        <v>0</v>
      </c>
    </row>
    <row r="205" spans="1:16" x14ac:dyDescent="0.25">
      <c r="A205" s="24" t="s">
        <v>109</v>
      </c>
      <c r="B205" s="33">
        <f>IFERROR(INDEX(tblWardConfig[BedComplement],MATCH("MAE",tblWardConfig[WardCode],0)),0)</f>
        <v>10</v>
      </c>
      <c r="I205" s="33">
        <f>IFERROR(INDEX(tblWardConfig[BedComplement],MATCH("FAE",tblWardConfig[WardCode],0)),0)</f>
        <v>10</v>
      </c>
      <c r="O205" s="34">
        <f>B205+I205</f>
        <v>20</v>
      </c>
    </row>
    <row r="206" spans="1:16" x14ac:dyDescent="0.25">
      <c r="A206" s="35" t="s">
        <v>126</v>
      </c>
      <c r="B206" s="36" t="s">
        <v>122</v>
      </c>
      <c r="C206" s="22"/>
      <c r="D206" s="22"/>
      <c r="E206" s="22"/>
      <c r="F206" s="22"/>
      <c r="G206" s="22"/>
      <c r="H206" s="22"/>
      <c r="I206" s="37" t="s">
        <v>123</v>
      </c>
      <c r="J206" s="22"/>
      <c r="K206" s="22"/>
      <c r="L206" s="22"/>
      <c r="M206" s="22"/>
      <c r="N206" s="22"/>
      <c r="O206" s="22"/>
      <c r="P206" s="38" t="s">
        <v>115</v>
      </c>
    </row>
    <row r="207" spans="1:16" x14ac:dyDescent="0.25">
      <c r="A207" s="35" t="s">
        <v>126</v>
      </c>
      <c r="B207" s="35" t="s">
        <v>127</v>
      </c>
      <c r="C207" s="35" t="s">
        <v>128</v>
      </c>
      <c r="D207" s="35" t="s">
        <v>129</v>
      </c>
      <c r="E207" s="35" t="s">
        <v>130</v>
      </c>
      <c r="F207" s="35" t="s">
        <v>131</v>
      </c>
      <c r="G207" s="35" t="s">
        <v>132</v>
      </c>
      <c r="H207" s="35" t="s">
        <v>133</v>
      </c>
      <c r="I207" s="35" t="s">
        <v>127</v>
      </c>
      <c r="J207" s="35" t="s">
        <v>128</v>
      </c>
      <c r="K207" s="35" t="s">
        <v>129</v>
      </c>
      <c r="L207" s="35" t="s">
        <v>130</v>
      </c>
      <c r="M207" s="35" t="s">
        <v>131</v>
      </c>
      <c r="N207" s="35" t="s">
        <v>132</v>
      </c>
      <c r="O207" s="35" t="s">
        <v>133</v>
      </c>
      <c r="P207" s="35" t="s">
        <v>134</v>
      </c>
    </row>
    <row r="208" spans="1:16" x14ac:dyDescent="0.25">
      <c r="A208" s="39">
        <v>1</v>
      </c>
      <c r="B208" s="39" t="str">
        <f>IFERROR(IF(SUMIFS(tblDaily[Admissions],tblDaily[EntryDate],DATE(2026,6,1),tblDaily[WardCode],"MAE")=0,"",SUMIFS(tblDaily[Admissions],tblDaily[EntryDate],DATE(2026,6,1),tblDaily[WardCode],"MAE")),"")</f>
        <v/>
      </c>
      <c r="C208" s="39" t="str">
        <f>IFERROR(IF(SUMIFS(tblDaily[Discharges],tblDaily[EntryDate],DATE(2026,6,1),tblDaily[WardCode],"MAE")=0,"",SUMIFS(tblDaily[Discharges],tblDaily[EntryDate],DATE(2026,6,1),tblDaily[WardCode],"MAE")),"")</f>
        <v/>
      </c>
      <c r="D208" s="39" t="str">
        <f>IFERROR(IF(SUMIFS(tblDaily[Deaths],tblDaily[EntryDate],DATE(2026,6,1),tblDaily[WardCode],"MAE")=0,"",SUMIFS(tblDaily[Deaths],tblDaily[EntryDate],DATE(2026,6,1),tblDaily[WardCode],"MAE")),"")</f>
        <v/>
      </c>
      <c r="E208" s="39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39" t="str">
        <f>IFERROR(IF(SUMIFS(tblDaily[TransfersIn],tblDaily[EntryDate],DATE(2026,6,1),tblDaily[WardCode],"MAE")=0,"",SUMIFS(tblDaily[TransfersIn],tblDaily[EntryDate],DATE(2026,6,1),tblDaily[WardCode],"MAE")),"")</f>
        <v/>
      </c>
      <c r="G208" s="39" t="str">
        <f>IFERROR(IF(SUMIFS(tblDaily[TransfersOut],tblDaily[EntryDate],DATE(2026,6,1),tblDaily[WardCode],"MAE")=0,"",SUMIFS(tblDaily[TransfersOut],tblDaily[EntryDate],DATE(2026,6,1),tblDaily[WardCode],"MAE")),"")</f>
        <v/>
      </c>
      <c r="H208" s="39" t="str">
        <f>IFERROR(IF(SUMIFS(tblDaily[Remaining],tblDaily[EntryDate],DATE(2026,6,1),tblDaily[WardCode],"MAE")=0,"",SUMIFS(tblDaily[Remaining],tblDaily[EntryDate],DATE(2026,6,1),tblDaily[WardCode],"MAE")),"")</f>
        <v/>
      </c>
      <c r="I208" s="39" t="str">
        <f>IFERROR(IF(SUMIFS(tblDaily[Admissions],tblDaily[EntryDate],DATE(2026,6,1),tblDaily[WardCode],"FAE")=0,"",SUMIFS(tblDaily[Admissions],tblDaily[EntryDate],DATE(2026,6,1),tblDaily[WardCode],"FAE")),"")</f>
        <v/>
      </c>
      <c r="J208" s="39" t="str">
        <f>IFERROR(IF(SUMIFS(tblDaily[Discharges],tblDaily[EntryDate],DATE(2026,6,1),tblDaily[WardCode],"FAE")=0,"",SUMIFS(tblDaily[Discharges],tblDaily[EntryDate],DATE(2026,6,1),tblDaily[WardCode],"FAE")),"")</f>
        <v/>
      </c>
      <c r="K208" s="39" t="str">
        <f>IFERROR(IF(SUMIFS(tblDaily[Deaths],tblDaily[EntryDate],DATE(2026,6,1),tblDaily[WardCode],"FAE")=0,"",SUMIFS(tblDaily[Deaths],tblDaily[EntryDate],DATE(2026,6,1),tblDaily[WardCode],"FAE")),"")</f>
        <v/>
      </c>
      <c r="L208" s="39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39" t="str">
        <f>IFERROR(IF(SUMIFS(tblDaily[TransfersIn],tblDaily[EntryDate],DATE(2026,6,1),tblDaily[WardCode],"FAE")=0,"",SUMIFS(tblDaily[TransfersIn],tblDaily[EntryDate],DATE(2026,6,1),tblDaily[WardCode],"FAE")),"")</f>
        <v/>
      </c>
      <c r="N208" s="39" t="str">
        <f>IFERROR(IF(SUMIFS(tblDaily[TransfersOut],tblDaily[EntryDate],DATE(2026,6,1),tblDaily[WardCode],"FAE")=0,"",SUMIFS(tblDaily[TransfersOut],tblDaily[EntryDate],DATE(2026,6,1),tblDaily[WardCode],"FAE")),"")</f>
        <v/>
      </c>
      <c r="O208" s="39" t="str">
        <f>IFERROR(IF(SUMIFS(tblDaily[Remaining],tblDaily[EntryDate],DATE(2026,6,1),tblDaily[WardCode],"FAE")=0,"",SUMIFS(tblDaily[Remaining],tblDaily[EntryDate],DATE(2026,6,1),tblDaily[WardCode],"FAE")),"")</f>
        <v/>
      </c>
      <c r="P208" s="40" t="str">
        <f t="shared" ref="P208:P237" si="5">IF(AND(H208="", O208=""), "", N(H208) + N(O208))</f>
        <v/>
      </c>
    </row>
    <row r="209" spans="1:16" x14ac:dyDescent="0.25">
      <c r="A209" s="39">
        <v>2</v>
      </c>
      <c r="B209" s="39" t="str">
        <f>IFERROR(IF(SUMIFS(tblDaily[Admissions],tblDaily[EntryDate],DATE(2026,6,2),tblDaily[WardCode],"MAE")=0,"",SUMIFS(tblDaily[Admissions],tblDaily[EntryDate],DATE(2026,6,2),tblDaily[WardCode],"MAE")),"")</f>
        <v/>
      </c>
      <c r="C209" s="39" t="str">
        <f>IFERROR(IF(SUMIFS(tblDaily[Discharges],tblDaily[EntryDate],DATE(2026,6,2),tblDaily[WardCode],"MAE")=0,"",SUMIFS(tblDaily[Discharges],tblDaily[EntryDate],DATE(2026,6,2),tblDaily[WardCode],"MAE")),"")</f>
        <v/>
      </c>
      <c r="D209" s="39" t="str">
        <f>IFERROR(IF(SUMIFS(tblDaily[Deaths],tblDaily[EntryDate],DATE(2026,6,2),tblDaily[WardCode],"MAE")=0,"",SUMIFS(tblDaily[Deaths],tblDaily[EntryDate],DATE(2026,6,2),tblDaily[WardCode],"MAE")),"")</f>
        <v/>
      </c>
      <c r="E209" s="39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39" t="str">
        <f>IFERROR(IF(SUMIFS(tblDaily[TransfersIn],tblDaily[EntryDate],DATE(2026,6,2),tblDaily[WardCode],"MAE")=0,"",SUMIFS(tblDaily[TransfersIn],tblDaily[EntryDate],DATE(2026,6,2),tblDaily[WardCode],"MAE")),"")</f>
        <v/>
      </c>
      <c r="G209" s="39" t="str">
        <f>IFERROR(IF(SUMIFS(tblDaily[TransfersOut],tblDaily[EntryDate],DATE(2026,6,2),tblDaily[WardCode],"MAE")=0,"",SUMIFS(tblDaily[TransfersOut],tblDaily[EntryDate],DATE(2026,6,2),tblDaily[WardCode],"MAE")),"")</f>
        <v/>
      </c>
      <c r="H209" s="39" t="str">
        <f>IFERROR(IF(SUMIFS(tblDaily[Remaining],tblDaily[EntryDate],DATE(2026,6,2),tblDaily[WardCode],"MAE")=0,"",SUMIFS(tblDaily[Remaining],tblDaily[EntryDate],DATE(2026,6,2),tblDaily[WardCode],"MAE")),"")</f>
        <v/>
      </c>
      <c r="I209" s="39" t="str">
        <f>IFERROR(IF(SUMIFS(tblDaily[Admissions],tblDaily[EntryDate],DATE(2026,6,2),tblDaily[WardCode],"FAE")=0,"",SUMIFS(tblDaily[Admissions],tblDaily[EntryDate],DATE(2026,6,2),tblDaily[WardCode],"FAE")),"")</f>
        <v/>
      </c>
      <c r="J209" s="39" t="str">
        <f>IFERROR(IF(SUMIFS(tblDaily[Discharges],tblDaily[EntryDate],DATE(2026,6,2),tblDaily[WardCode],"FAE")=0,"",SUMIFS(tblDaily[Discharges],tblDaily[EntryDate],DATE(2026,6,2),tblDaily[WardCode],"FAE")),"")</f>
        <v/>
      </c>
      <c r="K209" s="39" t="str">
        <f>IFERROR(IF(SUMIFS(tblDaily[Deaths],tblDaily[EntryDate],DATE(2026,6,2),tblDaily[WardCode],"FAE")=0,"",SUMIFS(tblDaily[Deaths],tblDaily[EntryDate],DATE(2026,6,2),tblDaily[WardCode],"FAE")),"")</f>
        <v/>
      </c>
      <c r="L209" s="39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39" t="str">
        <f>IFERROR(IF(SUMIFS(tblDaily[TransfersIn],tblDaily[EntryDate],DATE(2026,6,2),tblDaily[WardCode],"FAE")=0,"",SUMIFS(tblDaily[TransfersIn],tblDaily[EntryDate],DATE(2026,6,2),tblDaily[WardCode],"FAE")),"")</f>
        <v/>
      </c>
      <c r="N209" s="39" t="str">
        <f>IFERROR(IF(SUMIFS(tblDaily[TransfersOut],tblDaily[EntryDate],DATE(2026,6,2),tblDaily[WardCode],"FAE")=0,"",SUMIFS(tblDaily[TransfersOut],tblDaily[EntryDate],DATE(2026,6,2),tblDaily[WardCode],"FAE")),"")</f>
        <v/>
      </c>
      <c r="O209" s="39" t="str">
        <f>IFERROR(IF(SUMIFS(tblDaily[Remaining],tblDaily[EntryDate],DATE(2026,6,2),tblDaily[WardCode],"FAE")=0,"",SUMIFS(tblDaily[Remaining],tblDaily[EntryDate],DATE(2026,6,2),tblDaily[WardCode],"FAE")),"")</f>
        <v/>
      </c>
      <c r="P209" s="40" t="str">
        <f t="shared" si="5"/>
        <v/>
      </c>
    </row>
    <row r="210" spans="1:16" x14ac:dyDescent="0.25">
      <c r="A210" s="39">
        <v>3</v>
      </c>
      <c r="B210" s="39" t="str">
        <f>IFERROR(IF(SUMIFS(tblDaily[Admissions],tblDaily[EntryDate],DATE(2026,6,3),tblDaily[WardCode],"MAE")=0,"",SUMIFS(tblDaily[Admissions],tblDaily[EntryDate],DATE(2026,6,3),tblDaily[WardCode],"MAE")),"")</f>
        <v/>
      </c>
      <c r="C210" s="39" t="str">
        <f>IFERROR(IF(SUMIFS(tblDaily[Discharges],tblDaily[EntryDate],DATE(2026,6,3),tblDaily[WardCode],"MAE")=0,"",SUMIFS(tblDaily[Discharges],tblDaily[EntryDate],DATE(2026,6,3),tblDaily[WardCode],"MAE")),"")</f>
        <v/>
      </c>
      <c r="D210" s="39" t="str">
        <f>IFERROR(IF(SUMIFS(tblDaily[Deaths],tblDaily[EntryDate],DATE(2026,6,3),tblDaily[WardCode],"MAE")=0,"",SUMIFS(tblDaily[Deaths],tblDaily[EntryDate],DATE(2026,6,3),tblDaily[WardCode],"MAE")),"")</f>
        <v/>
      </c>
      <c r="E210" s="39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39" t="str">
        <f>IFERROR(IF(SUMIFS(tblDaily[TransfersIn],tblDaily[EntryDate],DATE(2026,6,3),tblDaily[WardCode],"MAE")=0,"",SUMIFS(tblDaily[TransfersIn],tblDaily[EntryDate],DATE(2026,6,3),tblDaily[WardCode],"MAE")),"")</f>
        <v/>
      </c>
      <c r="G210" s="39" t="str">
        <f>IFERROR(IF(SUMIFS(tblDaily[TransfersOut],tblDaily[EntryDate],DATE(2026,6,3),tblDaily[WardCode],"MAE")=0,"",SUMIFS(tblDaily[TransfersOut],tblDaily[EntryDate],DATE(2026,6,3),tblDaily[WardCode],"MAE")),"")</f>
        <v/>
      </c>
      <c r="H210" s="39" t="str">
        <f>IFERROR(IF(SUMIFS(tblDaily[Remaining],tblDaily[EntryDate],DATE(2026,6,3),tblDaily[WardCode],"MAE")=0,"",SUMIFS(tblDaily[Remaining],tblDaily[EntryDate],DATE(2026,6,3),tblDaily[WardCode],"MAE")),"")</f>
        <v/>
      </c>
      <c r="I210" s="39" t="str">
        <f>IFERROR(IF(SUMIFS(tblDaily[Admissions],tblDaily[EntryDate],DATE(2026,6,3),tblDaily[WardCode],"FAE")=0,"",SUMIFS(tblDaily[Admissions],tblDaily[EntryDate],DATE(2026,6,3),tblDaily[WardCode],"FAE")),"")</f>
        <v/>
      </c>
      <c r="J210" s="39" t="str">
        <f>IFERROR(IF(SUMIFS(tblDaily[Discharges],tblDaily[EntryDate],DATE(2026,6,3),tblDaily[WardCode],"FAE")=0,"",SUMIFS(tblDaily[Discharges],tblDaily[EntryDate],DATE(2026,6,3),tblDaily[WardCode],"FAE")),"")</f>
        <v/>
      </c>
      <c r="K210" s="39" t="str">
        <f>IFERROR(IF(SUMIFS(tblDaily[Deaths],tblDaily[EntryDate],DATE(2026,6,3),tblDaily[WardCode],"FAE")=0,"",SUMIFS(tblDaily[Deaths],tblDaily[EntryDate],DATE(2026,6,3),tblDaily[WardCode],"FAE")),"")</f>
        <v/>
      </c>
      <c r="L210" s="39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39" t="str">
        <f>IFERROR(IF(SUMIFS(tblDaily[TransfersIn],tblDaily[EntryDate],DATE(2026,6,3),tblDaily[WardCode],"FAE")=0,"",SUMIFS(tblDaily[TransfersIn],tblDaily[EntryDate],DATE(2026,6,3),tblDaily[WardCode],"FAE")),"")</f>
        <v/>
      </c>
      <c r="N210" s="39" t="str">
        <f>IFERROR(IF(SUMIFS(tblDaily[TransfersOut],tblDaily[EntryDate],DATE(2026,6,3),tblDaily[WardCode],"FAE")=0,"",SUMIFS(tblDaily[TransfersOut],tblDaily[EntryDate],DATE(2026,6,3),tblDaily[WardCode],"FAE")),"")</f>
        <v/>
      </c>
      <c r="O210" s="39" t="str">
        <f>IFERROR(IF(SUMIFS(tblDaily[Remaining],tblDaily[EntryDate],DATE(2026,6,3),tblDaily[WardCode],"FAE")=0,"",SUMIFS(tblDaily[Remaining],tblDaily[EntryDate],DATE(2026,6,3),tblDaily[WardCode],"FAE")),"")</f>
        <v/>
      </c>
      <c r="P210" s="40" t="str">
        <f t="shared" si="5"/>
        <v/>
      </c>
    </row>
    <row r="211" spans="1:16" x14ac:dyDescent="0.25">
      <c r="A211" s="39">
        <v>4</v>
      </c>
      <c r="B211" s="39" t="str">
        <f>IFERROR(IF(SUMIFS(tblDaily[Admissions],tblDaily[EntryDate],DATE(2026,6,4),tblDaily[WardCode],"MAE")=0,"",SUMIFS(tblDaily[Admissions],tblDaily[EntryDate],DATE(2026,6,4),tblDaily[WardCode],"MAE")),"")</f>
        <v/>
      </c>
      <c r="C211" s="39" t="str">
        <f>IFERROR(IF(SUMIFS(tblDaily[Discharges],tblDaily[EntryDate],DATE(2026,6,4),tblDaily[WardCode],"MAE")=0,"",SUMIFS(tblDaily[Discharges],tblDaily[EntryDate],DATE(2026,6,4),tblDaily[WardCode],"MAE")),"")</f>
        <v/>
      </c>
      <c r="D211" s="39" t="str">
        <f>IFERROR(IF(SUMIFS(tblDaily[Deaths],tblDaily[EntryDate],DATE(2026,6,4),tblDaily[WardCode],"MAE")=0,"",SUMIFS(tblDaily[Deaths],tblDaily[EntryDate],DATE(2026,6,4),tblDaily[WardCode],"MAE")),"")</f>
        <v/>
      </c>
      <c r="E211" s="39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39" t="str">
        <f>IFERROR(IF(SUMIFS(tblDaily[TransfersIn],tblDaily[EntryDate],DATE(2026,6,4),tblDaily[WardCode],"MAE")=0,"",SUMIFS(tblDaily[TransfersIn],tblDaily[EntryDate],DATE(2026,6,4),tblDaily[WardCode],"MAE")),"")</f>
        <v/>
      </c>
      <c r="G211" s="39" t="str">
        <f>IFERROR(IF(SUMIFS(tblDaily[TransfersOut],tblDaily[EntryDate],DATE(2026,6,4),tblDaily[WardCode],"MAE")=0,"",SUMIFS(tblDaily[TransfersOut],tblDaily[EntryDate],DATE(2026,6,4),tblDaily[WardCode],"MAE")),"")</f>
        <v/>
      </c>
      <c r="H211" s="39" t="str">
        <f>IFERROR(IF(SUMIFS(tblDaily[Remaining],tblDaily[EntryDate],DATE(2026,6,4),tblDaily[WardCode],"MAE")=0,"",SUMIFS(tblDaily[Remaining],tblDaily[EntryDate],DATE(2026,6,4),tblDaily[WardCode],"MAE")),"")</f>
        <v/>
      </c>
      <c r="I211" s="39" t="str">
        <f>IFERROR(IF(SUMIFS(tblDaily[Admissions],tblDaily[EntryDate],DATE(2026,6,4),tblDaily[WardCode],"FAE")=0,"",SUMIFS(tblDaily[Admissions],tblDaily[EntryDate],DATE(2026,6,4),tblDaily[WardCode],"FAE")),"")</f>
        <v/>
      </c>
      <c r="J211" s="39" t="str">
        <f>IFERROR(IF(SUMIFS(tblDaily[Discharges],tblDaily[EntryDate],DATE(2026,6,4),tblDaily[WardCode],"FAE")=0,"",SUMIFS(tblDaily[Discharges],tblDaily[EntryDate],DATE(2026,6,4),tblDaily[WardCode],"FAE")),"")</f>
        <v/>
      </c>
      <c r="K211" s="39" t="str">
        <f>IFERROR(IF(SUMIFS(tblDaily[Deaths],tblDaily[EntryDate],DATE(2026,6,4),tblDaily[WardCode],"FAE")=0,"",SUMIFS(tblDaily[Deaths],tblDaily[EntryDate],DATE(2026,6,4),tblDaily[WardCode],"FAE")),"")</f>
        <v/>
      </c>
      <c r="L211" s="39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39" t="str">
        <f>IFERROR(IF(SUMIFS(tblDaily[TransfersIn],tblDaily[EntryDate],DATE(2026,6,4),tblDaily[WardCode],"FAE")=0,"",SUMIFS(tblDaily[TransfersIn],tblDaily[EntryDate],DATE(2026,6,4),tblDaily[WardCode],"FAE")),"")</f>
        <v/>
      </c>
      <c r="N211" s="39" t="str">
        <f>IFERROR(IF(SUMIFS(tblDaily[TransfersOut],tblDaily[EntryDate],DATE(2026,6,4),tblDaily[WardCode],"FAE")=0,"",SUMIFS(tblDaily[TransfersOut],tblDaily[EntryDate],DATE(2026,6,4),tblDaily[WardCode],"FAE")),"")</f>
        <v/>
      </c>
      <c r="O211" s="39" t="str">
        <f>IFERROR(IF(SUMIFS(tblDaily[Remaining],tblDaily[EntryDate],DATE(2026,6,4),tblDaily[WardCode],"FAE")=0,"",SUMIFS(tblDaily[Remaining],tblDaily[EntryDate],DATE(2026,6,4),tblDaily[WardCode],"FAE")),"")</f>
        <v/>
      </c>
      <c r="P211" s="40" t="str">
        <f t="shared" si="5"/>
        <v/>
      </c>
    </row>
    <row r="212" spans="1:16" x14ac:dyDescent="0.25">
      <c r="A212" s="39">
        <v>5</v>
      </c>
      <c r="B212" s="39" t="str">
        <f>IFERROR(IF(SUMIFS(tblDaily[Admissions],tblDaily[EntryDate],DATE(2026,6,5),tblDaily[WardCode],"MAE")=0,"",SUMIFS(tblDaily[Admissions],tblDaily[EntryDate],DATE(2026,6,5),tblDaily[WardCode],"MAE")),"")</f>
        <v/>
      </c>
      <c r="C212" s="39" t="str">
        <f>IFERROR(IF(SUMIFS(tblDaily[Discharges],tblDaily[EntryDate],DATE(2026,6,5),tblDaily[WardCode],"MAE")=0,"",SUMIFS(tblDaily[Discharges],tblDaily[EntryDate],DATE(2026,6,5),tblDaily[WardCode],"MAE")),"")</f>
        <v/>
      </c>
      <c r="D212" s="39" t="str">
        <f>IFERROR(IF(SUMIFS(tblDaily[Deaths],tblDaily[EntryDate],DATE(2026,6,5),tblDaily[WardCode],"MAE")=0,"",SUMIFS(tblDaily[Deaths],tblDaily[EntryDate],DATE(2026,6,5),tblDaily[WardCode],"MAE")),"")</f>
        <v/>
      </c>
      <c r="E212" s="39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39" t="str">
        <f>IFERROR(IF(SUMIFS(tblDaily[TransfersIn],tblDaily[EntryDate],DATE(2026,6,5),tblDaily[WardCode],"MAE")=0,"",SUMIFS(tblDaily[TransfersIn],tblDaily[EntryDate],DATE(2026,6,5),tblDaily[WardCode],"MAE")),"")</f>
        <v/>
      </c>
      <c r="G212" s="39" t="str">
        <f>IFERROR(IF(SUMIFS(tblDaily[TransfersOut],tblDaily[EntryDate],DATE(2026,6,5),tblDaily[WardCode],"MAE")=0,"",SUMIFS(tblDaily[TransfersOut],tblDaily[EntryDate],DATE(2026,6,5),tblDaily[WardCode],"MAE")),"")</f>
        <v/>
      </c>
      <c r="H212" s="39" t="str">
        <f>IFERROR(IF(SUMIFS(tblDaily[Remaining],tblDaily[EntryDate],DATE(2026,6,5),tblDaily[WardCode],"MAE")=0,"",SUMIFS(tblDaily[Remaining],tblDaily[EntryDate],DATE(2026,6,5),tblDaily[WardCode],"MAE")),"")</f>
        <v/>
      </c>
      <c r="I212" s="39" t="str">
        <f>IFERROR(IF(SUMIFS(tblDaily[Admissions],tblDaily[EntryDate],DATE(2026,6,5),tblDaily[WardCode],"FAE")=0,"",SUMIFS(tblDaily[Admissions],tblDaily[EntryDate],DATE(2026,6,5),tblDaily[WardCode],"FAE")),"")</f>
        <v/>
      </c>
      <c r="J212" s="39" t="str">
        <f>IFERROR(IF(SUMIFS(tblDaily[Discharges],tblDaily[EntryDate],DATE(2026,6,5),tblDaily[WardCode],"FAE")=0,"",SUMIFS(tblDaily[Discharges],tblDaily[EntryDate],DATE(2026,6,5),tblDaily[WardCode],"FAE")),"")</f>
        <v/>
      </c>
      <c r="K212" s="39" t="str">
        <f>IFERROR(IF(SUMIFS(tblDaily[Deaths],tblDaily[EntryDate],DATE(2026,6,5),tblDaily[WardCode],"FAE")=0,"",SUMIFS(tblDaily[Deaths],tblDaily[EntryDate],DATE(2026,6,5),tblDaily[WardCode],"FAE")),"")</f>
        <v/>
      </c>
      <c r="L212" s="39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39" t="str">
        <f>IFERROR(IF(SUMIFS(tblDaily[TransfersIn],tblDaily[EntryDate],DATE(2026,6,5),tblDaily[WardCode],"FAE")=0,"",SUMIFS(tblDaily[TransfersIn],tblDaily[EntryDate],DATE(2026,6,5),tblDaily[WardCode],"FAE")),"")</f>
        <v/>
      </c>
      <c r="N212" s="39" t="str">
        <f>IFERROR(IF(SUMIFS(tblDaily[TransfersOut],tblDaily[EntryDate],DATE(2026,6,5),tblDaily[WardCode],"FAE")=0,"",SUMIFS(tblDaily[TransfersOut],tblDaily[EntryDate],DATE(2026,6,5),tblDaily[WardCode],"FAE")),"")</f>
        <v/>
      </c>
      <c r="O212" s="39" t="str">
        <f>IFERROR(IF(SUMIFS(tblDaily[Remaining],tblDaily[EntryDate],DATE(2026,6,5),tblDaily[WardCode],"FAE")=0,"",SUMIFS(tblDaily[Remaining],tblDaily[EntryDate],DATE(2026,6,5),tblDaily[WardCode],"FAE")),"")</f>
        <v/>
      </c>
      <c r="P212" s="40" t="str">
        <f t="shared" si="5"/>
        <v/>
      </c>
    </row>
    <row r="213" spans="1:16" x14ac:dyDescent="0.25">
      <c r="A213" s="39">
        <v>6</v>
      </c>
      <c r="B213" s="39" t="str">
        <f>IFERROR(IF(SUMIFS(tblDaily[Admissions],tblDaily[EntryDate],DATE(2026,6,6),tblDaily[WardCode],"MAE")=0,"",SUMIFS(tblDaily[Admissions],tblDaily[EntryDate],DATE(2026,6,6),tblDaily[WardCode],"MAE")),"")</f>
        <v/>
      </c>
      <c r="C213" s="39" t="str">
        <f>IFERROR(IF(SUMIFS(tblDaily[Discharges],tblDaily[EntryDate],DATE(2026,6,6),tblDaily[WardCode],"MAE")=0,"",SUMIFS(tblDaily[Discharges],tblDaily[EntryDate],DATE(2026,6,6),tblDaily[WardCode],"MAE")),"")</f>
        <v/>
      </c>
      <c r="D213" s="39" t="str">
        <f>IFERROR(IF(SUMIFS(tblDaily[Deaths],tblDaily[EntryDate],DATE(2026,6,6),tblDaily[WardCode],"MAE")=0,"",SUMIFS(tblDaily[Deaths],tblDaily[EntryDate],DATE(2026,6,6),tblDaily[WardCode],"MAE")),"")</f>
        <v/>
      </c>
      <c r="E213" s="39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39" t="str">
        <f>IFERROR(IF(SUMIFS(tblDaily[TransfersIn],tblDaily[EntryDate],DATE(2026,6,6),tblDaily[WardCode],"MAE")=0,"",SUMIFS(tblDaily[TransfersIn],tblDaily[EntryDate],DATE(2026,6,6),tblDaily[WardCode],"MAE")),"")</f>
        <v/>
      </c>
      <c r="G213" s="39" t="str">
        <f>IFERROR(IF(SUMIFS(tblDaily[TransfersOut],tblDaily[EntryDate],DATE(2026,6,6),tblDaily[WardCode],"MAE")=0,"",SUMIFS(tblDaily[TransfersOut],tblDaily[EntryDate],DATE(2026,6,6),tblDaily[WardCode],"MAE")),"")</f>
        <v/>
      </c>
      <c r="H213" s="39" t="str">
        <f>IFERROR(IF(SUMIFS(tblDaily[Remaining],tblDaily[EntryDate],DATE(2026,6,6),tblDaily[WardCode],"MAE")=0,"",SUMIFS(tblDaily[Remaining],tblDaily[EntryDate],DATE(2026,6,6),tblDaily[WardCode],"MAE")),"")</f>
        <v/>
      </c>
      <c r="I213" s="39" t="str">
        <f>IFERROR(IF(SUMIFS(tblDaily[Admissions],tblDaily[EntryDate],DATE(2026,6,6),tblDaily[WardCode],"FAE")=0,"",SUMIFS(tblDaily[Admissions],tblDaily[EntryDate],DATE(2026,6,6),tblDaily[WardCode],"FAE")),"")</f>
        <v/>
      </c>
      <c r="J213" s="39" t="str">
        <f>IFERROR(IF(SUMIFS(tblDaily[Discharges],tblDaily[EntryDate],DATE(2026,6,6),tblDaily[WardCode],"FAE")=0,"",SUMIFS(tblDaily[Discharges],tblDaily[EntryDate],DATE(2026,6,6),tblDaily[WardCode],"FAE")),"")</f>
        <v/>
      </c>
      <c r="K213" s="39" t="str">
        <f>IFERROR(IF(SUMIFS(tblDaily[Deaths],tblDaily[EntryDate],DATE(2026,6,6),tblDaily[WardCode],"FAE")=0,"",SUMIFS(tblDaily[Deaths],tblDaily[EntryDate],DATE(2026,6,6),tblDaily[WardCode],"FAE")),"")</f>
        <v/>
      </c>
      <c r="L213" s="39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39" t="str">
        <f>IFERROR(IF(SUMIFS(tblDaily[TransfersIn],tblDaily[EntryDate],DATE(2026,6,6),tblDaily[WardCode],"FAE")=0,"",SUMIFS(tblDaily[TransfersIn],tblDaily[EntryDate],DATE(2026,6,6),tblDaily[WardCode],"FAE")),"")</f>
        <v/>
      </c>
      <c r="N213" s="39" t="str">
        <f>IFERROR(IF(SUMIFS(tblDaily[TransfersOut],tblDaily[EntryDate],DATE(2026,6,6),tblDaily[WardCode],"FAE")=0,"",SUMIFS(tblDaily[TransfersOut],tblDaily[EntryDate],DATE(2026,6,6),tblDaily[WardCode],"FAE")),"")</f>
        <v/>
      </c>
      <c r="O213" s="39" t="str">
        <f>IFERROR(IF(SUMIFS(tblDaily[Remaining],tblDaily[EntryDate],DATE(2026,6,6),tblDaily[WardCode],"FAE")=0,"",SUMIFS(tblDaily[Remaining],tblDaily[EntryDate],DATE(2026,6,6),tblDaily[WardCode],"FAE")),"")</f>
        <v/>
      </c>
      <c r="P213" s="40" t="str">
        <f t="shared" si="5"/>
        <v/>
      </c>
    </row>
    <row r="214" spans="1:16" x14ac:dyDescent="0.25">
      <c r="A214" s="39">
        <v>7</v>
      </c>
      <c r="B214" s="39" t="str">
        <f>IFERROR(IF(SUMIFS(tblDaily[Admissions],tblDaily[EntryDate],DATE(2026,6,7),tblDaily[WardCode],"MAE")=0,"",SUMIFS(tblDaily[Admissions],tblDaily[EntryDate],DATE(2026,6,7),tblDaily[WardCode],"MAE")),"")</f>
        <v/>
      </c>
      <c r="C214" s="39" t="str">
        <f>IFERROR(IF(SUMIFS(tblDaily[Discharges],tblDaily[EntryDate],DATE(2026,6,7),tblDaily[WardCode],"MAE")=0,"",SUMIFS(tblDaily[Discharges],tblDaily[EntryDate],DATE(2026,6,7),tblDaily[WardCode],"MAE")),"")</f>
        <v/>
      </c>
      <c r="D214" s="39" t="str">
        <f>IFERROR(IF(SUMIFS(tblDaily[Deaths],tblDaily[EntryDate],DATE(2026,6,7),tblDaily[WardCode],"MAE")=0,"",SUMIFS(tblDaily[Deaths],tblDaily[EntryDate],DATE(2026,6,7),tblDaily[WardCode],"MAE")),"")</f>
        <v/>
      </c>
      <c r="E214" s="39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39" t="str">
        <f>IFERROR(IF(SUMIFS(tblDaily[TransfersIn],tblDaily[EntryDate],DATE(2026,6,7),tblDaily[WardCode],"MAE")=0,"",SUMIFS(tblDaily[TransfersIn],tblDaily[EntryDate],DATE(2026,6,7),tblDaily[WardCode],"MAE")),"")</f>
        <v/>
      </c>
      <c r="G214" s="39" t="str">
        <f>IFERROR(IF(SUMIFS(tblDaily[TransfersOut],tblDaily[EntryDate],DATE(2026,6,7),tblDaily[WardCode],"MAE")=0,"",SUMIFS(tblDaily[TransfersOut],tblDaily[EntryDate],DATE(2026,6,7),tblDaily[WardCode],"MAE")),"")</f>
        <v/>
      </c>
      <c r="H214" s="39" t="str">
        <f>IFERROR(IF(SUMIFS(tblDaily[Remaining],tblDaily[EntryDate],DATE(2026,6,7),tblDaily[WardCode],"MAE")=0,"",SUMIFS(tblDaily[Remaining],tblDaily[EntryDate],DATE(2026,6,7),tblDaily[WardCode],"MAE")),"")</f>
        <v/>
      </c>
      <c r="I214" s="39" t="str">
        <f>IFERROR(IF(SUMIFS(tblDaily[Admissions],tblDaily[EntryDate],DATE(2026,6,7),tblDaily[WardCode],"FAE")=0,"",SUMIFS(tblDaily[Admissions],tblDaily[EntryDate],DATE(2026,6,7),tblDaily[WardCode],"FAE")),"")</f>
        <v/>
      </c>
      <c r="J214" s="39" t="str">
        <f>IFERROR(IF(SUMIFS(tblDaily[Discharges],tblDaily[EntryDate],DATE(2026,6,7),tblDaily[WardCode],"FAE")=0,"",SUMIFS(tblDaily[Discharges],tblDaily[EntryDate],DATE(2026,6,7),tblDaily[WardCode],"FAE")),"")</f>
        <v/>
      </c>
      <c r="K214" s="39" t="str">
        <f>IFERROR(IF(SUMIFS(tblDaily[Deaths],tblDaily[EntryDate],DATE(2026,6,7),tblDaily[WardCode],"FAE")=0,"",SUMIFS(tblDaily[Deaths],tblDaily[EntryDate],DATE(2026,6,7),tblDaily[WardCode],"FAE")),"")</f>
        <v/>
      </c>
      <c r="L214" s="39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39" t="str">
        <f>IFERROR(IF(SUMIFS(tblDaily[TransfersIn],tblDaily[EntryDate],DATE(2026,6,7),tblDaily[WardCode],"FAE")=0,"",SUMIFS(tblDaily[TransfersIn],tblDaily[EntryDate],DATE(2026,6,7),tblDaily[WardCode],"FAE")),"")</f>
        <v/>
      </c>
      <c r="N214" s="39" t="str">
        <f>IFERROR(IF(SUMIFS(tblDaily[TransfersOut],tblDaily[EntryDate],DATE(2026,6,7),tblDaily[WardCode],"FAE")=0,"",SUMIFS(tblDaily[TransfersOut],tblDaily[EntryDate],DATE(2026,6,7),tblDaily[WardCode],"FAE")),"")</f>
        <v/>
      </c>
      <c r="O214" s="39" t="str">
        <f>IFERROR(IF(SUMIFS(tblDaily[Remaining],tblDaily[EntryDate],DATE(2026,6,7),tblDaily[WardCode],"FAE")=0,"",SUMIFS(tblDaily[Remaining],tblDaily[EntryDate],DATE(2026,6,7),tblDaily[WardCode],"FAE")),"")</f>
        <v/>
      </c>
      <c r="P214" s="40" t="str">
        <f t="shared" si="5"/>
        <v/>
      </c>
    </row>
    <row r="215" spans="1:16" x14ac:dyDescent="0.25">
      <c r="A215" s="39">
        <v>8</v>
      </c>
      <c r="B215" s="39" t="str">
        <f>IFERROR(IF(SUMIFS(tblDaily[Admissions],tblDaily[EntryDate],DATE(2026,6,8),tblDaily[WardCode],"MAE")=0,"",SUMIFS(tblDaily[Admissions],tblDaily[EntryDate],DATE(2026,6,8),tblDaily[WardCode],"MAE")),"")</f>
        <v/>
      </c>
      <c r="C215" s="39" t="str">
        <f>IFERROR(IF(SUMIFS(tblDaily[Discharges],tblDaily[EntryDate],DATE(2026,6,8),tblDaily[WardCode],"MAE")=0,"",SUMIFS(tblDaily[Discharges],tblDaily[EntryDate],DATE(2026,6,8),tblDaily[WardCode],"MAE")),"")</f>
        <v/>
      </c>
      <c r="D215" s="39" t="str">
        <f>IFERROR(IF(SUMIFS(tblDaily[Deaths],tblDaily[EntryDate],DATE(2026,6,8),tblDaily[WardCode],"MAE")=0,"",SUMIFS(tblDaily[Deaths],tblDaily[EntryDate],DATE(2026,6,8),tblDaily[WardCode],"MAE")),"")</f>
        <v/>
      </c>
      <c r="E215" s="39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39" t="str">
        <f>IFERROR(IF(SUMIFS(tblDaily[TransfersIn],tblDaily[EntryDate],DATE(2026,6,8),tblDaily[WardCode],"MAE")=0,"",SUMIFS(tblDaily[TransfersIn],tblDaily[EntryDate],DATE(2026,6,8),tblDaily[WardCode],"MAE")),"")</f>
        <v/>
      </c>
      <c r="G215" s="39" t="str">
        <f>IFERROR(IF(SUMIFS(tblDaily[TransfersOut],tblDaily[EntryDate],DATE(2026,6,8),tblDaily[WardCode],"MAE")=0,"",SUMIFS(tblDaily[TransfersOut],tblDaily[EntryDate],DATE(2026,6,8),tblDaily[WardCode],"MAE")),"")</f>
        <v/>
      </c>
      <c r="H215" s="39" t="str">
        <f>IFERROR(IF(SUMIFS(tblDaily[Remaining],tblDaily[EntryDate],DATE(2026,6,8),tblDaily[WardCode],"MAE")=0,"",SUMIFS(tblDaily[Remaining],tblDaily[EntryDate],DATE(2026,6,8),tblDaily[WardCode],"MAE")),"")</f>
        <v/>
      </c>
      <c r="I215" s="39" t="str">
        <f>IFERROR(IF(SUMIFS(tblDaily[Admissions],tblDaily[EntryDate],DATE(2026,6,8),tblDaily[WardCode],"FAE")=0,"",SUMIFS(tblDaily[Admissions],tblDaily[EntryDate],DATE(2026,6,8),tblDaily[WardCode],"FAE")),"")</f>
        <v/>
      </c>
      <c r="J215" s="39" t="str">
        <f>IFERROR(IF(SUMIFS(tblDaily[Discharges],tblDaily[EntryDate],DATE(2026,6,8),tblDaily[WardCode],"FAE")=0,"",SUMIFS(tblDaily[Discharges],tblDaily[EntryDate],DATE(2026,6,8),tblDaily[WardCode],"FAE")),"")</f>
        <v/>
      </c>
      <c r="K215" s="39" t="str">
        <f>IFERROR(IF(SUMIFS(tblDaily[Deaths],tblDaily[EntryDate],DATE(2026,6,8),tblDaily[WardCode],"FAE")=0,"",SUMIFS(tblDaily[Deaths],tblDaily[EntryDate],DATE(2026,6,8),tblDaily[WardCode],"FAE")),"")</f>
        <v/>
      </c>
      <c r="L215" s="39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39" t="str">
        <f>IFERROR(IF(SUMIFS(tblDaily[TransfersIn],tblDaily[EntryDate],DATE(2026,6,8),tblDaily[WardCode],"FAE")=0,"",SUMIFS(tblDaily[TransfersIn],tblDaily[EntryDate],DATE(2026,6,8),tblDaily[WardCode],"FAE")),"")</f>
        <v/>
      </c>
      <c r="N215" s="39" t="str">
        <f>IFERROR(IF(SUMIFS(tblDaily[TransfersOut],tblDaily[EntryDate],DATE(2026,6,8),tblDaily[WardCode],"FAE")=0,"",SUMIFS(tblDaily[TransfersOut],tblDaily[EntryDate],DATE(2026,6,8),tblDaily[WardCode],"FAE")),"")</f>
        <v/>
      </c>
      <c r="O215" s="39" t="str">
        <f>IFERROR(IF(SUMIFS(tblDaily[Remaining],tblDaily[EntryDate],DATE(2026,6,8),tblDaily[WardCode],"FAE")=0,"",SUMIFS(tblDaily[Remaining],tblDaily[EntryDate],DATE(2026,6,8),tblDaily[WardCode],"FAE")),"")</f>
        <v/>
      </c>
      <c r="P215" s="40" t="str">
        <f t="shared" si="5"/>
        <v/>
      </c>
    </row>
    <row r="216" spans="1:16" x14ac:dyDescent="0.25">
      <c r="A216" s="39">
        <v>9</v>
      </c>
      <c r="B216" s="39" t="str">
        <f>IFERROR(IF(SUMIFS(tblDaily[Admissions],tblDaily[EntryDate],DATE(2026,6,9),tblDaily[WardCode],"MAE")=0,"",SUMIFS(tblDaily[Admissions],tblDaily[EntryDate],DATE(2026,6,9),tblDaily[WardCode],"MAE")),"")</f>
        <v/>
      </c>
      <c r="C216" s="39" t="str">
        <f>IFERROR(IF(SUMIFS(tblDaily[Discharges],tblDaily[EntryDate],DATE(2026,6,9),tblDaily[WardCode],"MAE")=0,"",SUMIFS(tblDaily[Discharges],tblDaily[EntryDate],DATE(2026,6,9),tblDaily[WardCode],"MAE")),"")</f>
        <v/>
      </c>
      <c r="D216" s="39" t="str">
        <f>IFERROR(IF(SUMIFS(tblDaily[Deaths],tblDaily[EntryDate],DATE(2026,6,9),tblDaily[WardCode],"MAE")=0,"",SUMIFS(tblDaily[Deaths],tblDaily[EntryDate],DATE(2026,6,9),tblDaily[WardCode],"MAE")),"")</f>
        <v/>
      </c>
      <c r="E216" s="39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39" t="str">
        <f>IFERROR(IF(SUMIFS(tblDaily[TransfersIn],tblDaily[EntryDate],DATE(2026,6,9),tblDaily[WardCode],"MAE")=0,"",SUMIFS(tblDaily[TransfersIn],tblDaily[EntryDate],DATE(2026,6,9),tblDaily[WardCode],"MAE")),"")</f>
        <v/>
      </c>
      <c r="G216" s="39" t="str">
        <f>IFERROR(IF(SUMIFS(tblDaily[TransfersOut],tblDaily[EntryDate],DATE(2026,6,9),tblDaily[WardCode],"MAE")=0,"",SUMIFS(tblDaily[TransfersOut],tblDaily[EntryDate],DATE(2026,6,9),tblDaily[WardCode],"MAE")),"")</f>
        <v/>
      </c>
      <c r="H216" s="39" t="str">
        <f>IFERROR(IF(SUMIFS(tblDaily[Remaining],tblDaily[EntryDate],DATE(2026,6,9),tblDaily[WardCode],"MAE")=0,"",SUMIFS(tblDaily[Remaining],tblDaily[EntryDate],DATE(2026,6,9),tblDaily[WardCode],"MAE")),"")</f>
        <v/>
      </c>
      <c r="I216" s="39" t="str">
        <f>IFERROR(IF(SUMIFS(tblDaily[Admissions],tblDaily[EntryDate],DATE(2026,6,9),tblDaily[WardCode],"FAE")=0,"",SUMIFS(tblDaily[Admissions],tblDaily[EntryDate],DATE(2026,6,9),tblDaily[WardCode],"FAE")),"")</f>
        <v/>
      </c>
      <c r="J216" s="39" t="str">
        <f>IFERROR(IF(SUMIFS(tblDaily[Discharges],tblDaily[EntryDate],DATE(2026,6,9),tblDaily[WardCode],"FAE")=0,"",SUMIFS(tblDaily[Discharges],tblDaily[EntryDate],DATE(2026,6,9),tblDaily[WardCode],"FAE")),"")</f>
        <v/>
      </c>
      <c r="K216" s="39" t="str">
        <f>IFERROR(IF(SUMIFS(tblDaily[Deaths],tblDaily[EntryDate],DATE(2026,6,9),tblDaily[WardCode],"FAE")=0,"",SUMIFS(tblDaily[Deaths],tblDaily[EntryDate],DATE(2026,6,9),tblDaily[WardCode],"FAE")),"")</f>
        <v/>
      </c>
      <c r="L216" s="39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39" t="str">
        <f>IFERROR(IF(SUMIFS(tblDaily[TransfersIn],tblDaily[EntryDate],DATE(2026,6,9),tblDaily[WardCode],"FAE")=0,"",SUMIFS(tblDaily[TransfersIn],tblDaily[EntryDate],DATE(2026,6,9),tblDaily[WardCode],"FAE")),"")</f>
        <v/>
      </c>
      <c r="N216" s="39" t="str">
        <f>IFERROR(IF(SUMIFS(tblDaily[TransfersOut],tblDaily[EntryDate],DATE(2026,6,9),tblDaily[WardCode],"FAE")=0,"",SUMIFS(tblDaily[TransfersOut],tblDaily[EntryDate],DATE(2026,6,9),tblDaily[WardCode],"FAE")),"")</f>
        <v/>
      </c>
      <c r="O216" s="39" t="str">
        <f>IFERROR(IF(SUMIFS(tblDaily[Remaining],tblDaily[EntryDate],DATE(2026,6,9),tblDaily[WardCode],"FAE")=0,"",SUMIFS(tblDaily[Remaining],tblDaily[EntryDate],DATE(2026,6,9),tblDaily[WardCode],"FAE")),"")</f>
        <v/>
      </c>
      <c r="P216" s="40" t="str">
        <f t="shared" si="5"/>
        <v/>
      </c>
    </row>
    <row r="217" spans="1:16" x14ac:dyDescent="0.25">
      <c r="A217" s="39">
        <v>10</v>
      </c>
      <c r="B217" s="39" t="str">
        <f>IFERROR(IF(SUMIFS(tblDaily[Admissions],tblDaily[EntryDate],DATE(2026,6,10),tblDaily[WardCode],"MAE")=0,"",SUMIFS(tblDaily[Admissions],tblDaily[EntryDate],DATE(2026,6,10),tblDaily[WardCode],"MAE")),"")</f>
        <v/>
      </c>
      <c r="C217" s="39" t="str">
        <f>IFERROR(IF(SUMIFS(tblDaily[Discharges],tblDaily[EntryDate],DATE(2026,6,10),tblDaily[WardCode],"MAE")=0,"",SUMIFS(tblDaily[Discharges],tblDaily[EntryDate],DATE(2026,6,10),tblDaily[WardCode],"MAE")),"")</f>
        <v/>
      </c>
      <c r="D217" s="39" t="str">
        <f>IFERROR(IF(SUMIFS(tblDaily[Deaths],tblDaily[EntryDate],DATE(2026,6,10),tblDaily[WardCode],"MAE")=0,"",SUMIFS(tblDaily[Deaths],tblDaily[EntryDate],DATE(2026,6,10),tblDaily[WardCode],"MAE")),"")</f>
        <v/>
      </c>
      <c r="E217" s="39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39" t="str">
        <f>IFERROR(IF(SUMIFS(tblDaily[TransfersIn],tblDaily[EntryDate],DATE(2026,6,10),tblDaily[WardCode],"MAE")=0,"",SUMIFS(tblDaily[TransfersIn],tblDaily[EntryDate],DATE(2026,6,10),tblDaily[WardCode],"MAE")),"")</f>
        <v/>
      </c>
      <c r="G217" s="39" t="str">
        <f>IFERROR(IF(SUMIFS(tblDaily[TransfersOut],tblDaily[EntryDate],DATE(2026,6,10),tblDaily[WardCode],"MAE")=0,"",SUMIFS(tblDaily[TransfersOut],tblDaily[EntryDate],DATE(2026,6,10),tblDaily[WardCode],"MAE")),"")</f>
        <v/>
      </c>
      <c r="H217" s="39" t="str">
        <f>IFERROR(IF(SUMIFS(tblDaily[Remaining],tblDaily[EntryDate],DATE(2026,6,10),tblDaily[WardCode],"MAE")=0,"",SUMIFS(tblDaily[Remaining],tblDaily[EntryDate],DATE(2026,6,10),tblDaily[WardCode],"MAE")),"")</f>
        <v/>
      </c>
      <c r="I217" s="39" t="str">
        <f>IFERROR(IF(SUMIFS(tblDaily[Admissions],tblDaily[EntryDate],DATE(2026,6,10),tblDaily[WardCode],"FAE")=0,"",SUMIFS(tblDaily[Admissions],tblDaily[EntryDate],DATE(2026,6,10),tblDaily[WardCode],"FAE")),"")</f>
        <v/>
      </c>
      <c r="J217" s="39" t="str">
        <f>IFERROR(IF(SUMIFS(tblDaily[Discharges],tblDaily[EntryDate],DATE(2026,6,10),tblDaily[WardCode],"FAE")=0,"",SUMIFS(tblDaily[Discharges],tblDaily[EntryDate],DATE(2026,6,10),tblDaily[WardCode],"FAE")),"")</f>
        <v/>
      </c>
      <c r="K217" s="39" t="str">
        <f>IFERROR(IF(SUMIFS(tblDaily[Deaths],tblDaily[EntryDate],DATE(2026,6,10),tblDaily[WardCode],"FAE")=0,"",SUMIFS(tblDaily[Deaths],tblDaily[EntryDate],DATE(2026,6,10),tblDaily[WardCode],"FAE")),"")</f>
        <v/>
      </c>
      <c r="L217" s="39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39" t="str">
        <f>IFERROR(IF(SUMIFS(tblDaily[TransfersIn],tblDaily[EntryDate],DATE(2026,6,10),tblDaily[WardCode],"FAE")=0,"",SUMIFS(tblDaily[TransfersIn],tblDaily[EntryDate],DATE(2026,6,10),tblDaily[WardCode],"FAE")),"")</f>
        <v/>
      </c>
      <c r="N217" s="39" t="str">
        <f>IFERROR(IF(SUMIFS(tblDaily[TransfersOut],tblDaily[EntryDate],DATE(2026,6,10),tblDaily[WardCode],"FAE")=0,"",SUMIFS(tblDaily[TransfersOut],tblDaily[EntryDate],DATE(2026,6,10),tblDaily[WardCode],"FAE")),"")</f>
        <v/>
      </c>
      <c r="O217" s="39" t="str">
        <f>IFERROR(IF(SUMIFS(tblDaily[Remaining],tblDaily[EntryDate],DATE(2026,6,10),tblDaily[WardCode],"FAE")=0,"",SUMIFS(tblDaily[Remaining],tblDaily[EntryDate],DATE(2026,6,10),tblDaily[WardCode],"FAE")),"")</f>
        <v/>
      </c>
      <c r="P217" s="40" t="str">
        <f t="shared" si="5"/>
        <v/>
      </c>
    </row>
    <row r="218" spans="1:16" x14ac:dyDescent="0.25">
      <c r="A218" s="39">
        <v>11</v>
      </c>
      <c r="B218" s="39" t="str">
        <f>IFERROR(IF(SUMIFS(tblDaily[Admissions],tblDaily[EntryDate],DATE(2026,6,11),tblDaily[WardCode],"MAE")=0,"",SUMIFS(tblDaily[Admissions],tblDaily[EntryDate],DATE(2026,6,11),tblDaily[WardCode],"MAE")),"")</f>
        <v/>
      </c>
      <c r="C218" s="39" t="str">
        <f>IFERROR(IF(SUMIFS(tblDaily[Discharges],tblDaily[EntryDate],DATE(2026,6,11),tblDaily[WardCode],"MAE")=0,"",SUMIFS(tblDaily[Discharges],tblDaily[EntryDate],DATE(2026,6,11),tblDaily[WardCode],"MAE")),"")</f>
        <v/>
      </c>
      <c r="D218" s="39" t="str">
        <f>IFERROR(IF(SUMIFS(tblDaily[Deaths],tblDaily[EntryDate],DATE(2026,6,11),tblDaily[WardCode],"MAE")=0,"",SUMIFS(tblDaily[Deaths],tblDaily[EntryDate],DATE(2026,6,11),tblDaily[WardCode],"MAE")),"")</f>
        <v/>
      </c>
      <c r="E218" s="39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39" t="str">
        <f>IFERROR(IF(SUMIFS(tblDaily[TransfersIn],tblDaily[EntryDate],DATE(2026,6,11),tblDaily[WardCode],"MAE")=0,"",SUMIFS(tblDaily[TransfersIn],tblDaily[EntryDate],DATE(2026,6,11),tblDaily[WardCode],"MAE")),"")</f>
        <v/>
      </c>
      <c r="G218" s="39" t="str">
        <f>IFERROR(IF(SUMIFS(tblDaily[TransfersOut],tblDaily[EntryDate],DATE(2026,6,11),tblDaily[WardCode],"MAE")=0,"",SUMIFS(tblDaily[TransfersOut],tblDaily[EntryDate],DATE(2026,6,11),tblDaily[WardCode],"MAE")),"")</f>
        <v/>
      </c>
      <c r="H218" s="39" t="str">
        <f>IFERROR(IF(SUMIFS(tblDaily[Remaining],tblDaily[EntryDate],DATE(2026,6,11),tblDaily[WardCode],"MAE")=0,"",SUMIFS(tblDaily[Remaining],tblDaily[EntryDate],DATE(2026,6,11),tblDaily[WardCode],"MAE")),"")</f>
        <v/>
      </c>
      <c r="I218" s="39" t="str">
        <f>IFERROR(IF(SUMIFS(tblDaily[Admissions],tblDaily[EntryDate],DATE(2026,6,11),tblDaily[WardCode],"FAE")=0,"",SUMIFS(tblDaily[Admissions],tblDaily[EntryDate],DATE(2026,6,11),tblDaily[WardCode],"FAE")),"")</f>
        <v/>
      </c>
      <c r="J218" s="39" t="str">
        <f>IFERROR(IF(SUMIFS(tblDaily[Discharges],tblDaily[EntryDate],DATE(2026,6,11),tblDaily[WardCode],"FAE")=0,"",SUMIFS(tblDaily[Discharges],tblDaily[EntryDate],DATE(2026,6,11),tblDaily[WardCode],"FAE")),"")</f>
        <v/>
      </c>
      <c r="K218" s="39" t="str">
        <f>IFERROR(IF(SUMIFS(tblDaily[Deaths],tblDaily[EntryDate],DATE(2026,6,11),tblDaily[WardCode],"FAE")=0,"",SUMIFS(tblDaily[Deaths],tblDaily[EntryDate],DATE(2026,6,11),tblDaily[WardCode],"FAE")),"")</f>
        <v/>
      </c>
      <c r="L218" s="39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39" t="str">
        <f>IFERROR(IF(SUMIFS(tblDaily[TransfersIn],tblDaily[EntryDate],DATE(2026,6,11),tblDaily[WardCode],"FAE")=0,"",SUMIFS(tblDaily[TransfersIn],tblDaily[EntryDate],DATE(2026,6,11),tblDaily[WardCode],"FAE")),"")</f>
        <v/>
      </c>
      <c r="N218" s="39" t="str">
        <f>IFERROR(IF(SUMIFS(tblDaily[TransfersOut],tblDaily[EntryDate],DATE(2026,6,11),tblDaily[WardCode],"FAE")=0,"",SUMIFS(tblDaily[TransfersOut],tblDaily[EntryDate],DATE(2026,6,11),tblDaily[WardCode],"FAE")),"")</f>
        <v/>
      </c>
      <c r="O218" s="39" t="str">
        <f>IFERROR(IF(SUMIFS(tblDaily[Remaining],tblDaily[EntryDate],DATE(2026,6,11),tblDaily[WardCode],"FAE")=0,"",SUMIFS(tblDaily[Remaining],tblDaily[EntryDate],DATE(2026,6,11),tblDaily[WardCode],"FAE")),"")</f>
        <v/>
      </c>
      <c r="P218" s="40" t="str">
        <f t="shared" si="5"/>
        <v/>
      </c>
    </row>
    <row r="219" spans="1:16" x14ac:dyDescent="0.25">
      <c r="A219" s="39">
        <v>12</v>
      </c>
      <c r="B219" s="39" t="str">
        <f>IFERROR(IF(SUMIFS(tblDaily[Admissions],tblDaily[EntryDate],DATE(2026,6,12),tblDaily[WardCode],"MAE")=0,"",SUMIFS(tblDaily[Admissions],tblDaily[EntryDate],DATE(2026,6,12),tblDaily[WardCode],"MAE")),"")</f>
        <v/>
      </c>
      <c r="C219" s="39" t="str">
        <f>IFERROR(IF(SUMIFS(tblDaily[Discharges],tblDaily[EntryDate],DATE(2026,6,12),tblDaily[WardCode],"MAE")=0,"",SUMIFS(tblDaily[Discharges],tblDaily[EntryDate],DATE(2026,6,12),tblDaily[WardCode],"MAE")),"")</f>
        <v/>
      </c>
      <c r="D219" s="39" t="str">
        <f>IFERROR(IF(SUMIFS(tblDaily[Deaths],tblDaily[EntryDate],DATE(2026,6,12),tblDaily[WardCode],"MAE")=0,"",SUMIFS(tblDaily[Deaths],tblDaily[EntryDate],DATE(2026,6,12),tblDaily[WardCode],"MAE")),"")</f>
        <v/>
      </c>
      <c r="E219" s="39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39" t="str">
        <f>IFERROR(IF(SUMIFS(tblDaily[TransfersIn],tblDaily[EntryDate],DATE(2026,6,12),tblDaily[WardCode],"MAE")=0,"",SUMIFS(tblDaily[TransfersIn],tblDaily[EntryDate],DATE(2026,6,12),tblDaily[WardCode],"MAE")),"")</f>
        <v/>
      </c>
      <c r="G219" s="39" t="str">
        <f>IFERROR(IF(SUMIFS(tblDaily[TransfersOut],tblDaily[EntryDate],DATE(2026,6,12),tblDaily[WardCode],"MAE")=0,"",SUMIFS(tblDaily[TransfersOut],tblDaily[EntryDate],DATE(2026,6,12),tblDaily[WardCode],"MAE")),"")</f>
        <v/>
      </c>
      <c r="H219" s="39" t="str">
        <f>IFERROR(IF(SUMIFS(tblDaily[Remaining],tblDaily[EntryDate],DATE(2026,6,12),tblDaily[WardCode],"MAE")=0,"",SUMIFS(tblDaily[Remaining],tblDaily[EntryDate],DATE(2026,6,12),tblDaily[WardCode],"MAE")),"")</f>
        <v/>
      </c>
      <c r="I219" s="39" t="str">
        <f>IFERROR(IF(SUMIFS(tblDaily[Admissions],tblDaily[EntryDate],DATE(2026,6,12),tblDaily[WardCode],"FAE")=0,"",SUMIFS(tblDaily[Admissions],tblDaily[EntryDate],DATE(2026,6,12),tblDaily[WardCode],"FAE")),"")</f>
        <v/>
      </c>
      <c r="J219" s="39" t="str">
        <f>IFERROR(IF(SUMIFS(tblDaily[Discharges],tblDaily[EntryDate],DATE(2026,6,12),tblDaily[WardCode],"FAE")=0,"",SUMIFS(tblDaily[Discharges],tblDaily[EntryDate],DATE(2026,6,12),tblDaily[WardCode],"FAE")),"")</f>
        <v/>
      </c>
      <c r="K219" s="39" t="str">
        <f>IFERROR(IF(SUMIFS(tblDaily[Deaths],tblDaily[EntryDate],DATE(2026,6,12),tblDaily[WardCode],"FAE")=0,"",SUMIFS(tblDaily[Deaths],tblDaily[EntryDate],DATE(2026,6,12),tblDaily[WardCode],"FAE")),"")</f>
        <v/>
      </c>
      <c r="L219" s="39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39" t="str">
        <f>IFERROR(IF(SUMIFS(tblDaily[TransfersIn],tblDaily[EntryDate],DATE(2026,6,12),tblDaily[WardCode],"FAE")=0,"",SUMIFS(tblDaily[TransfersIn],tblDaily[EntryDate],DATE(2026,6,12),tblDaily[WardCode],"FAE")),"")</f>
        <v/>
      </c>
      <c r="N219" s="39" t="str">
        <f>IFERROR(IF(SUMIFS(tblDaily[TransfersOut],tblDaily[EntryDate],DATE(2026,6,12),tblDaily[WardCode],"FAE")=0,"",SUMIFS(tblDaily[TransfersOut],tblDaily[EntryDate],DATE(2026,6,12),tblDaily[WardCode],"FAE")),"")</f>
        <v/>
      </c>
      <c r="O219" s="39" t="str">
        <f>IFERROR(IF(SUMIFS(tblDaily[Remaining],tblDaily[EntryDate],DATE(2026,6,12),tblDaily[WardCode],"FAE")=0,"",SUMIFS(tblDaily[Remaining],tblDaily[EntryDate],DATE(2026,6,12),tblDaily[WardCode],"FAE")),"")</f>
        <v/>
      </c>
      <c r="P219" s="40" t="str">
        <f t="shared" si="5"/>
        <v/>
      </c>
    </row>
    <row r="220" spans="1:16" x14ac:dyDescent="0.25">
      <c r="A220" s="39">
        <v>13</v>
      </c>
      <c r="B220" s="39" t="str">
        <f>IFERROR(IF(SUMIFS(tblDaily[Admissions],tblDaily[EntryDate],DATE(2026,6,13),tblDaily[WardCode],"MAE")=0,"",SUMIFS(tblDaily[Admissions],tblDaily[EntryDate],DATE(2026,6,13),tblDaily[WardCode],"MAE")),"")</f>
        <v/>
      </c>
      <c r="C220" s="39" t="str">
        <f>IFERROR(IF(SUMIFS(tblDaily[Discharges],tblDaily[EntryDate],DATE(2026,6,13),tblDaily[WardCode],"MAE")=0,"",SUMIFS(tblDaily[Discharges],tblDaily[EntryDate],DATE(2026,6,13),tblDaily[WardCode],"MAE")),"")</f>
        <v/>
      </c>
      <c r="D220" s="39" t="str">
        <f>IFERROR(IF(SUMIFS(tblDaily[Deaths],tblDaily[EntryDate],DATE(2026,6,13),tblDaily[WardCode],"MAE")=0,"",SUMIFS(tblDaily[Deaths],tblDaily[EntryDate],DATE(2026,6,13),tblDaily[WardCode],"MAE")),"")</f>
        <v/>
      </c>
      <c r="E220" s="39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39" t="str">
        <f>IFERROR(IF(SUMIFS(tblDaily[TransfersIn],tblDaily[EntryDate],DATE(2026,6,13),tblDaily[WardCode],"MAE")=0,"",SUMIFS(tblDaily[TransfersIn],tblDaily[EntryDate],DATE(2026,6,13),tblDaily[WardCode],"MAE")),"")</f>
        <v/>
      </c>
      <c r="G220" s="39" t="str">
        <f>IFERROR(IF(SUMIFS(tblDaily[TransfersOut],tblDaily[EntryDate],DATE(2026,6,13),tblDaily[WardCode],"MAE")=0,"",SUMIFS(tblDaily[TransfersOut],tblDaily[EntryDate],DATE(2026,6,13),tblDaily[WardCode],"MAE")),"")</f>
        <v/>
      </c>
      <c r="H220" s="39" t="str">
        <f>IFERROR(IF(SUMIFS(tblDaily[Remaining],tblDaily[EntryDate],DATE(2026,6,13),tblDaily[WardCode],"MAE")=0,"",SUMIFS(tblDaily[Remaining],tblDaily[EntryDate],DATE(2026,6,13),tblDaily[WardCode],"MAE")),"")</f>
        <v/>
      </c>
      <c r="I220" s="39" t="str">
        <f>IFERROR(IF(SUMIFS(tblDaily[Admissions],tblDaily[EntryDate],DATE(2026,6,13),tblDaily[WardCode],"FAE")=0,"",SUMIFS(tblDaily[Admissions],tblDaily[EntryDate],DATE(2026,6,13),tblDaily[WardCode],"FAE")),"")</f>
        <v/>
      </c>
      <c r="J220" s="39" t="str">
        <f>IFERROR(IF(SUMIFS(tblDaily[Discharges],tblDaily[EntryDate],DATE(2026,6,13),tblDaily[WardCode],"FAE")=0,"",SUMIFS(tblDaily[Discharges],tblDaily[EntryDate],DATE(2026,6,13),tblDaily[WardCode],"FAE")),"")</f>
        <v/>
      </c>
      <c r="K220" s="39" t="str">
        <f>IFERROR(IF(SUMIFS(tblDaily[Deaths],tblDaily[EntryDate],DATE(2026,6,13),tblDaily[WardCode],"FAE")=0,"",SUMIFS(tblDaily[Deaths],tblDaily[EntryDate],DATE(2026,6,13),tblDaily[WardCode],"FAE")),"")</f>
        <v/>
      </c>
      <c r="L220" s="39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39" t="str">
        <f>IFERROR(IF(SUMIFS(tblDaily[TransfersIn],tblDaily[EntryDate],DATE(2026,6,13),tblDaily[WardCode],"FAE")=0,"",SUMIFS(tblDaily[TransfersIn],tblDaily[EntryDate],DATE(2026,6,13),tblDaily[WardCode],"FAE")),"")</f>
        <v/>
      </c>
      <c r="N220" s="39" t="str">
        <f>IFERROR(IF(SUMIFS(tblDaily[TransfersOut],tblDaily[EntryDate],DATE(2026,6,13),tblDaily[WardCode],"FAE")=0,"",SUMIFS(tblDaily[TransfersOut],tblDaily[EntryDate],DATE(2026,6,13),tblDaily[WardCode],"FAE")),"")</f>
        <v/>
      </c>
      <c r="O220" s="39" t="str">
        <f>IFERROR(IF(SUMIFS(tblDaily[Remaining],tblDaily[EntryDate],DATE(2026,6,13),tblDaily[WardCode],"FAE")=0,"",SUMIFS(tblDaily[Remaining],tblDaily[EntryDate],DATE(2026,6,13),tblDaily[WardCode],"FAE")),"")</f>
        <v/>
      </c>
      <c r="P220" s="40" t="str">
        <f t="shared" si="5"/>
        <v/>
      </c>
    </row>
    <row r="221" spans="1:16" x14ac:dyDescent="0.25">
      <c r="A221" s="39">
        <v>14</v>
      </c>
      <c r="B221" s="39" t="str">
        <f>IFERROR(IF(SUMIFS(tblDaily[Admissions],tblDaily[EntryDate],DATE(2026,6,14),tblDaily[WardCode],"MAE")=0,"",SUMIFS(tblDaily[Admissions],tblDaily[EntryDate],DATE(2026,6,14),tblDaily[WardCode],"MAE")),"")</f>
        <v/>
      </c>
      <c r="C221" s="39" t="str">
        <f>IFERROR(IF(SUMIFS(tblDaily[Discharges],tblDaily[EntryDate],DATE(2026,6,14),tblDaily[WardCode],"MAE")=0,"",SUMIFS(tblDaily[Discharges],tblDaily[EntryDate],DATE(2026,6,14),tblDaily[WardCode],"MAE")),"")</f>
        <v/>
      </c>
      <c r="D221" s="39" t="str">
        <f>IFERROR(IF(SUMIFS(tblDaily[Deaths],tblDaily[EntryDate],DATE(2026,6,14),tblDaily[WardCode],"MAE")=0,"",SUMIFS(tblDaily[Deaths],tblDaily[EntryDate],DATE(2026,6,14),tblDaily[WardCode],"MAE")),"")</f>
        <v/>
      </c>
      <c r="E221" s="39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39" t="str">
        <f>IFERROR(IF(SUMIFS(tblDaily[TransfersIn],tblDaily[EntryDate],DATE(2026,6,14),tblDaily[WardCode],"MAE")=0,"",SUMIFS(tblDaily[TransfersIn],tblDaily[EntryDate],DATE(2026,6,14),tblDaily[WardCode],"MAE")),"")</f>
        <v/>
      </c>
      <c r="G221" s="39" t="str">
        <f>IFERROR(IF(SUMIFS(tblDaily[TransfersOut],tblDaily[EntryDate],DATE(2026,6,14),tblDaily[WardCode],"MAE")=0,"",SUMIFS(tblDaily[TransfersOut],tblDaily[EntryDate],DATE(2026,6,14),tblDaily[WardCode],"MAE")),"")</f>
        <v/>
      </c>
      <c r="H221" s="39" t="str">
        <f>IFERROR(IF(SUMIFS(tblDaily[Remaining],tblDaily[EntryDate],DATE(2026,6,14),tblDaily[WardCode],"MAE")=0,"",SUMIFS(tblDaily[Remaining],tblDaily[EntryDate],DATE(2026,6,14),tblDaily[WardCode],"MAE")),"")</f>
        <v/>
      </c>
      <c r="I221" s="39" t="str">
        <f>IFERROR(IF(SUMIFS(tblDaily[Admissions],tblDaily[EntryDate],DATE(2026,6,14),tblDaily[WardCode],"FAE")=0,"",SUMIFS(tblDaily[Admissions],tblDaily[EntryDate],DATE(2026,6,14),tblDaily[WardCode],"FAE")),"")</f>
        <v/>
      </c>
      <c r="J221" s="39" t="str">
        <f>IFERROR(IF(SUMIFS(tblDaily[Discharges],tblDaily[EntryDate],DATE(2026,6,14),tblDaily[WardCode],"FAE")=0,"",SUMIFS(tblDaily[Discharges],tblDaily[EntryDate],DATE(2026,6,14),tblDaily[WardCode],"FAE")),"")</f>
        <v/>
      </c>
      <c r="K221" s="39" t="str">
        <f>IFERROR(IF(SUMIFS(tblDaily[Deaths],tblDaily[EntryDate],DATE(2026,6,14),tblDaily[WardCode],"FAE")=0,"",SUMIFS(tblDaily[Deaths],tblDaily[EntryDate],DATE(2026,6,14),tblDaily[WardCode],"FAE")),"")</f>
        <v/>
      </c>
      <c r="L221" s="39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39" t="str">
        <f>IFERROR(IF(SUMIFS(tblDaily[TransfersIn],tblDaily[EntryDate],DATE(2026,6,14),tblDaily[WardCode],"FAE")=0,"",SUMIFS(tblDaily[TransfersIn],tblDaily[EntryDate],DATE(2026,6,14),tblDaily[WardCode],"FAE")),"")</f>
        <v/>
      </c>
      <c r="N221" s="39" t="str">
        <f>IFERROR(IF(SUMIFS(tblDaily[TransfersOut],tblDaily[EntryDate],DATE(2026,6,14),tblDaily[WardCode],"FAE")=0,"",SUMIFS(tblDaily[TransfersOut],tblDaily[EntryDate],DATE(2026,6,14),tblDaily[WardCode],"FAE")),"")</f>
        <v/>
      </c>
      <c r="O221" s="39" t="str">
        <f>IFERROR(IF(SUMIFS(tblDaily[Remaining],tblDaily[EntryDate],DATE(2026,6,14),tblDaily[WardCode],"FAE")=0,"",SUMIFS(tblDaily[Remaining],tblDaily[EntryDate],DATE(2026,6,14),tblDaily[WardCode],"FAE")),"")</f>
        <v/>
      </c>
      <c r="P221" s="40" t="str">
        <f t="shared" si="5"/>
        <v/>
      </c>
    </row>
    <row r="222" spans="1:16" x14ac:dyDescent="0.25">
      <c r="A222" s="39">
        <v>15</v>
      </c>
      <c r="B222" s="39" t="str">
        <f>IFERROR(IF(SUMIFS(tblDaily[Admissions],tblDaily[EntryDate],DATE(2026,6,15),tblDaily[WardCode],"MAE")=0,"",SUMIFS(tblDaily[Admissions],tblDaily[EntryDate],DATE(2026,6,15),tblDaily[WardCode],"MAE")),"")</f>
        <v/>
      </c>
      <c r="C222" s="39" t="str">
        <f>IFERROR(IF(SUMIFS(tblDaily[Discharges],tblDaily[EntryDate],DATE(2026,6,15),tblDaily[WardCode],"MAE")=0,"",SUMIFS(tblDaily[Discharges],tblDaily[EntryDate],DATE(2026,6,15),tblDaily[WardCode],"MAE")),"")</f>
        <v/>
      </c>
      <c r="D222" s="39" t="str">
        <f>IFERROR(IF(SUMIFS(tblDaily[Deaths],tblDaily[EntryDate],DATE(2026,6,15),tblDaily[WardCode],"MAE")=0,"",SUMIFS(tblDaily[Deaths],tblDaily[EntryDate],DATE(2026,6,15),tblDaily[WardCode],"MAE")),"")</f>
        <v/>
      </c>
      <c r="E222" s="39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39" t="str">
        <f>IFERROR(IF(SUMIFS(tblDaily[TransfersIn],tblDaily[EntryDate],DATE(2026,6,15),tblDaily[WardCode],"MAE")=0,"",SUMIFS(tblDaily[TransfersIn],tblDaily[EntryDate],DATE(2026,6,15),tblDaily[WardCode],"MAE")),"")</f>
        <v/>
      </c>
      <c r="G222" s="39" t="str">
        <f>IFERROR(IF(SUMIFS(tblDaily[TransfersOut],tblDaily[EntryDate],DATE(2026,6,15),tblDaily[WardCode],"MAE")=0,"",SUMIFS(tblDaily[TransfersOut],tblDaily[EntryDate],DATE(2026,6,15),tblDaily[WardCode],"MAE")),"")</f>
        <v/>
      </c>
      <c r="H222" s="39" t="str">
        <f>IFERROR(IF(SUMIFS(tblDaily[Remaining],tblDaily[EntryDate],DATE(2026,6,15),tblDaily[WardCode],"MAE")=0,"",SUMIFS(tblDaily[Remaining],tblDaily[EntryDate],DATE(2026,6,15),tblDaily[WardCode],"MAE")),"")</f>
        <v/>
      </c>
      <c r="I222" s="39" t="str">
        <f>IFERROR(IF(SUMIFS(tblDaily[Admissions],tblDaily[EntryDate],DATE(2026,6,15),tblDaily[WardCode],"FAE")=0,"",SUMIFS(tblDaily[Admissions],tblDaily[EntryDate],DATE(2026,6,15),tblDaily[WardCode],"FAE")),"")</f>
        <v/>
      </c>
      <c r="J222" s="39" t="str">
        <f>IFERROR(IF(SUMIFS(tblDaily[Discharges],tblDaily[EntryDate],DATE(2026,6,15),tblDaily[WardCode],"FAE")=0,"",SUMIFS(tblDaily[Discharges],tblDaily[EntryDate],DATE(2026,6,15),tblDaily[WardCode],"FAE")),"")</f>
        <v/>
      </c>
      <c r="K222" s="39" t="str">
        <f>IFERROR(IF(SUMIFS(tblDaily[Deaths],tblDaily[EntryDate],DATE(2026,6,15),tblDaily[WardCode],"FAE")=0,"",SUMIFS(tblDaily[Deaths],tblDaily[EntryDate],DATE(2026,6,15),tblDaily[WardCode],"FAE")),"")</f>
        <v/>
      </c>
      <c r="L222" s="39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39" t="str">
        <f>IFERROR(IF(SUMIFS(tblDaily[TransfersIn],tblDaily[EntryDate],DATE(2026,6,15),tblDaily[WardCode],"FAE")=0,"",SUMIFS(tblDaily[TransfersIn],tblDaily[EntryDate],DATE(2026,6,15),tblDaily[WardCode],"FAE")),"")</f>
        <v/>
      </c>
      <c r="N222" s="39" t="str">
        <f>IFERROR(IF(SUMIFS(tblDaily[TransfersOut],tblDaily[EntryDate],DATE(2026,6,15),tblDaily[WardCode],"FAE")=0,"",SUMIFS(tblDaily[TransfersOut],tblDaily[EntryDate],DATE(2026,6,15),tblDaily[WardCode],"FAE")),"")</f>
        <v/>
      </c>
      <c r="O222" s="39" t="str">
        <f>IFERROR(IF(SUMIFS(tblDaily[Remaining],tblDaily[EntryDate],DATE(2026,6,15),tblDaily[WardCode],"FAE")=0,"",SUMIFS(tblDaily[Remaining],tblDaily[EntryDate],DATE(2026,6,15),tblDaily[WardCode],"FAE")),"")</f>
        <v/>
      </c>
      <c r="P222" s="40" t="str">
        <f t="shared" si="5"/>
        <v/>
      </c>
    </row>
    <row r="223" spans="1:16" x14ac:dyDescent="0.25">
      <c r="A223" s="39">
        <v>16</v>
      </c>
      <c r="B223" s="39" t="str">
        <f>IFERROR(IF(SUMIFS(tblDaily[Admissions],tblDaily[EntryDate],DATE(2026,6,16),tblDaily[WardCode],"MAE")=0,"",SUMIFS(tblDaily[Admissions],tblDaily[EntryDate],DATE(2026,6,16),tblDaily[WardCode],"MAE")),"")</f>
        <v/>
      </c>
      <c r="C223" s="39" t="str">
        <f>IFERROR(IF(SUMIFS(tblDaily[Discharges],tblDaily[EntryDate],DATE(2026,6,16),tblDaily[WardCode],"MAE")=0,"",SUMIFS(tblDaily[Discharges],tblDaily[EntryDate],DATE(2026,6,16),tblDaily[WardCode],"MAE")),"")</f>
        <v/>
      </c>
      <c r="D223" s="39" t="str">
        <f>IFERROR(IF(SUMIFS(tblDaily[Deaths],tblDaily[EntryDate],DATE(2026,6,16),tblDaily[WardCode],"MAE")=0,"",SUMIFS(tblDaily[Deaths],tblDaily[EntryDate],DATE(2026,6,16),tblDaily[WardCode],"MAE")),"")</f>
        <v/>
      </c>
      <c r="E223" s="39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39" t="str">
        <f>IFERROR(IF(SUMIFS(tblDaily[TransfersIn],tblDaily[EntryDate],DATE(2026,6,16),tblDaily[WardCode],"MAE")=0,"",SUMIFS(tblDaily[TransfersIn],tblDaily[EntryDate],DATE(2026,6,16),tblDaily[WardCode],"MAE")),"")</f>
        <v/>
      </c>
      <c r="G223" s="39" t="str">
        <f>IFERROR(IF(SUMIFS(tblDaily[TransfersOut],tblDaily[EntryDate],DATE(2026,6,16),tblDaily[WardCode],"MAE")=0,"",SUMIFS(tblDaily[TransfersOut],tblDaily[EntryDate],DATE(2026,6,16),tblDaily[WardCode],"MAE")),"")</f>
        <v/>
      </c>
      <c r="H223" s="39" t="str">
        <f>IFERROR(IF(SUMIFS(tblDaily[Remaining],tblDaily[EntryDate],DATE(2026,6,16),tblDaily[WardCode],"MAE")=0,"",SUMIFS(tblDaily[Remaining],tblDaily[EntryDate],DATE(2026,6,16),tblDaily[WardCode],"MAE")),"")</f>
        <v/>
      </c>
      <c r="I223" s="39" t="str">
        <f>IFERROR(IF(SUMIFS(tblDaily[Admissions],tblDaily[EntryDate],DATE(2026,6,16),tblDaily[WardCode],"FAE")=0,"",SUMIFS(tblDaily[Admissions],tblDaily[EntryDate],DATE(2026,6,16),tblDaily[WardCode],"FAE")),"")</f>
        <v/>
      </c>
      <c r="J223" s="39" t="str">
        <f>IFERROR(IF(SUMIFS(tblDaily[Discharges],tblDaily[EntryDate],DATE(2026,6,16),tblDaily[WardCode],"FAE")=0,"",SUMIFS(tblDaily[Discharges],tblDaily[EntryDate],DATE(2026,6,16),tblDaily[WardCode],"FAE")),"")</f>
        <v/>
      </c>
      <c r="K223" s="39" t="str">
        <f>IFERROR(IF(SUMIFS(tblDaily[Deaths],tblDaily[EntryDate],DATE(2026,6,16),tblDaily[WardCode],"FAE")=0,"",SUMIFS(tblDaily[Deaths],tblDaily[EntryDate],DATE(2026,6,16),tblDaily[WardCode],"FAE")),"")</f>
        <v/>
      </c>
      <c r="L223" s="39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39" t="str">
        <f>IFERROR(IF(SUMIFS(tblDaily[TransfersIn],tblDaily[EntryDate],DATE(2026,6,16),tblDaily[WardCode],"FAE")=0,"",SUMIFS(tblDaily[TransfersIn],tblDaily[EntryDate],DATE(2026,6,16),tblDaily[WardCode],"FAE")),"")</f>
        <v/>
      </c>
      <c r="N223" s="39" t="str">
        <f>IFERROR(IF(SUMIFS(tblDaily[TransfersOut],tblDaily[EntryDate],DATE(2026,6,16),tblDaily[WardCode],"FAE")=0,"",SUMIFS(tblDaily[TransfersOut],tblDaily[EntryDate],DATE(2026,6,16),tblDaily[WardCode],"FAE")),"")</f>
        <v/>
      </c>
      <c r="O223" s="39" t="str">
        <f>IFERROR(IF(SUMIFS(tblDaily[Remaining],tblDaily[EntryDate],DATE(2026,6,16),tblDaily[WardCode],"FAE")=0,"",SUMIFS(tblDaily[Remaining],tblDaily[EntryDate],DATE(2026,6,16),tblDaily[WardCode],"FAE")),"")</f>
        <v/>
      </c>
      <c r="P223" s="40" t="str">
        <f t="shared" si="5"/>
        <v/>
      </c>
    </row>
    <row r="224" spans="1:16" x14ac:dyDescent="0.25">
      <c r="A224" s="39">
        <v>17</v>
      </c>
      <c r="B224" s="39" t="str">
        <f>IFERROR(IF(SUMIFS(tblDaily[Admissions],tblDaily[EntryDate],DATE(2026,6,17),tblDaily[WardCode],"MAE")=0,"",SUMIFS(tblDaily[Admissions],tblDaily[EntryDate],DATE(2026,6,17),tblDaily[WardCode],"MAE")),"")</f>
        <v/>
      </c>
      <c r="C224" s="39" t="str">
        <f>IFERROR(IF(SUMIFS(tblDaily[Discharges],tblDaily[EntryDate],DATE(2026,6,17),tblDaily[WardCode],"MAE")=0,"",SUMIFS(tblDaily[Discharges],tblDaily[EntryDate],DATE(2026,6,17),tblDaily[WardCode],"MAE")),"")</f>
        <v/>
      </c>
      <c r="D224" s="39" t="str">
        <f>IFERROR(IF(SUMIFS(tblDaily[Deaths],tblDaily[EntryDate],DATE(2026,6,17),tblDaily[WardCode],"MAE")=0,"",SUMIFS(tblDaily[Deaths],tblDaily[EntryDate],DATE(2026,6,17),tblDaily[WardCode],"MAE")),"")</f>
        <v/>
      </c>
      <c r="E224" s="39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39" t="str">
        <f>IFERROR(IF(SUMIFS(tblDaily[TransfersIn],tblDaily[EntryDate],DATE(2026,6,17),tblDaily[WardCode],"MAE")=0,"",SUMIFS(tblDaily[TransfersIn],tblDaily[EntryDate],DATE(2026,6,17),tblDaily[WardCode],"MAE")),"")</f>
        <v/>
      </c>
      <c r="G224" s="39" t="str">
        <f>IFERROR(IF(SUMIFS(tblDaily[TransfersOut],tblDaily[EntryDate],DATE(2026,6,17),tblDaily[WardCode],"MAE")=0,"",SUMIFS(tblDaily[TransfersOut],tblDaily[EntryDate],DATE(2026,6,17),tblDaily[WardCode],"MAE")),"")</f>
        <v/>
      </c>
      <c r="H224" s="39" t="str">
        <f>IFERROR(IF(SUMIFS(tblDaily[Remaining],tblDaily[EntryDate],DATE(2026,6,17),tblDaily[WardCode],"MAE")=0,"",SUMIFS(tblDaily[Remaining],tblDaily[EntryDate],DATE(2026,6,17),tblDaily[WardCode],"MAE")),"")</f>
        <v/>
      </c>
      <c r="I224" s="39" t="str">
        <f>IFERROR(IF(SUMIFS(tblDaily[Admissions],tblDaily[EntryDate],DATE(2026,6,17),tblDaily[WardCode],"FAE")=0,"",SUMIFS(tblDaily[Admissions],tblDaily[EntryDate],DATE(2026,6,17),tblDaily[WardCode],"FAE")),"")</f>
        <v/>
      </c>
      <c r="J224" s="39" t="str">
        <f>IFERROR(IF(SUMIFS(tblDaily[Discharges],tblDaily[EntryDate],DATE(2026,6,17),tblDaily[WardCode],"FAE")=0,"",SUMIFS(tblDaily[Discharges],tblDaily[EntryDate],DATE(2026,6,17),tblDaily[WardCode],"FAE")),"")</f>
        <v/>
      </c>
      <c r="K224" s="39" t="str">
        <f>IFERROR(IF(SUMIFS(tblDaily[Deaths],tblDaily[EntryDate],DATE(2026,6,17),tblDaily[WardCode],"FAE")=0,"",SUMIFS(tblDaily[Deaths],tblDaily[EntryDate],DATE(2026,6,17),tblDaily[WardCode],"FAE")),"")</f>
        <v/>
      </c>
      <c r="L224" s="39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39" t="str">
        <f>IFERROR(IF(SUMIFS(tblDaily[TransfersIn],tblDaily[EntryDate],DATE(2026,6,17),tblDaily[WardCode],"FAE")=0,"",SUMIFS(tblDaily[TransfersIn],tblDaily[EntryDate],DATE(2026,6,17),tblDaily[WardCode],"FAE")),"")</f>
        <v/>
      </c>
      <c r="N224" s="39" t="str">
        <f>IFERROR(IF(SUMIFS(tblDaily[TransfersOut],tblDaily[EntryDate],DATE(2026,6,17),tblDaily[WardCode],"FAE")=0,"",SUMIFS(tblDaily[TransfersOut],tblDaily[EntryDate],DATE(2026,6,17),tblDaily[WardCode],"FAE")),"")</f>
        <v/>
      </c>
      <c r="O224" s="39" t="str">
        <f>IFERROR(IF(SUMIFS(tblDaily[Remaining],tblDaily[EntryDate],DATE(2026,6,17),tblDaily[WardCode],"FAE")=0,"",SUMIFS(tblDaily[Remaining],tblDaily[EntryDate],DATE(2026,6,17),tblDaily[WardCode],"FAE")),"")</f>
        <v/>
      </c>
      <c r="P224" s="40" t="str">
        <f t="shared" si="5"/>
        <v/>
      </c>
    </row>
    <row r="225" spans="1:16" x14ac:dyDescent="0.25">
      <c r="A225" s="39">
        <v>18</v>
      </c>
      <c r="B225" s="39" t="str">
        <f>IFERROR(IF(SUMIFS(tblDaily[Admissions],tblDaily[EntryDate],DATE(2026,6,18),tblDaily[WardCode],"MAE")=0,"",SUMIFS(tblDaily[Admissions],tblDaily[EntryDate],DATE(2026,6,18),tblDaily[WardCode],"MAE")),"")</f>
        <v/>
      </c>
      <c r="C225" s="39" t="str">
        <f>IFERROR(IF(SUMIFS(tblDaily[Discharges],tblDaily[EntryDate],DATE(2026,6,18),tblDaily[WardCode],"MAE")=0,"",SUMIFS(tblDaily[Discharges],tblDaily[EntryDate],DATE(2026,6,18),tblDaily[WardCode],"MAE")),"")</f>
        <v/>
      </c>
      <c r="D225" s="39" t="str">
        <f>IFERROR(IF(SUMIFS(tblDaily[Deaths],tblDaily[EntryDate],DATE(2026,6,18),tblDaily[WardCode],"MAE")=0,"",SUMIFS(tblDaily[Deaths],tblDaily[EntryDate],DATE(2026,6,18),tblDaily[WardCode],"MAE")),"")</f>
        <v/>
      </c>
      <c r="E225" s="39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39" t="str">
        <f>IFERROR(IF(SUMIFS(tblDaily[TransfersIn],tblDaily[EntryDate],DATE(2026,6,18),tblDaily[WardCode],"MAE")=0,"",SUMIFS(tblDaily[TransfersIn],tblDaily[EntryDate],DATE(2026,6,18),tblDaily[WardCode],"MAE")),"")</f>
        <v/>
      </c>
      <c r="G225" s="39" t="str">
        <f>IFERROR(IF(SUMIFS(tblDaily[TransfersOut],tblDaily[EntryDate],DATE(2026,6,18),tblDaily[WardCode],"MAE")=0,"",SUMIFS(tblDaily[TransfersOut],tblDaily[EntryDate],DATE(2026,6,18),tblDaily[WardCode],"MAE")),"")</f>
        <v/>
      </c>
      <c r="H225" s="39" t="str">
        <f>IFERROR(IF(SUMIFS(tblDaily[Remaining],tblDaily[EntryDate],DATE(2026,6,18),tblDaily[WardCode],"MAE")=0,"",SUMIFS(tblDaily[Remaining],tblDaily[EntryDate],DATE(2026,6,18),tblDaily[WardCode],"MAE")),"")</f>
        <v/>
      </c>
      <c r="I225" s="39" t="str">
        <f>IFERROR(IF(SUMIFS(tblDaily[Admissions],tblDaily[EntryDate],DATE(2026,6,18),tblDaily[WardCode],"FAE")=0,"",SUMIFS(tblDaily[Admissions],tblDaily[EntryDate],DATE(2026,6,18),tblDaily[WardCode],"FAE")),"")</f>
        <v/>
      </c>
      <c r="J225" s="39" t="str">
        <f>IFERROR(IF(SUMIFS(tblDaily[Discharges],tblDaily[EntryDate],DATE(2026,6,18),tblDaily[WardCode],"FAE")=0,"",SUMIFS(tblDaily[Discharges],tblDaily[EntryDate],DATE(2026,6,18),tblDaily[WardCode],"FAE")),"")</f>
        <v/>
      </c>
      <c r="K225" s="39" t="str">
        <f>IFERROR(IF(SUMIFS(tblDaily[Deaths],tblDaily[EntryDate],DATE(2026,6,18),tblDaily[WardCode],"FAE")=0,"",SUMIFS(tblDaily[Deaths],tblDaily[EntryDate],DATE(2026,6,18),tblDaily[WardCode],"FAE")),"")</f>
        <v/>
      </c>
      <c r="L225" s="39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39" t="str">
        <f>IFERROR(IF(SUMIFS(tblDaily[TransfersIn],tblDaily[EntryDate],DATE(2026,6,18),tblDaily[WardCode],"FAE")=0,"",SUMIFS(tblDaily[TransfersIn],tblDaily[EntryDate],DATE(2026,6,18),tblDaily[WardCode],"FAE")),"")</f>
        <v/>
      </c>
      <c r="N225" s="39" t="str">
        <f>IFERROR(IF(SUMIFS(tblDaily[TransfersOut],tblDaily[EntryDate],DATE(2026,6,18),tblDaily[WardCode],"FAE")=0,"",SUMIFS(tblDaily[TransfersOut],tblDaily[EntryDate],DATE(2026,6,18),tblDaily[WardCode],"FAE")),"")</f>
        <v/>
      </c>
      <c r="O225" s="39" t="str">
        <f>IFERROR(IF(SUMIFS(tblDaily[Remaining],tblDaily[EntryDate],DATE(2026,6,18),tblDaily[WardCode],"FAE")=0,"",SUMIFS(tblDaily[Remaining],tblDaily[EntryDate],DATE(2026,6,18),tblDaily[WardCode],"FAE")),"")</f>
        <v/>
      </c>
      <c r="P225" s="40" t="str">
        <f t="shared" si="5"/>
        <v/>
      </c>
    </row>
    <row r="226" spans="1:16" x14ac:dyDescent="0.25">
      <c r="A226" s="39">
        <v>19</v>
      </c>
      <c r="B226" s="39" t="str">
        <f>IFERROR(IF(SUMIFS(tblDaily[Admissions],tblDaily[EntryDate],DATE(2026,6,19),tblDaily[WardCode],"MAE")=0,"",SUMIFS(tblDaily[Admissions],tblDaily[EntryDate],DATE(2026,6,19),tblDaily[WardCode],"MAE")),"")</f>
        <v/>
      </c>
      <c r="C226" s="39" t="str">
        <f>IFERROR(IF(SUMIFS(tblDaily[Discharges],tblDaily[EntryDate],DATE(2026,6,19),tblDaily[WardCode],"MAE")=0,"",SUMIFS(tblDaily[Discharges],tblDaily[EntryDate],DATE(2026,6,19),tblDaily[WardCode],"MAE")),"")</f>
        <v/>
      </c>
      <c r="D226" s="39" t="str">
        <f>IFERROR(IF(SUMIFS(tblDaily[Deaths],tblDaily[EntryDate],DATE(2026,6,19),tblDaily[WardCode],"MAE")=0,"",SUMIFS(tblDaily[Deaths],tblDaily[EntryDate],DATE(2026,6,19),tblDaily[WardCode],"MAE")),"")</f>
        <v/>
      </c>
      <c r="E226" s="39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39" t="str">
        <f>IFERROR(IF(SUMIFS(tblDaily[TransfersIn],tblDaily[EntryDate],DATE(2026,6,19),tblDaily[WardCode],"MAE")=0,"",SUMIFS(tblDaily[TransfersIn],tblDaily[EntryDate],DATE(2026,6,19),tblDaily[WardCode],"MAE")),"")</f>
        <v/>
      </c>
      <c r="G226" s="39" t="str">
        <f>IFERROR(IF(SUMIFS(tblDaily[TransfersOut],tblDaily[EntryDate],DATE(2026,6,19),tblDaily[WardCode],"MAE")=0,"",SUMIFS(tblDaily[TransfersOut],tblDaily[EntryDate],DATE(2026,6,19),tblDaily[WardCode],"MAE")),"")</f>
        <v/>
      </c>
      <c r="H226" s="39" t="str">
        <f>IFERROR(IF(SUMIFS(tblDaily[Remaining],tblDaily[EntryDate],DATE(2026,6,19),tblDaily[WardCode],"MAE")=0,"",SUMIFS(tblDaily[Remaining],tblDaily[EntryDate],DATE(2026,6,19),tblDaily[WardCode],"MAE")),"")</f>
        <v/>
      </c>
      <c r="I226" s="39" t="str">
        <f>IFERROR(IF(SUMIFS(tblDaily[Admissions],tblDaily[EntryDate],DATE(2026,6,19),tblDaily[WardCode],"FAE")=0,"",SUMIFS(tblDaily[Admissions],tblDaily[EntryDate],DATE(2026,6,19),tblDaily[WardCode],"FAE")),"")</f>
        <v/>
      </c>
      <c r="J226" s="39" t="str">
        <f>IFERROR(IF(SUMIFS(tblDaily[Discharges],tblDaily[EntryDate],DATE(2026,6,19),tblDaily[WardCode],"FAE")=0,"",SUMIFS(tblDaily[Discharges],tblDaily[EntryDate],DATE(2026,6,19),tblDaily[WardCode],"FAE")),"")</f>
        <v/>
      </c>
      <c r="K226" s="39" t="str">
        <f>IFERROR(IF(SUMIFS(tblDaily[Deaths],tblDaily[EntryDate],DATE(2026,6,19),tblDaily[WardCode],"FAE")=0,"",SUMIFS(tblDaily[Deaths],tblDaily[EntryDate],DATE(2026,6,19),tblDaily[WardCode],"FAE")),"")</f>
        <v/>
      </c>
      <c r="L226" s="39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39" t="str">
        <f>IFERROR(IF(SUMIFS(tblDaily[TransfersIn],tblDaily[EntryDate],DATE(2026,6,19),tblDaily[WardCode],"FAE")=0,"",SUMIFS(tblDaily[TransfersIn],tblDaily[EntryDate],DATE(2026,6,19),tblDaily[WardCode],"FAE")),"")</f>
        <v/>
      </c>
      <c r="N226" s="39" t="str">
        <f>IFERROR(IF(SUMIFS(tblDaily[TransfersOut],tblDaily[EntryDate],DATE(2026,6,19),tblDaily[WardCode],"FAE")=0,"",SUMIFS(tblDaily[TransfersOut],tblDaily[EntryDate],DATE(2026,6,19),tblDaily[WardCode],"FAE")),"")</f>
        <v/>
      </c>
      <c r="O226" s="39" t="str">
        <f>IFERROR(IF(SUMIFS(tblDaily[Remaining],tblDaily[EntryDate],DATE(2026,6,19),tblDaily[WardCode],"FAE")=0,"",SUMIFS(tblDaily[Remaining],tblDaily[EntryDate],DATE(2026,6,19),tblDaily[WardCode],"FAE")),"")</f>
        <v/>
      </c>
      <c r="P226" s="40" t="str">
        <f t="shared" si="5"/>
        <v/>
      </c>
    </row>
    <row r="227" spans="1:16" x14ac:dyDescent="0.25">
      <c r="A227" s="39">
        <v>20</v>
      </c>
      <c r="B227" s="39" t="str">
        <f>IFERROR(IF(SUMIFS(tblDaily[Admissions],tblDaily[EntryDate],DATE(2026,6,20),tblDaily[WardCode],"MAE")=0,"",SUMIFS(tblDaily[Admissions],tblDaily[EntryDate],DATE(2026,6,20),tblDaily[WardCode],"MAE")),"")</f>
        <v/>
      </c>
      <c r="C227" s="39" t="str">
        <f>IFERROR(IF(SUMIFS(tblDaily[Discharges],tblDaily[EntryDate],DATE(2026,6,20),tblDaily[WardCode],"MAE")=0,"",SUMIFS(tblDaily[Discharges],tblDaily[EntryDate],DATE(2026,6,20),tblDaily[WardCode],"MAE")),"")</f>
        <v/>
      </c>
      <c r="D227" s="39" t="str">
        <f>IFERROR(IF(SUMIFS(tblDaily[Deaths],tblDaily[EntryDate],DATE(2026,6,20),tblDaily[WardCode],"MAE")=0,"",SUMIFS(tblDaily[Deaths],tblDaily[EntryDate],DATE(2026,6,20),tblDaily[WardCode],"MAE")),"")</f>
        <v/>
      </c>
      <c r="E227" s="39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39" t="str">
        <f>IFERROR(IF(SUMIFS(tblDaily[TransfersIn],tblDaily[EntryDate],DATE(2026,6,20),tblDaily[WardCode],"MAE")=0,"",SUMIFS(tblDaily[TransfersIn],tblDaily[EntryDate],DATE(2026,6,20),tblDaily[WardCode],"MAE")),"")</f>
        <v/>
      </c>
      <c r="G227" s="39" t="str">
        <f>IFERROR(IF(SUMIFS(tblDaily[TransfersOut],tblDaily[EntryDate],DATE(2026,6,20),tblDaily[WardCode],"MAE")=0,"",SUMIFS(tblDaily[TransfersOut],tblDaily[EntryDate],DATE(2026,6,20),tblDaily[WardCode],"MAE")),"")</f>
        <v/>
      </c>
      <c r="H227" s="39" t="str">
        <f>IFERROR(IF(SUMIFS(tblDaily[Remaining],tblDaily[EntryDate],DATE(2026,6,20),tblDaily[WardCode],"MAE")=0,"",SUMIFS(tblDaily[Remaining],tblDaily[EntryDate],DATE(2026,6,20),tblDaily[WardCode],"MAE")),"")</f>
        <v/>
      </c>
      <c r="I227" s="39" t="str">
        <f>IFERROR(IF(SUMIFS(tblDaily[Admissions],tblDaily[EntryDate],DATE(2026,6,20),tblDaily[WardCode],"FAE")=0,"",SUMIFS(tblDaily[Admissions],tblDaily[EntryDate],DATE(2026,6,20),tblDaily[WardCode],"FAE")),"")</f>
        <v/>
      </c>
      <c r="J227" s="39" t="str">
        <f>IFERROR(IF(SUMIFS(tblDaily[Discharges],tblDaily[EntryDate],DATE(2026,6,20),tblDaily[WardCode],"FAE")=0,"",SUMIFS(tblDaily[Discharges],tblDaily[EntryDate],DATE(2026,6,20),tblDaily[WardCode],"FAE")),"")</f>
        <v/>
      </c>
      <c r="K227" s="39" t="str">
        <f>IFERROR(IF(SUMIFS(tblDaily[Deaths],tblDaily[EntryDate],DATE(2026,6,20),tblDaily[WardCode],"FAE")=0,"",SUMIFS(tblDaily[Deaths],tblDaily[EntryDate],DATE(2026,6,20),tblDaily[WardCode],"FAE")),"")</f>
        <v/>
      </c>
      <c r="L227" s="39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39" t="str">
        <f>IFERROR(IF(SUMIFS(tblDaily[TransfersIn],tblDaily[EntryDate],DATE(2026,6,20),tblDaily[WardCode],"FAE")=0,"",SUMIFS(tblDaily[TransfersIn],tblDaily[EntryDate],DATE(2026,6,20),tblDaily[WardCode],"FAE")),"")</f>
        <v/>
      </c>
      <c r="N227" s="39" t="str">
        <f>IFERROR(IF(SUMIFS(tblDaily[TransfersOut],tblDaily[EntryDate],DATE(2026,6,20),tblDaily[WardCode],"FAE")=0,"",SUMIFS(tblDaily[TransfersOut],tblDaily[EntryDate],DATE(2026,6,20),tblDaily[WardCode],"FAE")),"")</f>
        <v/>
      </c>
      <c r="O227" s="39" t="str">
        <f>IFERROR(IF(SUMIFS(tblDaily[Remaining],tblDaily[EntryDate],DATE(2026,6,20),tblDaily[WardCode],"FAE")=0,"",SUMIFS(tblDaily[Remaining],tblDaily[EntryDate],DATE(2026,6,20),tblDaily[WardCode],"FAE")),"")</f>
        <v/>
      </c>
      <c r="P227" s="40" t="str">
        <f t="shared" si="5"/>
        <v/>
      </c>
    </row>
    <row r="228" spans="1:16" x14ac:dyDescent="0.25">
      <c r="A228" s="39">
        <v>21</v>
      </c>
      <c r="B228" s="39" t="str">
        <f>IFERROR(IF(SUMIFS(tblDaily[Admissions],tblDaily[EntryDate],DATE(2026,6,21),tblDaily[WardCode],"MAE")=0,"",SUMIFS(tblDaily[Admissions],tblDaily[EntryDate],DATE(2026,6,21),tblDaily[WardCode],"MAE")),"")</f>
        <v/>
      </c>
      <c r="C228" s="39" t="str">
        <f>IFERROR(IF(SUMIFS(tblDaily[Discharges],tblDaily[EntryDate],DATE(2026,6,21),tblDaily[WardCode],"MAE")=0,"",SUMIFS(tblDaily[Discharges],tblDaily[EntryDate],DATE(2026,6,21),tblDaily[WardCode],"MAE")),"")</f>
        <v/>
      </c>
      <c r="D228" s="39" t="str">
        <f>IFERROR(IF(SUMIFS(tblDaily[Deaths],tblDaily[EntryDate],DATE(2026,6,21),tblDaily[WardCode],"MAE")=0,"",SUMIFS(tblDaily[Deaths],tblDaily[EntryDate],DATE(2026,6,21),tblDaily[WardCode],"MAE")),"")</f>
        <v/>
      </c>
      <c r="E228" s="39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39" t="str">
        <f>IFERROR(IF(SUMIFS(tblDaily[TransfersIn],tblDaily[EntryDate],DATE(2026,6,21),tblDaily[WardCode],"MAE")=0,"",SUMIFS(tblDaily[TransfersIn],tblDaily[EntryDate],DATE(2026,6,21),tblDaily[WardCode],"MAE")),"")</f>
        <v/>
      </c>
      <c r="G228" s="39" t="str">
        <f>IFERROR(IF(SUMIFS(tblDaily[TransfersOut],tblDaily[EntryDate],DATE(2026,6,21),tblDaily[WardCode],"MAE")=0,"",SUMIFS(tblDaily[TransfersOut],tblDaily[EntryDate],DATE(2026,6,21),tblDaily[WardCode],"MAE")),"")</f>
        <v/>
      </c>
      <c r="H228" s="39" t="str">
        <f>IFERROR(IF(SUMIFS(tblDaily[Remaining],tblDaily[EntryDate],DATE(2026,6,21),tblDaily[WardCode],"MAE")=0,"",SUMIFS(tblDaily[Remaining],tblDaily[EntryDate],DATE(2026,6,21),tblDaily[WardCode],"MAE")),"")</f>
        <v/>
      </c>
      <c r="I228" s="39" t="str">
        <f>IFERROR(IF(SUMIFS(tblDaily[Admissions],tblDaily[EntryDate],DATE(2026,6,21),tblDaily[WardCode],"FAE")=0,"",SUMIFS(tblDaily[Admissions],tblDaily[EntryDate],DATE(2026,6,21),tblDaily[WardCode],"FAE")),"")</f>
        <v/>
      </c>
      <c r="J228" s="39" t="str">
        <f>IFERROR(IF(SUMIFS(tblDaily[Discharges],tblDaily[EntryDate],DATE(2026,6,21),tblDaily[WardCode],"FAE")=0,"",SUMIFS(tblDaily[Discharges],tblDaily[EntryDate],DATE(2026,6,21),tblDaily[WardCode],"FAE")),"")</f>
        <v/>
      </c>
      <c r="K228" s="39" t="str">
        <f>IFERROR(IF(SUMIFS(tblDaily[Deaths],tblDaily[EntryDate],DATE(2026,6,21),tblDaily[WardCode],"FAE")=0,"",SUMIFS(tblDaily[Deaths],tblDaily[EntryDate],DATE(2026,6,21),tblDaily[WardCode],"FAE")),"")</f>
        <v/>
      </c>
      <c r="L228" s="39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39" t="str">
        <f>IFERROR(IF(SUMIFS(tblDaily[TransfersIn],tblDaily[EntryDate],DATE(2026,6,21),tblDaily[WardCode],"FAE")=0,"",SUMIFS(tblDaily[TransfersIn],tblDaily[EntryDate],DATE(2026,6,21),tblDaily[WardCode],"FAE")),"")</f>
        <v/>
      </c>
      <c r="N228" s="39" t="str">
        <f>IFERROR(IF(SUMIFS(tblDaily[TransfersOut],tblDaily[EntryDate],DATE(2026,6,21),tblDaily[WardCode],"FAE")=0,"",SUMIFS(tblDaily[TransfersOut],tblDaily[EntryDate],DATE(2026,6,21),tblDaily[WardCode],"FAE")),"")</f>
        <v/>
      </c>
      <c r="O228" s="39" t="str">
        <f>IFERROR(IF(SUMIFS(tblDaily[Remaining],tblDaily[EntryDate],DATE(2026,6,21),tblDaily[WardCode],"FAE")=0,"",SUMIFS(tblDaily[Remaining],tblDaily[EntryDate],DATE(2026,6,21),tblDaily[WardCode],"FAE")),"")</f>
        <v/>
      </c>
      <c r="P228" s="40" t="str">
        <f t="shared" si="5"/>
        <v/>
      </c>
    </row>
    <row r="229" spans="1:16" x14ac:dyDescent="0.25">
      <c r="A229" s="39">
        <v>22</v>
      </c>
      <c r="B229" s="39" t="str">
        <f>IFERROR(IF(SUMIFS(tblDaily[Admissions],tblDaily[EntryDate],DATE(2026,6,22),tblDaily[WardCode],"MAE")=0,"",SUMIFS(tblDaily[Admissions],tblDaily[EntryDate],DATE(2026,6,22),tblDaily[WardCode],"MAE")),"")</f>
        <v/>
      </c>
      <c r="C229" s="39" t="str">
        <f>IFERROR(IF(SUMIFS(tblDaily[Discharges],tblDaily[EntryDate],DATE(2026,6,22),tblDaily[WardCode],"MAE")=0,"",SUMIFS(tblDaily[Discharges],tblDaily[EntryDate],DATE(2026,6,22),tblDaily[WardCode],"MAE")),"")</f>
        <v/>
      </c>
      <c r="D229" s="39" t="str">
        <f>IFERROR(IF(SUMIFS(tblDaily[Deaths],tblDaily[EntryDate],DATE(2026,6,22),tblDaily[WardCode],"MAE")=0,"",SUMIFS(tblDaily[Deaths],tblDaily[EntryDate],DATE(2026,6,22),tblDaily[WardCode],"MAE")),"")</f>
        <v/>
      </c>
      <c r="E229" s="39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39" t="str">
        <f>IFERROR(IF(SUMIFS(tblDaily[TransfersIn],tblDaily[EntryDate],DATE(2026,6,22),tblDaily[WardCode],"MAE")=0,"",SUMIFS(tblDaily[TransfersIn],tblDaily[EntryDate],DATE(2026,6,22),tblDaily[WardCode],"MAE")),"")</f>
        <v/>
      </c>
      <c r="G229" s="39" t="str">
        <f>IFERROR(IF(SUMIFS(tblDaily[TransfersOut],tblDaily[EntryDate],DATE(2026,6,22),tblDaily[WardCode],"MAE")=0,"",SUMIFS(tblDaily[TransfersOut],tblDaily[EntryDate],DATE(2026,6,22),tblDaily[WardCode],"MAE")),"")</f>
        <v/>
      </c>
      <c r="H229" s="39" t="str">
        <f>IFERROR(IF(SUMIFS(tblDaily[Remaining],tblDaily[EntryDate],DATE(2026,6,22),tblDaily[WardCode],"MAE")=0,"",SUMIFS(tblDaily[Remaining],tblDaily[EntryDate],DATE(2026,6,22),tblDaily[WardCode],"MAE")),"")</f>
        <v/>
      </c>
      <c r="I229" s="39" t="str">
        <f>IFERROR(IF(SUMIFS(tblDaily[Admissions],tblDaily[EntryDate],DATE(2026,6,22),tblDaily[WardCode],"FAE")=0,"",SUMIFS(tblDaily[Admissions],tblDaily[EntryDate],DATE(2026,6,22),tblDaily[WardCode],"FAE")),"")</f>
        <v/>
      </c>
      <c r="J229" s="39" t="str">
        <f>IFERROR(IF(SUMIFS(tblDaily[Discharges],tblDaily[EntryDate],DATE(2026,6,22),tblDaily[WardCode],"FAE")=0,"",SUMIFS(tblDaily[Discharges],tblDaily[EntryDate],DATE(2026,6,22),tblDaily[WardCode],"FAE")),"")</f>
        <v/>
      </c>
      <c r="K229" s="39" t="str">
        <f>IFERROR(IF(SUMIFS(tblDaily[Deaths],tblDaily[EntryDate],DATE(2026,6,22),tblDaily[WardCode],"FAE")=0,"",SUMIFS(tblDaily[Deaths],tblDaily[EntryDate],DATE(2026,6,22),tblDaily[WardCode],"FAE")),"")</f>
        <v/>
      </c>
      <c r="L229" s="39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39" t="str">
        <f>IFERROR(IF(SUMIFS(tblDaily[TransfersIn],tblDaily[EntryDate],DATE(2026,6,22),tblDaily[WardCode],"FAE")=0,"",SUMIFS(tblDaily[TransfersIn],tblDaily[EntryDate],DATE(2026,6,22),tblDaily[WardCode],"FAE")),"")</f>
        <v/>
      </c>
      <c r="N229" s="39" t="str">
        <f>IFERROR(IF(SUMIFS(tblDaily[TransfersOut],tblDaily[EntryDate],DATE(2026,6,22),tblDaily[WardCode],"FAE")=0,"",SUMIFS(tblDaily[TransfersOut],tblDaily[EntryDate],DATE(2026,6,22),tblDaily[WardCode],"FAE")),"")</f>
        <v/>
      </c>
      <c r="O229" s="39" t="str">
        <f>IFERROR(IF(SUMIFS(tblDaily[Remaining],tblDaily[EntryDate],DATE(2026,6,22),tblDaily[WardCode],"FAE")=0,"",SUMIFS(tblDaily[Remaining],tblDaily[EntryDate],DATE(2026,6,22),tblDaily[WardCode],"FAE")),"")</f>
        <v/>
      </c>
      <c r="P229" s="40" t="str">
        <f t="shared" si="5"/>
        <v/>
      </c>
    </row>
    <row r="230" spans="1:16" x14ac:dyDescent="0.25">
      <c r="A230" s="39">
        <v>23</v>
      </c>
      <c r="B230" s="39" t="str">
        <f>IFERROR(IF(SUMIFS(tblDaily[Admissions],tblDaily[EntryDate],DATE(2026,6,23),tblDaily[WardCode],"MAE")=0,"",SUMIFS(tblDaily[Admissions],tblDaily[EntryDate],DATE(2026,6,23),tblDaily[WardCode],"MAE")),"")</f>
        <v/>
      </c>
      <c r="C230" s="39" t="str">
        <f>IFERROR(IF(SUMIFS(tblDaily[Discharges],tblDaily[EntryDate],DATE(2026,6,23),tblDaily[WardCode],"MAE")=0,"",SUMIFS(tblDaily[Discharges],tblDaily[EntryDate],DATE(2026,6,23),tblDaily[WardCode],"MAE")),"")</f>
        <v/>
      </c>
      <c r="D230" s="39" t="str">
        <f>IFERROR(IF(SUMIFS(tblDaily[Deaths],tblDaily[EntryDate],DATE(2026,6,23),tblDaily[WardCode],"MAE")=0,"",SUMIFS(tblDaily[Deaths],tblDaily[EntryDate],DATE(2026,6,23),tblDaily[WardCode],"MAE")),"")</f>
        <v/>
      </c>
      <c r="E230" s="39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39" t="str">
        <f>IFERROR(IF(SUMIFS(tblDaily[TransfersIn],tblDaily[EntryDate],DATE(2026,6,23),tblDaily[WardCode],"MAE")=0,"",SUMIFS(tblDaily[TransfersIn],tblDaily[EntryDate],DATE(2026,6,23),tblDaily[WardCode],"MAE")),"")</f>
        <v/>
      </c>
      <c r="G230" s="39" t="str">
        <f>IFERROR(IF(SUMIFS(tblDaily[TransfersOut],tblDaily[EntryDate],DATE(2026,6,23),tblDaily[WardCode],"MAE")=0,"",SUMIFS(tblDaily[TransfersOut],tblDaily[EntryDate],DATE(2026,6,23),tblDaily[WardCode],"MAE")),"")</f>
        <v/>
      </c>
      <c r="H230" s="39" t="str">
        <f>IFERROR(IF(SUMIFS(tblDaily[Remaining],tblDaily[EntryDate],DATE(2026,6,23),tblDaily[WardCode],"MAE")=0,"",SUMIFS(tblDaily[Remaining],tblDaily[EntryDate],DATE(2026,6,23),tblDaily[WardCode],"MAE")),"")</f>
        <v/>
      </c>
      <c r="I230" s="39" t="str">
        <f>IFERROR(IF(SUMIFS(tblDaily[Admissions],tblDaily[EntryDate],DATE(2026,6,23),tblDaily[WardCode],"FAE")=0,"",SUMIFS(tblDaily[Admissions],tblDaily[EntryDate],DATE(2026,6,23),tblDaily[WardCode],"FAE")),"")</f>
        <v/>
      </c>
      <c r="J230" s="39" t="str">
        <f>IFERROR(IF(SUMIFS(tblDaily[Discharges],tblDaily[EntryDate],DATE(2026,6,23),tblDaily[WardCode],"FAE")=0,"",SUMIFS(tblDaily[Discharges],tblDaily[EntryDate],DATE(2026,6,23),tblDaily[WardCode],"FAE")),"")</f>
        <v/>
      </c>
      <c r="K230" s="39" t="str">
        <f>IFERROR(IF(SUMIFS(tblDaily[Deaths],tblDaily[EntryDate],DATE(2026,6,23),tblDaily[WardCode],"FAE")=0,"",SUMIFS(tblDaily[Deaths],tblDaily[EntryDate],DATE(2026,6,23),tblDaily[WardCode],"FAE")),"")</f>
        <v/>
      </c>
      <c r="L230" s="39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39" t="str">
        <f>IFERROR(IF(SUMIFS(tblDaily[TransfersIn],tblDaily[EntryDate],DATE(2026,6,23),tblDaily[WardCode],"FAE")=0,"",SUMIFS(tblDaily[TransfersIn],tblDaily[EntryDate],DATE(2026,6,23),tblDaily[WardCode],"FAE")),"")</f>
        <v/>
      </c>
      <c r="N230" s="39" t="str">
        <f>IFERROR(IF(SUMIFS(tblDaily[TransfersOut],tblDaily[EntryDate],DATE(2026,6,23),tblDaily[WardCode],"FAE")=0,"",SUMIFS(tblDaily[TransfersOut],tblDaily[EntryDate],DATE(2026,6,23),tblDaily[WardCode],"FAE")),"")</f>
        <v/>
      </c>
      <c r="O230" s="39" t="str">
        <f>IFERROR(IF(SUMIFS(tblDaily[Remaining],tblDaily[EntryDate],DATE(2026,6,23),tblDaily[WardCode],"FAE")=0,"",SUMIFS(tblDaily[Remaining],tblDaily[EntryDate],DATE(2026,6,23),tblDaily[WardCode],"FAE")),"")</f>
        <v/>
      </c>
      <c r="P230" s="40" t="str">
        <f t="shared" si="5"/>
        <v/>
      </c>
    </row>
    <row r="231" spans="1:16" x14ac:dyDescent="0.25">
      <c r="A231" s="39">
        <v>24</v>
      </c>
      <c r="B231" s="39" t="str">
        <f>IFERROR(IF(SUMIFS(tblDaily[Admissions],tblDaily[EntryDate],DATE(2026,6,24),tblDaily[WardCode],"MAE")=0,"",SUMIFS(tblDaily[Admissions],tblDaily[EntryDate],DATE(2026,6,24),tblDaily[WardCode],"MAE")),"")</f>
        <v/>
      </c>
      <c r="C231" s="39" t="str">
        <f>IFERROR(IF(SUMIFS(tblDaily[Discharges],tblDaily[EntryDate],DATE(2026,6,24),tblDaily[WardCode],"MAE")=0,"",SUMIFS(tblDaily[Discharges],tblDaily[EntryDate],DATE(2026,6,24),tblDaily[WardCode],"MAE")),"")</f>
        <v/>
      </c>
      <c r="D231" s="39" t="str">
        <f>IFERROR(IF(SUMIFS(tblDaily[Deaths],tblDaily[EntryDate],DATE(2026,6,24),tblDaily[WardCode],"MAE")=0,"",SUMIFS(tblDaily[Deaths],tblDaily[EntryDate],DATE(2026,6,24),tblDaily[WardCode],"MAE")),"")</f>
        <v/>
      </c>
      <c r="E231" s="39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39" t="str">
        <f>IFERROR(IF(SUMIFS(tblDaily[TransfersIn],tblDaily[EntryDate],DATE(2026,6,24),tblDaily[WardCode],"MAE")=0,"",SUMIFS(tblDaily[TransfersIn],tblDaily[EntryDate],DATE(2026,6,24),tblDaily[WardCode],"MAE")),"")</f>
        <v/>
      </c>
      <c r="G231" s="39" t="str">
        <f>IFERROR(IF(SUMIFS(tblDaily[TransfersOut],tblDaily[EntryDate],DATE(2026,6,24),tblDaily[WardCode],"MAE")=0,"",SUMIFS(tblDaily[TransfersOut],tblDaily[EntryDate],DATE(2026,6,24),tblDaily[WardCode],"MAE")),"")</f>
        <v/>
      </c>
      <c r="H231" s="39" t="str">
        <f>IFERROR(IF(SUMIFS(tblDaily[Remaining],tblDaily[EntryDate],DATE(2026,6,24),tblDaily[WardCode],"MAE")=0,"",SUMIFS(tblDaily[Remaining],tblDaily[EntryDate],DATE(2026,6,24),tblDaily[WardCode],"MAE")),"")</f>
        <v/>
      </c>
      <c r="I231" s="39" t="str">
        <f>IFERROR(IF(SUMIFS(tblDaily[Admissions],tblDaily[EntryDate],DATE(2026,6,24),tblDaily[WardCode],"FAE")=0,"",SUMIFS(tblDaily[Admissions],tblDaily[EntryDate],DATE(2026,6,24),tblDaily[WardCode],"FAE")),"")</f>
        <v/>
      </c>
      <c r="J231" s="39" t="str">
        <f>IFERROR(IF(SUMIFS(tblDaily[Discharges],tblDaily[EntryDate],DATE(2026,6,24),tblDaily[WardCode],"FAE")=0,"",SUMIFS(tblDaily[Discharges],tblDaily[EntryDate],DATE(2026,6,24),tblDaily[WardCode],"FAE")),"")</f>
        <v/>
      </c>
      <c r="K231" s="39" t="str">
        <f>IFERROR(IF(SUMIFS(tblDaily[Deaths],tblDaily[EntryDate],DATE(2026,6,24),tblDaily[WardCode],"FAE")=0,"",SUMIFS(tblDaily[Deaths],tblDaily[EntryDate],DATE(2026,6,24),tblDaily[WardCode],"FAE")),"")</f>
        <v/>
      </c>
      <c r="L231" s="39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39" t="str">
        <f>IFERROR(IF(SUMIFS(tblDaily[TransfersIn],tblDaily[EntryDate],DATE(2026,6,24),tblDaily[WardCode],"FAE")=0,"",SUMIFS(tblDaily[TransfersIn],tblDaily[EntryDate],DATE(2026,6,24),tblDaily[WardCode],"FAE")),"")</f>
        <v/>
      </c>
      <c r="N231" s="39" t="str">
        <f>IFERROR(IF(SUMIFS(tblDaily[TransfersOut],tblDaily[EntryDate],DATE(2026,6,24),tblDaily[WardCode],"FAE")=0,"",SUMIFS(tblDaily[TransfersOut],tblDaily[EntryDate],DATE(2026,6,24),tblDaily[WardCode],"FAE")),"")</f>
        <v/>
      </c>
      <c r="O231" s="39" t="str">
        <f>IFERROR(IF(SUMIFS(tblDaily[Remaining],tblDaily[EntryDate],DATE(2026,6,24),tblDaily[WardCode],"FAE")=0,"",SUMIFS(tblDaily[Remaining],tblDaily[EntryDate],DATE(2026,6,24),tblDaily[WardCode],"FAE")),"")</f>
        <v/>
      </c>
      <c r="P231" s="40" t="str">
        <f t="shared" si="5"/>
        <v/>
      </c>
    </row>
    <row r="232" spans="1:16" x14ac:dyDescent="0.25">
      <c r="A232" s="39">
        <v>25</v>
      </c>
      <c r="B232" s="39" t="str">
        <f>IFERROR(IF(SUMIFS(tblDaily[Admissions],tblDaily[EntryDate],DATE(2026,6,25),tblDaily[WardCode],"MAE")=0,"",SUMIFS(tblDaily[Admissions],tblDaily[EntryDate],DATE(2026,6,25),tblDaily[WardCode],"MAE")),"")</f>
        <v/>
      </c>
      <c r="C232" s="39" t="str">
        <f>IFERROR(IF(SUMIFS(tblDaily[Discharges],tblDaily[EntryDate],DATE(2026,6,25),tblDaily[WardCode],"MAE")=0,"",SUMIFS(tblDaily[Discharges],tblDaily[EntryDate],DATE(2026,6,25),tblDaily[WardCode],"MAE")),"")</f>
        <v/>
      </c>
      <c r="D232" s="39" t="str">
        <f>IFERROR(IF(SUMIFS(tblDaily[Deaths],tblDaily[EntryDate],DATE(2026,6,25),tblDaily[WardCode],"MAE")=0,"",SUMIFS(tblDaily[Deaths],tblDaily[EntryDate],DATE(2026,6,25),tblDaily[WardCode],"MAE")),"")</f>
        <v/>
      </c>
      <c r="E232" s="39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39" t="str">
        <f>IFERROR(IF(SUMIFS(tblDaily[TransfersIn],tblDaily[EntryDate],DATE(2026,6,25),tblDaily[WardCode],"MAE")=0,"",SUMIFS(tblDaily[TransfersIn],tblDaily[EntryDate],DATE(2026,6,25),tblDaily[WardCode],"MAE")),"")</f>
        <v/>
      </c>
      <c r="G232" s="39" t="str">
        <f>IFERROR(IF(SUMIFS(tblDaily[TransfersOut],tblDaily[EntryDate],DATE(2026,6,25),tblDaily[WardCode],"MAE")=0,"",SUMIFS(tblDaily[TransfersOut],tblDaily[EntryDate],DATE(2026,6,25),tblDaily[WardCode],"MAE")),"")</f>
        <v/>
      </c>
      <c r="H232" s="39" t="str">
        <f>IFERROR(IF(SUMIFS(tblDaily[Remaining],tblDaily[EntryDate],DATE(2026,6,25),tblDaily[WardCode],"MAE")=0,"",SUMIFS(tblDaily[Remaining],tblDaily[EntryDate],DATE(2026,6,25),tblDaily[WardCode],"MAE")),"")</f>
        <v/>
      </c>
      <c r="I232" s="39" t="str">
        <f>IFERROR(IF(SUMIFS(tblDaily[Admissions],tblDaily[EntryDate],DATE(2026,6,25),tblDaily[WardCode],"FAE")=0,"",SUMIFS(tblDaily[Admissions],tblDaily[EntryDate],DATE(2026,6,25),tblDaily[WardCode],"FAE")),"")</f>
        <v/>
      </c>
      <c r="J232" s="39" t="str">
        <f>IFERROR(IF(SUMIFS(tblDaily[Discharges],tblDaily[EntryDate],DATE(2026,6,25),tblDaily[WardCode],"FAE")=0,"",SUMIFS(tblDaily[Discharges],tblDaily[EntryDate],DATE(2026,6,25),tblDaily[WardCode],"FAE")),"")</f>
        <v/>
      </c>
      <c r="K232" s="39" t="str">
        <f>IFERROR(IF(SUMIFS(tblDaily[Deaths],tblDaily[EntryDate],DATE(2026,6,25),tblDaily[WardCode],"FAE")=0,"",SUMIFS(tblDaily[Deaths],tblDaily[EntryDate],DATE(2026,6,25),tblDaily[WardCode],"FAE")),"")</f>
        <v/>
      </c>
      <c r="L232" s="39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39" t="str">
        <f>IFERROR(IF(SUMIFS(tblDaily[TransfersIn],tblDaily[EntryDate],DATE(2026,6,25),tblDaily[WardCode],"FAE")=0,"",SUMIFS(tblDaily[TransfersIn],tblDaily[EntryDate],DATE(2026,6,25),tblDaily[WardCode],"FAE")),"")</f>
        <v/>
      </c>
      <c r="N232" s="39" t="str">
        <f>IFERROR(IF(SUMIFS(tblDaily[TransfersOut],tblDaily[EntryDate],DATE(2026,6,25),tblDaily[WardCode],"FAE")=0,"",SUMIFS(tblDaily[TransfersOut],tblDaily[EntryDate],DATE(2026,6,25),tblDaily[WardCode],"FAE")),"")</f>
        <v/>
      </c>
      <c r="O232" s="39" t="str">
        <f>IFERROR(IF(SUMIFS(tblDaily[Remaining],tblDaily[EntryDate],DATE(2026,6,25),tblDaily[WardCode],"FAE")=0,"",SUMIFS(tblDaily[Remaining],tblDaily[EntryDate],DATE(2026,6,25),tblDaily[WardCode],"FAE")),"")</f>
        <v/>
      </c>
      <c r="P232" s="40" t="str">
        <f t="shared" si="5"/>
        <v/>
      </c>
    </row>
    <row r="233" spans="1:16" x14ac:dyDescent="0.25">
      <c r="A233" s="39">
        <v>26</v>
      </c>
      <c r="B233" s="39" t="str">
        <f>IFERROR(IF(SUMIFS(tblDaily[Admissions],tblDaily[EntryDate],DATE(2026,6,26),tblDaily[WardCode],"MAE")=0,"",SUMIFS(tblDaily[Admissions],tblDaily[EntryDate],DATE(2026,6,26),tblDaily[WardCode],"MAE")),"")</f>
        <v/>
      </c>
      <c r="C233" s="39" t="str">
        <f>IFERROR(IF(SUMIFS(tblDaily[Discharges],tblDaily[EntryDate],DATE(2026,6,26),tblDaily[WardCode],"MAE")=0,"",SUMIFS(tblDaily[Discharges],tblDaily[EntryDate],DATE(2026,6,26),tblDaily[WardCode],"MAE")),"")</f>
        <v/>
      </c>
      <c r="D233" s="39" t="str">
        <f>IFERROR(IF(SUMIFS(tblDaily[Deaths],tblDaily[EntryDate],DATE(2026,6,26),tblDaily[WardCode],"MAE")=0,"",SUMIFS(tblDaily[Deaths],tblDaily[EntryDate],DATE(2026,6,26),tblDaily[WardCode],"MAE")),"")</f>
        <v/>
      </c>
      <c r="E233" s="39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39" t="str">
        <f>IFERROR(IF(SUMIFS(tblDaily[TransfersIn],tblDaily[EntryDate],DATE(2026,6,26),tblDaily[WardCode],"MAE")=0,"",SUMIFS(tblDaily[TransfersIn],tblDaily[EntryDate],DATE(2026,6,26),tblDaily[WardCode],"MAE")),"")</f>
        <v/>
      </c>
      <c r="G233" s="39" t="str">
        <f>IFERROR(IF(SUMIFS(tblDaily[TransfersOut],tblDaily[EntryDate],DATE(2026,6,26),tblDaily[WardCode],"MAE")=0,"",SUMIFS(tblDaily[TransfersOut],tblDaily[EntryDate],DATE(2026,6,26),tblDaily[WardCode],"MAE")),"")</f>
        <v/>
      </c>
      <c r="H233" s="39" t="str">
        <f>IFERROR(IF(SUMIFS(tblDaily[Remaining],tblDaily[EntryDate],DATE(2026,6,26),tblDaily[WardCode],"MAE")=0,"",SUMIFS(tblDaily[Remaining],tblDaily[EntryDate],DATE(2026,6,26),tblDaily[WardCode],"MAE")),"")</f>
        <v/>
      </c>
      <c r="I233" s="39" t="str">
        <f>IFERROR(IF(SUMIFS(tblDaily[Admissions],tblDaily[EntryDate],DATE(2026,6,26),tblDaily[WardCode],"FAE")=0,"",SUMIFS(tblDaily[Admissions],tblDaily[EntryDate],DATE(2026,6,26),tblDaily[WardCode],"FAE")),"")</f>
        <v/>
      </c>
      <c r="J233" s="39" t="str">
        <f>IFERROR(IF(SUMIFS(tblDaily[Discharges],tblDaily[EntryDate],DATE(2026,6,26),tblDaily[WardCode],"FAE")=0,"",SUMIFS(tblDaily[Discharges],tblDaily[EntryDate],DATE(2026,6,26),tblDaily[WardCode],"FAE")),"")</f>
        <v/>
      </c>
      <c r="K233" s="39" t="str">
        <f>IFERROR(IF(SUMIFS(tblDaily[Deaths],tblDaily[EntryDate],DATE(2026,6,26),tblDaily[WardCode],"FAE")=0,"",SUMIFS(tblDaily[Deaths],tblDaily[EntryDate],DATE(2026,6,26),tblDaily[WardCode],"FAE")),"")</f>
        <v/>
      </c>
      <c r="L233" s="39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39" t="str">
        <f>IFERROR(IF(SUMIFS(tblDaily[TransfersIn],tblDaily[EntryDate],DATE(2026,6,26),tblDaily[WardCode],"FAE")=0,"",SUMIFS(tblDaily[TransfersIn],tblDaily[EntryDate],DATE(2026,6,26),tblDaily[WardCode],"FAE")),"")</f>
        <v/>
      </c>
      <c r="N233" s="39" t="str">
        <f>IFERROR(IF(SUMIFS(tblDaily[TransfersOut],tblDaily[EntryDate],DATE(2026,6,26),tblDaily[WardCode],"FAE")=0,"",SUMIFS(tblDaily[TransfersOut],tblDaily[EntryDate],DATE(2026,6,26),tblDaily[WardCode],"FAE")),"")</f>
        <v/>
      </c>
      <c r="O233" s="39" t="str">
        <f>IFERROR(IF(SUMIFS(tblDaily[Remaining],tblDaily[EntryDate],DATE(2026,6,26),tblDaily[WardCode],"FAE")=0,"",SUMIFS(tblDaily[Remaining],tblDaily[EntryDate],DATE(2026,6,26),tblDaily[WardCode],"FAE")),"")</f>
        <v/>
      </c>
      <c r="P233" s="40" t="str">
        <f t="shared" si="5"/>
        <v/>
      </c>
    </row>
    <row r="234" spans="1:16" x14ac:dyDescent="0.25">
      <c r="A234" s="39">
        <v>27</v>
      </c>
      <c r="B234" s="39" t="str">
        <f>IFERROR(IF(SUMIFS(tblDaily[Admissions],tblDaily[EntryDate],DATE(2026,6,27),tblDaily[WardCode],"MAE")=0,"",SUMIFS(tblDaily[Admissions],tblDaily[EntryDate],DATE(2026,6,27),tblDaily[WardCode],"MAE")),"")</f>
        <v/>
      </c>
      <c r="C234" s="39" t="str">
        <f>IFERROR(IF(SUMIFS(tblDaily[Discharges],tblDaily[EntryDate],DATE(2026,6,27),tblDaily[WardCode],"MAE")=0,"",SUMIFS(tblDaily[Discharges],tblDaily[EntryDate],DATE(2026,6,27),tblDaily[WardCode],"MAE")),"")</f>
        <v/>
      </c>
      <c r="D234" s="39" t="str">
        <f>IFERROR(IF(SUMIFS(tblDaily[Deaths],tblDaily[EntryDate],DATE(2026,6,27),tblDaily[WardCode],"MAE")=0,"",SUMIFS(tblDaily[Deaths],tblDaily[EntryDate],DATE(2026,6,27),tblDaily[WardCode],"MAE")),"")</f>
        <v/>
      </c>
      <c r="E234" s="39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39" t="str">
        <f>IFERROR(IF(SUMIFS(tblDaily[TransfersIn],tblDaily[EntryDate],DATE(2026,6,27),tblDaily[WardCode],"MAE")=0,"",SUMIFS(tblDaily[TransfersIn],tblDaily[EntryDate],DATE(2026,6,27),tblDaily[WardCode],"MAE")),"")</f>
        <v/>
      </c>
      <c r="G234" s="39" t="str">
        <f>IFERROR(IF(SUMIFS(tblDaily[TransfersOut],tblDaily[EntryDate],DATE(2026,6,27),tblDaily[WardCode],"MAE")=0,"",SUMIFS(tblDaily[TransfersOut],tblDaily[EntryDate],DATE(2026,6,27),tblDaily[WardCode],"MAE")),"")</f>
        <v/>
      </c>
      <c r="H234" s="39" t="str">
        <f>IFERROR(IF(SUMIFS(tblDaily[Remaining],tblDaily[EntryDate],DATE(2026,6,27),tblDaily[WardCode],"MAE")=0,"",SUMIFS(tblDaily[Remaining],tblDaily[EntryDate],DATE(2026,6,27),tblDaily[WardCode],"MAE")),"")</f>
        <v/>
      </c>
      <c r="I234" s="39" t="str">
        <f>IFERROR(IF(SUMIFS(tblDaily[Admissions],tblDaily[EntryDate],DATE(2026,6,27),tblDaily[WardCode],"FAE")=0,"",SUMIFS(tblDaily[Admissions],tblDaily[EntryDate],DATE(2026,6,27),tblDaily[WardCode],"FAE")),"")</f>
        <v/>
      </c>
      <c r="J234" s="39" t="str">
        <f>IFERROR(IF(SUMIFS(tblDaily[Discharges],tblDaily[EntryDate],DATE(2026,6,27),tblDaily[WardCode],"FAE")=0,"",SUMIFS(tblDaily[Discharges],tblDaily[EntryDate],DATE(2026,6,27),tblDaily[WardCode],"FAE")),"")</f>
        <v/>
      </c>
      <c r="K234" s="39" t="str">
        <f>IFERROR(IF(SUMIFS(tblDaily[Deaths],tblDaily[EntryDate],DATE(2026,6,27),tblDaily[WardCode],"FAE")=0,"",SUMIFS(tblDaily[Deaths],tblDaily[EntryDate],DATE(2026,6,27),tblDaily[WardCode],"FAE")),"")</f>
        <v/>
      </c>
      <c r="L234" s="39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39" t="str">
        <f>IFERROR(IF(SUMIFS(tblDaily[TransfersIn],tblDaily[EntryDate],DATE(2026,6,27),tblDaily[WardCode],"FAE")=0,"",SUMIFS(tblDaily[TransfersIn],tblDaily[EntryDate],DATE(2026,6,27),tblDaily[WardCode],"FAE")),"")</f>
        <v/>
      </c>
      <c r="N234" s="39" t="str">
        <f>IFERROR(IF(SUMIFS(tblDaily[TransfersOut],tblDaily[EntryDate],DATE(2026,6,27),tblDaily[WardCode],"FAE")=0,"",SUMIFS(tblDaily[TransfersOut],tblDaily[EntryDate],DATE(2026,6,27),tblDaily[WardCode],"FAE")),"")</f>
        <v/>
      </c>
      <c r="O234" s="39" t="str">
        <f>IFERROR(IF(SUMIFS(tblDaily[Remaining],tblDaily[EntryDate],DATE(2026,6,27),tblDaily[WardCode],"FAE")=0,"",SUMIFS(tblDaily[Remaining],tblDaily[EntryDate],DATE(2026,6,27),tblDaily[WardCode],"FAE")),"")</f>
        <v/>
      </c>
      <c r="P234" s="40" t="str">
        <f t="shared" si="5"/>
        <v/>
      </c>
    </row>
    <row r="235" spans="1:16" x14ac:dyDescent="0.25">
      <c r="A235" s="39">
        <v>28</v>
      </c>
      <c r="B235" s="39" t="str">
        <f>IFERROR(IF(SUMIFS(tblDaily[Admissions],tblDaily[EntryDate],DATE(2026,6,28),tblDaily[WardCode],"MAE")=0,"",SUMIFS(tblDaily[Admissions],tblDaily[EntryDate],DATE(2026,6,28),tblDaily[WardCode],"MAE")),"")</f>
        <v/>
      </c>
      <c r="C235" s="39" t="str">
        <f>IFERROR(IF(SUMIFS(tblDaily[Discharges],tblDaily[EntryDate],DATE(2026,6,28),tblDaily[WardCode],"MAE")=0,"",SUMIFS(tblDaily[Discharges],tblDaily[EntryDate],DATE(2026,6,28),tblDaily[WardCode],"MAE")),"")</f>
        <v/>
      </c>
      <c r="D235" s="39" t="str">
        <f>IFERROR(IF(SUMIFS(tblDaily[Deaths],tblDaily[EntryDate],DATE(2026,6,28),tblDaily[WardCode],"MAE")=0,"",SUMIFS(tblDaily[Deaths],tblDaily[EntryDate],DATE(2026,6,28),tblDaily[WardCode],"MAE")),"")</f>
        <v/>
      </c>
      <c r="E235" s="39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39" t="str">
        <f>IFERROR(IF(SUMIFS(tblDaily[TransfersIn],tblDaily[EntryDate],DATE(2026,6,28),tblDaily[WardCode],"MAE")=0,"",SUMIFS(tblDaily[TransfersIn],tblDaily[EntryDate],DATE(2026,6,28),tblDaily[WardCode],"MAE")),"")</f>
        <v/>
      </c>
      <c r="G235" s="39" t="str">
        <f>IFERROR(IF(SUMIFS(tblDaily[TransfersOut],tblDaily[EntryDate],DATE(2026,6,28),tblDaily[WardCode],"MAE")=0,"",SUMIFS(tblDaily[TransfersOut],tblDaily[EntryDate],DATE(2026,6,28),tblDaily[WardCode],"MAE")),"")</f>
        <v/>
      </c>
      <c r="H235" s="39" t="str">
        <f>IFERROR(IF(SUMIFS(tblDaily[Remaining],tblDaily[EntryDate],DATE(2026,6,28),tblDaily[WardCode],"MAE")=0,"",SUMIFS(tblDaily[Remaining],tblDaily[EntryDate],DATE(2026,6,28),tblDaily[WardCode],"MAE")),"")</f>
        <v/>
      </c>
      <c r="I235" s="39" t="str">
        <f>IFERROR(IF(SUMIFS(tblDaily[Admissions],tblDaily[EntryDate],DATE(2026,6,28),tblDaily[WardCode],"FAE")=0,"",SUMIFS(tblDaily[Admissions],tblDaily[EntryDate],DATE(2026,6,28),tblDaily[WardCode],"FAE")),"")</f>
        <v/>
      </c>
      <c r="J235" s="39" t="str">
        <f>IFERROR(IF(SUMIFS(tblDaily[Discharges],tblDaily[EntryDate],DATE(2026,6,28),tblDaily[WardCode],"FAE")=0,"",SUMIFS(tblDaily[Discharges],tblDaily[EntryDate],DATE(2026,6,28),tblDaily[WardCode],"FAE")),"")</f>
        <v/>
      </c>
      <c r="K235" s="39" t="str">
        <f>IFERROR(IF(SUMIFS(tblDaily[Deaths],tblDaily[EntryDate],DATE(2026,6,28),tblDaily[WardCode],"FAE")=0,"",SUMIFS(tblDaily[Deaths],tblDaily[EntryDate],DATE(2026,6,28),tblDaily[WardCode],"FAE")),"")</f>
        <v/>
      </c>
      <c r="L235" s="39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39" t="str">
        <f>IFERROR(IF(SUMIFS(tblDaily[TransfersIn],tblDaily[EntryDate],DATE(2026,6,28),tblDaily[WardCode],"FAE")=0,"",SUMIFS(tblDaily[TransfersIn],tblDaily[EntryDate],DATE(2026,6,28),tblDaily[WardCode],"FAE")),"")</f>
        <v/>
      </c>
      <c r="N235" s="39" t="str">
        <f>IFERROR(IF(SUMIFS(tblDaily[TransfersOut],tblDaily[EntryDate],DATE(2026,6,28),tblDaily[WardCode],"FAE")=0,"",SUMIFS(tblDaily[TransfersOut],tblDaily[EntryDate],DATE(2026,6,28),tblDaily[WardCode],"FAE")),"")</f>
        <v/>
      </c>
      <c r="O235" s="39" t="str">
        <f>IFERROR(IF(SUMIFS(tblDaily[Remaining],tblDaily[EntryDate],DATE(2026,6,28),tblDaily[WardCode],"FAE")=0,"",SUMIFS(tblDaily[Remaining],tblDaily[EntryDate],DATE(2026,6,28),tblDaily[WardCode],"FAE")),"")</f>
        <v/>
      </c>
      <c r="P235" s="40" t="str">
        <f t="shared" si="5"/>
        <v/>
      </c>
    </row>
    <row r="236" spans="1:16" x14ac:dyDescent="0.25">
      <c r="A236" s="39">
        <v>29</v>
      </c>
      <c r="B236" s="39" t="str">
        <f>IFERROR(IF(SUMIFS(tblDaily[Admissions],tblDaily[EntryDate],DATE(2026,6,29),tblDaily[WardCode],"MAE")=0,"",SUMIFS(tblDaily[Admissions],tblDaily[EntryDate],DATE(2026,6,29),tblDaily[WardCode],"MAE")),"")</f>
        <v/>
      </c>
      <c r="C236" s="39" t="str">
        <f>IFERROR(IF(SUMIFS(tblDaily[Discharges],tblDaily[EntryDate],DATE(2026,6,29),tblDaily[WardCode],"MAE")=0,"",SUMIFS(tblDaily[Discharges],tblDaily[EntryDate],DATE(2026,6,29),tblDaily[WardCode],"MAE")),"")</f>
        <v/>
      </c>
      <c r="D236" s="39" t="str">
        <f>IFERROR(IF(SUMIFS(tblDaily[Deaths],tblDaily[EntryDate],DATE(2026,6,29),tblDaily[WardCode],"MAE")=0,"",SUMIFS(tblDaily[Deaths],tblDaily[EntryDate],DATE(2026,6,29),tblDaily[WardCode],"MAE")),"")</f>
        <v/>
      </c>
      <c r="E236" s="39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39" t="str">
        <f>IFERROR(IF(SUMIFS(tblDaily[TransfersIn],tblDaily[EntryDate],DATE(2026,6,29),tblDaily[WardCode],"MAE")=0,"",SUMIFS(tblDaily[TransfersIn],tblDaily[EntryDate],DATE(2026,6,29),tblDaily[WardCode],"MAE")),"")</f>
        <v/>
      </c>
      <c r="G236" s="39" t="str">
        <f>IFERROR(IF(SUMIFS(tblDaily[TransfersOut],tblDaily[EntryDate],DATE(2026,6,29),tblDaily[WardCode],"MAE")=0,"",SUMIFS(tblDaily[TransfersOut],tblDaily[EntryDate],DATE(2026,6,29),tblDaily[WardCode],"MAE")),"")</f>
        <v/>
      </c>
      <c r="H236" s="39" t="str">
        <f>IFERROR(IF(SUMIFS(tblDaily[Remaining],tblDaily[EntryDate],DATE(2026,6,29),tblDaily[WardCode],"MAE")=0,"",SUMIFS(tblDaily[Remaining],tblDaily[EntryDate],DATE(2026,6,29),tblDaily[WardCode],"MAE")),"")</f>
        <v/>
      </c>
      <c r="I236" s="39" t="str">
        <f>IFERROR(IF(SUMIFS(tblDaily[Admissions],tblDaily[EntryDate],DATE(2026,6,29),tblDaily[WardCode],"FAE")=0,"",SUMIFS(tblDaily[Admissions],tblDaily[EntryDate],DATE(2026,6,29),tblDaily[WardCode],"FAE")),"")</f>
        <v/>
      </c>
      <c r="J236" s="39" t="str">
        <f>IFERROR(IF(SUMIFS(tblDaily[Discharges],tblDaily[EntryDate],DATE(2026,6,29),tblDaily[WardCode],"FAE")=0,"",SUMIFS(tblDaily[Discharges],tblDaily[EntryDate],DATE(2026,6,29),tblDaily[WardCode],"FAE")),"")</f>
        <v/>
      </c>
      <c r="K236" s="39" t="str">
        <f>IFERROR(IF(SUMIFS(tblDaily[Deaths],tblDaily[EntryDate],DATE(2026,6,29),tblDaily[WardCode],"FAE")=0,"",SUMIFS(tblDaily[Deaths],tblDaily[EntryDate],DATE(2026,6,29),tblDaily[WardCode],"FAE")),"")</f>
        <v/>
      </c>
      <c r="L236" s="39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39" t="str">
        <f>IFERROR(IF(SUMIFS(tblDaily[TransfersIn],tblDaily[EntryDate],DATE(2026,6,29),tblDaily[WardCode],"FAE")=0,"",SUMIFS(tblDaily[TransfersIn],tblDaily[EntryDate],DATE(2026,6,29),tblDaily[WardCode],"FAE")),"")</f>
        <v/>
      </c>
      <c r="N236" s="39" t="str">
        <f>IFERROR(IF(SUMIFS(tblDaily[TransfersOut],tblDaily[EntryDate],DATE(2026,6,29),tblDaily[WardCode],"FAE")=0,"",SUMIFS(tblDaily[TransfersOut],tblDaily[EntryDate],DATE(2026,6,29),tblDaily[WardCode],"FAE")),"")</f>
        <v/>
      </c>
      <c r="O236" s="39" t="str">
        <f>IFERROR(IF(SUMIFS(tblDaily[Remaining],tblDaily[EntryDate],DATE(2026,6,29),tblDaily[WardCode],"FAE")=0,"",SUMIFS(tblDaily[Remaining],tblDaily[EntryDate],DATE(2026,6,29),tblDaily[WardCode],"FAE")),"")</f>
        <v/>
      </c>
      <c r="P236" s="40" t="str">
        <f t="shared" si="5"/>
        <v/>
      </c>
    </row>
    <row r="237" spans="1:16" x14ac:dyDescent="0.25">
      <c r="A237" s="39">
        <v>30</v>
      </c>
      <c r="B237" s="39" t="str">
        <f>IFERROR(IF(SUMIFS(tblDaily[Admissions],tblDaily[EntryDate],DATE(2026,6,30),tblDaily[WardCode],"MAE")=0,"",SUMIFS(tblDaily[Admissions],tblDaily[EntryDate],DATE(2026,6,30),tblDaily[WardCode],"MAE")),"")</f>
        <v/>
      </c>
      <c r="C237" s="39" t="str">
        <f>IFERROR(IF(SUMIFS(tblDaily[Discharges],tblDaily[EntryDate],DATE(2026,6,30),tblDaily[WardCode],"MAE")=0,"",SUMIFS(tblDaily[Discharges],tblDaily[EntryDate],DATE(2026,6,30),tblDaily[WardCode],"MAE")),"")</f>
        <v/>
      </c>
      <c r="D237" s="39" t="str">
        <f>IFERROR(IF(SUMIFS(tblDaily[Deaths],tblDaily[EntryDate],DATE(2026,6,30),tblDaily[WardCode],"MAE")=0,"",SUMIFS(tblDaily[Deaths],tblDaily[EntryDate],DATE(2026,6,30),tblDaily[WardCode],"MAE")),"")</f>
        <v/>
      </c>
      <c r="E237" s="39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39" t="str">
        <f>IFERROR(IF(SUMIFS(tblDaily[TransfersIn],tblDaily[EntryDate],DATE(2026,6,30),tblDaily[WardCode],"MAE")=0,"",SUMIFS(tblDaily[TransfersIn],tblDaily[EntryDate],DATE(2026,6,30),tblDaily[WardCode],"MAE")),"")</f>
        <v/>
      </c>
      <c r="G237" s="39" t="str">
        <f>IFERROR(IF(SUMIFS(tblDaily[TransfersOut],tblDaily[EntryDate],DATE(2026,6,30),tblDaily[WardCode],"MAE")=0,"",SUMIFS(tblDaily[TransfersOut],tblDaily[EntryDate],DATE(2026,6,30),tblDaily[WardCode],"MAE")),"")</f>
        <v/>
      </c>
      <c r="H237" s="39" t="str">
        <f>IFERROR(IF(SUMIFS(tblDaily[Remaining],tblDaily[EntryDate],DATE(2026,6,30),tblDaily[WardCode],"MAE")=0,"",SUMIFS(tblDaily[Remaining],tblDaily[EntryDate],DATE(2026,6,30),tblDaily[WardCode],"MAE")),"")</f>
        <v/>
      </c>
      <c r="I237" s="39" t="str">
        <f>IFERROR(IF(SUMIFS(tblDaily[Admissions],tblDaily[EntryDate],DATE(2026,6,30),tblDaily[WardCode],"FAE")=0,"",SUMIFS(tblDaily[Admissions],tblDaily[EntryDate],DATE(2026,6,30),tblDaily[WardCode],"FAE")),"")</f>
        <v/>
      </c>
      <c r="J237" s="39" t="str">
        <f>IFERROR(IF(SUMIFS(tblDaily[Discharges],tblDaily[EntryDate],DATE(2026,6,30),tblDaily[WardCode],"FAE")=0,"",SUMIFS(tblDaily[Discharges],tblDaily[EntryDate],DATE(2026,6,30),tblDaily[WardCode],"FAE")),"")</f>
        <v/>
      </c>
      <c r="K237" s="39" t="str">
        <f>IFERROR(IF(SUMIFS(tblDaily[Deaths],tblDaily[EntryDate],DATE(2026,6,30),tblDaily[WardCode],"FAE")=0,"",SUMIFS(tblDaily[Deaths],tblDaily[EntryDate],DATE(2026,6,30),tblDaily[WardCode],"FAE")),"")</f>
        <v/>
      </c>
      <c r="L237" s="39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39" t="str">
        <f>IFERROR(IF(SUMIFS(tblDaily[TransfersIn],tblDaily[EntryDate],DATE(2026,6,30),tblDaily[WardCode],"FAE")=0,"",SUMIFS(tblDaily[TransfersIn],tblDaily[EntryDate],DATE(2026,6,30),tblDaily[WardCode],"FAE")),"")</f>
        <v/>
      </c>
      <c r="N237" s="39" t="str">
        <f>IFERROR(IF(SUMIFS(tblDaily[TransfersOut],tblDaily[EntryDate],DATE(2026,6,30),tblDaily[WardCode],"FAE")=0,"",SUMIFS(tblDaily[TransfersOut],tblDaily[EntryDate],DATE(2026,6,30),tblDaily[WardCode],"FAE")),"")</f>
        <v/>
      </c>
      <c r="O237" s="39" t="str">
        <f>IFERROR(IF(SUMIFS(tblDaily[Remaining],tblDaily[EntryDate],DATE(2026,6,30),tblDaily[WardCode],"FAE")=0,"",SUMIFS(tblDaily[Remaining],tblDaily[EntryDate],DATE(2026,6,30),tblDaily[WardCode],"FAE")),"")</f>
        <v/>
      </c>
      <c r="P237" s="40" t="str">
        <f t="shared" si="5"/>
        <v/>
      </c>
    </row>
    <row r="238" spans="1:16" x14ac:dyDescent="0.25">
      <c r="A238" s="39">
        <v>31</v>
      </c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</row>
    <row r="239" spans="1:16" x14ac:dyDescent="0.25">
      <c r="A239" s="30" t="s">
        <v>115</v>
      </c>
      <c r="B239" s="30">
        <f>SUMIFS(tblDaily[Admissions],tblDaily[Month],6,tblDaily[WardCode],"MAE") - SUMIFS(tblDaily[DeathsUnder24Hrs],tblDaily[Month],6,tblDaily[WardCode],"MAE")</f>
        <v>0</v>
      </c>
      <c r="C239" s="30">
        <f>SUMIFS(tblDaily[Discharges],tblDaily[Month],6,tblDaily[WardCode],"MAE")</f>
        <v>0</v>
      </c>
      <c r="D239" s="30">
        <f>SUMIFS(tblDaily[Deaths],tblDaily[Month],6,tblDaily[WardCode],"MAE")</f>
        <v>0</v>
      </c>
      <c r="E239" s="30">
        <f>SUMIFS(tblDaily[DeathsUnder24Hrs],tblDaily[Month],6,tblDaily[WardCode],"MAE")</f>
        <v>0</v>
      </c>
      <c r="F239" s="30">
        <f>SUMIFS(tblDaily[TransfersIn],tblDaily[Month],6,tblDaily[WardCode],"MAE")</f>
        <v>0</v>
      </c>
      <c r="G239" s="30">
        <f>SUMIFS(tblDaily[TransfersOut],tblDaily[Month],6,tblDaily[WardCode],"MAE")</f>
        <v>0</v>
      </c>
      <c r="H239" s="30">
        <f>SUMIFS(tblDaily[Remaining],tblDaily[Month],6,tblDaily[WardCode],"MAE")</f>
        <v>0</v>
      </c>
      <c r="I239" s="30">
        <f>SUMIFS(tblDaily[Admissions],tblDaily[Month],6,tblDaily[WardCode],"FAE") - SUMIFS(tblDaily[DeathsUnder24Hrs],tblDaily[Month],6,tblDaily[WardCode],"FAE")</f>
        <v>0</v>
      </c>
      <c r="J239" s="30">
        <f>SUMIFS(tblDaily[Discharges],tblDaily[Month],6,tblDaily[WardCode],"FAE")</f>
        <v>0</v>
      </c>
      <c r="K239" s="30">
        <f>SUMIFS(tblDaily[Deaths],tblDaily[Month],6,tblDaily[WardCode],"FAE")</f>
        <v>0</v>
      </c>
      <c r="L239" s="30">
        <f>SUMIFS(tblDaily[DeathsUnder24Hrs],tblDaily[Month],6,tblDaily[WardCode],"FAE")</f>
        <v>0</v>
      </c>
      <c r="M239" s="30">
        <f>SUMIFS(tblDaily[TransfersIn],tblDaily[Month],6,tblDaily[WardCode],"FAE")</f>
        <v>0</v>
      </c>
      <c r="N239" s="30">
        <f>SUMIFS(tblDaily[TransfersOut],tblDaily[Month],6,tblDaily[WardCode],"FAE")</f>
        <v>0</v>
      </c>
      <c r="O239" s="30">
        <f>SUMIFS(tblDaily[Remaining],tblDaily[Month],6,tblDaily[WardCode],"FAE")</f>
        <v>0</v>
      </c>
      <c r="P239" s="30">
        <f>H239 + O239</f>
        <v>0</v>
      </c>
    </row>
    <row r="241" spans="1:16" ht="18.75" x14ac:dyDescent="0.25">
      <c r="A241" s="32" t="s">
        <v>0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</row>
    <row r="242" spans="1:16" ht="15.75" x14ac:dyDescent="0.25">
      <c r="A242" s="23" t="s">
        <v>104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6" x14ac:dyDescent="0.25">
      <c r="A243" s="24" t="s">
        <v>4</v>
      </c>
      <c r="B243" s="25" t="s">
        <v>2</v>
      </c>
      <c r="E243" s="24" t="s">
        <v>105</v>
      </c>
      <c r="F243" s="24" t="s">
        <v>125</v>
      </c>
      <c r="M243" s="24" t="s">
        <v>107</v>
      </c>
      <c r="N243" s="24" t="s">
        <v>69</v>
      </c>
    </row>
    <row r="244" spans="1:16" x14ac:dyDescent="0.25">
      <c r="A244" s="24" t="s">
        <v>108</v>
      </c>
      <c r="B244" s="33">
        <f>IFERROR(SUMIFS(tblDaily[Remaining],tblDaily[EntryDate],DATE(2026,6,30),tblDaily[WardCode],"MAE"),0)</f>
        <v>0</v>
      </c>
      <c r="I244" s="33">
        <f>IFERROR(SUMIFS(tblDaily[Remaining],tblDaily[EntryDate],DATE(2026,6,30),tblDaily[WardCode],"FAE"),0)</f>
        <v>0</v>
      </c>
    </row>
    <row r="245" spans="1:16" x14ac:dyDescent="0.25">
      <c r="A245" s="24" t="s">
        <v>109</v>
      </c>
      <c r="B245" s="33">
        <f>IFERROR(INDEX(tblWardConfig[BedComplement],MATCH("MAE",tblWardConfig[WardCode],0)),0)</f>
        <v>10</v>
      </c>
      <c r="I245" s="33">
        <f>IFERROR(INDEX(tblWardConfig[BedComplement],MATCH("FAE",tblWardConfig[WardCode],0)),0)</f>
        <v>10</v>
      </c>
      <c r="O245" s="34">
        <f>B245+I245</f>
        <v>20</v>
      </c>
    </row>
    <row r="246" spans="1:16" x14ac:dyDescent="0.25">
      <c r="A246" s="35" t="s">
        <v>126</v>
      </c>
      <c r="B246" s="36" t="s">
        <v>122</v>
      </c>
      <c r="C246" s="22"/>
      <c r="D246" s="22"/>
      <c r="E246" s="22"/>
      <c r="F246" s="22"/>
      <c r="G246" s="22"/>
      <c r="H246" s="22"/>
      <c r="I246" s="37" t="s">
        <v>123</v>
      </c>
      <c r="J246" s="22"/>
      <c r="K246" s="22"/>
      <c r="L246" s="22"/>
      <c r="M246" s="22"/>
      <c r="N246" s="22"/>
      <c r="O246" s="22"/>
      <c r="P246" s="38" t="s">
        <v>115</v>
      </c>
    </row>
    <row r="247" spans="1:16" x14ac:dyDescent="0.25">
      <c r="A247" s="35" t="s">
        <v>126</v>
      </c>
      <c r="B247" s="35" t="s">
        <v>127</v>
      </c>
      <c r="C247" s="35" t="s">
        <v>128</v>
      </c>
      <c r="D247" s="35" t="s">
        <v>129</v>
      </c>
      <c r="E247" s="35" t="s">
        <v>130</v>
      </c>
      <c r="F247" s="35" t="s">
        <v>131</v>
      </c>
      <c r="G247" s="35" t="s">
        <v>132</v>
      </c>
      <c r="H247" s="35" t="s">
        <v>133</v>
      </c>
      <c r="I247" s="35" t="s">
        <v>127</v>
      </c>
      <c r="J247" s="35" t="s">
        <v>128</v>
      </c>
      <c r="K247" s="35" t="s">
        <v>129</v>
      </c>
      <c r="L247" s="35" t="s">
        <v>130</v>
      </c>
      <c r="M247" s="35" t="s">
        <v>131</v>
      </c>
      <c r="N247" s="35" t="s">
        <v>132</v>
      </c>
      <c r="O247" s="35" t="s">
        <v>133</v>
      </c>
      <c r="P247" s="35" t="s">
        <v>134</v>
      </c>
    </row>
    <row r="248" spans="1:16" x14ac:dyDescent="0.25">
      <c r="A248" s="39">
        <v>1</v>
      </c>
      <c r="B248" s="39" t="str">
        <f>IFERROR(IF(SUMIFS(tblDaily[Admissions],tblDaily[EntryDate],DATE(2026,7,1),tblDaily[WardCode],"MAE")=0,"",SUMIFS(tblDaily[Admissions],tblDaily[EntryDate],DATE(2026,7,1),tblDaily[WardCode],"MAE")),"")</f>
        <v/>
      </c>
      <c r="C248" s="39" t="str">
        <f>IFERROR(IF(SUMIFS(tblDaily[Discharges],tblDaily[EntryDate],DATE(2026,7,1),tblDaily[WardCode],"MAE")=0,"",SUMIFS(tblDaily[Discharges],tblDaily[EntryDate],DATE(2026,7,1),tblDaily[WardCode],"MAE")),"")</f>
        <v/>
      </c>
      <c r="D248" s="39" t="str">
        <f>IFERROR(IF(SUMIFS(tblDaily[Deaths],tblDaily[EntryDate],DATE(2026,7,1),tblDaily[WardCode],"MAE")=0,"",SUMIFS(tblDaily[Deaths],tblDaily[EntryDate],DATE(2026,7,1),tblDaily[WardCode],"MAE")),"")</f>
        <v/>
      </c>
      <c r="E248" s="39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39" t="str">
        <f>IFERROR(IF(SUMIFS(tblDaily[TransfersIn],tblDaily[EntryDate],DATE(2026,7,1),tblDaily[WardCode],"MAE")=0,"",SUMIFS(tblDaily[TransfersIn],tblDaily[EntryDate],DATE(2026,7,1),tblDaily[WardCode],"MAE")),"")</f>
        <v/>
      </c>
      <c r="G248" s="39" t="str">
        <f>IFERROR(IF(SUMIFS(tblDaily[TransfersOut],tblDaily[EntryDate],DATE(2026,7,1),tblDaily[WardCode],"MAE")=0,"",SUMIFS(tblDaily[TransfersOut],tblDaily[EntryDate],DATE(2026,7,1),tblDaily[WardCode],"MAE")),"")</f>
        <v/>
      </c>
      <c r="H248" s="39" t="str">
        <f>IFERROR(IF(SUMIFS(tblDaily[Remaining],tblDaily[EntryDate],DATE(2026,7,1),tblDaily[WardCode],"MAE")=0,"",SUMIFS(tblDaily[Remaining],tblDaily[EntryDate],DATE(2026,7,1),tblDaily[WardCode],"MAE")),"")</f>
        <v/>
      </c>
      <c r="I248" s="39" t="str">
        <f>IFERROR(IF(SUMIFS(tblDaily[Admissions],tblDaily[EntryDate],DATE(2026,7,1),tblDaily[WardCode],"FAE")=0,"",SUMIFS(tblDaily[Admissions],tblDaily[EntryDate],DATE(2026,7,1),tblDaily[WardCode],"FAE")),"")</f>
        <v/>
      </c>
      <c r="J248" s="39" t="str">
        <f>IFERROR(IF(SUMIFS(tblDaily[Discharges],tblDaily[EntryDate],DATE(2026,7,1),tblDaily[WardCode],"FAE")=0,"",SUMIFS(tblDaily[Discharges],tblDaily[EntryDate],DATE(2026,7,1),tblDaily[WardCode],"FAE")),"")</f>
        <v/>
      </c>
      <c r="K248" s="39" t="str">
        <f>IFERROR(IF(SUMIFS(tblDaily[Deaths],tblDaily[EntryDate],DATE(2026,7,1),tblDaily[WardCode],"FAE")=0,"",SUMIFS(tblDaily[Deaths],tblDaily[EntryDate],DATE(2026,7,1),tblDaily[WardCode],"FAE")),"")</f>
        <v/>
      </c>
      <c r="L248" s="39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39" t="str">
        <f>IFERROR(IF(SUMIFS(tblDaily[TransfersIn],tblDaily[EntryDate],DATE(2026,7,1),tblDaily[WardCode],"FAE")=0,"",SUMIFS(tblDaily[TransfersIn],tblDaily[EntryDate],DATE(2026,7,1),tblDaily[WardCode],"FAE")),"")</f>
        <v/>
      </c>
      <c r="N248" s="39" t="str">
        <f>IFERROR(IF(SUMIFS(tblDaily[TransfersOut],tblDaily[EntryDate],DATE(2026,7,1),tblDaily[WardCode],"FAE")=0,"",SUMIFS(tblDaily[TransfersOut],tblDaily[EntryDate],DATE(2026,7,1),tblDaily[WardCode],"FAE")),"")</f>
        <v/>
      </c>
      <c r="O248" s="39" t="str">
        <f>IFERROR(IF(SUMIFS(tblDaily[Remaining],tblDaily[EntryDate],DATE(2026,7,1),tblDaily[WardCode],"FAE")=0,"",SUMIFS(tblDaily[Remaining],tblDaily[EntryDate],DATE(2026,7,1),tblDaily[WardCode],"FAE")),"")</f>
        <v/>
      </c>
      <c r="P248" s="40" t="str">
        <f t="shared" ref="P248:P278" si="6">IF(AND(H248="", O248=""), "", N(H248) + N(O248))</f>
        <v/>
      </c>
    </row>
    <row r="249" spans="1:16" x14ac:dyDescent="0.25">
      <c r="A249" s="39">
        <v>2</v>
      </c>
      <c r="B249" s="39" t="str">
        <f>IFERROR(IF(SUMIFS(tblDaily[Admissions],tblDaily[EntryDate],DATE(2026,7,2),tblDaily[WardCode],"MAE")=0,"",SUMIFS(tblDaily[Admissions],tblDaily[EntryDate],DATE(2026,7,2),tblDaily[WardCode],"MAE")),"")</f>
        <v/>
      </c>
      <c r="C249" s="39" t="str">
        <f>IFERROR(IF(SUMIFS(tblDaily[Discharges],tblDaily[EntryDate],DATE(2026,7,2),tblDaily[WardCode],"MAE")=0,"",SUMIFS(tblDaily[Discharges],tblDaily[EntryDate],DATE(2026,7,2),tblDaily[WardCode],"MAE")),"")</f>
        <v/>
      </c>
      <c r="D249" s="39" t="str">
        <f>IFERROR(IF(SUMIFS(tblDaily[Deaths],tblDaily[EntryDate],DATE(2026,7,2),tblDaily[WardCode],"MAE")=0,"",SUMIFS(tblDaily[Deaths],tblDaily[EntryDate],DATE(2026,7,2),tblDaily[WardCode],"MAE")),"")</f>
        <v/>
      </c>
      <c r="E249" s="39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39" t="str">
        <f>IFERROR(IF(SUMIFS(tblDaily[TransfersIn],tblDaily[EntryDate],DATE(2026,7,2),tblDaily[WardCode],"MAE")=0,"",SUMIFS(tblDaily[TransfersIn],tblDaily[EntryDate],DATE(2026,7,2),tblDaily[WardCode],"MAE")),"")</f>
        <v/>
      </c>
      <c r="G249" s="39" t="str">
        <f>IFERROR(IF(SUMIFS(tblDaily[TransfersOut],tblDaily[EntryDate],DATE(2026,7,2),tblDaily[WardCode],"MAE")=0,"",SUMIFS(tblDaily[TransfersOut],tblDaily[EntryDate],DATE(2026,7,2),tblDaily[WardCode],"MAE")),"")</f>
        <v/>
      </c>
      <c r="H249" s="39" t="str">
        <f>IFERROR(IF(SUMIFS(tblDaily[Remaining],tblDaily[EntryDate],DATE(2026,7,2),tblDaily[WardCode],"MAE")=0,"",SUMIFS(tblDaily[Remaining],tblDaily[EntryDate],DATE(2026,7,2),tblDaily[WardCode],"MAE")),"")</f>
        <v/>
      </c>
      <c r="I249" s="39" t="str">
        <f>IFERROR(IF(SUMIFS(tblDaily[Admissions],tblDaily[EntryDate],DATE(2026,7,2),tblDaily[WardCode],"FAE")=0,"",SUMIFS(tblDaily[Admissions],tblDaily[EntryDate],DATE(2026,7,2),tblDaily[WardCode],"FAE")),"")</f>
        <v/>
      </c>
      <c r="J249" s="39" t="str">
        <f>IFERROR(IF(SUMIFS(tblDaily[Discharges],tblDaily[EntryDate],DATE(2026,7,2),tblDaily[WardCode],"FAE")=0,"",SUMIFS(tblDaily[Discharges],tblDaily[EntryDate],DATE(2026,7,2),tblDaily[WardCode],"FAE")),"")</f>
        <v/>
      </c>
      <c r="K249" s="39" t="str">
        <f>IFERROR(IF(SUMIFS(tblDaily[Deaths],tblDaily[EntryDate],DATE(2026,7,2),tblDaily[WardCode],"FAE")=0,"",SUMIFS(tblDaily[Deaths],tblDaily[EntryDate],DATE(2026,7,2),tblDaily[WardCode],"FAE")),"")</f>
        <v/>
      </c>
      <c r="L249" s="39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39" t="str">
        <f>IFERROR(IF(SUMIFS(tblDaily[TransfersIn],tblDaily[EntryDate],DATE(2026,7,2),tblDaily[WardCode],"FAE")=0,"",SUMIFS(tblDaily[TransfersIn],tblDaily[EntryDate],DATE(2026,7,2),tblDaily[WardCode],"FAE")),"")</f>
        <v/>
      </c>
      <c r="N249" s="39" t="str">
        <f>IFERROR(IF(SUMIFS(tblDaily[TransfersOut],tblDaily[EntryDate],DATE(2026,7,2),tblDaily[WardCode],"FAE")=0,"",SUMIFS(tblDaily[TransfersOut],tblDaily[EntryDate],DATE(2026,7,2),tblDaily[WardCode],"FAE")),"")</f>
        <v/>
      </c>
      <c r="O249" s="39" t="str">
        <f>IFERROR(IF(SUMIFS(tblDaily[Remaining],tblDaily[EntryDate],DATE(2026,7,2),tblDaily[WardCode],"FAE")=0,"",SUMIFS(tblDaily[Remaining],tblDaily[EntryDate],DATE(2026,7,2),tblDaily[WardCode],"FAE")),"")</f>
        <v/>
      </c>
      <c r="P249" s="40" t="str">
        <f t="shared" si="6"/>
        <v/>
      </c>
    </row>
    <row r="250" spans="1:16" x14ac:dyDescent="0.25">
      <c r="A250" s="39">
        <v>3</v>
      </c>
      <c r="B250" s="39" t="str">
        <f>IFERROR(IF(SUMIFS(tblDaily[Admissions],tblDaily[EntryDate],DATE(2026,7,3),tblDaily[WardCode],"MAE")=0,"",SUMIFS(tblDaily[Admissions],tblDaily[EntryDate],DATE(2026,7,3),tblDaily[WardCode],"MAE")),"")</f>
        <v/>
      </c>
      <c r="C250" s="39" t="str">
        <f>IFERROR(IF(SUMIFS(tblDaily[Discharges],tblDaily[EntryDate],DATE(2026,7,3),tblDaily[WardCode],"MAE")=0,"",SUMIFS(tblDaily[Discharges],tblDaily[EntryDate],DATE(2026,7,3),tblDaily[WardCode],"MAE")),"")</f>
        <v/>
      </c>
      <c r="D250" s="39" t="str">
        <f>IFERROR(IF(SUMIFS(tblDaily[Deaths],tblDaily[EntryDate],DATE(2026,7,3),tblDaily[WardCode],"MAE")=0,"",SUMIFS(tblDaily[Deaths],tblDaily[EntryDate],DATE(2026,7,3),tblDaily[WardCode],"MAE")),"")</f>
        <v/>
      </c>
      <c r="E250" s="39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39" t="str">
        <f>IFERROR(IF(SUMIFS(tblDaily[TransfersIn],tblDaily[EntryDate],DATE(2026,7,3),tblDaily[WardCode],"MAE")=0,"",SUMIFS(tblDaily[TransfersIn],tblDaily[EntryDate],DATE(2026,7,3),tblDaily[WardCode],"MAE")),"")</f>
        <v/>
      </c>
      <c r="G250" s="39" t="str">
        <f>IFERROR(IF(SUMIFS(tblDaily[TransfersOut],tblDaily[EntryDate],DATE(2026,7,3),tblDaily[WardCode],"MAE")=0,"",SUMIFS(tblDaily[TransfersOut],tblDaily[EntryDate],DATE(2026,7,3),tblDaily[WardCode],"MAE")),"")</f>
        <v/>
      </c>
      <c r="H250" s="39" t="str">
        <f>IFERROR(IF(SUMIFS(tblDaily[Remaining],tblDaily[EntryDate],DATE(2026,7,3),tblDaily[WardCode],"MAE")=0,"",SUMIFS(tblDaily[Remaining],tblDaily[EntryDate],DATE(2026,7,3),tblDaily[WardCode],"MAE")),"")</f>
        <v/>
      </c>
      <c r="I250" s="39" t="str">
        <f>IFERROR(IF(SUMIFS(tblDaily[Admissions],tblDaily[EntryDate],DATE(2026,7,3),tblDaily[WardCode],"FAE")=0,"",SUMIFS(tblDaily[Admissions],tblDaily[EntryDate],DATE(2026,7,3),tblDaily[WardCode],"FAE")),"")</f>
        <v/>
      </c>
      <c r="J250" s="39" t="str">
        <f>IFERROR(IF(SUMIFS(tblDaily[Discharges],tblDaily[EntryDate],DATE(2026,7,3),tblDaily[WardCode],"FAE")=0,"",SUMIFS(tblDaily[Discharges],tblDaily[EntryDate],DATE(2026,7,3),tblDaily[WardCode],"FAE")),"")</f>
        <v/>
      </c>
      <c r="K250" s="39" t="str">
        <f>IFERROR(IF(SUMIFS(tblDaily[Deaths],tblDaily[EntryDate],DATE(2026,7,3),tblDaily[WardCode],"FAE")=0,"",SUMIFS(tblDaily[Deaths],tblDaily[EntryDate],DATE(2026,7,3),tblDaily[WardCode],"FAE")),"")</f>
        <v/>
      </c>
      <c r="L250" s="39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39" t="str">
        <f>IFERROR(IF(SUMIFS(tblDaily[TransfersIn],tblDaily[EntryDate],DATE(2026,7,3),tblDaily[WardCode],"FAE")=0,"",SUMIFS(tblDaily[TransfersIn],tblDaily[EntryDate],DATE(2026,7,3),tblDaily[WardCode],"FAE")),"")</f>
        <v/>
      </c>
      <c r="N250" s="39" t="str">
        <f>IFERROR(IF(SUMIFS(tblDaily[TransfersOut],tblDaily[EntryDate],DATE(2026,7,3),tblDaily[WardCode],"FAE")=0,"",SUMIFS(tblDaily[TransfersOut],tblDaily[EntryDate],DATE(2026,7,3),tblDaily[WardCode],"FAE")),"")</f>
        <v/>
      </c>
      <c r="O250" s="39" t="str">
        <f>IFERROR(IF(SUMIFS(tblDaily[Remaining],tblDaily[EntryDate],DATE(2026,7,3),tblDaily[WardCode],"FAE")=0,"",SUMIFS(tblDaily[Remaining],tblDaily[EntryDate],DATE(2026,7,3),tblDaily[WardCode],"FAE")),"")</f>
        <v/>
      </c>
      <c r="P250" s="40" t="str">
        <f t="shared" si="6"/>
        <v/>
      </c>
    </row>
    <row r="251" spans="1:16" x14ac:dyDescent="0.25">
      <c r="A251" s="39">
        <v>4</v>
      </c>
      <c r="B251" s="39" t="str">
        <f>IFERROR(IF(SUMIFS(tblDaily[Admissions],tblDaily[EntryDate],DATE(2026,7,4),tblDaily[WardCode],"MAE")=0,"",SUMIFS(tblDaily[Admissions],tblDaily[EntryDate],DATE(2026,7,4),tblDaily[WardCode],"MAE")),"")</f>
        <v/>
      </c>
      <c r="C251" s="39" t="str">
        <f>IFERROR(IF(SUMIFS(tblDaily[Discharges],tblDaily[EntryDate],DATE(2026,7,4),tblDaily[WardCode],"MAE")=0,"",SUMIFS(tblDaily[Discharges],tblDaily[EntryDate],DATE(2026,7,4),tblDaily[WardCode],"MAE")),"")</f>
        <v/>
      </c>
      <c r="D251" s="39" t="str">
        <f>IFERROR(IF(SUMIFS(tblDaily[Deaths],tblDaily[EntryDate],DATE(2026,7,4),tblDaily[WardCode],"MAE")=0,"",SUMIFS(tblDaily[Deaths],tblDaily[EntryDate],DATE(2026,7,4),tblDaily[WardCode],"MAE")),"")</f>
        <v/>
      </c>
      <c r="E251" s="39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39" t="str">
        <f>IFERROR(IF(SUMIFS(tblDaily[TransfersIn],tblDaily[EntryDate],DATE(2026,7,4),tblDaily[WardCode],"MAE")=0,"",SUMIFS(tblDaily[TransfersIn],tblDaily[EntryDate],DATE(2026,7,4),tblDaily[WardCode],"MAE")),"")</f>
        <v/>
      </c>
      <c r="G251" s="39" t="str">
        <f>IFERROR(IF(SUMIFS(tblDaily[TransfersOut],tblDaily[EntryDate],DATE(2026,7,4),tblDaily[WardCode],"MAE")=0,"",SUMIFS(tblDaily[TransfersOut],tblDaily[EntryDate],DATE(2026,7,4),tblDaily[WardCode],"MAE")),"")</f>
        <v/>
      </c>
      <c r="H251" s="39" t="str">
        <f>IFERROR(IF(SUMIFS(tblDaily[Remaining],tblDaily[EntryDate],DATE(2026,7,4),tblDaily[WardCode],"MAE")=0,"",SUMIFS(tblDaily[Remaining],tblDaily[EntryDate],DATE(2026,7,4),tblDaily[WardCode],"MAE")),"")</f>
        <v/>
      </c>
      <c r="I251" s="39" t="str">
        <f>IFERROR(IF(SUMIFS(tblDaily[Admissions],tblDaily[EntryDate],DATE(2026,7,4),tblDaily[WardCode],"FAE")=0,"",SUMIFS(tblDaily[Admissions],tblDaily[EntryDate],DATE(2026,7,4),tblDaily[WardCode],"FAE")),"")</f>
        <v/>
      </c>
      <c r="J251" s="39" t="str">
        <f>IFERROR(IF(SUMIFS(tblDaily[Discharges],tblDaily[EntryDate],DATE(2026,7,4),tblDaily[WardCode],"FAE")=0,"",SUMIFS(tblDaily[Discharges],tblDaily[EntryDate],DATE(2026,7,4),tblDaily[WardCode],"FAE")),"")</f>
        <v/>
      </c>
      <c r="K251" s="39" t="str">
        <f>IFERROR(IF(SUMIFS(tblDaily[Deaths],tblDaily[EntryDate],DATE(2026,7,4),tblDaily[WardCode],"FAE")=0,"",SUMIFS(tblDaily[Deaths],tblDaily[EntryDate],DATE(2026,7,4),tblDaily[WardCode],"FAE")),"")</f>
        <v/>
      </c>
      <c r="L251" s="39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39" t="str">
        <f>IFERROR(IF(SUMIFS(tblDaily[TransfersIn],tblDaily[EntryDate],DATE(2026,7,4),tblDaily[WardCode],"FAE")=0,"",SUMIFS(tblDaily[TransfersIn],tblDaily[EntryDate],DATE(2026,7,4),tblDaily[WardCode],"FAE")),"")</f>
        <v/>
      </c>
      <c r="N251" s="39" t="str">
        <f>IFERROR(IF(SUMIFS(tblDaily[TransfersOut],tblDaily[EntryDate],DATE(2026,7,4),tblDaily[WardCode],"FAE")=0,"",SUMIFS(tblDaily[TransfersOut],tblDaily[EntryDate],DATE(2026,7,4),tblDaily[WardCode],"FAE")),"")</f>
        <v/>
      </c>
      <c r="O251" s="39" t="str">
        <f>IFERROR(IF(SUMIFS(tblDaily[Remaining],tblDaily[EntryDate],DATE(2026,7,4),tblDaily[WardCode],"FAE")=0,"",SUMIFS(tblDaily[Remaining],tblDaily[EntryDate],DATE(2026,7,4),tblDaily[WardCode],"FAE")),"")</f>
        <v/>
      </c>
      <c r="P251" s="40" t="str">
        <f t="shared" si="6"/>
        <v/>
      </c>
    </row>
    <row r="252" spans="1:16" x14ac:dyDescent="0.25">
      <c r="A252" s="39">
        <v>5</v>
      </c>
      <c r="B252" s="39" t="str">
        <f>IFERROR(IF(SUMIFS(tblDaily[Admissions],tblDaily[EntryDate],DATE(2026,7,5),tblDaily[WardCode],"MAE")=0,"",SUMIFS(tblDaily[Admissions],tblDaily[EntryDate],DATE(2026,7,5),tblDaily[WardCode],"MAE")),"")</f>
        <v/>
      </c>
      <c r="C252" s="39" t="str">
        <f>IFERROR(IF(SUMIFS(tblDaily[Discharges],tblDaily[EntryDate],DATE(2026,7,5),tblDaily[WardCode],"MAE")=0,"",SUMIFS(tblDaily[Discharges],tblDaily[EntryDate],DATE(2026,7,5),tblDaily[WardCode],"MAE")),"")</f>
        <v/>
      </c>
      <c r="D252" s="39" t="str">
        <f>IFERROR(IF(SUMIFS(tblDaily[Deaths],tblDaily[EntryDate],DATE(2026,7,5),tblDaily[WardCode],"MAE")=0,"",SUMIFS(tblDaily[Deaths],tblDaily[EntryDate],DATE(2026,7,5),tblDaily[WardCode],"MAE")),"")</f>
        <v/>
      </c>
      <c r="E252" s="39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39" t="str">
        <f>IFERROR(IF(SUMIFS(tblDaily[TransfersIn],tblDaily[EntryDate],DATE(2026,7,5),tblDaily[WardCode],"MAE")=0,"",SUMIFS(tblDaily[TransfersIn],tblDaily[EntryDate],DATE(2026,7,5),tblDaily[WardCode],"MAE")),"")</f>
        <v/>
      </c>
      <c r="G252" s="39" t="str">
        <f>IFERROR(IF(SUMIFS(tblDaily[TransfersOut],tblDaily[EntryDate],DATE(2026,7,5),tblDaily[WardCode],"MAE")=0,"",SUMIFS(tblDaily[TransfersOut],tblDaily[EntryDate],DATE(2026,7,5),tblDaily[WardCode],"MAE")),"")</f>
        <v/>
      </c>
      <c r="H252" s="39" t="str">
        <f>IFERROR(IF(SUMIFS(tblDaily[Remaining],tblDaily[EntryDate],DATE(2026,7,5),tblDaily[WardCode],"MAE")=0,"",SUMIFS(tblDaily[Remaining],tblDaily[EntryDate],DATE(2026,7,5),tblDaily[WardCode],"MAE")),"")</f>
        <v/>
      </c>
      <c r="I252" s="39" t="str">
        <f>IFERROR(IF(SUMIFS(tblDaily[Admissions],tblDaily[EntryDate],DATE(2026,7,5),tblDaily[WardCode],"FAE")=0,"",SUMIFS(tblDaily[Admissions],tblDaily[EntryDate],DATE(2026,7,5),tblDaily[WardCode],"FAE")),"")</f>
        <v/>
      </c>
      <c r="J252" s="39" t="str">
        <f>IFERROR(IF(SUMIFS(tblDaily[Discharges],tblDaily[EntryDate],DATE(2026,7,5),tblDaily[WardCode],"FAE")=0,"",SUMIFS(tblDaily[Discharges],tblDaily[EntryDate],DATE(2026,7,5),tblDaily[WardCode],"FAE")),"")</f>
        <v/>
      </c>
      <c r="K252" s="39" t="str">
        <f>IFERROR(IF(SUMIFS(tblDaily[Deaths],tblDaily[EntryDate],DATE(2026,7,5),tblDaily[WardCode],"FAE")=0,"",SUMIFS(tblDaily[Deaths],tblDaily[EntryDate],DATE(2026,7,5),tblDaily[WardCode],"FAE")),"")</f>
        <v/>
      </c>
      <c r="L252" s="39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39" t="str">
        <f>IFERROR(IF(SUMIFS(tblDaily[TransfersIn],tblDaily[EntryDate],DATE(2026,7,5),tblDaily[WardCode],"FAE")=0,"",SUMIFS(tblDaily[TransfersIn],tblDaily[EntryDate],DATE(2026,7,5),tblDaily[WardCode],"FAE")),"")</f>
        <v/>
      </c>
      <c r="N252" s="39" t="str">
        <f>IFERROR(IF(SUMIFS(tblDaily[TransfersOut],tblDaily[EntryDate],DATE(2026,7,5),tblDaily[WardCode],"FAE")=0,"",SUMIFS(tblDaily[TransfersOut],tblDaily[EntryDate],DATE(2026,7,5),tblDaily[WardCode],"FAE")),"")</f>
        <v/>
      </c>
      <c r="O252" s="39" t="str">
        <f>IFERROR(IF(SUMIFS(tblDaily[Remaining],tblDaily[EntryDate],DATE(2026,7,5),tblDaily[WardCode],"FAE")=0,"",SUMIFS(tblDaily[Remaining],tblDaily[EntryDate],DATE(2026,7,5),tblDaily[WardCode],"FAE")),"")</f>
        <v/>
      </c>
      <c r="P252" s="40" t="str">
        <f t="shared" si="6"/>
        <v/>
      </c>
    </row>
    <row r="253" spans="1:16" x14ac:dyDescent="0.25">
      <c r="A253" s="39">
        <v>6</v>
      </c>
      <c r="B253" s="39" t="str">
        <f>IFERROR(IF(SUMIFS(tblDaily[Admissions],tblDaily[EntryDate],DATE(2026,7,6),tblDaily[WardCode],"MAE")=0,"",SUMIFS(tblDaily[Admissions],tblDaily[EntryDate],DATE(2026,7,6),tblDaily[WardCode],"MAE")),"")</f>
        <v/>
      </c>
      <c r="C253" s="39" t="str">
        <f>IFERROR(IF(SUMIFS(tblDaily[Discharges],tblDaily[EntryDate],DATE(2026,7,6),tblDaily[WardCode],"MAE")=0,"",SUMIFS(tblDaily[Discharges],tblDaily[EntryDate],DATE(2026,7,6),tblDaily[WardCode],"MAE")),"")</f>
        <v/>
      </c>
      <c r="D253" s="39" t="str">
        <f>IFERROR(IF(SUMIFS(tblDaily[Deaths],tblDaily[EntryDate],DATE(2026,7,6),tblDaily[WardCode],"MAE")=0,"",SUMIFS(tblDaily[Deaths],tblDaily[EntryDate],DATE(2026,7,6),tblDaily[WardCode],"MAE")),"")</f>
        <v/>
      </c>
      <c r="E253" s="39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39" t="str">
        <f>IFERROR(IF(SUMIFS(tblDaily[TransfersIn],tblDaily[EntryDate],DATE(2026,7,6),tblDaily[WardCode],"MAE")=0,"",SUMIFS(tblDaily[TransfersIn],tblDaily[EntryDate],DATE(2026,7,6),tblDaily[WardCode],"MAE")),"")</f>
        <v/>
      </c>
      <c r="G253" s="39" t="str">
        <f>IFERROR(IF(SUMIFS(tblDaily[TransfersOut],tblDaily[EntryDate],DATE(2026,7,6),tblDaily[WardCode],"MAE")=0,"",SUMIFS(tblDaily[TransfersOut],tblDaily[EntryDate],DATE(2026,7,6),tblDaily[WardCode],"MAE")),"")</f>
        <v/>
      </c>
      <c r="H253" s="39" t="str">
        <f>IFERROR(IF(SUMIFS(tblDaily[Remaining],tblDaily[EntryDate],DATE(2026,7,6),tblDaily[WardCode],"MAE")=0,"",SUMIFS(tblDaily[Remaining],tblDaily[EntryDate],DATE(2026,7,6),tblDaily[WardCode],"MAE")),"")</f>
        <v/>
      </c>
      <c r="I253" s="39" t="str">
        <f>IFERROR(IF(SUMIFS(tblDaily[Admissions],tblDaily[EntryDate],DATE(2026,7,6),tblDaily[WardCode],"FAE")=0,"",SUMIFS(tblDaily[Admissions],tblDaily[EntryDate],DATE(2026,7,6),tblDaily[WardCode],"FAE")),"")</f>
        <v/>
      </c>
      <c r="J253" s="39" t="str">
        <f>IFERROR(IF(SUMIFS(tblDaily[Discharges],tblDaily[EntryDate],DATE(2026,7,6),tblDaily[WardCode],"FAE")=0,"",SUMIFS(tblDaily[Discharges],tblDaily[EntryDate],DATE(2026,7,6),tblDaily[WardCode],"FAE")),"")</f>
        <v/>
      </c>
      <c r="K253" s="39" t="str">
        <f>IFERROR(IF(SUMIFS(tblDaily[Deaths],tblDaily[EntryDate],DATE(2026,7,6),tblDaily[WardCode],"FAE")=0,"",SUMIFS(tblDaily[Deaths],tblDaily[EntryDate],DATE(2026,7,6),tblDaily[WardCode],"FAE")),"")</f>
        <v/>
      </c>
      <c r="L253" s="39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39" t="str">
        <f>IFERROR(IF(SUMIFS(tblDaily[TransfersIn],tblDaily[EntryDate],DATE(2026,7,6),tblDaily[WardCode],"FAE")=0,"",SUMIFS(tblDaily[TransfersIn],tblDaily[EntryDate],DATE(2026,7,6),tblDaily[WardCode],"FAE")),"")</f>
        <v/>
      </c>
      <c r="N253" s="39" t="str">
        <f>IFERROR(IF(SUMIFS(tblDaily[TransfersOut],tblDaily[EntryDate],DATE(2026,7,6),tblDaily[WardCode],"FAE")=0,"",SUMIFS(tblDaily[TransfersOut],tblDaily[EntryDate],DATE(2026,7,6),tblDaily[WardCode],"FAE")),"")</f>
        <v/>
      </c>
      <c r="O253" s="39" t="str">
        <f>IFERROR(IF(SUMIFS(tblDaily[Remaining],tblDaily[EntryDate],DATE(2026,7,6),tblDaily[WardCode],"FAE")=0,"",SUMIFS(tblDaily[Remaining],tblDaily[EntryDate],DATE(2026,7,6),tblDaily[WardCode],"FAE")),"")</f>
        <v/>
      </c>
      <c r="P253" s="40" t="str">
        <f t="shared" si="6"/>
        <v/>
      </c>
    </row>
    <row r="254" spans="1:16" x14ac:dyDescent="0.25">
      <c r="A254" s="39">
        <v>7</v>
      </c>
      <c r="B254" s="39" t="str">
        <f>IFERROR(IF(SUMIFS(tblDaily[Admissions],tblDaily[EntryDate],DATE(2026,7,7),tblDaily[WardCode],"MAE")=0,"",SUMIFS(tblDaily[Admissions],tblDaily[EntryDate],DATE(2026,7,7),tblDaily[WardCode],"MAE")),"")</f>
        <v/>
      </c>
      <c r="C254" s="39" t="str">
        <f>IFERROR(IF(SUMIFS(tblDaily[Discharges],tblDaily[EntryDate],DATE(2026,7,7),tblDaily[WardCode],"MAE")=0,"",SUMIFS(tblDaily[Discharges],tblDaily[EntryDate],DATE(2026,7,7),tblDaily[WardCode],"MAE")),"")</f>
        <v/>
      </c>
      <c r="D254" s="39" t="str">
        <f>IFERROR(IF(SUMIFS(tblDaily[Deaths],tblDaily[EntryDate],DATE(2026,7,7),tblDaily[WardCode],"MAE")=0,"",SUMIFS(tblDaily[Deaths],tblDaily[EntryDate],DATE(2026,7,7),tblDaily[WardCode],"MAE")),"")</f>
        <v/>
      </c>
      <c r="E254" s="39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39" t="str">
        <f>IFERROR(IF(SUMIFS(tblDaily[TransfersIn],tblDaily[EntryDate],DATE(2026,7,7),tblDaily[WardCode],"MAE")=0,"",SUMIFS(tblDaily[TransfersIn],tblDaily[EntryDate],DATE(2026,7,7),tblDaily[WardCode],"MAE")),"")</f>
        <v/>
      </c>
      <c r="G254" s="39" t="str">
        <f>IFERROR(IF(SUMIFS(tblDaily[TransfersOut],tblDaily[EntryDate],DATE(2026,7,7),tblDaily[WardCode],"MAE")=0,"",SUMIFS(tblDaily[TransfersOut],tblDaily[EntryDate],DATE(2026,7,7),tblDaily[WardCode],"MAE")),"")</f>
        <v/>
      </c>
      <c r="H254" s="39" t="str">
        <f>IFERROR(IF(SUMIFS(tblDaily[Remaining],tblDaily[EntryDate],DATE(2026,7,7),tblDaily[WardCode],"MAE")=0,"",SUMIFS(tblDaily[Remaining],tblDaily[EntryDate],DATE(2026,7,7),tblDaily[WardCode],"MAE")),"")</f>
        <v/>
      </c>
      <c r="I254" s="39" t="str">
        <f>IFERROR(IF(SUMIFS(tblDaily[Admissions],tblDaily[EntryDate],DATE(2026,7,7),tblDaily[WardCode],"FAE")=0,"",SUMIFS(tblDaily[Admissions],tblDaily[EntryDate],DATE(2026,7,7),tblDaily[WardCode],"FAE")),"")</f>
        <v/>
      </c>
      <c r="J254" s="39" t="str">
        <f>IFERROR(IF(SUMIFS(tblDaily[Discharges],tblDaily[EntryDate],DATE(2026,7,7),tblDaily[WardCode],"FAE")=0,"",SUMIFS(tblDaily[Discharges],tblDaily[EntryDate],DATE(2026,7,7),tblDaily[WardCode],"FAE")),"")</f>
        <v/>
      </c>
      <c r="K254" s="39" t="str">
        <f>IFERROR(IF(SUMIFS(tblDaily[Deaths],tblDaily[EntryDate],DATE(2026,7,7),tblDaily[WardCode],"FAE")=0,"",SUMIFS(tblDaily[Deaths],tblDaily[EntryDate],DATE(2026,7,7),tblDaily[WardCode],"FAE")),"")</f>
        <v/>
      </c>
      <c r="L254" s="39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39" t="str">
        <f>IFERROR(IF(SUMIFS(tblDaily[TransfersIn],tblDaily[EntryDate],DATE(2026,7,7),tblDaily[WardCode],"FAE")=0,"",SUMIFS(tblDaily[TransfersIn],tblDaily[EntryDate],DATE(2026,7,7),tblDaily[WardCode],"FAE")),"")</f>
        <v/>
      </c>
      <c r="N254" s="39" t="str">
        <f>IFERROR(IF(SUMIFS(tblDaily[TransfersOut],tblDaily[EntryDate],DATE(2026,7,7),tblDaily[WardCode],"FAE")=0,"",SUMIFS(tblDaily[TransfersOut],tblDaily[EntryDate],DATE(2026,7,7),tblDaily[WardCode],"FAE")),"")</f>
        <v/>
      </c>
      <c r="O254" s="39" t="str">
        <f>IFERROR(IF(SUMIFS(tblDaily[Remaining],tblDaily[EntryDate],DATE(2026,7,7),tblDaily[WardCode],"FAE")=0,"",SUMIFS(tblDaily[Remaining],tblDaily[EntryDate],DATE(2026,7,7),tblDaily[WardCode],"FAE")),"")</f>
        <v/>
      </c>
      <c r="P254" s="40" t="str">
        <f t="shared" si="6"/>
        <v/>
      </c>
    </row>
    <row r="255" spans="1:16" x14ac:dyDescent="0.25">
      <c r="A255" s="39">
        <v>8</v>
      </c>
      <c r="B255" s="39" t="str">
        <f>IFERROR(IF(SUMIFS(tblDaily[Admissions],tblDaily[EntryDate],DATE(2026,7,8),tblDaily[WardCode],"MAE")=0,"",SUMIFS(tblDaily[Admissions],tblDaily[EntryDate],DATE(2026,7,8),tblDaily[WardCode],"MAE")),"")</f>
        <v/>
      </c>
      <c r="C255" s="39" t="str">
        <f>IFERROR(IF(SUMIFS(tblDaily[Discharges],tblDaily[EntryDate],DATE(2026,7,8),tblDaily[WardCode],"MAE")=0,"",SUMIFS(tblDaily[Discharges],tblDaily[EntryDate],DATE(2026,7,8),tblDaily[WardCode],"MAE")),"")</f>
        <v/>
      </c>
      <c r="D255" s="39" t="str">
        <f>IFERROR(IF(SUMIFS(tblDaily[Deaths],tblDaily[EntryDate],DATE(2026,7,8),tblDaily[WardCode],"MAE")=0,"",SUMIFS(tblDaily[Deaths],tblDaily[EntryDate],DATE(2026,7,8),tblDaily[WardCode],"MAE")),"")</f>
        <v/>
      </c>
      <c r="E255" s="39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39" t="str">
        <f>IFERROR(IF(SUMIFS(tblDaily[TransfersIn],tblDaily[EntryDate],DATE(2026,7,8),tblDaily[WardCode],"MAE")=0,"",SUMIFS(tblDaily[TransfersIn],tblDaily[EntryDate],DATE(2026,7,8),tblDaily[WardCode],"MAE")),"")</f>
        <v/>
      </c>
      <c r="G255" s="39" t="str">
        <f>IFERROR(IF(SUMIFS(tblDaily[TransfersOut],tblDaily[EntryDate],DATE(2026,7,8),tblDaily[WardCode],"MAE")=0,"",SUMIFS(tblDaily[TransfersOut],tblDaily[EntryDate],DATE(2026,7,8),tblDaily[WardCode],"MAE")),"")</f>
        <v/>
      </c>
      <c r="H255" s="39" t="str">
        <f>IFERROR(IF(SUMIFS(tblDaily[Remaining],tblDaily[EntryDate],DATE(2026,7,8),tblDaily[WardCode],"MAE")=0,"",SUMIFS(tblDaily[Remaining],tblDaily[EntryDate],DATE(2026,7,8),tblDaily[WardCode],"MAE")),"")</f>
        <v/>
      </c>
      <c r="I255" s="39" t="str">
        <f>IFERROR(IF(SUMIFS(tblDaily[Admissions],tblDaily[EntryDate],DATE(2026,7,8),tblDaily[WardCode],"FAE")=0,"",SUMIFS(tblDaily[Admissions],tblDaily[EntryDate],DATE(2026,7,8),tblDaily[WardCode],"FAE")),"")</f>
        <v/>
      </c>
      <c r="J255" s="39" t="str">
        <f>IFERROR(IF(SUMIFS(tblDaily[Discharges],tblDaily[EntryDate],DATE(2026,7,8),tblDaily[WardCode],"FAE")=0,"",SUMIFS(tblDaily[Discharges],tblDaily[EntryDate],DATE(2026,7,8),tblDaily[WardCode],"FAE")),"")</f>
        <v/>
      </c>
      <c r="K255" s="39" t="str">
        <f>IFERROR(IF(SUMIFS(tblDaily[Deaths],tblDaily[EntryDate],DATE(2026,7,8),tblDaily[WardCode],"FAE")=0,"",SUMIFS(tblDaily[Deaths],tblDaily[EntryDate],DATE(2026,7,8),tblDaily[WardCode],"FAE")),"")</f>
        <v/>
      </c>
      <c r="L255" s="39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39" t="str">
        <f>IFERROR(IF(SUMIFS(tblDaily[TransfersIn],tblDaily[EntryDate],DATE(2026,7,8),tblDaily[WardCode],"FAE")=0,"",SUMIFS(tblDaily[TransfersIn],tblDaily[EntryDate],DATE(2026,7,8),tblDaily[WardCode],"FAE")),"")</f>
        <v/>
      </c>
      <c r="N255" s="39" t="str">
        <f>IFERROR(IF(SUMIFS(tblDaily[TransfersOut],tblDaily[EntryDate],DATE(2026,7,8),tblDaily[WardCode],"FAE")=0,"",SUMIFS(tblDaily[TransfersOut],tblDaily[EntryDate],DATE(2026,7,8),tblDaily[WardCode],"FAE")),"")</f>
        <v/>
      </c>
      <c r="O255" s="39" t="str">
        <f>IFERROR(IF(SUMIFS(tblDaily[Remaining],tblDaily[EntryDate],DATE(2026,7,8),tblDaily[WardCode],"FAE")=0,"",SUMIFS(tblDaily[Remaining],tblDaily[EntryDate],DATE(2026,7,8),tblDaily[WardCode],"FAE")),"")</f>
        <v/>
      </c>
      <c r="P255" s="40" t="str">
        <f t="shared" si="6"/>
        <v/>
      </c>
    </row>
    <row r="256" spans="1:16" x14ac:dyDescent="0.25">
      <c r="A256" s="39">
        <v>9</v>
      </c>
      <c r="B256" s="39" t="str">
        <f>IFERROR(IF(SUMIFS(tblDaily[Admissions],tblDaily[EntryDate],DATE(2026,7,9),tblDaily[WardCode],"MAE")=0,"",SUMIFS(tblDaily[Admissions],tblDaily[EntryDate],DATE(2026,7,9),tblDaily[WardCode],"MAE")),"")</f>
        <v/>
      </c>
      <c r="C256" s="39" t="str">
        <f>IFERROR(IF(SUMIFS(tblDaily[Discharges],tblDaily[EntryDate],DATE(2026,7,9),tblDaily[WardCode],"MAE")=0,"",SUMIFS(tblDaily[Discharges],tblDaily[EntryDate],DATE(2026,7,9),tblDaily[WardCode],"MAE")),"")</f>
        <v/>
      </c>
      <c r="D256" s="39" t="str">
        <f>IFERROR(IF(SUMIFS(tblDaily[Deaths],tblDaily[EntryDate],DATE(2026,7,9),tblDaily[WardCode],"MAE")=0,"",SUMIFS(tblDaily[Deaths],tblDaily[EntryDate],DATE(2026,7,9),tblDaily[WardCode],"MAE")),"")</f>
        <v/>
      </c>
      <c r="E256" s="39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39" t="str">
        <f>IFERROR(IF(SUMIFS(tblDaily[TransfersIn],tblDaily[EntryDate],DATE(2026,7,9),tblDaily[WardCode],"MAE")=0,"",SUMIFS(tblDaily[TransfersIn],tblDaily[EntryDate],DATE(2026,7,9),tblDaily[WardCode],"MAE")),"")</f>
        <v/>
      </c>
      <c r="G256" s="39" t="str">
        <f>IFERROR(IF(SUMIFS(tblDaily[TransfersOut],tblDaily[EntryDate],DATE(2026,7,9),tblDaily[WardCode],"MAE")=0,"",SUMIFS(tblDaily[TransfersOut],tblDaily[EntryDate],DATE(2026,7,9),tblDaily[WardCode],"MAE")),"")</f>
        <v/>
      </c>
      <c r="H256" s="39" t="str">
        <f>IFERROR(IF(SUMIFS(tblDaily[Remaining],tblDaily[EntryDate],DATE(2026,7,9),tblDaily[WardCode],"MAE")=0,"",SUMIFS(tblDaily[Remaining],tblDaily[EntryDate],DATE(2026,7,9),tblDaily[WardCode],"MAE")),"")</f>
        <v/>
      </c>
      <c r="I256" s="39" t="str">
        <f>IFERROR(IF(SUMIFS(tblDaily[Admissions],tblDaily[EntryDate],DATE(2026,7,9),tblDaily[WardCode],"FAE")=0,"",SUMIFS(tblDaily[Admissions],tblDaily[EntryDate],DATE(2026,7,9),tblDaily[WardCode],"FAE")),"")</f>
        <v/>
      </c>
      <c r="J256" s="39" t="str">
        <f>IFERROR(IF(SUMIFS(tblDaily[Discharges],tblDaily[EntryDate],DATE(2026,7,9),tblDaily[WardCode],"FAE")=0,"",SUMIFS(tblDaily[Discharges],tblDaily[EntryDate],DATE(2026,7,9),tblDaily[WardCode],"FAE")),"")</f>
        <v/>
      </c>
      <c r="K256" s="39" t="str">
        <f>IFERROR(IF(SUMIFS(tblDaily[Deaths],tblDaily[EntryDate],DATE(2026,7,9),tblDaily[WardCode],"FAE")=0,"",SUMIFS(tblDaily[Deaths],tblDaily[EntryDate],DATE(2026,7,9),tblDaily[WardCode],"FAE")),"")</f>
        <v/>
      </c>
      <c r="L256" s="39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39" t="str">
        <f>IFERROR(IF(SUMIFS(tblDaily[TransfersIn],tblDaily[EntryDate],DATE(2026,7,9),tblDaily[WardCode],"FAE")=0,"",SUMIFS(tblDaily[TransfersIn],tblDaily[EntryDate],DATE(2026,7,9),tblDaily[WardCode],"FAE")),"")</f>
        <v/>
      </c>
      <c r="N256" s="39" t="str">
        <f>IFERROR(IF(SUMIFS(tblDaily[TransfersOut],tblDaily[EntryDate],DATE(2026,7,9),tblDaily[WardCode],"FAE")=0,"",SUMIFS(tblDaily[TransfersOut],tblDaily[EntryDate],DATE(2026,7,9),tblDaily[WardCode],"FAE")),"")</f>
        <v/>
      </c>
      <c r="O256" s="39" t="str">
        <f>IFERROR(IF(SUMIFS(tblDaily[Remaining],tblDaily[EntryDate],DATE(2026,7,9),tblDaily[WardCode],"FAE")=0,"",SUMIFS(tblDaily[Remaining],tblDaily[EntryDate],DATE(2026,7,9),tblDaily[WardCode],"FAE")),"")</f>
        <v/>
      </c>
      <c r="P256" s="40" t="str">
        <f t="shared" si="6"/>
        <v/>
      </c>
    </row>
    <row r="257" spans="1:16" x14ac:dyDescent="0.25">
      <c r="A257" s="39">
        <v>10</v>
      </c>
      <c r="B257" s="39" t="str">
        <f>IFERROR(IF(SUMIFS(tblDaily[Admissions],tblDaily[EntryDate],DATE(2026,7,10),tblDaily[WardCode],"MAE")=0,"",SUMIFS(tblDaily[Admissions],tblDaily[EntryDate],DATE(2026,7,10),tblDaily[WardCode],"MAE")),"")</f>
        <v/>
      </c>
      <c r="C257" s="39" t="str">
        <f>IFERROR(IF(SUMIFS(tblDaily[Discharges],tblDaily[EntryDate],DATE(2026,7,10),tblDaily[WardCode],"MAE")=0,"",SUMIFS(tblDaily[Discharges],tblDaily[EntryDate],DATE(2026,7,10),tblDaily[WardCode],"MAE")),"")</f>
        <v/>
      </c>
      <c r="D257" s="39" t="str">
        <f>IFERROR(IF(SUMIFS(tblDaily[Deaths],tblDaily[EntryDate],DATE(2026,7,10),tblDaily[WardCode],"MAE")=0,"",SUMIFS(tblDaily[Deaths],tblDaily[EntryDate],DATE(2026,7,10),tblDaily[WardCode],"MAE")),"")</f>
        <v/>
      </c>
      <c r="E257" s="39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39" t="str">
        <f>IFERROR(IF(SUMIFS(tblDaily[TransfersIn],tblDaily[EntryDate],DATE(2026,7,10),tblDaily[WardCode],"MAE")=0,"",SUMIFS(tblDaily[TransfersIn],tblDaily[EntryDate],DATE(2026,7,10),tblDaily[WardCode],"MAE")),"")</f>
        <v/>
      </c>
      <c r="G257" s="39" t="str">
        <f>IFERROR(IF(SUMIFS(tblDaily[TransfersOut],tblDaily[EntryDate],DATE(2026,7,10),tblDaily[WardCode],"MAE")=0,"",SUMIFS(tblDaily[TransfersOut],tblDaily[EntryDate],DATE(2026,7,10),tblDaily[WardCode],"MAE")),"")</f>
        <v/>
      </c>
      <c r="H257" s="39" t="str">
        <f>IFERROR(IF(SUMIFS(tblDaily[Remaining],tblDaily[EntryDate],DATE(2026,7,10),tblDaily[WardCode],"MAE")=0,"",SUMIFS(tblDaily[Remaining],tblDaily[EntryDate],DATE(2026,7,10),tblDaily[WardCode],"MAE")),"")</f>
        <v/>
      </c>
      <c r="I257" s="39" t="str">
        <f>IFERROR(IF(SUMIFS(tblDaily[Admissions],tblDaily[EntryDate],DATE(2026,7,10),tblDaily[WardCode],"FAE")=0,"",SUMIFS(tblDaily[Admissions],tblDaily[EntryDate],DATE(2026,7,10),tblDaily[WardCode],"FAE")),"")</f>
        <v/>
      </c>
      <c r="J257" s="39" t="str">
        <f>IFERROR(IF(SUMIFS(tblDaily[Discharges],tblDaily[EntryDate],DATE(2026,7,10),tblDaily[WardCode],"FAE")=0,"",SUMIFS(tblDaily[Discharges],tblDaily[EntryDate],DATE(2026,7,10),tblDaily[WardCode],"FAE")),"")</f>
        <v/>
      </c>
      <c r="K257" s="39" t="str">
        <f>IFERROR(IF(SUMIFS(tblDaily[Deaths],tblDaily[EntryDate],DATE(2026,7,10),tblDaily[WardCode],"FAE")=0,"",SUMIFS(tblDaily[Deaths],tblDaily[EntryDate],DATE(2026,7,10),tblDaily[WardCode],"FAE")),"")</f>
        <v/>
      </c>
      <c r="L257" s="39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39" t="str">
        <f>IFERROR(IF(SUMIFS(tblDaily[TransfersIn],tblDaily[EntryDate],DATE(2026,7,10),tblDaily[WardCode],"FAE")=0,"",SUMIFS(tblDaily[TransfersIn],tblDaily[EntryDate],DATE(2026,7,10),tblDaily[WardCode],"FAE")),"")</f>
        <v/>
      </c>
      <c r="N257" s="39" t="str">
        <f>IFERROR(IF(SUMIFS(tblDaily[TransfersOut],tblDaily[EntryDate],DATE(2026,7,10),tblDaily[WardCode],"FAE")=0,"",SUMIFS(tblDaily[TransfersOut],tblDaily[EntryDate],DATE(2026,7,10),tblDaily[WardCode],"FAE")),"")</f>
        <v/>
      </c>
      <c r="O257" s="39" t="str">
        <f>IFERROR(IF(SUMIFS(tblDaily[Remaining],tblDaily[EntryDate],DATE(2026,7,10),tblDaily[WardCode],"FAE")=0,"",SUMIFS(tblDaily[Remaining],tblDaily[EntryDate],DATE(2026,7,10),tblDaily[WardCode],"FAE")),"")</f>
        <v/>
      </c>
      <c r="P257" s="40" t="str">
        <f t="shared" si="6"/>
        <v/>
      </c>
    </row>
    <row r="258" spans="1:16" x14ac:dyDescent="0.25">
      <c r="A258" s="39">
        <v>11</v>
      </c>
      <c r="B258" s="39" t="str">
        <f>IFERROR(IF(SUMIFS(tblDaily[Admissions],tblDaily[EntryDate],DATE(2026,7,11),tblDaily[WardCode],"MAE")=0,"",SUMIFS(tblDaily[Admissions],tblDaily[EntryDate],DATE(2026,7,11),tblDaily[WardCode],"MAE")),"")</f>
        <v/>
      </c>
      <c r="C258" s="39" t="str">
        <f>IFERROR(IF(SUMIFS(tblDaily[Discharges],tblDaily[EntryDate],DATE(2026,7,11),tblDaily[WardCode],"MAE")=0,"",SUMIFS(tblDaily[Discharges],tblDaily[EntryDate],DATE(2026,7,11),tblDaily[WardCode],"MAE")),"")</f>
        <v/>
      </c>
      <c r="D258" s="39" t="str">
        <f>IFERROR(IF(SUMIFS(tblDaily[Deaths],tblDaily[EntryDate],DATE(2026,7,11),tblDaily[WardCode],"MAE")=0,"",SUMIFS(tblDaily[Deaths],tblDaily[EntryDate],DATE(2026,7,11),tblDaily[WardCode],"MAE")),"")</f>
        <v/>
      </c>
      <c r="E258" s="39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39" t="str">
        <f>IFERROR(IF(SUMIFS(tblDaily[TransfersIn],tblDaily[EntryDate],DATE(2026,7,11),tblDaily[WardCode],"MAE")=0,"",SUMIFS(tblDaily[TransfersIn],tblDaily[EntryDate],DATE(2026,7,11),tblDaily[WardCode],"MAE")),"")</f>
        <v/>
      </c>
      <c r="G258" s="39" t="str">
        <f>IFERROR(IF(SUMIFS(tblDaily[TransfersOut],tblDaily[EntryDate],DATE(2026,7,11),tblDaily[WardCode],"MAE")=0,"",SUMIFS(tblDaily[TransfersOut],tblDaily[EntryDate],DATE(2026,7,11),tblDaily[WardCode],"MAE")),"")</f>
        <v/>
      </c>
      <c r="H258" s="39" t="str">
        <f>IFERROR(IF(SUMIFS(tblDaily[Remaining],tblDaily[EntryDate],DATE(2026,7,11),tblDaily[WardCode],"MAE")=0,"",SUMIFS(tblDaily[Remaining],tblDaily[EntryDate],DATE(2026,7,11),tblDaily[WardCode],"MAE")),"")</f>
        <v/>
      </c>
      <c r="I258" s="39" t="str">
        <f>IFERROR(IF(SUMIFS(tblDaily[Admissions],tblDaily[EntryDate],DATE(2026,7,11),tblDaily[WardCode],"FAE")=0,"",SUMIFS(tblDaily[Admissions],tblDaily[EntryDate],DATE(2026,7,11),tblDaily[WardCode],"FAE")),"")</f>
        <v/>
      </c>
      <c r="J258" s="39" t="str">
        <f>IFERROR(IF(SUMIFS(tblDaily[Discharges],tblDaily[EntryDate],DATE(2026,7,11),tblDaily[WardCode],"FAE")=0,"",SUMIFS(tblDaily[Discharges],tblDaily[EntryDate],DATE(2026,7,11),tblDaily[WardCode],"FAE")),"")</f>
        <v/>
      </c>
      <c r="K258" s="39" t="str">
        <f>IFERROR(IF(SUMIFS(tblDaily[Deaths],tblDaily[EntryDate],DATE(2026,7,11),tblDaily[WardCode],"FAE")=0,"",SUMIFS(tblDaily[Deaths],tblDaily[EntryDate],DATE(2026,7,11),tblDaily[WardCode],"FAE")),"")</f>
        <v/>
      </c>
      <c r="L258" s="39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39" t="str">
        <f>IFERROR(IF(SUMIFS(tblDaily[TransfersIn],tblDaily[EntryDate],DATE(2026,7,11),tblDaily[WardCode],"FAE")=0,"",SUMIFS(tblDaily[TransfersIn],tblDaily[EntryDate],DATE(2026,7,11),tblDaily[WardCode],"FAE")),"")</f>
        <v/>
      </c>
      <c r="N258" s="39" t="str">
        <f>IFERROR(IF(SUMIFS(tblDaily[TransfersOut],tblDaily[EntryDate],DATE(2026,7,11),tblDaily[WardCode],"FAE")=0,"",SUMIFS(tblDaily[TransfersOut],tblDaily[EntryDate],DATE(2026,7,11),tblDaily[WardCode],"FAE")),"")</f>
        <v/>
      </c>
      <c r="O258" s="39" t="str">
        <f>IFERROR(IF(SUMIFS(tblDaily[Remaining],tblDaily[EntryDate],DATE(2026,7,11),tblDaily[WardCode],"FAE")=0,"",SUMIFS(tblDaily[Remaining],tblDaily[EntryDate],DATE(2026,7,11),tblDaily[WardCode],"FAE")),"")</f>
        <v/>
      </c>
      <c r="P258" s="40" t="str">
        <f t="shared" si="6"/>
        <v/>
      </c>
    </row>
    <row r="259" spans="1:16" x14ac:dyDescent="0.25">
      <c r="A259" s="39">
        <v>12</v>
      </c>
      <c r="B259" s="39" t="str">
        <f>IFERROR(IF(SUMIFS(tblDaily[Admissions],tblDaily[EntryDate],DATE(2026,7,12),tblDaily[WardCode],"MAE")=0,"",SUMIFS(tblDaily[Admissions],tblDaily[EntryDate],DATE(2026,7,12),tblDaily[WardCode],"MAE")),"")</f>
        <v/>
      </c>
      <c r="C259" s="39" t="str">
        <f>IFERROR(IF(SUMIFS(tblDaily[Discharges],tblDaily[EntryDate],DATE(2026,7,12),tblDaily[WardCode],"MAE")=0,"",SUMIFS(tblDaily[Discharges],tblDaily[EntryDate],DATE(2026,7,12),tblDaily[WardCode],"MAE")),"")</f>
        <v/>
      </c>
      <c r="D259" s="39" t="str">
        <f>IFERROR(IF(SUMIFS(tblDaily[Deaths],tblDaily[EntryDate],DATE(2026,7,12),tblDaily[WardCode],"MAE")=0,"",SUMIFS(tblDaily[Deaths],tblDaily[EntryDate],DATE(2026,7,12),tblDaily[WardCode],"MAE")),"")</f>
        <v/>
      </c>
      <c r="E259" s="39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39" t="str">
        <f>IFERROR(IF(SUMIFS(tblDaily[TransfersIn],tblDaily[EntryDate],DATE(2026,7,12),tblDaily[WardCode],"MAE")=0,"",SUMIFS(tblDaily[TransfersIn],tblDaily[EntryDate],DATE(2026,7,12),tblDaily[WardCode],"MAE")),"")</f>
        <v/>
      </c>
      <c r="G259" s="39" t="str">
        <f>IFERROR(IF(SUMIFS(tblDaily[TransfersOut],tblDaily[EntryDate],DATE(2026,7,12),tblDaily[WardCode],"MAE")=0,"",SUMIFS(tblDaily[TransfersOut],tblDaily[EntryDate],DATE(2026,7,12),tblDaily[WardCode],"MAE")),"")</f>
        <v/>
      </c>
      <c r="H259" s="39" t="str">
        <f>IFERROR(IF(SUMIFS(tblDaily[Remaining],tblDaily[EntryDate],DATE(2026,7,12),tblDaily[WardCode],"MAE")=0,"",SUMIFS(tblDaily[Remaining],tblDaily[EntryDate],DATE(2026,7,12),tblDaily[WardCode],"MAE")),"")</f>
        <v/>
      </c>
      <c r="I259" s="39" t="str">
        <f>IFERROR(IF(SUMIFS(tblDaily[Admissions],tblDaily[EntryDate],DATE(2026,7,12),tblDaily[WardCode],"FAE")=0,"",SUMIFS(tblDaily[Admissions],tblDaily[EntryDate],DATE(2026,7,12),tblDaily[WardCode],"FAE")),"")</f>
        <v/>
      </c>
      <c r="J259" s="39" t="str">
        <f>IFERROR(IF(SUMIFS(tblDaily[Discharges],tblDaily[EntryDate],DATE(2026,7,12),tblDaily[WardCode],"FAE")=0,"",SUMIFS(tblDaily[Discharges],tblDaily[EntryDate],DATE(2026,7,12),tblDaily[WardCode],"FAE")),"")</f>
        <v/>
      </c>
      <c r="K259" s="39" t="str">
        <f>IFERROR(IF(SUMIFS(tblDaily[Deaths],tblDaily[EntryDate],DATE(2026,7,12),tblDaily[WardCode],"FAE")=0,"",SUMIFS(tblDaily[Deaths],tblDaily[EntryDate],DATE(2026,7,12),tblDaily[WardCode],"FAE")),"")</f>
        <v/>
      </c>
      <c r="L259" s="39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39" t="str">
        <f>IFERROR(IF(SUMIFS(tblDaily[TransfersIn],tblDaily[EntryDate],DATE(2026,7,12),tblDaily[WardCode],"FAE")=0,"",SUMIFS(tblDaily[TransfersIn],tblDaily[EntryDate],DATE(2026,7,12),tblDaily[WardCode],"FAE")),"")</f>
        <v/>
      </c>
      <c r="N259" s="39" t="str">
        <f>IFERROR(IF(SUMIFS(tblDaily[TransfersOut],tblDaily[EntryDate],DATE(2026,7,12),tblDaily[WardCode],"FAE")=0,"",SUMIFS(tblDaily[TransfersOut],tblDaily[EntryDate],DATE(2026,7,12),tblDaily[WardCode],"FAE")),"")</f>
        <v/>
      </c>
      <c r="O259" s="39" t="str">
        <f>IFERROR(IF(SUMIFS(tblDaily[Remaining],tblDaily[EntryDate],DATE(2026,7,12),tblDaily[WardCode],"FAE")=0,"",SUMIFS(tblDaily[Remaining],tblDaily[EntryDate],DATE(2026,7,12),tblDaily[WardCode],"FAE")),"")</f>
        <v/>
      </c>
      <c r="P259" s="40" t="str">
        <f t="shared" si="6"/>
        <v/>
      </c>
    </row>
    <row r="260" spans="1:16" x14ac:dyDescent="0.25">
      <c r="A260" s="39">
        <v>13</v>
      </c>
      <c r="B260" s="39" t="str">
        <f>IFERROR(IF(SUMIFS(tblDaily[Admissions],tblDaily[EntryDate],DATE(2026,7,13),tblDaily[WardCode],"MAE")=0,"",SUMIFS(tblDaily[Admissions],tblDaily[EntryDate],DATE(2026,7,13),tblDaily[WardCode],"MAE")),"")</f>
        <v/>
      </c>
      <c r="C260" s="39" t="str">
        <f>IFERROR(IF(SUMIFS(tblDaily[Discharges],tblDaily[EntryDate],DATE(2026,7,13),tblDaily[WardCode],"MAE")=0,"",SUMIFS(tblDaily[Discharges],tblDaily[EntryDate],DATE(2026,7,13),tblDaily[WardCode],"MAE")),"")</f>
        <v/>
      </c>
      <c r="D260" s="39" t="str">
        <f>IFERROR(IF(SUMIFS(tblDaily[Deaths],tblDaily[EntryDate],DATE(2026,7,13),tblDaily[WardCode],"MAE")=0,"",SUMIFS(tblDaily[Deaths],tblDaily[EntryDate],DATE(2026,7,13),tblDaily[WardCode],"MAE")),"")</f>
        <v/>
      </c>
      <c r="E260" s="39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39" t="str">
        <f>IFERROR(IF(SUMIFS(tblDaily[TransfersIn],tblDaily[EntryDate],DATE(2026,7,13),tblDaily[WardCode],"MAE")=0,"",SUMIFS(tblDaily[TransfersIn],tblDaily[EntryDate],DATE(2026,7,13),tblDaily[WardCode],"MAE")),"")</f>
        <v/>
      </c>
      <c r="G260" s="39" t="str">
        <f>IFERROR(IF(SUMIFS(tblDaily[TransfersOut],tblDaily[EntryDate],DATE(2026,7,13),tblDaily[WardCode],"MAE")=0,"",SUMIFS(tblDaily[TransfersOut],tblDaily[EntryDate],DATE(2026,7,13),tblDaily[WardCode],"MAE")),"")</f>
        <v/>
      </c>
      <c r="H260" s="39" t="str">
        <f>IFERROR(IF(SUMIFS(tblDaily[Remaining],tblDaily[EntryDate],DATE(2026,7,13),tblDaily[WardCode],"MAE")=0,"",SUMIFS(tblDaily[Remaining],tblDaily[EntryDate],DATE(2026,7,13),tblDaily[WardCode],"MAE")),"")</f>
        <v/>
      </c>
      <c r="I260" s="39" t="str">
        <f>IFERROR(IF(SUMIFS(tblDaily[Admissions],tblDaily[EntryDate],DATE(2026,7,13),tblDaily[WardCode],"FAE")=0,"",SUMIFS(tblDaily[Admissions],tblDaily[EntryDate],DATE(2026,7,13),tblDaily[WardCode],"FAE")),"")</f>
        <v/>
      </c>
      <c r="J260" s="39" t="str">
        <f>IFERROR(IF(SUMIFS(tblDaily[Discharges],tblDaily[EntryDate],DATE(2026,7,13),tblDaily[WardCode],"FAE")=0,"",SUMIFS(tblDaily[Discharges],tblDaily[EntryDate],DATE(2026,7,13),tblDaily[WardCode],"FAE")),"")</f>
        <v/>
      </c>
      <c r="K260" s="39" t="str">
        <f>IFERROR(IF(SUMIFS(tblDaily[Deaths],tblDaily[EntryDate],DATE(2026,7,13),tblDaily[WardCode],"FAE")=0,"",SUMIFS(tblDaily[Deaths],tblDaily[EntryDate],DATE(2026,7,13),tblDaily[WardCode],"FAE")),"")</f>
        <v/>
      </c>
      <c r="L260" s="39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39" t="str">
        <f>IFERROR(IF(SUMIFS(tblDaily[TransfersIn],tblDaily[EntryDate],DATE(2026,7,13),tblDaily[WardCode],"FAE")=0,"",SUMIFS(tblDaily[TransfersIn],tblDaily[EntryDate],DATE(2026,7,13),tblDaily[WardCode],"FAE")),"")</f>
        <v/>
      </c>
      <c r="N260" s="39" t="str">
        <f>IFERROR(IF(SUMIFS(tblDaily[TransfersOut],tblDaily[EntryDate],DATE(2026,7,13),tblDaily[WardCode],"FAE")=0,"",SUMIFS(tblDaily[TransfersOut],tblDaily[EntryDate],DATE(2026,7,13),tblDaily[WardCode],"FAE")),"")</f>
        <v/>
      </c>
      <c r="O260" s="39" t="str">
        <f>IFERROR(IF(SUMIFS(tblDaily[Remaining],tblDaily[EntryDate],DATE(2026,7,13),tblDaily[WardCode],"FAE")=0,"",SUMIFS(tblDaily[Remaining],tblDaily[EntryDate],DATE(2026,7,13),tblDaily[WardCode],"FAE")),"")</f>
        <v/>
      </c>
      <c r="P260" s="40" t="str">
        <f t="shared" si="6"/>
        <v/>
      </c>
    </row>
    <row r="261" spans="1:16" x14ac:dyDescent="0.25">
      <c r="A261" s="39">
        <v>14</v>
      </c>
      <c r="B261" s="39" t="str">
        <f>IFERROR(IF(SUMIFS(tblDaily[Admissions],tblDaily[EntryDate],DATE(2026,7,14),tblDaily[WardCode],"MAE")=0,"",SUMIFS(tblDaily[Admissions],tblDaily[EntryDate],DATE(2026,7,14),tblDaily[WardCode],"MAE")),"")</f>
        <v/>
      </c>
      <c r="C261" s="39" t="str">
        <f>IFERROR(IF(SUMIFS(tblDaily[Discharges],tblDaily[EntryDate],DATE(2026,7,14),tblDaily[WardCode],"MAE")=0,"",SUMIFS(tblDaily[Discharges],tblDaily[EntryDate],DATE(2026,7,14),tblDaily[WardCode],"MAE")),"")</f>
        <v/>
      </c>
      <c r="D261" s="39" t="str">
        <f>IFERROR(IF(SUMIFS(tblDaily[Deaths],tblDaily[EntryDate],DATE(2026,7,14),tblDaily[WardCode],"MAE")=0,"",SUMIFS(tblDaily[Deaths],tblDaily[EntryDate],DATE(2026,7,14),tblDaily[WardCode],"MAE")),"")</f>
        <v/>
      </c>
      <c r="E261" s="39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39" t="str">
        <f>IFERROR(IF(SUMIFS(tblDaily[TransfersIn],tblDaily[EntryDate],DATE(2026,7,14),tblDaily[WardCode],"MAE")=0,"",SUMIFS(tblDaily[TransfersIn],tblDaily[EntryDate],DATE(2026,7,14),tblDaily[WardCode],"MAE")),"")</f>
        <v/>
      </c>
      <c r="G261" s="39" t="str">
        <f>IFERROR(IF(SUMIFS(tblDaily[TransfersOut],tblDaily[EntryDate],DATE(2026,7,14),tblDaily[WardCode],"MAE")=0,"",SUMIFS(tblDaily[TransfersOut],tblDaily[EntryDate],DATE(2026,7,14),tblDaily[WardCode],"MAE")),"")</f>
        <v/>
      </c>
      <c r="H261" s="39" t="str">
        <f>IFERROR(IF(SUMIFS(tblDaily[Remaining],tblDaily[EntryDate],DATE(2026,7,14),tblDaily[WardCode],"MAE")=0,"",SUMIFS(tblDaily[Remaining],tblDaily[EntryDate],DATE(2026,7,14),tblDaily[WardCode],"MAE")),"")</f>
        <v/>
      </c>
      <c r="I261" s="39" t="str">
        <f>IFERROR(IF(SUMIFS(tblDaily[Admissions],tblDaily[EntryDate],DATE(2026,7,14),tblDaily[WardCode],"FAE")=0,"",SUMIFS(tblDaily[Admissions],tblDaily[EntryDate],DATE(2026,7,14),tblDaily[WardCode],"FAE")),"")</f>
        <v/>
      </c>
      <c r="J261" s="39" t="str">
        <f>IFERROR(IF(SUMIFS(tblDaily[Discharges],tblDaily[EntryDate],DATE(2026,7,14),tblDaily[WardCode],"FAE")=0,"",SUMIFS(tblDaily[Discharges],tblDaily[EntryDate],DATE(2026,7,14),tblDaily[WardCode],"FAE")),"")</f>
        <v/>
      </c>
      <c r="K261" s="39" t="str">
        <f>IFERROR(IF(SUMIFS(tblDaily[Deaths],tblDaily[EntryDate],DATE(2026,7,14),tblDaily[WardCode],"FAE")=0,"",SUMIFS(tblDaily[Deaths],tblDaily[EntryDate],DATE(2026,7,14),tblDaily[WardCode],"FAE")),"")</f>
        <v/>
      </c>
      <c r="L261" s="39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39" t="str">
        <f>IFERROR(IF(SUMIFS(tblDaily[TransfersIn],tblDaily[EntryDate],DATE(2026,7,14),tblDaily[WardCode],"FAE")=0,"",SUMIFS(tblDaily[TransfersIn],tblDaily[EntryDate],DATE(2026,7,14),tblDaily[WardCode],"FAE")),"")</f>
        <v/>
      </c>
      <c r="N261" s="39" t="str">
        <f>IFERROR(IF(SUMIFS(tblDaily[TransfersOut],tblDaily[EntryDate],DATE(2026,7,14),tblDaily[WardCode],"FAE")=0,"",SUMIFS(tblDaily[TransfersOut],tblDaily[EntryDate],DATE(2026,7,14),tblDaily[WardCode],"FAE")),"")</f>
        <v/>
      </c>
      <c r="O261" s="39" t="str">
        <f>IFERROR(IF(SUMIFS(tblDaily[Remaining],tblDaily[EntryDate],DATE(2026,7,14),tblDaily[WardCode],"FAE")=0,"",SUMIFS(tblDaily[Remaining],tblDaily[EntryDate],DATE(2026,7,14),tblDaily[WardCode],"FAE")),"")</f>
        <v/>
      </c>
      <c r="P261" s="40" t="str">
        <f t="shared" si="6"/>
        <v/>
      </c>
    </row>
    <row r="262" spans="1:16" x14ac:dyDescent="0.25">
      <c r="A262" s="39">
        <v>15</v>
      </c>
      <c r="B262" s="39" t="str">
        <f>IFERROR(IF(SUMIFS(tblDaily[Admissions],tblDaily[EntryDate],DATE(2026,7,15),tblDaily[WardCode],"MAE")=0,"",SUMIFS(tblDaily[Admissions],tblDaily[EntryDate],DATE(2026,7,15),tblDaily[WardCode],"MAE")),"")</f>
        <v/>
      </c>
      <c r="C262" s="39" t="str">
        <f>IFERROR(IF(SUMIFS(tblDaily[Discharges],tblDaily[EntryDate],DATE(2026,7,15),tblDaily[WardCode],"MAE")=0,"",SUMIFS(tblDaily[Discharges],tblDaily[EntryDate],DATE(2026,7,15),tblDaily[WardCode],"MAE")),"")</f>
        <v/>
      </c>
      <c r="D262" s="39" t="str">
        <f>IFERROR(IF(SUMIFS(tblDaily[Deaths],tblDaily[EntryDate],DATE(2026,7,15),tblDaily[WardCode],"MAE")=0,"",SUMIFS(tblDaily[Deaths],tblDaily[EntryDate],DATE(2026,7,15),tblDaily[WardCode],"MAE")),"")</f>
        <v/>
      </c>
      <c r="E262" s="39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39" t="str">
        <f>IFERROR(IF(SUMIFS(tblDaily[TransfersIn],tblDaily[EntryDate],DATE(2026,7,15),tblDaily[WardCode],"MAE")=0,"",SUMIFS(tblDaily[TransfersIn],tblDaily[EntryDate],DATE(2026,7,15),tblDaily[WardCode],"MAE")),"")</f>
        <v/>
      </c>
      <c r="G262" s="39" t="str">
        <f>IFERROR(IF(SUMIFS(tblDaily[TransfersOut],tblDaily[EntryDate],DATE(2026,7,15),tblDaily[WardCode],"MAE")=0,"",SUMIFS(tblDaily[TransfersOut],tblDaily[EntryDate],DATE(2026,7,15),tblDaily[WardCode],"MAE")),"")</f>
        <v/>
      </c>
      <c r="H262" s="39" t="str">
        <f>IFERROR(IF(SUMIFS(tblDaily[Remaining],tblDaily[EntryDate],DATE(2026,7,15),tblDaily[WardCode],"MAE")=0,"",SUMIFS(tblDaily[Remaining],tblDaily[EntryDate],DATE(2026,7,15),tblDaily[WardCode],"MAE")),"")</f>
        <v/>
      </c>
      <c r="I262" s="39" t="str">
        <f>IFERROR(IF(SUMIFS(tblDaily[Admissions],tblDaily[EntryDate],DATE(2026,7,15),tblDaily[WardCode],"FAE")=0,"",SUMIFS(tblDaily[Admissions],tblDaily[EntryDate],DATE(2026,7,15),tblDaily[WardCode],"FAE")),"")</f>
        <v/>
      </c>
      <c r="J262" s="39" t="str">
        <f>IFERROR(IF(SUMIFS(tblDaily[Discharges],tblDaily[EntryDate],DATE(2026,7,15),tblDaily[WardCode],"FAE")=0,"",SUMIFS(tblDaily[Discharges],tblDaily[EntryDate],DATE(2026,7,15),tblDaily[WardCode],"FAE")),"")</f>
        <v/>
      </c>
      <c r="K262" s="39" t="str">
        <f>IFERROR(IF(SUMIFS(tblDaily[Deaths],tblDaily[EntryDate],DATE(2026,7,15),tblDaily[WardCode],"FAE")=0,"",SUMIFS(tblDaily[Deaths],tblDaily[EntryDate],DATE(2026,7,15),tblDaily[WardCode],"FAE")),"")</f>
        <v/>
      </c>
      <c r="L262" s="39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39" t="str">
        <f>IFERROR(IF(SUMIFS(tblDaily[TransfersIn],tblDaily[EntryDate],DATE(2026,7,15),tblDaily[WardCode],"FAE")=0,"",SUMIFS(tblDaily[TransfersIn],tblDaily[EntryDate],DATE(2026,7,15),tblDaily[WardCode],"FAE")),"")</f>
        <v/>
      </c>
      <c r="N262" s="39" t="str">
        <f>IFERROR(IF(SUMIFS(tblDaily[TransfersOut],tblDaily[EntryDate],DATE(2026,7,15),tblDaily[WardCode],"FAE")=0,"",SUMIFS(tblDaily[TransfersOut],tblDaily[EntryDate],DATE(2026,7,15),tblDaily[WardCode],"FAE")),"")</f>
        <v/>
      </c>
      <c r="O262" s="39" t="str">
        <f>IFERROR(IF(SUMIFS(tblDaily[Remaining],tblDaily[EntryDate],DATE(2026,7,15),tblDaily[WardCode],"FAE")=0,"",SUMIFS(tblDaily[Remaining],tblDaily[EntryDate],DATE(2026,7,15),tblDaily[WardCode],"FAE")),"")</f>
        <v/>
      </c>
      <c r="P262" s="40" t="str">
        <f t="shared" si="6"/>
        <v/>
      </c>
    </row>
    <row r="263" spans="1:16" x14ac:dyDescent="0.25">
      <c r="A263" s="39">
        <v>16</v>
      </c>
      <c r="B263" s="39" t="str">
        <f>IFERROR(IF(SUMIFS(tblDaily[Admissions],tblDaily[EntryDate],DATE(2026,7,16),tblDaily[WardCode],"MAE")=0,"",SUMIFS(tblDaily[Admissions],tblDaily[EntryDate],DATE(2026,7,16),tblDaily[WardCode],"MAE")),"")</f>
        <v/>
      </c>
      <c r="C263" s="39" t="str">
        <f>IFERROR(IF(SUMIFS(tblDaily[Discharges],tblDaily[EntryDate],DATE(2026,7,16),tblDaily[WardCode],"MAE")=0,"",SUMIFS(tblDaily[Discharges],tblDaily[EntryDate],DATE(2026,7,16),tblDaily[WardCode],"MAE")),"")</f>
        <v/>
      </c>
      <c r="D263" s="39" t="str">
        <f>IFERROR(IF(SUMIFS(tblDaily[Deaths],tblDaily[EntryDate],DATE(2026,7,16),tblDaily[WardCode],"MAE")=0,"",SUMIFS(tblDaily[Deaths],tblDaily[EntryDate],DATE(2026,7,16),tblDaily[WardCode],"MAE")),"")</f>
        <v/>
      </c>
      <c r="E263" s="39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39" t="str">
        <f>IFERROR(IF(SUMIFS(tblDaily[TransfersIn],tblDaily[EntryDate],DATE(2026,7,16),tblDaily[WardCode],"MAE")=0,"",SUMIFS(tblDaily[TransfersIn],tblDaily[EntryDate],DATE(2026,7,16),tblDaily[WardCode],"MAE")),"")</f>
        <v/>
      </c>
      <c r="G263" s="39" t="str">
        <f>IFERROR(IF(SUMIFS(tblDaily[TransfersOut],tblDaily[EntryDate],DATE(2026,7,16),tblDaily[WardCode],"MAE")=0,"",SUMIFS(tblDaily[TransfersOut],tblDaily[EntryDate],DATE(2026,7,16),tblDaily[WardCode],"MAE")),"")</f>
        <v/>
      </c>
      <c r="H263" s="39" t="str">
        <f>IFERROR(IF(SUMIFS(tblDaily[Remaining],tblDaily[EntryDate],DATE(2026,7,16),tblDaily[WardCode],"MAE")=0,"",SUMIFS(tblDaily[Remaining],tblDaily[EntryDate],DATE(2026,7,16),tblDaily[WardCode],"MAE")),"")</f>
        <v/>
      </c>
      <c r="I263" s="39" t="str">
        <f>IFERROR(IF(SUMIFS(tblDaily[Admissions],tblDaily[EntryDate],DATE(2026,7,16),tblDaily[WardCode],"FAE")=0,"",SUMIFS(tblDaily[Admissions],tblDaily[EntryDate],DATE(2026,7,16),tblDaily[WardCode],"FAE")),"")</f>
        <v/>
      </c>
      <c r="J263" s="39" t="str">
        <f>IFERROR(IF(SUMIFS(tblDaily[Discharges],tblDaily[EntryDate],DATE(2026,7,16),tblDaily[WardCode],"FAE")=0,"",SUMIFS(tblDaily[Discharges],tblDaily[EntryDate],DATE(2026,7,16),tblDaily[WardCode],"FAE")),"")</f>
        <v/>
      </c>
      <c r="K263" s="39" t="str">
        <f>IFERROR(IF(SUMIFS(tblDaily[Deaths],tblDaily[EntryDate],DATE(2026,7,16),tblDaily[WardCode],"FAE")=0,"",SUMIFS(tblDaily[Deaths],tblDaily[EntryDate],DATE(2026,7,16),tblDaily[WardCode],"FAE")),"")</f>
        <v/>
      </c>
      <c r="L263" s="39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39" t="str">
        <f>IFERROR(IF(SUMIFS(tblDaily[TransfersIn],tblDaily[EntryDate],DATE(2026,7,16),tblDaily[WardCode],"FAE")=0,"",SUMIFS(tblDaily[TransfersIn],tblDaily[EntryDate],DATE(2026,7,16),tblDaily[WardCode],"FAE")),"")</f>
        <v/>
      </c>
      <c r="N263" s="39" t="str">
        <f>IFERROR(IF(SUMIFS(tblDaily[TransfersOut],tblDaily[EntryDate],DATE(2026,7,16),tblDaily[WardCode],"FAE")=0,"",SUMIFS(tblDaily[TransfersOut],tblDaily[EntryDate],DATE(2026,7,16),tblDaily[WardCode],"FAE")),"")</f>
        <v/>
      </c>
      <c r="O263" s="39" t="str">
        <f>IFERROR(IF(SUMIFS(tblDaily[Remaining],tblDaily[EntryDate],DATE(2026,7,16),tblDaily[WardCode],"FAE")=0,"",SUMIFS(tblDaily[Remaining],tblDaily[EntryDate],DATE(2026,7,16),tblDaily[WardCode],"FAE")),"")</f>
        <v/>
      </c>
      <c r="P263" s="40" t="str">
        <f t="shared" si="6"/>
        <v/>
      </c>
    </row>
    <row r="264" spans="1:16" x14ac:dyDescent="0.25">
      <c r="A264" s="39">
        <v>17</v>
      </c>
      <c r="B264" s="39" t="str">
        <f>IFERROR(IF(SUMIFS(tblDaily[Admissions],tblDaily[EntryDate],DATE(2026,7,17),tblDaily[WardCode],"MAE")=0,"",SUMIFS(tblDaily[Admissions],tblDaily[EntryDate],DATE(2026,7,17),tblDaily[WardCode],"MAE")),"")</f>
        <v/>
      </c>
      <c r="C264" s="39" t="str">
        <f>IFERROR(IF(SUMIFS(tblDaily[Discharges],tblDaily[EntryDate],DATE(2026,7,17),tblDaily[WardCode],"MAE")=0,"",SUMIFS(tblDaily[Discharges],tblDaily[EntryDate],DATE(2026,7,17),tblDaily[WardCode],"MAE")),"")</f>
        <v/>
      </c>
      <c r="D264" s="39" t="str">
        <f>IFERROR(IF(SUMIFS(tblDaily[Deaths],tblDaily[EntryDate],DATE(2026,7,17),tblDaily[WardCode],"MAE")=0,"",SUMIFS(tblDaily[Deaths],tblDaily[EntryDate],DATE(2026,7,17),tblDaily[WardCode],"MAE")),"")</f>
        <v/>
      </c>
      <c r="E264" s="39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39" t="str">
        <f>IFERROR(IF(SUMIFS(tblDaily[TransfersIn],tblDaily[EntryDate],DATE(2026,7,17),tblDaily[WardCode],"MAE")=0,"",SUMIFS(tblDaily[TransfersIn],tblDaily[EntryDate],DATE(2026,7,17),tblDaily[WardCode],"MAE")),"")</f>
        <v/>
      </c>
      <c r="G264" s="39" t="str">
        <f>IFERROR(IF(SUMIFS(tblDaily[TransfersOut],tblDaily[EntryDate],DATE(2026,7,17),tblDaily[WardCode],"MAE")=0,"",SUMIFS(tblDaily[TransfersOut],tblDaily[EntryDate],DATE(2026,7,17),tblDaily[WardCode],"MAE")),"")</f>
        <v/>
      </c>
      <c r="H264" s="39" t="str">
        <f>IFERROR(IF(SUMIFS(tblDaily[Remaining],tblDaily[EntryDate],DATE(2026,7,17),tblDaily[WardCode],"MAE")=0,"",SUMIFS(tblDaily[Remaining],tblDaily[EntryDate],DATE(2026,7,17),tblDaily[WardCode],"MAE")),"")</f>
        <v/>
      </c>
      <c r="I264" s="39" t="str">
        <f>IFERROR(IF(SUMIFS(tblDaily[Admissions],tblDaily[EntryDate],DATE(2026,7,17),tblDaily[WardCode],"FAE")=0,"",SUMIFS(tblDaily[Admissions],tblDaily[EntryDate],DATE(2026,7,17),tblDaily[WardCode],"FAE")),"")</f>
        <v/>
      </c>
      <c r="J264" s="39" t="str">
        <f>IFERROR(IF(SUMIFS(tblDaily[Discharges],tblDaily[EntryDate],DATE(2026,7,17),tblDaily[WardCode],"FAE")=0,"",SUMIFS(tblDaily[Discharges],tblDaily[EntryDate],DATE(2026,7,17),tblDaily[WardCode],"FAE")),"")</f>
        <v/>
      </c>
      <c r="K264" s="39" t="str">
        <f>IFERROR(IF(SUMIFS(tblDaily[Deaths],tblDaily[EntryDate],DATE(2026,7,17),tblDaily[WardCode],"FAE")=0,"",SUMIFS(tblDaily[Deaths],tblDaily[EntryDate],DATE(2026,7,17),tblDaily[WardCode],"FAE")),"")</f>
        <v/>
      </c>
      <c r="L264" s="39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39" t="str">
        <f>IFERROR(IF(SUMIFS(tblDaily[TransfersIn],tblDaily[EntryDate],DATE(2026,7,17),tblDaily[WardCode],"FAE")=0,"",SUMIFS(tblDaily[TransfersIn],tblDaily[EntryDate],DATE(2026,7,17),tblDaily[WardCode],"FAE")),"")</f>
        <v/>
      </c>
      <c r="N264" s="39" t="str">
        <f>IFERROR(IF(SUMIFS(tblDaily[TransfersOut],tblDaily[EntryDate],DATE(2026,7,17),tblDaily[WardCode],"FAE")=0,"",SUMIFS(tblDaily[TransfersOut],tblDaily[EntryDate],DATE(2026,7,17),tblDaily[WardCode],"FAE")),"")</f>
        <v/>
      </c>
      <c r="O264" s="39" t="str">
        <f>IFERROR(IF(SUMIFS(tblDaily[Remaining],tblDaily[EntryDate],DATE(2026,7,17),tblDaily[WardCode],"FAE")=0,"",SUMIFS(tblDaily[Remaining],tblDaily[EntryDate],DATE(2026,7,17),tblDaily[WardCode],"FAE")),"")</f>
        <v/>
      </c>
      <c r="P264" s="40" t="str">
        <f t="shared" si="6"/>
        <v/>
      </c>
    </row>
    <row r="265" spans="1:16" x14ac:dyDescent="0.25">
      <c r="A265" s="39">
        <v>18</v>
      </c>
      <c r="B265" s="39" t="str">
        <f>IFERROR(IF(SUMIFS(tblDaily[Admissions],tblDaily[EntryDate],DATE(2026,7,18),tblDaily[WardCode],"MAE")=0,"",SUMIFS(tblDaily[Admissions],tblDaily[EntryDate],DATE(2026,7,18),tblDaily[WardCode],"MAE")),"")</f>
        <v/>
      </c>
      <c r="C265" s="39" t="str">
        <f>IFERROR(IF(SUMIFS(tblDaily[Discharges],tblDaily[EntryDate],DATE(2026,7,18),tblDaily[WardCode],"MAE")=0,"",SUMIFS(tblDaily[Discharges],tblDaily[EntryDate],DATE(2026,7,18),tblDaily[WardCode],"MAE")),"")</f>
        <v/>
      </c>
      <c r="D265" s="39" t="str">
        <f>IFERROR(IF(SUMIFS(tblDaily[Deaths],tblDaily[EntryDate],DATE(2026,7,18),tblDaily[WardCode],"MAE")=0,"",SUMIFS(tblDaily[Deaths],tblDaily[EntryDate],DATE(2026,7,18),tblDaily[WardCode],"MAE")),"")</f>
        <v/>
      </c>
      <c r="E265" s="39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39" t="str">
        <f>IFERROR(IF(SUMIFS(tblDaily[TransfersIn],tblDaily[EntryDate],DATE(2026,7,18),tblDaily[WardCode],"MAE")=0,"",SUMIFS(tblDaily[TransfersIn],tblDaily[EntryDate],DATE(2026,7,18),tblDaily[WardCode],"MAE")),"")</f>
        <v/>
      </c>
      <c r="G265" s="39" t="str">
        <f>IFERROR(IF(SUMIFS(tblDaily[TransfersOut],tblDaily[EntryDate],DATE(2026,7,18),tblDaily[WardCode],"MAE")=0,"",SUMIFS(tblDaily[TransfersOut],tblDaily[EntryDate],DATE(2026,7,18),tblDaily[WardCode],"MAE")),"")</f>
        <v/>
      </c>
      <c r="H265" s="39" t="str">
        <f>IFERROR(IF(SUMIFS(tblDaily[Remaining],tblDaily[EntryDate],DATE(2026,7,18),tblDaily[WardCode],"MAE")=0,"",SUMIFS(tblDaily[Remaining],tblDaily[EntryDate],DATE(2026,7,18),tblDaily[WardCode],"MAE")),"")</f>
        <v/>
      </c>
      <c r="I265" s="39" t="str">
        <f>IFERROR(IF(SUMIFS(tblDaily[Admissions],tblDaily[EntryDate],DATE(2026,7,18),tblDaily[WardCode],"FAE")=0,"",SUMIFS(tblDaily[Admissions],tblDaily[EntryDate],DATE(2026,7,18),tblDaily[WardCode],"FAE")),"")</f>
        <v/>
      </c>
      <c r="J265" s="39" t="str">
        <f>IFERROR(IF(SUMIFS(tblDaily[Discharges],tblDaily[EntryDate],DATE(2026,7,18),tblDaily[WardCode],"FAE")=0,"",SUMIFS(tblDaily[Discharges],tblDaily[EntryDate],DATE(2026,7,18),tblDaily[WardCode],"FAE")),"")</f>
        <v/>
      </c>
      <c r="K265" s="39" t="str">
        <f>IFERROR(IF(SUMIFS(tblDaily[Deaths],tblDaily[EntryDate],DATE(2026,7,18),tblDaily[WardCode],"FAE")=0,"",SUMIFS(tblDaily[Deaths],tblDaily[EntryDate],DATE(2026,7,18),tblDaily[WardCode],"FAE")),"")</f>
        <v/>
      </c>
      <c r="L265" s="39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39" t="str">
        <f>IFERROR(IF(SUMIFS(tblDaily[TransfersIn],tblDaily[EntryDate],DATE(2026,7,18),tblDaily[WardCode],"FAE")=0,"",SUMIFS(tblDaily[TransfersIn],tblDaily[EntryDate],DATE(2026,7,18),tblDaily[WardCode],"FAE")),"")</f>
        <v/>
      </c>
      <c r="N265" s="39" t="str">
        <f>IFERROR(IF(SUMIFS(tblDaily[TransfersOut],tblDaily[EntryDate],DATE(2026,7,18),tblDaily[WardCode],"FAE")=0,"",SUMIFS(tblDaily[TransfersOut],tblDaily[EntryDate],DATE(2026,7,18),tblDaily[WardCode],"FAE")),"")</f>
        <v/>
      </c>
      <c r="O265" s="39" t="str">
        <f>IFERROR(IF(SUMIFS(tblDaily[Remaining],tblDaily[EntryDate],DATE(2026,7,18),tblDaily[WardCode],"FAE")=0,"",SUMIFS(tblDaily[Remaining],tblDaily[EntryDate],DATE(2026,7,18),tblDaily[WardCode],"FAE")),"")</f>
        <v/>
      </c>
      <c r="P265" s="40" t="str">
        <f t="shared" si="6"/>
        <v/>
      </c>
    </row>
    <row r="266" spans="1:16" x14ac:dyDescent="0.25">
      <c r="A266" s="39">
        <v>19</v>
      </c>
      <c r="B266" s="39" t="str">
        <f>IFERROR(IF(SUMIFS(tblDaily[Admissions],tblDaily[EntryDate],DATE(2026,7,19),tblDaily[WardCode],"MAE")=0,"",SUMIFS(tblDaily[Admissions],tblDaily[EntryDate],DATE(2026,7,19),tblDaily[WardCode],"MAE")),"")</f>
        <v/>
      </c>
      <c r="C266" s="39" t="str">
        <f>IFERROR(IF(SUMIFS(tblDaily[Discharges],tblDaily[EntryDate],DATE(2026,7,19),tblDaily[WardCode],"MAE")=0,"",SUMIFS(tblDaily[Discharges],tblDaily[EntryDate],DATE(2026,7,19),tblDaily[WardCode],"MAE")),"")</f>
        <v/>
      </c>
      <c r="D266" s="39" t="str">
        <f>IFERROR(IF(SUMIFS(tblDaily[Deaths],tblDaily[EntryDate],DATE(2026,7,19),tblDaily[WardCode],"MAE")=0,"",SUMIFS(tblDaily[Deaths],tblDaily[EntryDate],DATE(2026,7,19),tblDaily[WardCode],"MAE")),"")</f>
        <v/>
      </c>
      <c r="E266" s="39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39" t="str">
        <f>IFERROR(IF(SUMIFS(tblDaily[TransfersIn],tblDaily[EntryDate],DATE(2026,7,19),tblDaily[WardCode],"MAE")=0,"",SUMIFS(tblDaily[TransfersIn],tblDaily[EntryDate],DATE(2026,7,19),tblDaily[WardCode],"MAE")),"")</f>
        <v/>
      </c>
      <c r="G266" s="39" t="str">
        <f>IFERROR(IF(SUMIFS(tblDaily[TransfersOut],tblDaily[EntryDate],DATE(2026,7,19),tblDaily[WardCode],"MAE")=0,"",SUMIFS(tblDaily[TransfersOut],tblDaily[EntryDate],DATE(2026,7,19),tblDaily[WardCode],"MAE")),"")</f>
        <v/>
      </c>
      <c r="H266" s="39" t="str">
        <f>IFERROR(IF(SUMIFS(tblDaily[Remaining],tblDaily[EntryDate],DATE(2026,7,19),tblDaily[WardCode],"MAE")=0,"",SUMIFS(tblDaily[Remaining],tblDaily[EntryDate],DATE(2026,7,19),tblDaily[WardCode],"MAE")),"")</f>
        <v/>
      </c>
      <c r="I266" s="39" t="str">
        <f>IFERROR(IF(SUMIFS(tblDaily[Admissions],tblDaily[EntryDate],DATE(2026,7,19),tblDaily[WardCode],"FAE")=0,"",SUMIFS(tblDaily[Admissions],tblDaily[EntryDate],DATE(2026,7,19),tblDaily[WardCode],"FAE")),"")</f>
        <v/>
      </c>
      <c r="J266" s="39" t="str">
        <f>IFERROR(IF(SUMIFS(tblDaily[Discharges],tblDaily[EntryDate],DATE(2026,7,19),tblDaily[WardCode],"FAE")=0,"",SUMIFS(tblDaily[Discharges],tblDaily[EntryDate],DATE(2026,7,19),tblDaily[WardCode],"FAE")),"")</f>
        <v/>
      </c>
      <c r="K266" s="39" t="str">
        <f>IFERROR(IF(SUMIFS(tblDaily[Deaths],tblDaily[EntryDate],DATE(2026,7,19),tblDaily[WardCode],"FAE")=0,"",SUMIFS(tblDaily[Deaths],tblDaily[EntryDate],DATE(2026,7,19),tblDaily[WardCode],"FAE")),"")</f>
        <v/>
      </c>
      <c r="L266" s="39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39" t="str">
        <f>IFERROR(IF(SUMIFS(tblDaily[TransfersIn],tblDaily[EntryDate],DATE(2026,7,19),tblDaily[WardCode],"FAE")=0,"",SUMIFS(tblDaily[TransfersIn],tblDaily[EntryDate],DATE(2026,7,19),tblDaily[WardCode],"FAE")),"")</f>
        <v/>
      </c>
      <c r="N266" s="39" t="str">
        <f>IFERROR(IF(SUMIFS(tblDaily[TransfersOut],tblDaily[EntryDate],DATE(2026,7,19),tblDaily[WardCode],"FAE")=0,"",SUMIFS(tblDaily[TransfersOut],tblDaily[EntryDate],DATE(2026,7,19),tblDaily[WardCode],"FAE")),"")</f>
        <v/>
      </c>
      <c r="O266" s="39" t="str">
        <f>IFERROR(IF(SUMIFS(tblDaily[Remaining],tblDaily[EntryDate],DATE(2026,7,19),tblDaily[WardCode],"FAE")=0,"",SUMIFS(tblDaily[Remaining],tblDaily[EntryDate],DATE(2026,7,19),tblDaily[WardCode],"FAE")),"")</f>
        <v/>
      </c>
      <c r="P266" s="40" t="str">
        <f t="shared" si="6"/>
        <v/>
      </c>
    </row>
    <row r="267" spans="1:16" x14ac:dyDescent="0.25">
      <c r="A267" s="39">
        <v>20</v>
      </c>
      <c r="B267" s="39" t="str">
        <f>IFERROR(IF(SUMIFS(tblDaily[Admissions],tblDaily[EntryDate],DATE(2026,7,20),tblDaily[WardCode],"MAE")=0,"",SUMIFS(tblDaily[Admissions],tblDaily[EntryDate],DATE(2026,7,20),tblDaily[WardCode],"MAE")),"")</f>
        <v/>
      </c>
      <c r="C267" s="39" t="str">
        <f>IFERROR(IF(SUMIFS(tblDaily[Discharges],tblDaily[EntryDate],DATE(2026,7,20),tblDaily[WardCode],"MAE")=0,"",SUMIFS(tblDaily[Discharges],tblDaily[EntryDate],DATE(2026,7,20),tblDaily[WardCode],"MAE")),"")</f>
        <v/>
      </c>
      <c r="D267" s="39" t="str">
        <f>IFERROR(IF(SUMIFS(tblDaily[Deaths],tblDaily[EntryDate],DATE(2026,7,20),tblDaily[WardCode],"MAE")=0,"",SUMIFS(tblDaily[Deaths],tblDaily[EntryDate],DATE(2026,7,20),tblDaily[WardCode],"MAE")),"")</f>
        <v/>
      </c>
      <c r="E267" s="39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39" t="str">
        <f>IFERROR(IF(SUMIFS(tblDaily[TransfersIn],tblDaily[EntryDate],DATE(2026,7,20),tblDaily[WardCode],"MAE")=0,"",SUMIFS(tblDaily[TransfersIn],tblDaily[EntryDate],DATE(2026,7,20),tblDaily[WardCode],"MAE")),"")</f>
        <v/>
      </c>
      <c r="G267" s="39" t="str">
        <f>IFERROR(IF(SUMIFS(tblDaily[TransfersOut],tblDaily[EntryDate],DATE(2026,7,20),tblDaily[WardCode],"MAE")=0,"",SUMIFS(tblDaily[TransfersOut],tblDaily[EntryDate],DATE(2026,7,20),tblDaily[WardCode],"MAE")),"")</f>
        <v/>
      </c>
      <c r="H267" s="39" t="str">
        <f>IFERROR(IF(SUMIFS(tblDaily[Remaining],tblDaily[EntryDate],DATE(2026,7,20),tblDaily[WardCode],"MAE")=0,"",SUMIFS(tblDaily[Remaining],tblDaily[EntryDate],DATE(2026,7,20),tblDaily[WardCode],"MAE")),"")</f>
        <v/>
      </c>
      <c r="I267" s="39" t="str">
        <f>IFERROR(IF(SUMIFS(tblDaily[Admissions],tblDaily[EntryDate],DATE(2026,7,20),tblDaily[WardCode],"FAE")=0,"",SUMIFS(tblDaily[Admissions],tblDaily[EntryDate],DATE(2026,7,20),tblDaily[WardCode],"FAE")),"")</f>
        <v/>
      </c>
      <c r="J267" s="39" t="str">
        <f>IFERROR(IF(SUMIFS(tblDaily[Discharges],tblDaily[EntryDate],DATE(2026,7,20),tblDaily[WardCode],"FAE")=0,"",SUMIFS(tblDaily[Discharges],tblDaily[EntryDate],DATE(2026,7,20),tblDaily[WardCode],"FAE")),"")</f>
        <v/>
      </c>
      <c r="K267" s="39" t="str">
        <f>IFERROR(IF(SUMIFS(tblDaily[Deaths],tblDaily[EntryDate],DATE(2026,7,20),tblDaily[WardCode],"FAE")=0,"",SUMIFS(tblDaily[Deaths],tblDaily[EntryDate],DATE(2026,7,20),tblDaily[WardCode],"FAE")),"")</f>
        <v/>
      </c>
      <c r="L267" s="39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39" t="str">
        <f>IFERROR(IF(SUMIFS(tblDaily[TransfersIn],tblDaily[EntryDate],DATE(2026,7,20),tblDaily[WardCode],"FAE")=0,"",SUMIFS(tblDaily[TransfersIn],tblDaily[EntryDate],DATE(2026,7,20),tblDaily[WardCode],"FAE")),"")</f>
        <v/>
      </c>
      <c r="N267" s="39" t="str">
        <f>IFERROR(IF(SUMIFS(tblDaily[TransfersOut],tblDaily[EntryDate],DATE(2026,7,20),tblDaily[WardCode],"FAE")=0,"",SUMIFS(tblDaily[TransfersOut],tblDaily[EntryDate],DATE(2026,7,20),tblDaily[WardCode],"FAE")),"")</f>
        <v/>
      </c>
      <c r="O267" s="39" t="str">
        <f>IFERROR(IF(SUMIFS(tblDaily[Remaining],tblDaily[EntryDate],DATE(2026,7,20),tblDaily[WardCode],"FAE")=0,"",SUMIFS(tblDaily[Remaining],tblDaily[EntryDate],DATE(2026,7,20),tblDaily[WardCode],"FAE")),"")</f>
        <v/>
      </c>
      <c r="P267" s="40" t="str">
        <f t="shared" si="6"/>
        <v/>
      </c>
    </row>
    <row r="268" spans="1:16" x14ac:dyDescent="0.25">
      <c r="A268" s="39">
        <v>21</v>
      </c>
      <c r="B268" s="39" t="str">
        <f>IFERROR(IF(SUMIFS(tblDaily[Admissions],tblDaily[EntryDate],DATE(2026,7,21),tblDaily[WardCode],"MAE")=0,"",SUMIFS(tblDaily[Admissions],tblDaily[EntryDate],DATE(2026,7,21),tblDaily[WardCode],"MAE")),"")</f>
        <v/>
      </c>
      <c r="C268" s="39" t="str">
        <f>IFERROR(IF(SUMIFS(tblDaily[Discharges],tblDaily[EntryDate],DATE(2026,7,21),tblDaily[WardCode],"MAE")=0,"",SUMIFS(tblDaily[Discharges],tblDaily[EntryDate],DATE(2026,7,21),tblDaily[WardCode],"MAE")),"")</f>
        <v/>
      </c>
      <c r="D268" s="39" t="str">
        <f>IFERROR(IF(SUMIFS(tblDaily[Deaths],tblDaily[EntryDate],DATE(2026,7,21),tblDaily[WardCode],"MAE")=0,"",SUMIFS(tblDaily[Deaths],tblDaily[EntryDate],DATE(2026,7,21),tblDaily[WardCode],"MAE")),"")</f>
        <v/>
      </c>
      <c r="E268" s="39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39" t="str">
        <f>IFERROR(IF(SUMIFS(tblDaily[TransfersIn],tblDaily[EntryDate],DATE(2026,7,21),tblDaily[WardCode],"MAE")=0,"",SUMIFS(tblDaily[TransfersIn],tblDaily[EntryDate],DATE(2026,7,21),tblDaily[WardCode],"MAE")),"")</f>
        <v/>
      </c>
      <c r="G268" s="39" t="str">
        <f>IFERROR(IF(SUMIFS(tblDaily[TransfersOut],tblDaily[EntryDate],DATE(2026,7,21),tblDaily[WardCode],"MAE")=0,"",SUMIFS(tblDaily[TransfersOut],tblDaily[EntryDate],DATE(2026,7,21),tblDaily[WardCode],"MAE")),"")</f>
        <v/>
      </c>
      <c r="H268" s="39" t="str">
        <f>IFERROR(IF(SUMIFS(tblDaily[Remaining],tblDaily[EntryDate],DATE(2026,7,21),tblDaily[WardCode],"MAE")=0,"",SUMIFS(tblDaily[Remaining],tblDaily[EntryDate],DATE(2026,7,21),tblDaily[WardCode],"MAE")),"")</f>
        <v/>
      </c>
      <c r="I268" s="39" t="str">
        <f>IFERROR(IF(SUMIFS(tblDaily[Admissions],tblDaily[EntryDate],DATE(2026,7,21),tblDaily[WardCode],"FAE")=0,"",SUMIFS(tblDaily[Admissions],tblDaily[EntryDate],DATE(2026,7,21),tblDaily[WardCode],"FAE")),"")</f>
        <v/>
      </c>
      <c r="J268" s="39" t="str">
        <f>IFERROR(IF(SUMIFS(tblDaily[Discharges],tblDaily[EntryDate],DATE(2026,7,21),tblDaily[WardCode],"FAE")=0,"",SUMIFS(tblDaily[Discharges],tblDaily[EntryDate],DATE(2026,7,21),tblDaily[WardCode],"FAE")),"")</f>
        <v/>
      </c>
      <c r="K268" s="39" t="str">
        <f>IFERROR(IF(SUMIFS(tblDaily[Deaths],tblDaily[EntryDate],DATE(2026,7,21),tblDaily[WardCode],"FAE")=0,"",SUMIFS(tblDaily[Deaths],tblDaily[EntryDate],DATE(2026,7,21),tblDaily[WardCode],"FAE")),"")</f>
        <v/>
      </c>
      <c r="L268" s="39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39" t="str">
        <f>IFERROR(IF(SUMIFS(tblDaily[TransfersIn],tblDaily[EntryDate],DATE(2026,7,21),tblDaily[WardCode],"FAE")=0,"",SUMIFS(tblDaily[TransfersIn],tblDaily[EntryDate],DATE(2026,7,21),tblDaily[WardCode],"FAE")),"")</f>
        <v/>
      </c>
      <c r="N268" s="39" t="str">
        <f>IFERROR(IF(SUMIFS(tblDaily[TransfersOut],tblDaily[EntryDate],DATE(2026,7,21),tblDaily[WardCode],"FAE")=0,"",SUMIFS(tblDaily[TransfersOut],tblDaily[EntryDate],DATE(2026,7,21),tblDaily[WardCode],"FAE")),"")</f>
        <v/>
      </c>
      <c r="O268" s="39" t="str">
        <f>IFERROR(IF(SUMIFS(tblDaily[Remaining],tblDaily[EntryDate],DATE(2026,7,21),tblDaily[WardCode],"FAE")=0,"",SUMIFS(tblDaily[Remaining],tblDaily[EntryDate],DATE(2026,7,21),tblDaily[WardCode],"FAE")),"")</f>
        <v/>
      </c>
      <c r="P268" s="40" t="str">
        <f t="shared" si="6"/>
        <v/>
      </c>
    </row>
    <row r="269" spans="1:16" x14ac:dyDescent="0.25">
      <c r="A269" s="39">
        <v>22</v>
      </c>
      <c r="B269" s="39" t="str">
        <f>IFERROR(IF(SUMIFS(tblDaily[Admissions],tblDaily[EntryDate],DATE(2026,7,22),tblDaily[WardCode],"MAE")=0,"",SUMIFS(tblDaily[Admissions],tblDaily[EntryDate],DATE(2026,7,22),tblDaily[WardCode],"MAE")),"")</f>
        <v/>
      </c>
      <c r="C269" s="39" t="str">
        <f>IFERROR(IF(SUMIFS(tblDaily[Discharges],tblDaily[EntryDate],DATE(2026,7,22),tblDaily[WardCode],"MAE")=0,"",SUMIFS(tblDaily[Discharges],tblDaily[EntryDate],DATE(2026,7,22),tblDaily[WardCode],"MAE")),"")</f>
        <v/>
      </c>
      <c r="D269" s="39" t="str">
        <f>IFERROR(IF(SUMIFS(tblDaily[Deaths],tblDaily[EntryDate],DATE(2026,7,22),tblDaily[WardCode],"MAE")=0,"",SUMIFS(tblDaily[Deaths],tblDaily[EntryDate],DATE(2026,7,22),tblDaily[WardCode],"MAE")),"")</f>
        <v/>
      </c>
      <c r="E269" s="39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39" t="str">
        <f>IFERROR(IF(SUMIFS(tblDaily[TransfersIn],tblDaily[EntryDate],DATE(2026,7,22),tblDaily[WardCode],"MAE")=0,"",SUMIFS(tblDaily[TransfersIn],tblDaily[EntryDate],DATE(2026,7,22),tblDaily[WardCode],"MAE")),"")</f>
        <v/>
      </c>
      <c r="G269" s="39" t="str">
        <f>IFERROR(IF(SUMIFS(tblDaily[TransfersOut],tblDaily[EntryDate],DATE(2026,7,22),tblDaily[WardCode],"MAE")=0,"",SUMIFS(tblDaily[TransfersOut],tblDaily[EntryDate],DATE(2026,7,22),tblDaily[WardCode],"MAE")),"")</f>
        <v/>
      </c>
      <c r="H269" s="39" t="str">
        <f>IFERROR(IF(SUMIFS(tblDaily[Remaining],tblDaily[EntryDate],DATE(2026,7,22),tblDaily[WardCode],"MAE")=0,"",SUMIFS(tblDaily[Remaining],tblDaily[EntryDate],DATE(2026,7,22),tblDaily[WardCode],"MAE")),"")</f>
        <v/>
      </c>
      <c r="I269" s="39" t="str">
        <f>IFERROR(IF(SUMIFS(tblDaily[Admissions],tblDaily[EntryDate],DATE(2026,7,22),tblDaily[WardCode],"FAE")=0,"",SUMIFS(tblDaily[Admissions],tblDaily[EntryDate],DATE(2026,7,22),tblDaily[WardCode],"FAE")),"")</f>
        <v/>
      </c>
      <c r="J269" s="39" t="str">
        <f>IFERROR(IF(SUMIFS(tblDaily[Discharges],tblDaily[EntryDate],DATE(2026,7,22),tblDaily[WardCode],"FAE")=0,"",SUMIFS(tblDaily[Discharges],tblDaily[EntryDate],DATE(2026,7,22),tblDaily[WardCode],"FAE")),"")</f>
        <v/>
      </c>
      <c r="K269" s="39" t="str">
        <f>IFERROR(IF(SUMIFS(tblDaily[Deaths],tblDaily[EntryDate],DATE(2026,7,22),tblDaily[WardCode],"FAE")=0,"",SUMIFS(tblDaily[Deaths],tblDaily[EntryDate],DATE(2026,7,22),tblDaily[WardCode],"FAE")),"")</f>
        <v/>
      </c>
      <c r="L269" s="39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39" t="str">
        <f>IFERROR(IF(SUMIFS(tblDaily[TransfersIn],tblDaily[EntryDate],DATE(2026,7,22),tblDaily[WardCode],"FAE")=0,"",SUMIFS(tblDaily[TransfersIn],tblDaily[EntryDate],DATE(2026,7,22),tblDaily[WardCode],"FAE")),"")</f>
        <v/>
      </c>
      <c r="N269" s="39" t="str">
        <f>IFERROR(IF(SUMIFS(tblDaily[TransfersOut],tblDaily[EntryDate],DATE(2026,7,22),tblDaily[WardCode],"FAE")=0,"",SUMIFS(tblDaily[TransfersOut],tblDaily[EntryDate],DATE(2026,7,22),tblDaily[WardCode],"FAE")),"")</f>
        <v/>
      </c>
      <c r="O269" s="39" t="str">
        <f>IFERROR(IF(SUMIFS(tblDaily[Remaining],tblDaily[EntryDate],DATE(2026,7,22),tblDaily[WardCode],"FAE")=0,"",SUMIFS(tblDaily[Remaining],tblDaily[EntryDate],DATE(2026,7,22),tblDaily[WardCode],"FAE")),"")</f>
        <v/>
      </c>
      <c r="P269" s="40" t="str">
        <f t="shared" si="6"/>
        <v/>
      </c>
    </row>
    <row r="270" spans="1:16" x14ac:dyDescent="0.25">
      <c r="A270" s="39">
        <v>23</v>
      </c>
      <c r="B270" s="39" t="str">
        <f>IFERROR(IF(SUMIFS(tblDaily[Admissions],tblDaily[EntryDate],DATE(2026,7,23),tblDaily[WardCode],"MAE")=0,"",SUMIFS(tblDaily[Admissions],tblDaily[EntryDate],DATE(2026,7,23),tblDaily[WardCode],"MAE")),"")</f>
        <v/>
      </c>
      <c r="C270" s="39" t="str">
        <f>IFERROR(IF(SUMIFS(tblDaily[Discharges],tblDaily[EntryDate],DATE(2026,7,23),tblDaily[WardCode],"MAE")=0,"",SUMIFS(tblDaily[Discharges],tblDaily[EntryDate],DATE(2026,7,23),tblDaily[WardCode],"MAE")),"")</f>
        <v/>
      </c>
      <c r="D270" s="39" t="str">
        <f>IFERROR(IF(SUMIFS(tblDaily[Deaths],tblDaily[EntryDate],DATE(2026,7,23),tblDaily[WardCode],"MAE")=0,"",SUMIFS(tblDaily[Deaths],tblDaily[EntryDate],DATE(2026,7,23),tblDaily[WardCode],"MAE")),"")</f>
        <v/>
      </c>
      <c r="E270" s="39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39" t="str">
        <f>IFERROR(IF(SUMIFS(tblDaily[TransfersIn],tblDaily[EntryDate],DATE(2026,7,23),tblDaily[WardCode],"MAE")=0,"",SUMIFS(tblDaily[TransfersIn],tblDaily[EntryDate],DATE(2026,7,23),tblDaily[WardCode],"MAE")),"")</f>
        <v/>
      </c>
      <c r="G270" s="39" t="str">
        <f>IFERROR(IF(SUMIFS(tblDaily[TransfersOut],tblDaily[EntryDate],DATE(2026,7,23),tblDaily[WardCode],"MAE")=0,"",SUMIFS(tblDaily[TransfersOut],tblDaily[EntryDate],DATE(2026,7,23),tblDaily[WardCode],"MAE")),"")</f>
        <v/>
      </c>
      <c r="H270" s="39" t="str">
        <f>IFERROR(IF(SUMIFS(tblDaily[Remaining],tblDaily[EntryDate],DATE(2026,7,23),tblDaily[WardCode],"MAE")=0,"",SUMIFS(tblDaily[Remaining],tblDaily[EntryDate],DATE(2026,7,23),tblDaily[WardCode],"MAE")),"")</f>
        <v/>
      </c>
      <c r="I270" s="39" t="str">
        <f>IFERROR(IF(SUMIFS(tblDaily[Admissions],tblDaily[EntryDate],DATE(2026,7,23),tblDaily[WardCode],"FAE")=0,"",SUMIFS(tblDaily[Admissions],tblDaily[EntryDate],DATE(2026,7,23),tblDaily[WardCode],"FAE")),"")</f>
        <v/>
      </c>
      <c r="J270" s="39" t="str">
        <f>IFERROR(IF(SUMIFS(tblDaily[Discharges],tblDaily[EntryDate],DATE(2026,7,23),tblDaily[WardCode],"FAE")=0,"",SUMIFS(tblDaily[Discharges],tblDaily[EntryDate],DATE(2026,7,23),tblDaily[WardCode],"FAE")),"")</f>
        <v/>
      </c>
      <c r="K270" s="39" t="str">
        <f>IFERROR(IF(SUMIFS(tblDaily[Deaths],tblDaily[EntryDate],DATE(2026,7,23),tblDaily[WardCode],"FAE")=0,"",SUMIFS(tblDaily[Deaths],tblDaily[EntryDate],DATE(2026,7,23),tblDaily[WardCode],"FAE")),"")</f>
        <v/>
      </c>
      <c r="L270" s="39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39" t="str">
        <f>IFERROR(IF(SUMIFS(tblDaily[TransfersIn],tblDaily[EntryDate],DATE(2026,7,23),tblDaily[WardCode],"FAE")=0,"",SUMIFS(tblDaily[TransfersIn],tblDaily[EntryDate],DATE(2026,7,23),tblDaily[WardCode],"FAE")),"")</f>
        <v/>
      </c>
      <c r="N270" s="39" t="str">
        <f>IFERROR(IF(SUMIFS(tblDaily[TransfersOut],tblDaily[EntryDate],DATE(2026,7,23),tblDaily[WardCode],"FAE")=0,"",SUMIFS(tblDaily[TransfersOut],tblDaily[EntryDate],DATE(2026,7,23),tblDaily[WardCode],"FAE")),"")</f>
        <v/>
      </c>
      <c r="O270" s="39" t="str">
        <f>IFERROR(IF(SUMIFS(tblDaily[Remaining],tblDaily[EntryDate],DATE(2026,7,23),tblDaily[WardCode],"FAE")=0,"",SUMIFS(tblDaily[Remaining],tblDaily[EntryDate],DATE(2026,7,23),tblDaily[WardCode],"FAE")),"")</f>
        <v/>
      </c>
      <c r="P270" s="40" t="str">
        <f t="shared" si="6"/>
        <v/>
      </c>
    </row>
    <row r="271" spans="1:16" x14ac:dyDescent="0.25">
      <c r="A271" s="39">
        <v>24</v>
      </c>
      <c r="B271" s="39" t="str">
        <f>IFERROR(IF(SUMIFS(tblDaily[Admissions],tblDaily[EntryDate],DATE(2026,7,24),tblDaily[WardCode],"MAE")=0,"",SUMIFS(tblDaily[Admissions],tblDaily[EntryDate],DATE(2026,7,24),tblDaily[WardCode],"MAE")),"")</f>
        <v/>
      </c>
      <c r="C271" s="39" t="str">
        <f>IFERROR(IF(SUMIFS(tblDaily[Discharges],tblDaily[EntryDate],DATE(2026,7,24),tblDaily[WardCode],"MAE")=0,"",SUMIFS(tblDaily[Discharges],tblDaily[EntryDate],DATE(2026,7,24),tblDaily[WardCode],"MAE")),"")</f>
        <v/>
      </c>
      <c r="D271" s="39" t="str">
        <f>IFERROR(IF(SUMIFS(tblDaily[Deaths],tblDaily[EntryDate],DATE(2026,7,24),tblDaily[WardCode],"MAE")=0,"",SUMIFS(tblDaily[Deaths],tblDaily[EntryDate],DATE(2026,7,24),tblDaily[WardCode],"MAE")),"")</f>
        <v/>
      </c>
      <c r="E271" s="39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39" t="str">
        <f>IFERROR(IF(SUMIFS(tblDaily[TransfersIn],tblDaily[EntryDate],DATE(2026,7,24),tblDaily[WardCode],"MAE")=0,"",SUMIFS(tblDaily[TransfersIn],tblDaily[EntryDate],DATE(2026,7,24),tblDaily[WardCode],"MAE")),"")</f>
        <v/>
      </c>
      <c r="G271" s="39" t="str">
        <f>IFERROR(IF(SUMIFS(tblDaily[TransfersOut],tblDaily[EntryDate],DATE(2026,7,24),tblDaily[WardCode],"MAE")=0,"",SUMIFS(tblDaily[TransfersOut],tblDaily[EntryDate],DATE(2026,7,24),tblDaily[WardCode],"MAE")),"")</f>
        <v/>
      </c>
      <c r="H271" s="39" t="str">
        <f>IFERROR(IF(SUMIFS(tblDaily[Remaining],tblDaily[EntryDate],DATE(2026,7,24),tblDaily[WardCode],"MAE")=0,"",SUMIFS(tblDaily[Remaining],tblDaily[EntryDate],DATE(2026,7,24),tblDaily[WardCode],"MAE")),"")</f>
        <v/>
      </c>
      <c r="I271" s="39" t="str">
        <f>IFERROR(IF(SUMIFS(tblDaily[Admissions],tblDaily[EntryDate],DATE(2026,7,24),tblDaily[WardCode],"FAE")=0,"",SUMIFS(tblDaily[Admissions],tblDaily[EntryDate],DATE(2026,7,24),tblDaily[WardCode],"FAE")),"")</f>
        <v/>
      </c>
      <c r="J271" s="39" t="str">
        <f>IFERROR(IF(SUMIFS(tblDaily[Discharges],tblDaily[EntryDate],DATE(2026,7,24),tblDaily[WardCode],"FAE")=0,"",SUMIFS(tblDaily[Discharges],tblDaily[EntryDate],DATE(2026,7,24),tblDaily[WardCode],"FAE")),"")</f>
        <v/>
      </c>
      <c r="K271" s="39" t="str">
        <f>IFERROR(IF(SUMIFS(tblDaily[Deaths],tblDaily[EntryDate],DATE(2026,7,24),tblDaily[WardCode],"FAE")=0,"",SUMIFS(tblDaily[Deaths],tblDaily[EntryDate],DATE(2026,7,24),tblDaily[WardCode],"FAE")),"")</f>
        <v/>
      </c>
      <c r="L271" s="39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39" t="str">
        <f>IFERROR(IF(SUMIFS(tblDaily[TransfersIn],tblDaily[EntryDate],DATE(2026,7,24),tblDaily[WardCode],"FAE")=0,"",SUMIFS(tblDaily[TransfersIn],tblDaily[EntryDate],DATE(2026,7,24),tblDaily[WardCode],"FAE")),"")</f>
        <v/>
      </c>
      <c r="N271" s="39" t="str">
        <f>IFERROR(IF(SUMIFS(tblDaily[TransfersOut],tblDaily[EntryDate],DATE(2026,7,24),tblDaily[WardCode],"FAE")=0,"",SUMIFS(tblDaily[TransfersOut],tblDaily[EntryDate],DATE(2026,7,24),tblDaily[WardCode],"FAE")),"")</f>
        <v/>
      </c>
      <c r="O271" s="39" t="str">
        <f>IFERROR(IF(SUMIFS(tblDaily[Remaining],tblDaily[EntryDate],DATE(2026,7,24),tblDaily[WardCode],"FAE")=0,"",SUMIFS(tblDaily[Remaining],tblDaily[EntryDate],DATE(2026,7,24),tblDaily[WardCode],"FAE")),"")</f>
        <v/>
      </c>
      <c r="P271" s="40" t="str">
        <f t="shared" si="6"/>
        <v/>
      </c>
    </row>
    <row r="272" spans="1:16" x14ac:dyDescent="0.25">
      <c r="A272" s="39">
        <v>25</v>
      </c>
      <c r="B272" s="39" t="str">
        <f>IFERROR(IF(SUMIFS(tblDaily[Admissions],tblDaily[EntryDate],DATE(2026,7,25),tblDaily[WardCode],"MAE")=0,"",SUMIFS(tblDaily[Admissions],tblDaily[EntryDate],DATE(2026,7,25),tblDaily[WardCode],"MAE")),"")</f>
        <v/>
      </c>
      <c r="C272" s="39" t="str">
        <f>IFERROR(IF(SUMIFS(tblDaily[Discharges],tblDaily[EntryDate],DATE(2026,7,25),tblDaily[WardCode],"MAE")=0,"",SUMIFS(tblDaily[Discharges],tblDaily[EntryDate],DATE(2026,7,25),tblDaily[WardCode],"MAE")),"")</f>
        <v/>
      </c>
      <c r="D272" s="39" t="str">
        <f>IFERROR(IF(SUMIFS(tblDaily[Deaths],tblDaily[EntryDate],DATE(2026,7,25),tblDaily[WardCode],"MAE")=0,"",SUMIFS(tblDaily[Deaths],tblDaily[EntryDate],DATE(2026,7,25),tblDaily[WardCode],"MAE")),"")</f>
        <v/>
      </c>
      <c r="E272" s="39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39" t="str">
        <f>IFERROR(IF(SUMIFS(tblDaily[TransfersIn],tblDaily[EntryDate],DATE(2026,7,25),tblDaily[WardCode],"MAE")=0,"",SUMIFS(tblDaily[TransfersIn],tblDaily[EntryDate],DATE(2026,7,25),tblDaily[WardCode],"MAE")),"")</f>
        <v/>
      </c>
      <c r="G272" s="39" t="str">
        <f>IFERROR(IF(SUMIFS(tblDaily[TransfersOut],tblDaily[EntryDate],DATE(2026,7,25),tblDaily[WardCode],"MAE")=0,"",SUMIFS(tblDaily[TransfersOut],tblDaily[EntryDate],DATE(2026,7,25),tblDaily[WardCode],"MAE")),"")</f>
        <v/>
      </c>
      <c r="H272" s="39" t="str">
        <f>IFERROR(IF(SUMIFS(tblDaily[Remaining],tblDaily[EntryDate],DATE(2026,7,25),tblDaily[WardCode],"MAE")=0,"",SUMIFS(tblDaily[Remaining],tblDaily[EntryDate],DATE(2026,7,25),tblDaily[WardCode],"MAE")),"")</f>
        <v/>
      </c>
      <c r="I272" s="39" t="str">
        <f>IFERROR(IF(SUMIFS(tblDaily[Admissions],tblDaily[EntryDate],DATE(2026,7,25),tblDaily[WardCode],"FAE")=0,"",SUMIFS(tblDaily[Admissions],tblDaily[EntryDate],DATE(2026,7,25),tblDaily[WardCode],"FAE")),"")</f>
        <v/>
      </c>
      <c r="J272" s="39" t="str">
        <f>IFERROR(IF(SUMIFS(tblDaily[Discharges],tblDaily[EntryDate],DATE(2026,7,25),tblDaily[WardCode],"FAE")=0,"",SUMIFS(tblDaily[Discharges],tblDaily[EntryDate],DATE(2026,7,25),tblDaily[WardCode],"FAE")),"")</f>
        <v/>
      </c>
      <c r="K272" s="39" t="str">
        <f>IFERROR(IF(SUMIFS(tblDaily[Deaths],tblDaily[EntryDate],DATE(2026,7,25),tblDaily[WardCode],"FAE")=0,"",SUMIFS(tblDaily[Deaths],tblDaily[EntryDate],DATE(2026,7,25),tblDaily[WardCode],"FAE")),"")</f>
        <v/>
      </c>
      <c r="L272" s="39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39" t="str">
        <f>IFERROR(IF(SUMIFS(tblDaily[TransfersIn],tblDaily[EntryDate],DATE(2026,7,25),tblDaily[WardCode],"FAE")=0,"",SUMIFS(tblDaily[TransfersIn],tblDaily[EntryDate],DATE(2026,7,25),tblDaily[WardCode],"FAE")),"")</f>
        <v/>
      </c>
      <c r="N272" s="39" t="str">
        <f>IFERROR(IF(SUMIFS(tblDaily[TransfersOut],tblDaily[EntryDate],DATE(2026,7,25),tblDaily[WardCode],"FAE")=0,"",SUMIFS(tblDaily[TransfersOut],tblDaily[EntryDate],DATE(2026,7,25),tblDaily[WardCode],"FAE")),"")</f>
        <v/>
      </c>
      <c r="O272" s="39" t="str">
        <f>IFERROR(IF(SUMIFS(tblDaily[Remaining],tblDaily[EntryDate],DATE(2026,7,25),tblDaily[WardCode],"FAE")=0,"",SUMIFS(tblDaily[Remaining],tblDaily[EntryDate],DATE(2026,7,25),tblDaily[WardCode],"FAE")),"")</f>
        <v/>
      </c>
      <c r="P272" s="40" t="str">
        <f t="shared" si="6"/>
        <v/>
      </c>
    </row>
    <row r="273" spans="1:16" x14ac:dyDescent="0.25">
      <c r="A273" s="39">
        <v>26</v>
      </c>
      <c r="B273" s="39" t="str">
        <f>IFERROR(IF(SUMIFS(tblDaily[Admissions],tblDaily[EntryDate],DATE(2026,7,26),tblDaily[WardCode],"MAE")=0,"",SUMIFS(tblDaily[Admissions],tblDaily[EntryDate],DATE(2026,7,26),tblDaily[WardCode],"MAE")),"")</f>
        <v/>
      </c>
      <c r="C273" s="39" t="str">
        <f>IFERROR(IF(SUMIFS(tblDaily[Discharges],tblDaily[EntryDate],DATE(2026,7,26),tblDaily[WardCode],"MAE")=0,"",SUMIFS(tblDaily[Discharges],tblDaily[EntryDate],DATE(2026,7,26),tblDaily[WardCode],"MAE")),"")</f>
        <v/>
      </c>
      <c r="D273" s="39" t="str">
        <f>IFERROR(IF(SUMIFS(tblDaily[Deaths],tblDaily[EntryDate],DATE(2026,7,26),tblDaily[WardCode],"MAE")=0,"",SUMIFS(tblDaily[Deaths],tblDaily[EntryDate],DATE(2026,7,26),tblDaily[WardCode],"MAE")),"")</f>
        <v/>
      </c>
      <c r="E273" s="39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39" t="str">
        <f>IFERROR(IF(SUMIFS(tblDaily[TransfersIn],tblDaily[EntryDate],DATE(2026,7,26),tblDaily[WardCode],"MAE")=0,"",SUMIFS(tblDaily[TransfersIn],tblDaily[EntryDate],DATE(2026,7,26),tblDaily[WardCode],"MAE")),"")</f>
        <v/>
      </c>
      <c r="G273" s="39" t="str">
        <f>IFERROR(IF(SUMIFS(tblDaily[TransfersOut],tblDaily[EntryDate],DATE(2026,7,26),tblDaily[WardCode],"MAE")=0,"",SUMIFS(tblDaily[TransfersOut],tblDaily[EntryDate],DATE(2026,7,26),tblDaily[WardCode],"MAE")),"")</f>
        <v/>
      </c>
      <c r="H273" s="39" t="str">
        <f>IFERROR(IF(SUMIFS(tblDaily[Remaining],tblDaily[EntryDate],DATE(2026,7,26),tblDaily[WardCode],"MAE")=0,"",SUMIFS(tblDaily[Remaining],tblDaily[EntryDate],DATE(2026,7,26),tblDaily[WardCode],"MAE")),"")</f>
        <v/>
      </c>
      <c r="I273" s="39" t="str">
        <f>IFERROR(IF(SUMIFS(tblDaily[Admissions],tblDaily[EntryDate],DATE(2026,7,26),tblDaily[WardCode],"FAE")=0,"",SUMIFS(tblDaily[Admissions],tblDaily[EntryDate],DATE(2026,7,26),tblDaily[WardCode],"FAE")),"")</f>
        <v/>
      </c>
      <c r="J273" s="39" t="str">
        <f>IFERROR(IF(SUMIFS(tblDaily[Discharges],tblDaily[EntryDate],DATE(2026,7,26),tblDaily[WardCode],"FAE")=0,"",SUMIFS(tblDaily[Discharges],tblDaily[EntryDate],DATE(2026,7,26),tblDaily[WardCode],"FAE")),"")</f>
        <v/>
      </c>
      <c r="K273" s="39" t="str">
        <f>IFERROR(IF(SUMIFS(tblDaily[Deaths],tblDaily[EntryDate],DATE(2026,7,26),tblDaily[WardCode],"FAE")=0,"",SUMIFS(tblDaily[Deaths],tblDaily[EntryDate],DATE(2026,7,26),tblDaily[WardCode],"FAE")),"")</f>
        <v/>
      </c>
      <c r="L273" s="39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39" t="str">
        <f>IFERROR(IF(SUMIFS(tblDaily[TransfersIn],tblDaily[EntryDate],DATE(2026,7,26),tblDaily[WardCode],"FAE")=0,"",SUMIFS(tblDaily[TransfersIn],tblDaily[EntryDate],DATE(2026,7,26),tblDaily[WardCode],"FAE")),"")</f>
        <v/>
      </c>
      <c r="N273" s="39" t="str">
        <f>IFERROR(IF(SUMIFS(tblDaily[TransfersOut],tblDaily[EntryDate],DATE(2026,7,26),tblDaily[WardCode],"FAE")=0,"",SUMIFS(tblDaily[TransfersOut],tblDaily[EntryDate],DATE(2026,7,26),tblDaily[WardCode],"FAE")),"")</f>
        <v/>
      </c>
      <c r="O273" s="39" t="str">
        <f>IFERROR(IF(SUMIFS(tblDaily[Remaining],tblDaily[EntryDate],DATE(2026,7,26),tblDaily[WardCode],"FAE")=0,"",SUMIFS(tblDaily[Remaining],tblDaily[EntryDate],DATE(2026,7,26),tblDaily[WardCode],"FAE")),"")</f>
        <v/>
      </c>
      <c r="P273" s="40" t="str">
        <f t="shared" si="6"/>
        <v/>
      </c>
    </row>
    <row r="274" spans="1:16" x14ac:dyDescent="0.25">
      <c r="A274" s="39">
        <v>27</v>
      </c>
      <c r="B274" s="39" t="str">
        <f>IFERROR(IF(SUMIFS(tblDaily[Admissions],tblDaily[EntryDate],DATE(2026,7,27),tblDaily[WardCode],"MAE")=0,"",SUMIFS(tblDaily[Admissions],tblDaily[EntryDate],DATE(2026,7,27),tblDaily[WardCode],"MAE")),"")</f>
        <v/>
      </c>
      <c r="C274" s="39" t="str">
        <f>IFERROR(IF(SUMIFS(tblDaily[Discharges],tblDaily[EntryDate],DATE(2026,7,27),tblDaily[WardCode],"MAE")=0,"",SUMIFS(tblDaily[Discharges],tblDaily[EntryDate],DATE(2026,7,27),tblDaily[WardCode],"MAE")),"")</f>
        <v/>
      </c>
      <c r="D274" s="39" t="str">
        <f>IFERROR(IF(SUMIFS(tblDaily[Deaths],tblDaily[EntryDate],DATE(2026,7,27),tblDaily[WardCode],"MAE")=0,"",SUMIFS(tblDaily[Deaths],tblDaily[EntryDate],DATE(2026,7,27),tblDaily[WardCode],"MAE")),"")</f>
        <v/>
      </c>
      <c r="E274" s="39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39" t="str">
        <f>IFERROR(IF(SUMIFS(tblDaily[TransfersIn],tblDaily[EntryDate],DATE(2026,7,27),tblDaily[WardCode],"MAE")=0,"",SUMIFS(tblDaily[TransfersIn],tblDaily[EntryDate],DATE(2026,7,27),tblDaily[WardCode],"MAE")),"")</f>
        <v/>
      </c>
      <c r="G274" s="39" t="str">
        <f>IFERROR(IF(SUMIFS(tblDaily[TransfersOut],tblDaily[EntryDate],DATE(2026,7,27),tblDaily[WardCode],"MAE")=0,"",SUMIFS(tblDaily[TransfersOut],tblDaily[EntryDate],DATE(2026,7,27),tblDaily[WardCode],"MAE")),"")</f>
        <v/>
      </c>
      <c r="H274" s="39" t="str">
        <f>IFERROR(IF(SUMIFS(tblDaily[Remaining],tblDaily[EntryDate],DATE(2026,7,27),tblDaily[WardCode],"MAE")=0,"",SUMIFS(tblDaily[Remaining],tblDaily[EntryDate],DATE(2026,7,27),tblDaily[WardCode],"MAE")),"")</f>
        <v/>
      </c>
      <c r="I274" s="39" t="str">
        <f>IFERROR(IF(SUMIFS(tblDaily[Admissions],tblDaily[EntryDate],DATE(2026,7,27),tblDaily[WardCode],"FAE")=0,"",SUMIFS(tblDaily[Admissions],tblDaily[EntryDate],DATE(2026,7,27),tblDaily[WardCode],"FAE")),"")</f>
        <v/>
      </c>
      <c r="J274" s="39" t="str">
        <f>IFERROR(IF(SUMIFS(tblDaily[Discharges],tblDaily[EntryDate],DATE(2026,7,27),tblDaily[WardCode],"FAE")=0,"",SUMIFS(tblDaily[Discharges],tblDaily[EntryDate],DATE(2026,7,27),tblDaily[WardCode],"FAE")),"")</f>
        <v/>
      </c>
      <c r="K274" s="39" t="str">
        <f>IFERROR(IF(SUMIFS(tblDaily[Deaths],tblDaily[EntryDate],DATE(2026,7,27),tblDaily[WardCode],"FAE")=0,"",SUMIFS(tblDaily[Deaths],tblDaily[EntryDate],DATE(2026,7,27),tblDaily[WardCode],"FAE")),"")</f>
        <v/>
      </c>
      <c r="L274" s="39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39" t="str">
        <f>IFERROR(IF(SUMIFS(tblDaily[TransfersIn],tblDaily[EntryDate],DATE(2026,7,27),tblDaily[WardCode],"FAE")=0,"",SUMIFS(tblDaily[TransfersIn],tblDaily[EntryDate],DATE(2026,7,27),tblDaily[WardCode],"FAE")),"")</f>
        <v/>
      </c>
      <c r="N274" s="39" t="str">
        <f>IFERROR(IF(SUMIFS(tblDaily[TransfersOut],tblDaily[EntryDate],DATE(2026,7,27),tblDaily[WardCode],"FAE")=0,"",SUMIFS(tblDaily[TransfersOut],tblDaily[EntryDate],DATE(2026,7,27),tblDaily[WardCode],"FAE")),"")</f>
        <v/>
      </c>
      <c r="O274" s="39" t="str">
        <f>IFERROR(IF(SUMIFS(tblDaily[Remaining],tblDaily[EntryDate],DATE(2026,7,27),tblDaily[WardCode],"FAE")=0,"",SUMIFS(tblDaily[Remaining],tblDaily[EntryDate],DATE(2026,7,27),tblDaily[WardCode],"FAE")),"")</f>
        <v/>
      </c>
      <c r="P274" s="40" t="str">
        <f t="shared" si="6"/>
        <v/>
      </c>
    </row>
    <row r="275" spans="1:16" x14ac:dyDescent="0.25">
      <c r="A275" s="39">
        <v>28</v>
      </c>
      <c r="B275" s="39" t="str">
        <f>IFERROR(IF(SUMIFS(tblDaily[Admissions],tblDaily[EntryDate],DATE(2026,7,28),tblDaily[WardCode],"MAE")=0,"",SUMIFS(tblDaily[Admissions],tblDaily[EntryDate],DATE(2026,7,28),tblDaily[WardCode],"MAE")),"")</f>
        <v/>
      </c>
      <c r="C275" s="39" t="str">
        <f>IFERROR(IF(SUMIFS(tblDaily[Discharges],tblDaily[EntryDate],DATE(2026,7,28),tblDaily[WardCode],"MAE")=0,"",SUMIFS(tblDaily[Discharges],tblDaily[EntryDate],DATE(2026,7,28),tblDaily[WardCode],"MAE")),"")</f>
        <v/>
      </c>
      <c r="D275" s="39" t="str">
        <f>IFERROR(IF(SUMIFS(tblDaily[Deaths],tblDaily[EntryDate],DATE(2026,7,28),tblDaily[WardCode],"MAE")=0,"",SUMIFS(tblDaily[Deaths],tblDaily[EntryDate],DATE(2026,7,28),tblDaily[WardCode],"MAE")),"")</f>
        <v/>
      </c>
      <c r="E275" s="39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39" t="str">
        <f>IFERROR(IF(SUMIFS(tblDaily[TransfersIn],tblDaily[EntryDate],DATE(2026,7,28),tblDaily[WardCode],"MAE")=0,"",SUMIFS(tblDaily[TransfersIn],tblDaily[EntryDate],DATE(2026,7,28),tblDaily[WardCode],"MAE")),"")</f>
        <v/>
      </c>
      <c r="G275" s="39" t="str">
        <f>IFERROR(IF(SUMIFS(tblDaily[TransfersOut],tblDaily[EntryDate],DATE(2026,7,28),tblDaily[WardCode],"MAE")=0,"",SUMIFS(tblDaily[TransfersOut],tblDaily[EntryDate],DATE(2026,7,28),tblDaily[WardCode],"MAE")),"")</f>
        <v/>
      </c>
      <c r="H275" s="39" t="str">
        <f>IFERROR(IF(SUMIFS(tblDaily[Remaining],tblDaily[EntryDate],DATE(2026,7,28),tblDaily[WardCode],"MAE")=0,"",SUMIFS(tblDaily[Remaining],tblDaily[EntryDate],DATE(2026,7,28),tblDaily[WardCode],"MAE")),"")</f>
        <v/>
      </c>
      <c r="I275" s="39" t="str">
        <f>IFERROR(IF(SUMIFS(tblDaily[Admissions],tblDaily[EntryDate],DATE(2026,7,28),tblDaily[WardCode],"FAE")=0,"",SUMIFS(tblDaily[Admissions],tblDaily[EntryDate],DATE(2026,7,28),tblDaily[WardCode],"FAE")),"")</f>
        <v/>
      </c>
      <c r="J275" s="39" t="str">
        <f>IFERROR(IF(SUMIFS(tblDaily[Discharges],tblDaily[EntryDate],DATE(2026,7,28),tblDaily[WardCode],"FAE")=0,"",SUMIFS(tblDaily[Discharges],tblDaily[EntryDate],DATE(2026,7,28),tblDaily[WardCode],"FAE")),"")</f>
        <v/>
      </c>
      <c r="K275" s="39" t="str">
        <f>IFERROR(IF(SUMIFS(tblDaily[Deaths],tblDaily[EntryDate],DATE(2026,7,28),tblDaily[WardCode],"FAE")=0,"",SUMIFS(tblDaily[Deaths],tblDaily[EntryDate],DATE(2026,7,28),tblDaily[WardCode],"FAE")),"")</f>
        <v/>
      </c>
      <c r="L275" s="39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39" t="str">
        <f>IFERROR(IF(SUMIFS(tblDaily[TransfersIn],tblDaily[EntryDate],DATE(2026,7,28),tblDaily[WardCode],"FAE")=0,"",SUMIFS(tblDaily[TransfersIn],tblDaily[EntryDate],DATE(2026,7,28),tblDaily[WardCode],"FAE")),"")</f>
        <v/>
      </c>
      <c r="N275" s="39" t="str">
        <f>IFERROR(IF(SUMIFS(tblDaily[TransfersOut],tblDaily[EntryDate],DATE(2026,7,28),tblDaily[WardCode],"FAE")=0,"",SUMIFS(tblDaily[TransfersOut],tblDaily[EntryDate],DATE(2026,7,28),tblDaily[WardCode],"FAE")),"")</f>
        <v/>
      </c>
      <c r="O275" s="39" t="str">
        <f>IFERROR(IF(SUMIFS(tblDaily[Remaining],tblDaily[EntryDate],DATE(2026,7,28),tblDaily[WardCode],"FAE")=0,"",SUMIFS(tblDaily[Remaining],tblDaily[EntryDate],DATE(2026,7,28),tblDaily[WardCode],"FAE")),"")</f>
        <v/>
      </c>
      <c r="P275" s="40" t="str">
        <f t="shared" si="6"/>
        <v/>
      </c>
    </row>
    <row r="276" spans="1:16" x14ac:dyDescent="0.25">
      <c r="A276" s="39">
        <v>29</v>
      </c>
      <c r="B276" s="39" t="str">
        <f>IFERROR(IF(SUMIFS(tblDaily[Admissions],tblDaily[EntryDate],DATE(2026,7,29),tblDaily[WardCode],"MAE")=0,"",SUMIFS(tblDaily[Admissions],tblDaily[EntryDate],DATE(2026,7,29),tblDaily[WardCode],"MAE")),"")</f>
        <v/>
      </c>
      <c r="C276" s="39" t="str">
        <f>IFERROR(IF(SUMIFS(tblDaily[Discharges],tblDaily[EntryDate],DATE(2026,7,29),tblDaily[WardCode],"MAE")=0,"",SUMIFS(tblDaily[Discharges],tblDaily[EntryDate],DATE(2026,7,29),tblDaily[WardCode],"MAE")),"")</f>
        <v/>
      </c>
      <c r="D276" s="39" t="str">
        <f>IFERROR(IF(SUMIFS(tblDaily[Deaths],tblDaily[EntryDate],DATE(2026,7,29),tblDaily[WardCode],"MAE")=0,"",SUMIFS(tblDaily[Deaths],tblDaily[EntryDate],DATE(2026,7,29),tblDaily[WardCode],"MAE")),"")</f>
        <v/>
      </c>
      <c r="E276" s="39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39" t="str">
        <f>IFERROR(IF(SUMIFS(tblDaily[TransfersIn],tblDaily[EntryDate],DATE(2026,7,29),tblDaily[WardCode],"MAE")=0,"",SUMIFS(tblDaily[TransfersIn],tblDaily[EntryDate],DATE(2026,7,29),tblDaily[WardCode],"MAE")),"")</f>
        <v/>
      </c>
      <c r="G276" s="39" t="str">
        <f>IFERROR(IF(SUMIFS(tblDaily[TransfersOut],tblDaily[EntryDate],DATE(2026,7,29),tblDaily[WardCode],"MAE")=0,"",SUMIFS(tblDaily[TransfersOut],tblDaily[EntryDate],DATE(2026,7,29),tblDaily[WardCode],"MAE")),"")</f>
        <v/>
      </c>
      <c r="H276" s="39" t="str">
        <f>IFERROR(IF(SUMIFS(tblDaily[Remaining],tblDaily[EntryDate],DATE(2026,7,29),tblDaily[WardCode],"MAE")=0,"",SUMIFS(tblDaily[Remaining],tblDaily[EntryDate],DATE(2026,7,29),tblDaily[WardCode],"MAE")),"")</f>
        <v/>
      </c>
      <c r="I276" s="39" t="str">
        <f>IFERROR(IF(SUMIFS(tblDaily[Admissions],tblDaily[EntryDate],DATE(2026,7,29),tblDaily[WardCode],"FAE")=0,"",SUMIFS(tblDaily[Admissions],tblDaily[EntryDate],DATE(2026,7,29),tblDaily[WardCode],"FAE")),"")</f>
        <v/>
      </c>
      <c r="J276" s="39" t="str">
        <f>IFERROR(IF(SUMIFS(tblDaily[Discharges],tblDaily[EntryDate],DATE(2026,7,29),tblDaily[WardCode],"FAE")=0,"",SUMIFS(tblDaily[Discharges],tblDaily[EntryDate],DATE(2026,7,29),tblDaily[WardCode],"FAE")),"")</f>
        <v/>
      </c>
      <c r="K276" s="39" t="str">
        <f>IFERROR(IF(SUMIFS(tblDaily[Deaths],tblDaily[EntryDate],DATE(2026,7,29),tblDaily[WardCode],"FAE")=0,"",SUMIFS(tblDaily[Deaths],tblDaily[EntryDate],DATE(2026,7,29),tblDaily[WardCode],"FAE")),"")</f>
        <v/>
      </c>
      <c r="L276" s="39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39" t="str">
        <f>IFERROR(IF(SUMIFS(tblDaily[TransfersIn],tblDaily[EntryDate],DATE(2026,7,29),tblDaily[WardCode],"FAE")=0,"",SUMIFS(tblDaily[TransfersIn],tblDaily[EntryDate],DATE(2026,7,29),tblDaily[WardCode],"FAE")),"")</f>
        <v/>
      </c>
      <c r="N276" s="39" t="str">
        <f>IFERROR(IF(SUMIFS(tblDaily[TransfersOut],tblDaily[EntryDate],DATE(2026,7,29),tblDaily[WardCode],"FAE")=0,"",SUMIFS(tblDaily[TransfersOut],tblDaily[EntryDate],DATE(2026,7,29),tblDaily[WardCode],"FAE")),"")</f>
        <v/>
      </c>
      <c r="O276" s="39" t="str">
        <f>IFERROR(IF(SUMIFS(tblDaily[Remaining],tblDaily[EntryDate],DATE(2026,7,29),tblDaily[WardCode],"FAE")=0,"",SUMIFS(tblDaily[Remaining],tblDaily[EntryDate],DATE(2026,7,29),tblDaily[WardCode],"FAE")),"")</f>
        <v/>
      </c>
      <c r="P276" s="40" t="str">
        <f t="shared" si="6"/>
        <v/>
      </c>
    </row>
    <row r="277" spans="1:16" x14ac:dyDescent="0.25">
      <c r="A277" s="39">
        <v>30</v>
      </c>
      <c r="B277" s="39" t="str">
        <f>IFERROR(IF(SUMIFS(tblDaily[Admissions],tblDaily[EntryDate],DATE(2026,7,30),tblDaily[WardCode],"MAE")=0,"",SUMIFS(tblDaily[Admissions],tblDaily[EntryDate],DATE(2026,7,30),tblDaily[WardCode],"MAE")),"")</f>
        <v/>
      </c>
      <c r="C277" s="39" t="str">
        <f>IFERROR(IF(SUMIFS(tblDaily[Discharges],tblDaily[EntryDate],DATE(2026,7,30),tblDaily[WardCode],"MAE")=0,"",SUMIFS(tblDaily[Discharges],tblDaily[EntryDate],DATE(2026,7,30),tblDaily[WardCode],"MAE")),"")</f>
        <v/>
      </c>
      <c r="D277" s="39" t="str">
        <f>IFERROR(IF(SUMIFS(tblDaily[Deaths],tblDaily[EntryDate],DATE(2026,7,30),tblDaily[WardCode],"MAE")=0,"",SUMIFS(tblDaily[Deaths],tblDaily[EntryDate],DATE(2026,7,30),tblDaily[WardCode],"MAE")),"")</f>
        <v/>
      </c>
      <c r="E277" s="39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39" t="str">
        <f>IFERROR(IF(SUMIFS(tblDaily[TransfersIn],tblDaily[EntryDate],DATE(2026,7,30),tblDaily[WardCode],"MAE")=0,"",SUMIFS(tblDaily[TransfersIn],tblDaily[EntryDate],DATE(2026,7,30),tblDaily[WardCode],"MAE")),"")</f>
        <v/>
      </c>
      <c r="G277" s="39" t="str">
        <f>IFERROR(IF(SUMIFS(tblDaily[TransfersOut],tblDaily[EntryDate],DATE(2026,7,30),tblDaily[WardCode],"MAE")=0,"",SUMIFS(tblDaily[TransfersOut],tblDaily[EntryDate],DATE(2026,7,30),tblDaily[WardCode],"MAE")),"")</f>
        <v/>
      </c>
      <c r="H277" s="39" t="str">
        <f>IFERROR(IF(SUMIFS(tblDaily[Remaining],tblDaily[EntryDate],DATE(2026,7,30),tblDaily[WardCode],"MAE")=0,"",SUMIFS(tblDaily[Remaining],tblDaily[EntryDate],DATE(2026,7,30),tblDaily[WardCode],"MAE")),"")</f>
        <v/>
      </c>
      <c r="I277" s="39" t="str">
        <f>IFERROR(IF(SUMIFS(tblDaily[Admissions],tblDaily[EntryDate],DATE(2026,7,30),tblDaily[WardCode],"FAE")=0,"",SUMIFS(tblDaily[Admissions],tblDaily[EntryDate],DATE(2026,7,30),tblDaily[WardCode],"FAE")),"")</f>
        <v/>
      </c>
      <c r="J277" s="39" t="str">
        <f>IFERROR(IF(SUMIFS(tblDaily[Discharges],tblDaily[EntryDate],DATE(2026,7,30),tblDaily[WardCode],"FAE")=0,"",SUMIFS(tblDaily[Discharges],tblDaily[EntryDate],DATE(2026,7,30),tblDaily[WardCode],"FAE")),"")</f>
        <v/>
      </c>
      <c r="K277" s="39" t="str">
        <f>IFERROR(IF(SUMIFS(tblDaily[Deaths],tblDaily[EntryDate],DATE(2026,7,30),tblDaily[WardCode],"FAE")=0,"",SUMIFS(tblDaily[Deaths],tblDaily[EntryDate],DATE(2026,7,30),tblDaily[WardCode],"FAE")),"")</f>
        <v/>
      </c>
      <c r="L277" s="39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39" t="str">
        <f>IFERROR(IF(SUMIFS(tblDaily[TransfersIn],tblDaily[EntryDate],DATE(2026,7,30),tblDaily[WardCode],"FAE")=0,"",SUMIFS(tblDaily[TransfersIn],tblDaily[EntryDate],DATE(2026,7,30),tblDaily[WardCode],"FAE")),"")</f>
        <v/>
      </c>
      <c r="N277" s="39" t="str">
        <f>IFERROR(IF(SUMIFS(tblDaily[TransfersOut],tblDaily[EntryDate],DATE(2026,7,30),tblDaily[WardCode],"FAE")=0,"",SUMIFS(tblDaily[TransfersOut],tblDaily[EntryDate],DATE(2026,7,30),tblDaily[WardCode],"FAE")),"")</f>
        <v/>
      </c>
      <c r="O277" s="39" t="str">
        <f>IFERROR(IF(SUMIFS(tblDaily[Remaining],tblDaily[EntryDate],DATE(2026,7,30),tblDaily[WardCode],"FAE")=0,"",SUMIFS(tblDaily[Remaining],tblDaily[EntryDate],DATE(2026,7,30),tblDaily[WardCode],"FAE")),"")</f>
        <v/>
      </c>
      <c r="P277" s="40" t="str">
        <f t="shared" si="6"/>
        <v/>
      </c>
    </row>
    <row r="278" spans="1:16" x14ac:dyDescent="0.25">
      <c r="A278" s="39">
        <v>31</v>
      </c>
      <c r="B278" s="39" t="str">
        <f>IFERROR(IF(SUMIFS(tblDaily[Admissions],tblDaily[EntryDate],DATE(2026,7,31),tblDaily[WardCode],"MAE")=0,"",SUMIFS(tblDaily[Admissions],tblDaily[EntryDate],DATE(2026,7,31),tblDaily[WardCode],"MAE")),"")</f>
        <v/>
      </c>
      <c r="C278" s="39" t="str">
        <f>IFERROR(IF(SUMIFS(tblDaily[Discharges],tblDaily[EntryDate],DATE(2026,7,31),tblDaily[WardCode],"MAE")=0,"",SUMIFS(tblDaily[Discharges],tblDaily[EntryDate],DATE(2026,7,31),tblDaily[WardCode],"MAE")),"")</f>
        <v/>
      </c>
      <c r="D278" s="39" t="str">
        <f>IFERROR(IF(SUMIFS(tblDaily[Deaths],tblDaily[EntryDate],DATE(2026,7,31),tblDaily[WardCode],"MAE")=0,"",SUMIFS(tblDaily[Deaths],tblDaily[EntryDate],DATE(2026,7,31),tblDaily[WardCode],"MAE")),"")</f>
        <v/>
      </c>
      <c r="E278" s="39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39" t="str">
        <f>IFERROR(IF(SUMIFS(tblDaily[TransfersIn],tblDaily[EntryDate],DATE(2026,7,31),tblDaily[WardCode],"MAE")=0,"",SUMIFS(tblDaily[TransfersIn],tblDaily[EntryDate],DATE(2026,7,31),tblDaily[WardCode],"MAE")),"")</f>
        <v/>
      </c>
      <c r="G278" s="39" t="str">
        <f>IFERROR(IF(SUMIFS(tblDaily[TransfersOut],tblDaily[EntryDate],DATE(2026,7,31),tblDaily[WardCode],"MAE")=0,"",SUMIFS(tblDaily[TransfersOut],tblDaily[EntryDate],DATE(2026,7,31),tblDaily[WardCode],"MAE")),"")</f>
        <v/>
      </c>
      <c r="H278" s="39" t="str">
        <f>IFERROR(IF(SUMIFS(tblDaily[Remaining],tblDaily[EntryDate],DATE(2026,7,31),tblDaily[WardCode],"MAE")=0,"",SUMIFS(tblDaily[Remaining],tblDaily[EntryDate],DATE(2026,7,31),tblDaily[WardCode],"MAE")),"")</f>
        <v/>
      </c>
      <c r="I278" s="39" t="str">
        <f>IFERROR(IF(SUMIFS(tblDaily[Admissions],tblDaily[EntryDate],DATE(2026,7,31),tblDaily[WardCode],"FAE")=0,"",SUMIFS(tblDaily[Admissions],tblDaily[EntryDate],DATE(2026,7,31),tblDaily[WardCode],"FAE")),"")</f>
        <v/>
      </c>
      <c r="J278" s="39" t="str">
        <f>IFERROR(IF(SUMIFS(tblDaily[Discharges],tblDaily[EntryDate],DATE(2026,7,31),tblDaily[WardCode],"FAE")=0,"",SUMIFS(tblDaily[Discharges],tblDaily[EntryDate],DATE(2026,7,31),tblDaily[WardCode],"FAE")),"")</f>
        <v/>
      </c>
      <c r="K278" s="39" t="str">
        <f>IFERROR(IF(SUMIFS(tblDaily[Deaths],tblDaily[EntryDate],DATE(2026,7,31),tblDaily[WardCode],"FAE")=0,"",SUMIFS(tblDaily[Deaths],tblDaily[EntryDate],DATE(2026,7,31),tblDaily[WardCode],"FAE")),"")</f>
        <v/>
      </c>
      <c r="L278" s="39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39" t="str">
        <f>IFERROR(IF(SUMIFS(tblDaily[TransfersIn],tblDaily[EntryDate],DATE(2026,7,31),tblDaily[WardCode],"FAE")=0,"",SUMIFS(tblDaily[TransfersIn],tblDaily[EntryDate],DATE(2026,7,31),tblDaily[WardCode],"FAE")),"")</f>
        <v/>
      </c>
      <c r="N278" s="39" t="str">
        <f>IFERROR(IF(SUMIFS(tblDaily[TransfersOut],tblDaily[EntryDate],DATE(2026,7,31),tblDaily[WardCode],"FAE")=0,"",SUMIFS(tblDaily[TransfersOut],tblDaily[EntryDate],DATE(2026,7,31),tblDaily[WardCode],"FAE")),"")</f>
        <v/>
      </c>
      <c r="O278" s="39" t="str">
        <f>IFERROR(IF(SUMIFS(tblDaily[Remaining],tblDaily[EntryDate],DATE(2026,7,31),tblDaily[WardCode],"FAE")=0,"",SUMIFS(tblDaily[Remaining],tblDaily[EntryDate],DATE(2026,7,31),tblDaily[WardCode],"FAE")),"")</f>
        <v/>
      </c>
      <c r="P278" s="40" t="str">
        <f t="shared" si="6"/>
        <v/>
      </c>
    </row>
    <row r="279" spans="1:16" x14ac:dyDescent="0.25">
      <c r="A279" s="30" t="s">
        <v>115</v>
      </c>
      <c r="B279" s="30">
        <f>SUMIFS(tblDaily[Admissions],tblDaily[Month],7,tblDaily[WardCode],"MAE") - SUMIFS(tblDaily[DeathsUnder24Hrs],tblDaily[Month],7,tblDaily[WardCode],"MAE")</f>
        <v>0</v>
      </c>
      <c r="C279" s="30">
        <f>SUMIFS(tblDaily[Discharges],tblDaily[Month],7,tblDaily[WardCode],"MAE")</f>
        <v>0</v>
      </c>
      <c r="D279" s="30">
        <f>SUMIFS(tblDaily[Deaths],tblDaily[Month],7,tblDaily[WardCode],"MAE")</f>
        <v>0</v>
      </c>
      <c r="E279" s="30">
        <f>SUMIFS(tblDaily[DeathsUnder24Hrs],tblDaily[Month],7,tblDaily[WardCode],"MAE")</f>
        <v>0</v>
      </c>
      <c r="F279" s="30">
        <f>SUMIFS(tblDaily[TransfersIn],tblDaily[Month],7,tblDaily[WardCode],"MAE")</f>
        <v>0</v>
      </c>
      <c r="G279" s="30">
        <f>SUMIFS(tblDaily[TransfersOut],tblDaily[Month],7,tblDaily[WardCode],"MAE")</f>
        <v>0</v>
      </c>
      <c r="H279" s="30">
        <f>SUMIFS(tblDaily[Remaining],tblDaily[Month],7,tblDaily[WardCode],"MAE")</f>
        <v>0</v>
      </c>
      <c r="I279" s="30">
        <f>SUMIFS(tblDaily[Admissions],tblDaily[Month],7,tblDaily[WardCode],"FAE") - SUMIFS(tblDaily[DeathsUnder24Hrs],tblDaily[Month],7,tblDaily[WardCode],"FAE")</f>
        <v>0</v>
      </c>
      <c r="J279" s="30">
        <f>SUMIFS(tblDaily[Discharges],tblDaily[Month],7,tblDaily[WardCode],"FAE")</f>
        <v>0</v>
      </c>
      <c r="K279" s="30">
        <f>SUMIFS(tblDaily[Deaths],tblDaily[Month],7,tblDaily[WardCode],"FAE")</f>
        <v>0</v>
      </c>
      <c r="L279" s="30">
        <f>SUMIFS(tblDaily[DeathsUnder24Hrs],tblDaily[Month],7,tblDaily[WardCode],"FAE")</f>
        <v>0</v>
      </c>
      <c r="M279" s="30">
        <f>SUMIFS(tblDaily[TransfersIn],tblDaily[Month],7,tblDaily[WardCode],"FAE")</f>
        <v>0</v>
      </c>
      <c r="N279" s="30">
        <f>SUMIFS(tblDaily[TransfersOut],tblDaily[Month],7,tblDaily[WardCode],"FAE")</f>
        <v>0</v>
      </c>
      <c r="O279" s="30">
        <f>SUMIFS(tblDaily[Remaining],tblDaily[Month],7,tblDaily[WardCode],"FAE")</f>
        <v>0</v>
      </c>
      <c r="P279" s="30">
        <f>H279 + O279</f>
        <v>0</v>
      </c>
    </row>
    <row r="281" spans="1:16" ht="18.75" x14ac:dyDescent="0.25">
      <c r="A281" s="32" t="s">
        <v>0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6" ht="15.75" x14ac:dyDescent="0.25">
      <c r="A282" s="23" t="s">
        <v>104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6" x14ac:dyDescent="0.25">
      <c r="A283" s="24" t="s">
        <v>4</v>
      </c>
      <c r="B283" s="25" t="s">
        <v>2</v>
      </c>
      <c r="E283" s="24" t="s">
        <v>105</v>
      </c>
      <c r="F283" s="24" t="s">
        <v>125</v>
      </c>
      <c r="M283" s="24" t="s">
        <v>107</v>
      </c>
      <c r="N283" s="24" t="s">
        <v>70</v>
      </c>
    </row>
    <row r="284" spans="1:16" x14ac:dyDescent="0.25">
      <c r="A284" s="24" t="s">
        <v>108</v>
      </c>
      <c r="B284" s="33">
        <f>IFERROR(SUMIFS(tblDaily[Remaining],tblDaily[EntryDate],DATE(2026,7,31),tblDaily[WardCode],"MAE"),0)</f>
        <v>0</v>
      </c>
      <c r="I284" s="33">
        <f>IFERROR(SUMIFS(tblDaily[Remaining],tblDaily[EntryDate],DATE(2026,7,31),tblDaily[WardCode],"FAE"),0)</f>
        <v>0</v>
      </c>
    </row>
    <row r="285" spans="1:16" x14ac:dyDescent="0.25">
      <c r="A285" s="24" t="s">
        <v>109</v>
      </c>
      <c r="B285" s="33">
        <f>IFERROR(INDEX(tblWardConfig[BedComplement],MATCH("MAE",tblWardConfig[WardCode],0)),0)</f>
        <v>10</v>
      </c>
      <c r="I285" s="33">
        <f>IFERROR(INDEX(tblWardConfig[BedComplement],MATCH("FAE",tblWardConfig[WardCode],0)),0)</f>
        <v>10</v>
      </c>
      <c r="O285" s="34">
        <f>B285+I285</f>
        <v>20</v>
      </c>
    </row>
    <row r="286" spans="1:16" x14ac:dyDescent="0.25">
      <c r="A286" s="35" t="s">
        <v>126</v>
      </c>
      <c r="B286" s="36" t="s">
        <v>122</v>
      </c>
      <c r="C286" s="22"/>
      <c r="D286" s="22"/>
      <c r="E286" s="22"/>
      <c r="F286" s="22"/>
      <c r="G286" s="22"/>
      <c r="H286" s="22"/>
      <c r="I286" s="37" t="s">
        <v>123</v>
      </c>
      <c r="J286" s="22"/>
      <c r="K286" s="22"/>
      <c r="L286" s="22"/>
      <c r="M286" s="22"/>
      <c r="N286" s="22"/>
      <c r="O286" s="22"/>
      <c r="P286" s="38" t="s">
        <v>115</v>
      </c>
    </row>
    <row r="287" spans="1:16" x14ac:dyDescent="0.25">
      <c r="A287" s="35" t="s">
        <v>126</v>
      </c>
      <c r="B287" s="35" t="s">
        <v>127</v>
      </c>
      <c r="C287" s="35" t="s">
        <v>128</v>
      </c>
      <c r="D287" s="35" t="s">
        <v>129</v>
      </c>
      <c r="E287" s="35" t="s">
        <v>130</v>
      </c>
      <c r="F287" s="35" t="s">
        <v>131</v>
      </c>
      <c r="G287" s="35" t="s">
        <v>132</v>
      </c>
      <c r="H287" s="35" t="s">
        <v>133</v>
      </c>
      <c r="I287" s="35" t="s">
        <v>127</v>
      </c>
      <c r="J287" s="35" t="s">
        <v>128</v>
      </c>
      <c r="K287" s="35" t="s">
        <v>129</v>
      </c>
      <c r="L287" s="35" t="s">
        <v>130</v>
      </c>
      <c r="M287" s="35" t="s">
        <v>131</v>
      </c>
      <c r="N287" s="35" t="s">
        <v>132</v>
      </c>
      <c r="O287" s="35" t="s">
        <v>133</v>
      </c>
      <c r="P287" s="35" t="s">
        <v>134</v>
      </c>
    </row>
    <row r="288" spans="1:16" x14ac:dyDescent="0.25">
      <c r="A288" s="39">
        <v>1</v>
      </c>
      <c r="B288" s="39" t="str">
        <f>IFERROR(IF(SUMIFS(tblDaily[Admissions],tblDaily[EntryDate],DATE(2026,8,1),tblDaily[WardCode],"MAE")=0,"",SUMIFS(tblDaily[Admissions],tblDaily[EntryDate],DATE(2026,8,1),tblDaily[WardCode],"MAE")),"")</f>
        <v/>
      </c>
      <c r="C288" s="39" t="str">
        <f>IFERROR(IF(SUMIFS(tblDaily[Discharges],tblDaily[EntryDate],DATE(2026,8,1),tblDaily[WardCode],"MAE")=0,"",SUMIFS(tblDaily[Discharges],tblDaily[EntryDate],DATE(2026,8,1),tblDaily[WardCode],"MAE")),"")</f>
        <v/>
      </c>
      <c r="D288" s="39" t="str">
        <f>IFERROR(IF(SUMIFS(tblDaily[Deaths],tblDaily[EntryDate],DATE(2026,8,1),tblDaily[WardCode],"MAE")=0,"",SUMIFS(tblDaily[Deaths],tblDaily[EntryDate],DATE(2026,8,1),tblDaily[WardCode],"MAE")),"")</f>
        <v/>
      </c>
      <c r="E288" s="39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39" t="str">
        <f>IFERROR(IF(SUMIFS(tblDaily[TransfersIn],tblDaily[EntryDate],DATE(2026,8,1),tblDaily[WardCode],"MAE")=0,"",SUMIFS(tblDaily[TransfersIn],tblDaily[EntryDate],DATE(2026,8,1),tblDaily[WardCode],"MAE")),"")</f>
        <v/>
      </c>
      <c r="G288" s="39" t="str">
        <f>IFERROR(IF(SUMIFS(tblDaily[TransfersOut],tblDaily[EntryDate],DATE(2026,8,1),tblDaily[WardCode],"MAE")=0,"",SUMIFS(tblDaily[TransfersOut],tblDaily[EntryDate],DATE(2026,8,1),tblDaily[WardCode],"MAE")),"")</f>
        <v/>
      </c>
      <c r="H288" s="39" t="str">
        <f>IFERROR(IF(SUMIFS(tblDaily[Remaining],tblDaily[EntryDate],DATE(2026,8,1),tblDaily[WardCode],"MAE")=0,"",SUMIFS(tblDaily[Remaining],tblDaily[EntryDate],DATE(2026,8,1),tblDaily[WardCode],"MAE")),"")</f>
        <v/>
      </c>
      <c r="I288" s="39" t="str">
        <f>IFERROR(IF(SUMIFS(tblDaily[Admissions],tblDaily[EntryDate],DATE(2026,8,1),tblDaily[WardCode],"FAE")=0,"",SUMIFS(tblDaily[Admissions],tblDaily[EntryDate],DATE(2026,8,1),tblDaily[WardCode],"FAE")),"")</f>
        <v/>
      </c>
      <c r="J288" s="39" t="str">
        <f>IFERROR(IF(SUMIFS(tblDaily[Discharges],tblDaily[EntryDate],DATE(2026,8,1),tblDaily[WardCode],"FAE")=0,"",SUMIFS(tblDaily[Discharges],tblDaily[EntryDate],DATE(2026,8,1),tblDaily[WardCode],"FAE")),"")</f>
        <v/>
      </c>
      <c r="K288" s="39" t="str">
        <f>IFERROR(IF(SUMIFS(tblDaily[Deaths],tblDaily[EntryDate],DATE(2026,8,1),tblDaily[WardCode],"FAE")=0,"",SUMIFS(tblDaily[Deaths],tblDaily[EntryDate],DATE(2026,8,1),tblDaily[WardCode],"FAE")),"")</f>
        <v/>
      </c>
      <c r="L288" s="39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39" t="str">
        <f>IFERROR(IF(SUMIFS(tblDaily[TransfersIn],tblDaily[EntryDate],DATE(2026,8,1),tblDaily[WardCode],"FAE")=0,"",SUMIFS(tblDaily[TransfersIn],tblDaily[EntryDate],DATE(2026,8,1),tblDaily[WardCode],"FAE")),"")</f>
        <v/>
      </c>
      <c r="N288" s="39" t="str">
        <f>IFERROR(IF(SUMIFS(tblDaily[TransfersOut],tblDaily[EntryDate],DATE(2026,8,1),tblDaily[WardCode],"FAE")=0,"",SUMIFS(tblDaily[TransfersOut],tblDaily[EntryDate],DATE(2026,8,1),tblDaily[WardCode],"FAE")),"")</f>
        <v/>
      </c>
      <c r="O288" s="39" t="str">
        <f>IFERROR(IF(SUMIFS(tblDaily[Remaining],tblDaily[EntryDate],DATE(2026,8,1),tblDaily[WardCode],"FAE")=0,"",SUMIFS(tblDaily[Remaining],tblDaily[EntryDate],DATE(2026,8,1),tblDaily[WardCode],"FAE")),"")</f>
        <v/>
      </c>
      <c r="P288" s="40" t="str">
        <f t="shared" ref="P288:P318" si="7">IF(AND(H288="", O288=""), "", N(H288) + N(O288))</f>
        <v/>
      </c>
    </row>
    <row r="289" spans="1:16" x14ac:dyDescent="0.25">
      <c r="A289" s="39">
        <v>2</v>
      </c>
      <c r="B289" s="39" t="str">
        <f>IFERROR(IF(SUMIFS(tblDaily[Admissions],tblDaily[EntryDate],DATE(2026,8,2),tblDaily[WardCode],"MAE")=0,"",SUMIFS(tblDaily[Admissions],tblDaily[EntryDate],DATE(2026,8,2),tblDaily[WardCode],"MAE")),"")</f>
        <v/>
      </c>
      <c r="C289" s="39" t="str">
        <f>IFERROR(IF(SUMIFS(tblDaily[Discharges],tblDaily[EntryDate],DATE(2026,8,2),tblDaily[WardCode],"MAE")=0,"",SUMIFS(tblDaily[Discharges],tblDaily[EntryDate],DATE(2026,8,2),tblDaily[WardCode],"MAE")),"")</f>
        <v/>
      </c>
      <c r="D289" s="39" t="str">
        <f>IFERROR(IF(SUMIFS(tblDaily[Deaths],tblDaily[EntryDate],DATE(2026,8,2),tblDaily[WardCode],"MAE")=0,"",SUMIFS(tblDaily[Deaths],tblDaily[EntryDate],DATE(2026,8,2),tblDaily[WardCode],"MAE")),"")</f>
        <v/>
      </c>
      <c r="E289" s="39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39" t="str">
        <f>IFERROR(IF(SUMIFS(tblDaily[TransfersIn],tblDaily[EntryDate],DATE(2026,8,2),tblDaily[WardCode],"MAE")=0,"",SUMIFS(tblDaily[TransfersIn],tblDaily[EntryDate],DATE(2026,8,2),tblDaily[WardCode],"MAE")),"")</f>
        <v/>
      </c>
      <c r="G289" s="39" t="str">
        <f>IFERROR(IF(SUMIFS(tblDaily[TransfersOut],tblDaily[EntryDate],DATE(2026,8,2),tblDaily[WardCode],"MAE")=0,"",SUMIFS(tblDaily[TransfersOut],tblDaily[EntryDate],DATE(2026,8,2),tblDaily[WardCode],"MAE")),"")</f>
        <v/>
      </c>
      <c r="H289" s="39" t="str">
        <f>IFERROR(IF(SUMIFS(tblDaily[Remaining],tblDaily[EntryDate],DATE(2026,8,2),tblDaily[WardCode],"MAE")=0,"",SUMIFS(tblDaily[Remaining],tblDaily[EntryDate],DATE(2026,8,2),tblDaily[WardCode],"MAE")),"")</f>
        <v/>
      </c>
      <c r="I289" s="39" t="str">
        <f>IFERROR(IF(SUMIFS(tblDaily[Admissions],tblDaily[EntryDate],DATE(2026,8,2),tblDaily[WardCode],"FAE")=0,"",SUMIFS(tblDaily[Admissions],tblDaily[EntryDate],DATE(2026,8,2),tblDaily[WardCode],"FAE")),"")</f>
        <v/>
      </c>
      <c r="J289" s="39" t="str">
        <f>IFERROR(IF(SUMIFS(tblDaily[Discharges],tblDaily[EntryDate],DATE(2026,8,2),tblDaily[WardCode],"FAE")=0,"",SUMIFS(tblDaily[Discharges],tblDaily[EntryDate],DATE(2026,8,2),tblDaily[WardCode],"FAE")),"")</f>
        <v/>
      </c>
      <c r="K289" s="39" t="str">
        <f>IFERROR(IF(SUMIFS(tblDaily[Deaths],tblDaily[EntryDate],DATE(2026,8,2),tblDaily[WardCode],"FAE")=0,"",SUMIFS(tblDaily[Deaths],tblDaily[EntryDate],DATE(2026,8,2),tblDaily[WardCode],"FAE")),"")</f>
        <v/>
      </c>
      <c r="L289" s="39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39" t="str">
        <f>IFERROR(IF(SUMIFS(tblDaily[TransfersIn],tblDaily[EntryDate],DATE(2026,8,2),tblDaily[WardCode],"FAE")=0,"",SUMIFS(tblDaily[TransfersIn],tblDaily[EntryDate],DATE(2026,8,2),tblDaily[WardCode],"FAE")),"")</f>
        <v/>
      </c>
      <c r="N289" s="39" t="str">
        <f>IFERROR(IF(SUMIFS(tblDaily[TransfersOut],tblDaily[EntryDate],DATE(2026,8,2),tblDaily[WardCode],"FAE")=0,"",SUMIFS(tblDaily[TransfersOut],tblDaily[EntryDate],DATE(2026,8,2),tblDaily[WardCode],"FAE")),"")</f>
        <v/>
      </c>
      <c r="O289" s="39" t="str">
        <f>IFERROR(IF(SUMIFS(tblDaily[Remaining],tblDaily[EntryDate],DATE(2026,8,2),tblDaily[WardCode],"FAE")=0,"",SUMIFS(tblDaily[Remaining],tblDaily[EntryDate],DATE(2026,8,2),tblDaily[WardCode],"FAE")),"")</f>
        <v/>
      </c>
      <c r="P289" s="40" t="str">
        <f t="shared" si="7"/>
        <v/>
      </c>
    </row>
    <row r="290" spans="1:16" x14ac:dyDescent="0.25">
      <c r="A290" s="39">
        <v>3</v>
      </c>
      <c r="B290" s="39" t="str">
        <f>IFERROR(IF(SUMIFS(tblDaily[Admissions],tblDaily[EntryDate],DATE(2026,8,3),tblDaily[WardCode],"MAE")=0,"",SUMIFS(tblDaily[Admissions],tblDaily[EntryDate],DATE(2026,8,3),tblDaily[WardCode],"MAE")),"")</f>
        <v/>
      </c>
      <c r="C290" s="39" t="str">
        <f>IFERROR(IF(SUMIFS(tblDaily[Discharges],tblDaily[EntryDate],DATE(2026,8,3),tblDaily[WardCode],"MAE")=0,"",SUMIFS(tblDaily[Discharges],tblDaily[EntryDate],DATE(2026,8,3),tblDaily[WardCode],"MAE")),"")</f>
        <v/>
      </c>
      <c r="D290" s="39" t="str">
        <f>IFERROR(IF(SUMIFS(tblDaily[Deaths],tblDaily[EntryDate],DATE(2026,8,3),tblDaily[WardCode],"MAE")=0,"",SUMIFS(tblDaily[Deaths],tblDaily[EntryDate],DATE(2026,8,3),tblDaily[WardCode],"MAE")),"")</f>
        <v/>
      </c>
      <c r="E290" s="39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39" t="str">
        <f>IFERROR(IF(SUMIFS(tblDaily[TransfersIn],tblDaily[EntryDate],DATE(2026,8,3),tblDaily[WardCode],"MAE")=0,"",SUMIFS(tblDaily[TransfersIn],tblDaily[EntryDate],DATE(2026,8,3),tblDaily[WardCode],"MAE")),"")</f>
        <v/>
      </c>
      <c r="G290" s="39" t="str">
        <f>IFERROR(IF(SUMIFS(tblDaily[TransfersOut],tblDaily[EntryDate],DATE(2026,8,3),tblDaily[WardCode],"MAE")=0,"",SUMIFS(tblDaily[TransfersOut],tblDaily[EntryDate],DATE(2026,8,3),tblDaily[WardCode],"MAE")),"")</f>
        <v/>
      </c>
      <c r="H290" s="39" t="str">
        <f>IFERROR(IF(SUMIFS(tblDaily[Remaining],tblDaily[EntryDate],DATE(2026,8,3),tblDaily[WardCode],"MAE")=0,"",SUMIFS(tblDaily[Remaining],tblDaily[EntryDate],DATE(2026,8,3),tblDaily[WardCode],"MAE")),"")</f>
        <v/>
      </c>
      <c r="I290" s="39" t="str">
        <f>IFERROR(IF(SUMIFS(tblDaily[Admissions],tblDaily[EntryDate],DATE(2026,8,3),tblDaily[WardCode],"FAE")=0,"",SUMIFS(tblDaily[Admissions],tblDaily[EntryDate],DATE(2026,8,3),tblDaily[WardCode],"FAE")),"")</f>
        <v/>
      </c>
      <c r="J290" s="39" t="str">
        <f>IFERROR(IF(SUMIFS(tblDaily[Discharges],tblDaily[EntryDate],DATE(2026,8,3),tblDaily[WardCode],"FAE")=0,"",SUMIFS(tblDaily[Discharges],tblDaily[EntryDate],DATE(2026,8,3),tblDaily[WardCode],"FAE")),"")</f>
        <v/>
      </c>
      <c r="K290" s="39" t="str">
        <f>IFERROR(IF(SUMIFS(tblDaily[Deaths],tblDaily[EntryDate],DATE(2026,8,3),tblDaily[WardCode],"FAE")=0,"",SUMIFS(tblDaily[Deaths],tblDaily[EntryDate],DATE(2026,8,3),tblDaily[WardCode],"FAE")),"")</f>
        <v/>
      </c>
      <c r="L290" s="39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39" t="str">
        <f>IFERROR(IF(SUMIFS(tblDaily[TransfersIn],tblDaily[EntryDate],DATE(2026,8,3),tblDaily[WardCode],"FAE")=0,"",SUMIFS(tblDaily[TransfersIn],tblDaily[EntryDate],DATE(2026,8,3),tblDaily[WardCode],"FAE")),"")</f>
        <v/>
      </c>
      <c r="N290" s="39" t="str">
        <f>IFERROR(IF(SUMIFS(tblDaily[TransfersOut],tblDaily[EntryDate],DATE(2026,8,3),tblDaily[WardCode],"FAE")=0,"",SUMIFS(tblDaily[TransfersOut],tblDaily[EntryDate],DATE(2026,8,3),tblDaily[WardCode],"FAE")),"")</f>
        <v/>
      </c>
      <c r="O290" s="39" t="str">
        <f>IFERROR(IF(SUMIFS(tblDaily[Remaining],tblDaily[EntryDate],DATE(2026,8,3),tblDaily[WardCode],"FAE")=0,"",SUMIFS(tblDaily[Remaining],tblDaily[EntryDate],DATE(2026,8,3),tblDaily[WardCode],"FAE")),"")</f>
        <v/>
      </c>
      <c r="P290" s="40" t="str">
        <f t="shared" si="7"/>
        <v/>
      </c>
    </row>
    <row r="291" spans="1:16" x14ac:dyDescent="0.25">
      <c r="A291" s="39">
        <v>4</v>
      </c>
      <c r="B291" s="39" t="str">
        <f>IFERROR(IF(SUMIFS(tblDaily[Admissions],tblDaily[EntryDate],DATE(2026,8,4),tblDaily[WardCode],"MAE")=0,"",SUMIFS(tblDaily[Admissions],tblDaily[EntryDate],DATE(2026,8,4),tblDaily[WardCode],"MAE")),"")</f>
        <v/>
      </c>
      <c r="C291" s="39" t="str">
        <f>IFERROR(IF(SUMIFS(tblDaily[Discharges],tblDaily[EntryDate],DATE(2026,8,4),tblDaily[WardCode],"MAE")=0,"",SUMIFS(tblDaily[Discharges],tblDaily[EntryDate],DATE(2026,8,4),tblDaily[WardCode],"MAE")),"")</f>
        <v/>
      </c>
      <c r="D291" s="39" t="str">
        <f>IFERROR(IF(SUMIFS(tblDaily[Deaths],tblDaily[EntryDate],DATE(2026,8,4),tblDaily[WardCode],"MAE")=0,"",SUMIFS(tblDaily[Deaths],tblDaily[EntryDate],DATE(2026,8,4),tblDaily[WardCode],"MAE")),"")</f>
        <v/>
      </c>
      <c r="E291" s="39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39" t="str">
        <f>IFERROR(IF(SUMIFS(tblDaily[TransfersIn],tblDaily[EntryDate],DATE(2026,8,4),tblDaily[WardCode],"MAE")=0,"",SUMIFS(tblDaily[TransfersIn],tblDaily[EntryDate],DATE(2026,8,4),tblDaily[WardCode],"MAE")),"")</f>
        <v/>
      </c>
      <c r="G291" s="39" t="str">
        <f>IFERROR(IF(SUMIFS(tblDaily[TransfersOut],tblDaily[EntryDate],DATE(2026,8,4),tblDaily[WardCode],"MAE")=0,"",SUMIFS(tblDaily[TransfersOut],tblDaily[EntryDate],DATE(2026,8,4),tblDaily[WardCode],"MAE")),"")</f>
        <v/>
      </c>
      <c r="H291" s="39" t="str">
        <f>IFERROR(IF(SUMIFS(tblDaily[Remaining],tblDaily[EntryDate],DATE(2026,8,4),tblDaily[WardCode],"MAE")=0,"",SUMIFS(tblDaily[Remaining],tblDaily[EntryDate],DATE(2026,8,4),tblDaily[WardCode],"MAE")),"")</f>
        <v/>
      </c>
      <c r="I291" s="39" t="str">
        <f>IFERROR(IF(SUMIFS(tblDaily[Admissions],tblDaily[EntryDate],DATE(2026,8,4),tblDaily[WardCode],"FAE")=0,"",SUMIFS(tblDaily[Admissions],tblDaily[EntryDate],DATE(2026,8,4),tblDaily[WardCode],"FAE")),"")</f>
        <v/>
      </c>
      <c r="J291" s="39" t="str">
        <f>IFERROR(IF(SUMIFS(tblDaily[Discharges],tblDaily[EntryDate],DATE(2026,8,4),tblDaily[WardCode],"FAE")=0,"",SUMIFS(tblDaily[Discharges],tblDaily[EntryDate],DATE(2026,8,4),tblDaily[WardCode],"FAE")),"")</f>
        <v/>
      </c>
      <c r="K291" s="39" t="str">
        <f>IFERROR(IF(SUMIFS(tblDaily[Deaths],tblDaily[EntryDate],DATE(2026,8,4),tblDaily[WardCode],"FAE")=0,"",SUMIFS(tblDaily[Deaths],tblDaily[EntryDate],DATE(2026,8,4),tblDaily[WardCode],"FAE")),"")</f>
        <v/>
      </c>
      <c r="L291" s="39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39" t="str">
        <f>IFERROR(IF(SUMIFS(tblDaily[TransfersIn],tblDaily[EntryDate],DATE(2026,8,4),tblDaily[WardCode],"FAE")=0,"",SUMIFS(tblDaily[TransfersIn],tblDaily[EntryDate],DATE(2026,8,4),tblDaily[WardCode],"FAE")),"")</f>
        <v/>
      </c>
      <c r="N291" s="39" t="str">
        <f>IFERROR(IF(SUMIFS(tblDaily[TransfersOut],tblDaily[EntryDate],DATE(2026,8,4),tblDaily[WardCode],"FAE")=0,"",SUMIFS(tblDaily[TransfersOut],tblDaily[EntryDate],DATE(2026,8,4),tblDaily[WardCode],"FAE")),"")</f>
        <v/>
      </c>
      <c r="O291" s="39" t="str">
        <f>IFERROR(IF(SUMIFS(tblDaily[Remaining],tblDaily[EntryDate],DATE(2026,8,4),tblDaily[WardCode],"FAE")=0,"",SUMIFS(tblDaily[Remaining],tblDaily[EntryDate],DATE(2026,8,4),tblDaily[WardCode],"FAE")),"")</f>
        <v/>
      </c>
      <c r="P291" s="40" t="str">
        <f t="shared" si="7"/>
        <v/>
      </c>
    </row>
    <row r="292" spans="1:16" x14ac:dyDescent="0.25">
      <c r="A292" s="39">
        <v>5</v>
      </c>
      <c r="B292" s="39" t="str">
        <f>IFERROR(IF(SUMIFS(tblDaily[Admissions],tblDaily[EntryDate],DATE(2026,8,5),tblDaily[WardCode],"MAE")=0,"",SUMIFS(tblDaily[Admissions],tblDaily[EntryDate],DATE(2026,8,5),tblDaily[WardCode],"MAE")),"")</f>
        <v/>
      </c>
      <c r="C292" s="39" t="str">
        <f>IFERROR(IF(SUMIFS(tblDaily[Discharges],tblDaily[EntryDate],DATE(2026,8,5),tblDaily[WardCode],"MAE")=0,"",SUMIFS(tblDaily[Discharges],tblDaily[EntryDate],DATE(2026,8,5),tblDaily[WardCode],"MAE")),"")</f>
        <v/>
      </c>
      <c r="D292" s="39" t="str">
        <f>IFERROR(IF(SUMIFS(tblDaily[Deaths],tblDaily[EntryDate],DATE(2026,8,5),tblDaily[WardCode],"MAE")=0,"",SUMIFS(tblDaily[Deaths],tblDaily[EntryDate],DATE(2026,8,5),tblDaily[WardCode],"MAE")),"")</f>
        <v/>
      </c>
      <c r="E292" s="39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39" t="str">
        <f>IFERROR(IF(SUMIFS(tblDaily[TransfersIn],tblDaily[EntryDate],DATE(2026,8,5),tblDaily[WardCode],"MAE")=0,"",SUMIFS(tblDaily[TransfersIn],tblDaily[EntryDate],DATE(2026,8,5),tblDaily[WardCode],"MAE")),"")</f>
        <v/>
      </c>
      <c r="G292" s="39" t="str">
        <f>IFERROR(IF(SUMIFS(tblDaily[TransfersOut],tblDaily[EntryDate],DATE(2026,8,5),tblDaily[WardCode],"MAE")=0,"",SUMIFS(tblDaily[TransfersOut],tblDaily[EntryDate],DATE(2026,8,5),tblDaily[WardCode],"MAE")),"")</f>
        <v/>
      </c>
      <c r="H292" s="39" t="str">
        <f>IFERROR(IF(SUMIFS(tblDaily[Remaining],tblDaily[EntryDate],DATE(2026,8,5),tblDaily[WardCode],"MAE")=0,"",SUMIFS(tblDaily[Remaining],tblDaily[EntryDate],DATE(2026,8,5),tblDaily[WardCode],"MAE")),"")</f>
        <v/>
      </c>
      <c r="I292" s="39" t="str">
        <f>IFERROR(IF(SUMIFS(tblDaily[Admissions],tblDaily[EntryDate],DATE(2026,8,5),tblDaily[WardCode],"FAE")=0,"",SUMIFS(tblDaily[Admissions],tblDaily[EntryDate],DATE(2026,8,5),tblDaily[WardCode],"FAE")),"")</f>
        <v/>
      </c>
      <c r="J292" s="39" t="str">
        <f>IFERROR(IF(SUMIFS(tblDaily[Discharges],tblDaily[EntryDate],DATE(2026,8,5),tblDaily[WardCode],"FAE")=0,"",SUMIFS(tblDaily[Discharges],tblDaily[EntryDate],DATE(2026,8,5),tblDaily[WardCode],"FAE")),"")</f>
        <v/>
      </c>
      <c r="K292" s="39" t="str">
        <f>IFERROR(IF(SUMIFS(tblDaily[Deaths],tblDaily[EntryDate],DATE(2026,8,5),tblDaily[WardCode],"FAE")=0,"",SUMIFS(tblDaily[Deaths],tblDaily[EntryDate],DATE(2026,8,5),tblDaily[WardCode],"FAE")),"")</f>
        <v/>
      </c>
      <c r="L292" s="39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39" t="str">
        <f>IFERROR(IF(SUMIFS(tblDaily[TransfersIn],tblDaily[EntryDate],DATE(2026,8,5),tblDaily[WardCode],"FAE")=0,"",SUMIFS(tblDaily[TransfersIn],tblDaily[EntryDate],DATE(2026,8,5),tblDaily[WardCode],"FAE")),"")</f>
        <v/>
      </c>
      <c r="N292" s="39" t="str">
        <f>IFERROR(IF(SUMIFS(tblDaily[TransfersOut],tblDaily[EntryDate],DATE(2026,8,5),tblDaily[WardCode],"FAE")=0,"",SUMIFS(tblDaily[TransfersOut],tblDaily[EntryDate],DATE(2026,8,5),tblDaily[WardCode],"FAE")),"")</f>
        <v/>
      </c>
      <c r="O292" s="39" t="str">
        <f>IFERROR(IF(SUMIFS(tblDaily[Remaining],tblDaily[EntryDate],DATE(2026,8,5),tblDaily[WardCode],"FAE")=0,"",SUMIFS(tblDaily[Remaining],tblDaily[EntryDate],DATE(2026,8,5),tblDaily[WardCode],"FAE")),"")</f>
        <v/>
      </c>
      <c r="P292" s="40" t="str">
        <f t="shared" si="7"/>
        <v/>
      </c>
    </row>
    <row r="293" spans="1:16" x14ac:dyDescent="0.25">
      <c r="A293" s="39">
        <v>6</v>
      </c>
      <c r="B293" s="39" t="str">
        <f>IFERROR(IF(SUMIFS(tblDaily[Admissions],tblDaily[EntryDate],DATE(2026,8,6),tblDaily[WardCode],"MAE")=0,"",SUMIFS(tblDaily[Admissions],tblDaily[EntryDate],DATE(2026,8,6),tblDaily[WardCode],"MAE")),"")</f>
        <v/>
      </c>
      <c r="C293" s="39" t="str">
        <f>IFERROR(IF(SUMIFS(tblDaily[Discharges],tblDaily[EntryDate],DATE(2026,8,6),tblDaily[WardCode],"MAE")=0,"",SUMIFS(tblDaily[Discharges],tblDaily[EntryDate],DATE(2026,8,6),tblDaily[WardCode],"MAE")),"")</f>
        <v/>
      </c>
      <c r="D293" s="39" t="str">
        <f>IFERROR(IF(SUMIFS(tblDaily[Deaths],tblDaily[EntryDate],DATE(2026,8,6),tblDaily[WardCode],"MAE")=0,"",SUMIFS(tblDaily[Deaths],tblDaily[EntryDate],DATE(2026,8,6),tblDaily[WardCode],"MAE")),"")</f>
        <v/>
      </c>
      <c r="E293" s="39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39" t="str">
        <f>IFERROR(IF(SUMIFS(tblDaily[TransfersIn],tblDaily[EntryDate],DATE(2026,8,6),tblDaily[WardCode],"MAE")=0,"",SUMIFS(tblDaily[TransfersIn],tblDaily[EntryDate],DATE(2026,8,6),tblDaily[WardCode],"MAE")),"")</f>
        <v/>
      </c>
      <c r="G293" s="39" t="str">
        <f>IFERROR(IF(SUMIFS(tblDaily[TransfersOut],tblDaily[EntryDate],DATE(2026,8,6),tblDaily[WardCode],"MAE")=0,"",SUMIFS(tblDaily[TransfersOut],tblDaily[EntryDate],DATE(2026,8,6),tblDaily[WardCode],"MAE")),"")</f>
        <v/>
      </c>
      <c r="H293" s="39" t="str">
        <f>IFERROR(IF(SUMIFS(tblDaily[Remaining],tblDaily[EntryDate],DATE(2026,8,6),tblDaily[WardCode],"MAE")=0,"",SUMIFS(tblDaily[Remaining],tblDaily[EntryDate],DATE(2026,8,6),tblDaily[WardCode],"MAE")),"")</f>
        <v/>
      </c>
      <c r="I293" s="39" t="str">
        <f>IFERROR(IF(SUMIFS(tblDaily[Admissions],tblDaily[EntryDate],DATE(2026,8,6),tblDaily[WardCode],"FAE")=0,"",SUMIFS(tblDaily[Admissions],tblDaily[EntryDate],DATE(2026,8,6),tblDaily[WardCode],"FAE")),"")</f>
        <v/>
      </c>
      <c r="J293" s="39" t="str">
        <f>IFERROR(IF(SUMIFS(tblDaily[Discharges],tblDaily[EntryDate],DATE(2026,8,6),tblDaily[WardCode],"FAE")=0,"",SUMIFS(tblDaily[Discharges],tblDaily[EntryDate],DATE(2026,8,6),tblDaily[WardCode],"FAE")),"")</f>
        <v/>
      </c>
      <c r="K293" s="39" t="str">
        <f>IFERROR(IF(SUMIFS(tblDaily[Deaths],tblDaily[EntryDate],DATE(2026,8,6),tblDaily[WardCode],"FAE")=0,"",SUMIFS(tblDaily[Deaths],tblDaily[EntryDate],DATE(2026,8,6),tblDaily[WardCode],"FAE")),"")</f>
        <v/>
      </c>
      <c r="L293" s="39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39" t="str">
        <f>IFERROR(IF(SUMIFS(tblDaily[TransfersIn],tblDaily[EntryDate],DATE(2026,8,6),tblDaily[WardCode],"FAE")=0,"",SUMIFS(tblDaily[TransfersIn],tblDaily[EntryDate],DATE(2026,8,6),tblDaily[WardCode],"FAE")),"")</f>
        <v/>
      </c>
      <c r="N293" s="39" t="str">
        <f>IFERROR(IF(SUMIFS(tblDaily[TransfersOut],tblDaily[EntryDate],DATE(2026,8,6),tblDaily[WardCode],"FAE")=0,"",SUMIFS(tblDaily[TransfersOut],tblDaily[EntryDate],DATE(2026,8,6),tblDaily[WardCode],"FAE")),"")</f>
        <v/>
      </c>
      <c r="O293" s="39" t="str">
        <f>IFERROR(IF(SUMIFS(tblDaily[Remaining],tblDaily[EntryDate],DATE(2026,8,6),tblDaily[WardCode],"FAE")=0,"",SUMIFS(tblDaily[Remaining],tblDaily[EntryDate],DATE(2026,8,6),tblDaily[WardCode],"FAE")),"")</f>
        <v/>
      </c>
      <c r="P293" s="40" t="str">
        <f t="shared" si="7"/>
        <v/>
      </c>
    </row>
    <row r="294" spans="1:16" x14ac:dyDescent="0.25">
      <c r="A294" s="39">
        <v>7</v>
      </c>
      <c r="B294" s="39" t="str">
        <f>IFERROR(IF(SUMIFS(tblDaily[Admissions],tblDaily[EntryDate],DATE(2026,8,7),tblDaily[WardCode],"MAE")=0,"",SUMIFS(tblDaily[Admissions],tblDaily[EntryDate],DATE(2026,8,7),tblDaily[WardCode],"MAE")),"")</f>
        <v/>
      </c>
      <c r="C294" s="39" t="str">
        <f>IFERROR(IF(SUMIFS(tblDaily[Discharges],tblDaily[EntryDate],DATE(2026,8,7),tblDaily[WardCode],"MAE")=0,"",SUMIFS(tblDaily[Discharges],tblDaily[EntryDate],DATE(2026,8,7),tblDaily[WardCode],"MAE")),"")</f>
        <v/>
      </c>
      <c r="D294" s="39" t="str">
        <f>IFERROR(IF(SUMIFS(tblDaily[Deaths],tblDaily[EntryDate],DATE(2026,8,7),tblDaily[WardCode],"MAE")=0,"",SUMIFS(tblDaily[Deaths],tblDaily[EntryDate],DATE(2026,8,7),tblDaily[WardCode],"MAE")),"")</f>
        <v/>
      </c>
      <c r="E294" s="39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39" t="str">
        <f>IFERROR(IF(SUMIFS(tblDaily[TransfersIn],tblDaily[EntryDate],DATE(2026,8,7),tblDaily[WardCode],"MAE")=0,"",SUMIFS(tblDaily[TransfersIn],tblDaily[EntryDate],DATE(2026,8,7),tblDaily[WardCode],"MAE")),"")</f>
        <v/>
      </c>
      <c r="G294" s="39" t="str">
        <f>IFERROR(IF(SUMIFS(tblDaily[TransfersOut],tblDaily[EntryDate],DATE(2026,8,7),tblDaily[WardCode],"MAE")=0,"",SUMIFS(tblDaily[TransfersOut],tblDaily[EntryDate],DATE(2026,8,7),tblDaily[WardCode],"MAE")),"")</f>
        <v/>
      </c>
      <c r="H294" s="39" t="str">
        <f>IFERROR(IF(SUMIFS(tblDaily[Remaining],tblDaily[EntryDate],DATE(2026,8,7),tblDaily[WardCode],"MAE")=0,"",SUMIFS(tblDaily[Remaining],tblDaily[EntryDate],DATE(2026,8,7),tblDaily[WardCode],"MAE")),"")</f>
        <v/>
      </c>
      <c r="I294" s="39" t="str">
        <f>IFERROR(IF(SUMIFS(tblDaily[Admissions],tblDaily[EntryDate],DATE(2026,8,7),tblDaily[WardCode],"FAE")=0,"",SUMIFS(tblDaily[Admissions],tblDaily[EntryDate],DATE(2026,8,7),tblDaily[WardCode],"FAE")),"")</f>
        <v/>
      </c>
      <c r="J294" s="39" t="str">
        <f>IFERROR(IF(SUMIFS(tblDaily[Discharges],tblDaily[EntryDate],DATE(2026,8,7),tblDaily[WardCode],"FAE")=0,"",SUMIFS(tblDaily[Discharges],tblDaily[EntryDate],DATE(2026,8,7),tblDaily[WardCode],"FAE")),"")</f>
        <v/>
      </c>
      <c r="K294" s="39" t="str">
        <f>IFERROR(IF(SUMIFS(tblDaily[Deaths],tblDaily[EntryDate],DATE(2026,8,7),tblDaily[WardCode],"FAE")=0,"",SUMIFS(tblDaily[Deaths],tblDaily[EntryDate],DATE(2026,8,7),tblDaily[WardCode],"FAE")),"")</f>
        <v/>
      </c>
      <c r="L294" s="39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39" t="str">
        <f>IFERROR(IF(SUMIFS(tblDaily[TransfersIn],tblDaily[EntryDate],DATE(2026,8,7),tblDaily[WardCode],"FAE")=0,"",SUMIFS(tblDaily[TransfersIn],tblDaily[EntryDate],DATE(2026,8,7),tblDaily[WardCode],"FAE")),"")</f>
        <v/>
      </c>
      <c r="N294" s="39" t="str">
        <f>IFERROR(IF(SUMIFS(tblDaily[TransfersOut],tblDaily[EntryDate],DATE(2026,8,7),tblDaily[WardCode],"FAE")=0,"",SUMIFS(tblDaily[TransfersOut],tblDaily[EntryDate],DATE(2026,8,7),tblDaily[WardCode],"FAE")),"")</f>
        <v/>
      </c>
      <c r="O294" s="39" t="str">
        <f>IFERROR(IF(SUMIFS(tblDaily[Remaining],tblDaily[EntryDate],DATE(2026,8,7),tblDaily[WardCode],"FAE")=0,"",SUMIFS(tblDaily[Remaining],tblDaily[EntryDate],DATE(2026,8,7),tblDaily[WardCode],"FAE")),"")</f>
        <v/>
      </c>
      <c r="P294" s="40" t="str">
        <f t="shared" si="7"/>
        <v/>
      </c>
    </row>
    <row r="295" spans="1:16" x14ac:dyDescent="0.25">
      <c r="A295" s="39">
        <v>8</v>
      </c>
      <c r="B295" s="39" t="str">
        <f>IFERROR(IF(SUMIFS(tblDaily[Admissions],tblDaily[EntryDate],DATE(2026,8,8),tblDaily[WardCode],"MAE")=0,"",SUMIFS(tblDaily[Admissions],tblDaily[EntryDate],DATE(2026,8,8),tblDaily[WardCode],"MAE")),"")</f>
        <v/>
      </c>
      <c r="C295" s="39" t="str">
        <f>IFERROR(IF(SUMIFS(tblDaily[Discharges],tblDaily[EntryDate],DATE(2026,8,8),tblDaily[WardCode],"MAE")=0,"",SUMIFS(tblDaily[Discharges],tblDaily[EntryDate],DATE(2026,8,8),tblDaily[WardCode],"MAE")),"")</f>
        <v/>
      </c>
      <c r="D295" s="39" t="str">
        <f>IFERROR(IF(SUMIFS(tblDaily[Deaths],tblDaily[EntryDate],DATE(2026,8,8),tblDaily[WardCode],"MAE")=0,"",SUMIFS(tblDaily[Deaths],tblDaily[EntryDate],DATE(2026,8,8),tblDaily[WardCode],"MAE")),"")</f>
        <v/>
      </c>
      <c r="E295" s="39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39" t="str">
        <f>IFERROR(IF(SUMIFS(tblDaily[TransfersIn],tblDaily[EntryDate],DATE(2026,8,8),tblDaily[WardCode],"MAE")=0,"",SUMIFS(tblDaily[TransfersIn],tblDaily[EntryDate],DATE(2026,8,8),tblDaily[WardCode],"MAE")),"")</f>
        <v/>
      </c>
      <c r="G295" s="39" t="str">
        <f>IFERROR(IF(SUMIFS(tblDaily[TransfersOut],tblDaily[EntryDate],DATE(2026,8,8),tblDaily[WardCode],"MAE")=0,"",SUMIFS(tblDaily[TransfersOut],tblDaily[EntryDate],DATE(2026,8,8),tblDaily[WardCode],"MAE")),"")</f>
        <v/>
      </c>
      <c r="H295" s="39" t="str">
        <f>IFERROR(IF(SUMIFS(tblDaily[Remaining],tblDaily[EntryDate],DATE(2026,8,8),tblDaily[WardCode],"MAE")=0,"",SUMIFS(tblDaily[Remaining],tblDaily[EntryDate],DATE(2026,8,8),tblDaily[WardCode],"MAE")),"")</f>
        <v/>
      </c>
      <c r="I295" s="39" t="str">
        <f>IFERROR(IF(SUMIFS(tblDaily[Admissions],tblDaily[EntryDate],DATE(2026,8,8),tblDaily[WardCode],"FAE")=0,"",SUMIFS(tblDaily[Admissions],tblDaily[EntryDate],DATE(2026,8,8),tblDaily[WardCode],"FAE")),"")</f>
        <v/>
      </c>
      <c r="J295" s="39" t="str">
        <f>IFERROR(IF(SUMIFS(tblDaily[Discharges],tblDaily[EntryDate],DATE(2026,8,8),tblDaily[WardCode],"FAE")=0,"",SUMIFS(tblDaily[Discharges],tblDaily[EntryDate],DATE(2026,8,8),tblDaily[WardCode],"FAE")),"")</f>
        <v/>
      </c>
      <c r="K295" s="39" t="str">
        <f>IFERROR(IF(SUMIFS(tblDaily[Deaths],tblDaily[EntryDate],DATE(2026,8,8),tblDaily[WardCode],"FAE")=0,"",SUMIFS(tblDaily[Deaths],tblDaily[EntryDate],DATE(2026,8,8),tblDaily[WardCode],"FAE")),"")</f>
        <v/>
      </c>
      <c r="L295" s="39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39" t="str">
        <f>IFERROR(IF(SUMIFS(tblDaily[TransfersIn],tblDaily[EntryDate],DATE(2026,8,8),tblDaily[WardCode],"FAE")=0,"",SUMIFS(tblDaily[TransfersIn],tblDaily[EntryDate],DATE(2026,8,8),tblDaily[WardCode],"FAE")),"")</f>
        <v/>
      </c>
      <c r="N295" s="39" t="str">
        <f>IFERROR(IF(SUMIFS(tblDaily[TransfersOut],tblDaily[EntryDate],DATE(2026,8,8),tblDaily[WardCode],"FAE")=0,"",SUMIFS(tblDaily[TransfersOut],tblDaily[EntryDate],DATE(2026,8,8),tblDaily[WardCode],"FAE")),"")</f>
        <v/>
      </c>
      <c r="O295" s="39" t="str">
        <f>IFERROR(IF(SUMIFS(tblDaily[Remaining],tblDaily[EntryDate],DATE(2026,8,8),tblDaily[WardCode],"FAE")=0,"",SUMIFS(tblDaily[Remaining],tblDaily[EntryDate],DATE(2026,8,8),tblDaily[WardCode],"FAE")),"")</f>
        <v/>
      </c>
      <c r="P295" s="40" t="str">
        <f t="shared" si="7"/>
        <v/>
      </c>
    </row>
    <row r="296" spans="1:16" x14ac:dyDescent="0.25">
      <c r="A296" s="39">
        <v>9</v>
      </c>
      <c r="B296" s="39" t="str">
        <f>IFERROR(IF(SUMIFS(tblDaily[Admissions],tblDaily[EntryDate],DATE(2026,8,9),tblDaily[WardCode],"MAE")=0,"",SUMIFS(tblDaily[Admissions],tblDaily[EntryDate],DATE(2026,8,9),tblDaily[WardCode],"MAE")),"")</f>
        <v/>
      </c>
      <c r="C296" s="39" t="str">
        <f>IFERROR(IF(SUMIFS(tblDaily[Discharges],tblDaily[EntryDate],DATE(2026,8,9),tblDaily[WardCode],"MAE")=0,"",SUMIFS(tblDaily[Discharges],tblDaily[EntryDate],DATE(2026,8,9),tblDaily[WardCode],"MAE")),"")</f>
        <v/>
      </c>
      <c r="D296" s="39" t="str">
        <f>IFERROR(IF(SUMIFS(tblDaily[Deaths],tblDaily[EntryDate],DATE(2026,8,9),tblDaily[WardCode],"MAE")=0,"",SUMIFS(tblDaily[Deaths],tblDaily[EntryDate],DATE(2026,8,9),tblDaily[WardCode],"MAE")),"")</f>
        <v/>
      </c>
      <c r="E296" s="39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39" t="str">
        <f>IFERROR(IF(SUMIFS(tblDaily[TransfersIn],tblDaily[EntryDate],DATE(2026,8,9),tblDaily[WardCode],"MAE")=0,"",SUMIFS(tblDaily[TransfersIn],tblDaily[EntryDate],DATE(2026,8,9),tblDaily[WardCode],"MAE")),"")</f>
        <v/>
      </c>
      <c r="G296" s="39" t="str">
        <f>IFERROR(IF(SUMIFS(tblDaily[TransfersOut],tblDaily[EntryDate],DATE(2026,8,9),tblDaily[WardCode],"MAE")=0,"",SUMIFS(tblDaily[TransfersOut],tblDaily[EntryDate],DATE(2026,8,9),tblDaily[WardCode],"MAE")),"")</f>
        <v/>
      </c>
      <c r="H296" s="39" t="str">
        <f>IFERROR(IF(SUMIFS(tblDaily[Remaining],tblDaily[EntryDate],DATE(2026,8,9),tblDaily[WardCode],"MAE")=0,"",SUMIFS(tblDaily[Remaining],tblDaily[EntryDate],DATE(2026,8,9),tblDaily[WardCode],"MAE")),"")</f>
        <v/>
      </c>
      <c r="I296" s="39" t="str">
        <f>IFERROR(IF(SUMIFS(tblDaily[Admissions],tblDaily[EntryDate],DATE(2026,8,9),tblDaily[WardCode],"FAE")=0,"",SUMIFS(tblDaily[Admissions],tblDaily[EntryDate],DATE(2026,8,9),tblDaily[WardCode],"FAE")),"")</f>
        <v/>
      </c>
      <c r="J296" s="39" t="str">
        <f>IFERROR(IF(SUMIFS(tblDaily[Discharges],tblDaily[EntryDate],DATE(2026,8,9),tblDaily[WardCode],"FAE")=0,"",SUMIFS(tblDaily[Discharges],tblDaily[EntryDate],DATE(2026,8,9),tblDaily[WardCode],"FAE")),"")</f>
        <v/>
      </c>
      <c r="K296" s="39" t="str">
        <f>IFERROR(IF(SUMIFS(tblDaily[Deaths],tblDaily[EntryDate],DATE(2026,8,9),tblDaily[WardCode],"FAE")=0,"",SUMIFS(tblDaily[Deaths],tblDaily[EntryDate],DATE(2026,8,9),tblDaily[WardCode],"FAE")),"")</f>
        <v/>
      </c>
      <c r="L296" s="39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39" t="str">
        <f>IFERROR(IF(SUMIFS(tblDaily[TransfersIn],tblDaily[EntryDate],DATE(2026,8,9),tblDaily[WardCode],"FAE")=0,"",SUMIFS(tblDaily[TransfersIn],tblDaily[EntryDate],DATE(2026,8,9),tblDaily[WardCode],"FAE")),"")</f>
        <v/>
      </c>
      <c r="N296" s="39" t="str">
        <f>IFERROR(IF(SUMIFS(tblDaily[TransfersOut],tblDaily[EntryDate],DATE(2026,8,9),tblDaily[WardCode],"FAE")=0,"",SUMIFS(tblDaily[TransfersOut],tblDaily[EntryDate],DATE(2026,8,9),tblDaily[WardCode],"FAE")),"")</f>
        <v/>
      </c>
      <c r="O296" s="39" t="str">
        <f>IFERROR(IF(SUMIFS(tblDaily[Remaining],tblDaily[EntryDate],DATE(2026,8,9),tblDaily[WardCode],"FAE")=0,"",SUMIFS(tblDaily[Remaining],tblDaily[EntryDate],DATE(2026,8,9),tblDaily[WardCode],"FAE")),"")</f>
        <v/>
      </c>
      <c r="P296" s="40" t="str">
        <f t="shared" si="7"/>
        <v/>
      </c>
    </row>
    <row r="297" spans="1:16" x14ac:dyDescent="0.25">
      <c r="A297" s="39">
        <v>10</v>
      </c>
      <c r="B297" s="39" t="str">
        <f>IFERROR(IF(SUMIFS(tblDaily[Admissions],tblDaily[EntryDate],DATE(2026,8,10),tblDaily[WardCode],"MAE")=0,"",SUMIFS(tblDaily[Admissions],tblDaily[EntryDate],DATE(2026,8,10),tblDaily[WardCode],"MAE")),"")</f>
        <v/>
      </c>
      <c r="C297" s="39" t="str">
        <f>IFERROR(IF(SUMIFS(tblDaily[Discharges],tblDaily[EntryDate],DATE(2026,8,10),tblDaily[WardCode],"MAE")=0,"",SUMIFS(tblDaily[Discharges],tblDaily[EntryDate],DATE(2026,8,10),tblDaily[WardCode],"MAE")),"")</f>
        <v/>
      </c>
      <c r="D297" s="39" t="str">
        <f>IFERROR(IF(SUMIFS(tblDaily[Deaths],tblDaily[EntryDate],DATE(2026,8,10),tblDaily[WardCode],"MAE")=0,"",SUMIFS(tblDaily[Deaths],tblDaily[EntryDate],DATE(2026,8,10),tblDaily[WardCode],"MAE")),"")</f>
        <v/>
      </c>
      <c r="E297" s="39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39" t="str">
        <f>IFERROR(IF(SUMIFS(tblDaily[TransfersIn],tblDaily[EntryDate],DATE(2026,8,10),tblDaily[WardCode],"MAE")=0,"",SUMIFS(tblDaily[TransfersIn],tblDaily[EntryDate],DATE(2026,8,10),tblDaily[WardCode],"MAE")),"")</f>
        <v/>
      </c>
      <c r="G297" s="39" t="str">
        <f>IFERROR(IF(SUMIFS(tblDaily[TransfersOut],tblDaily[EntryDate],DATE(2026,8,10),tblDaily[WardCode],"MAE")=0,"",SUMIFS(tblDaily[TransfersOut],tblDaily[EntryDate],DATE(2026,8,10),tblDaily[WardCode],"MAE")),"")</f>
        <v/>
      </c>
      <c r="H297" s="39" t="str">
        <f>IFERROR(IF(SUMIFS(tblDaily[Remaining],tblDaily[EntryDate],DATE(2026,8,10),tblDaily[WardCode],"MAE")=0,"",SUMIFS(tblDaily[Remaining],tblDaily[EntryDate],DATE(2026,8,10),tblDaily[WardCode],"MAE")),"")</f>
        <v/>
      </c>
      <c r="I297" s="39" t="str">
        <f>IFERROR(IF(SUMIFS(tblDaily[Admissions],tblDaily[EntryDate],DATE(2026,8,10),tblDaily[WardCode],"FAE")=0,"",SUMIFS(tblDaily[Admissions],tblDaily[EntryDate],DATE(2026,8,10),tblDaily[WardCode],"FAE")),"")</f>
        <v/>
      </c>
      <c r="J297" s="39" t="str">
        <f>IFERROR(IF(SUMIFS(tblDaily[Discharges],tblDaily[EntryDate],DATE(2026,8,10),tblDaily[WardCode],"FAE")=0,"",SUMIFS(tblDaily[Discharges],tblDaily[EntryDate],DATE(2026,8,10),tblDaily[WardCode],"FAE")),"")</f>
        <v/>
      </c>
      <c r="K297" s="39" t="str">
        <f>IFERROR(IF(SUMIFS(tblDaily[Deaths],tblDaily[EntryDate],DATE(2026,8,10),tblDaily[WardCode],"FAE")=0,"",SUMIFS(tblDaily[Deaths],tblDaily[EntryDate],DATE(2026,8,10),tblDaily[WardCode],"FAE")),"")</f>
        <v/>
      </c>
      <c r="L297" s="39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39" t="str">
        <f>IFERROR(IF(SUMIFS(tblDaily[TransfersIn],tblDaily[EntryDate],DATE(2026,8,10),tblDaily[WardCode],"FAE")=0,"",SUMIFS(tblDaily[TransfersIn],tblDaily[EntryDate],DATE(2026,8,10),tblDaily[WardCode],"FAE")),"")</f>
        <v/>
      </c>
      <c r="N297" s="39" t="str">
        <f>IFERROR(IF(SUMIFS(tblDaily[TransfersOut],tblDaily[EntryDate],DATE(2026,8,10),tblDaily[WardCode],"FAE")=0,"",SUMIFS(tblDaily[TransfersOut],tblDaily[EntryDate],DATE(2026,8,10),tblDaily[WardCode],"FAE")),"")</f>
        <v/>
      </c>
      <c r="O297" s="39" t="str">
        <f>IFERROR(IF(SUMIFS(tblDaily[Remaining],tblDaily[EntryDate],DATE(2026,8,10),tblDaily[WardCode],"FAE")=0,"",SUMIFS(tblDaily[Remaining],tblDaily[EntryDate],DATE(2026,8,10),tblDaily[WardCode],"FAE")),"")</f>
        <v/>
      </c>
      <c r="P297" s="40" t="str">
        <f t="shared" si="7"/>
        <v/>
      </c>
    </row>
    <row r="298" spans="1:16" x14ac:dyDescent="0.25">
      <c r="A298" s="39">
        <v>11</v>
      </c>
      <c r="B298" s="39" t="str">
        <f>IFERROR(IF(SUMIFS(tblDaily[Admissions],tblDaily[EntryDate],DATE(2026,8,11),tblDaily[WardCode],"MAE")=0,"",SUMIFS(tblDaily[Admissions],tblDaily[EntryDate],DATE(2026,8,11),tblDaily[WardCode],"MAE")),"")</f>
        <v/>
      </c>
      <c r="C298" s="39" t="str">
        <f>IFERROR(IF(SUMIFS(tblDaily[Discharges],tblDaily[EntryDate],DATE(2026,8,11),tblDaily[WardCode],"MAE")=0,"",SUMIFS(tblDaily[Discharges],tblDaily[EntryDate],DATE(2026,8,11),tblDaily[WardCode],"MAE")),"")</f>
        <v/>
      </c>
      <c r="D298" s="39" t="str">
        <f>IFERROR(IF(SUMIFS(tblDaily[Deaths],tblDaily[EntryDate],DATE(2026,8,11),tblDaily[WardCode],"MAE")=0,"",SUMIFS(tblDaily[Deaths],tblDaily[EntryDate],DATE(2026,8,11),tblDaily[WardCode],"MAE")),"")</f>
        <v/>
      </c>
      <c r="E298" s="39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39" t="str">
        <f>IFERROR(IF(SUMIFS(tblDaily[TransfersIn],tblDaily[EntryDate],DATE(2026,8,11),tblDaily[WardCode],"MAE")=0,"",SUMIFS(tblDaily[TransfersIn],tblDaily[EntryDate],DATE(2026,8,11),tblDaily[WardCode],"MAE")),"")</f>
        <v/>
      </c>
      <c r="G298" s="39" t="str">
        <f>IFERROR(IF(SUMIFS(tblDaily[TransfersOut],tblDaily[EntryDate],DATE(2026,8,11),tblDaily[WardCode],"MAE")=0,"",SUMIFS(tblDaily[TransfersOut],tblDaily[EntryDate],DATE(2026,8,11),tblDaily[WardCode],"MAE")),"")</f>
        <v/>
      </c>
      <c r="H298" s="39" t="str">
        <f>IFERROR(IF(SUMIFS(tblDaily[Remaining],tblDaily[EntryDate],DATE(2026,8,11),tblDaily[WardCode],"MAE")=0,"",SUMIFS(tblDaily[Remaining],tblDaily[EntryDate],DATE(2026,8,11),tblDaily[WardCode],"MAE")),"")</f>
        <v/>
      </c>
      <c r="I298" s="39" t="str">
        <f>IFERROR(IF(SUMIFS(tblDaily[Admissions],tblDaily[EntryDate],DATE(2026,8,11),tblDaily[WardCode],"FAE")=0,"",SUMIFS(tblDaily[Admissions],tblDaily[EntryDate],DATE(2026,8,11),tblDaily[WardCode],"FAE")),"")</f>
        <v/>
      </c>
      <c r="J298" s="39" t="str">
        <f>IFERROR(IF(SUMIFS(tblDaily[Discharges],tblDaily[EntryDate],DATE(2026,8,11),tblDaily[WardCode],"FAE")=0,"",SUMIFS(tblDaily[Discharges],tblDaily[EntryDate],DATE(2026,8,11),tblDaily[WardCode],"FAE")),"")</f>
        <v/>
      </c>
      <c r="K298" s="39" t="str">
        <f>IFERROR(IF(SUMIFS(tblDaily[Deaths],tblDaily[EntryDate],DATE(2026,8,11),tblDaily[WardCode],"FAE")=0,"",SUMIFS(tblDaily[Deaths],tblDaily[EntryDate],DATE(2026,8,11),tblDaily[WardCode],"FAE")),"")</f>
        <v/>
      </c>
      <c r="L298" s="39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39" t="str">
        <f>IFERROR(IF(SUMIFS(tblDaily[TransfersIn],tblDaily[EntryDate],DATE(2026,8,11),tblDaily[WardCode],"FAE")=0,"",SUMIFS(tblDaily[TransfersIn],tblDaily[EntryDate],DATE(2026,8,11),tblDaily[WardCode],"FAE")),"")</f>
        <v/>
      </c>
      <c r="N298" s="39" t="str">
        <f>IFERROR(IF(SUMIFS(tblDaily[TransfersOut],tblDaily[EntryDate],DATE(2026,8,11),tblDaily[WardCode],"FAE")=0,"",SUMIFS(tblDaily[TransfersOut],tblDaily[EntryDate],DATE(2026,8,11),tblDaily[WardCode],"FAE")),"")</f>
        <v/>
      </c>
      <c r="O298" s="39" t="str">
        <f>IFERROR(IF(SUMIFS(tblDaily[Remaining],tblDaily[EntryDate],DATE(2026,8,11),tblDaily[WardCode],"FAE")=0,"",SUMIFS(tblDaily[Remaining],tblDaily[EntryDate],DATE(2026,8,11),tblDaily[WardCode],"FAE")),"")</f>
        <v/>
      </c>
      <c r="P298" s="40" t="str">
        <f t="shared" si="7"/>
        <v/>
      </c>
    </row>
    <row r="299" spans="1:16" x14ac:dyDescent="0.25">
      <c r="A299" s="39">
        <v>12</v>
      </c>
      <c r="B299" s="39" t="str">
        <f>IFERROR(IF(SUMIFS(tblDaily[Admissions],tblDaily[EntryDate],DATE(2026,8,12),tblDaily[WardCode],"MAE")=0,"",SUMIFS(tblDaily[Admissions],tblDaily[EntryDate],DATE(2026,8,12),tblDaily[WardCode],"MAE")),"")</f>
        <v/>
      </c>
      <c r="C299" s="39" t="str">
        <f>IFERROR(IF(SUMIFS(tblDaily[Discharges],tblDaily[EntryDate],DATE(2026,8,12),tblDaily[WardCode],"MAE")=0,"",SUMIFS(tblDaily[Discharges],tblDaily[EntryDate],DATE(2026,8,12),tblDaily[WardCode],"MAE")),"")</f>
        <v/>
      </c>
      <c r="D299" s="39" t="str">
        <f>IFERROR(IF(SUMIFS(tblDaily[Deaths],tblDaily[EntryDate],DATE(2026,8,12),tblDaily[WardCode],"MAE")=0,"",SUMIFS(tblDaily[Deaths],tblDaily[EntryDate],DATE(2026,8,12),tblDaily[WardCode],"MAE")),"")</f>
        <v/>
      </c>
      <c r="E299" s="39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39" t="str">
        <f>IFERROR(IF(SUMIFS(tblDaily[TransfersIn],tblDaily[EntryDate],DATE(2026,8,12),tblDaily[WardCode],"MAE")=0,"",SUMIFS(tblDaily[TransfersIn],tblDaily[EntryDate],DATE(2026,8,12),tblDaily[WardCode],"MAE")),"")</f>
        <v/>
      </c>
      <c r="G299" s="39" t="str">
        <f>IFERROR(IF(SUMIFS(tblDaily[TransfersOut],tblDaily[EntryDate],DATE(2026,8,12),tblDaily[WardCode],"MAE")=0,"",SUMIFS(tblDaily[TransfersOut],tblDaily[EntryDate],DATE(2026,8,12),tblDaily[WardCode],"MAE")),"")</f>
        <v/>
      </c>
      <c r="H299" s="39" t="str">
        <f>IFERROR(IF(SUMIFS(tblDaily[Remaining],tblDaily[EntryDate],DATE(2026,8,12),tblDaily[WardCode],"MAE")=0,"",SUMIFS(tblDaily[Remaining],tblDaily[EntryDate],DATE(2026,8,12),tblDaily[WardCode],"MAE")),"")</f>
        <v/>
      </c>
      <c r="I299" s="39" t="str">
        <f>IFERROR(IF(SUMIFS(tblDaily[Admissions],tblDaily[EntryDate],DATE(2026,8,12),tblDaily[WardCode],"FAE")=0,"",SUMIFS(tblDaily[Admissions],tblDaily[EntryDate],DATE(2026,8,12),tblDaily[WardCode],"FAE")),"")</f>
        <v/>
      </c>
      <c r="J299" s="39" t="str">
        <f>IFERROR(IF(SUMIFS(tblDaily[Discharges],tblDaily[EntryDate],DATE(2026,8,12),tblDaily[WardCode],"FAE")=0,"",SUMIFS(tblDaily[Discharges],tblDaily[EntryDate],DATE(2026,8,12),tblDaily[WardCode],"FAE")),"")</f>
        <v/>
      </c>
      <c r="K299" s="39" t="str">
        <f>IFERROR(IF(SUMIFS(tblDaily[Deaths],tblDaily[EntryDate],DATE(2026,8,12),tblDaily[WardCode],"FAE")=0,"",SUMIFS(tblDaily[Deaths],tblDaily[EntryDate],DATE(2026,8,12),tblDaily[WardCode],"FAE")),"")</f>
        <v/>
      </c>
      <c r="L299" s="39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39" t="str">
        <f>IFERROR(IF(SUMIFS(tblDaily[TransfersIn],tblDaily[EntryDate],DATE(2026,8,12),tblDaily[WardCode],"FAE")=0,"",SUMIFS(tblDaily[TransfersIn],tblDaily[EntryDate],DATE(2026,8,12),tblDaily[WardCode],"FAE")),"")</f>
        <v/>
      </c>
      <c r="N299" s="39" t="str">
        <f>IFERROR(IF(SUMIFS(tblDaily[TransfersOut],tblDaily[EntryDate],DATE(2026,8,12),tblDaily[WardCode],"FAE")=0,"",SUMIFS(tblDaily[TransfersOut],tblDaily[EntryDate],DATE(2026,8,12),tblDaily[WardCode],"FAE")),"")</f>
        <v/>
      </c>
      <c r="O299" s="39" t="str">
        <f>IFERROR(IF(SUMIFS(tblDaily[Remaining],tblDaily[EntryDate],DATE(2026,8,12),tblDaily[WardCode],"FAE")=0,"",SUMIFS(tblDaily[Remaining],tblDaily[EntryDate],DATE(2026,8,12),tblDaily[WardCode],"FAE")),"")</f>
        <v/>
      </c>
      <c r="P299" s="40" t="str">
        <f t="shared" si="7"/>
        <v/>
      </c>
    </row>
    <row r="300" spans="1:16" x14ac:dyDescent="0.25">
      <c r="A300" s="39">
        <v>13</v>
      </c>
      <c r="B300" s="39" t="str">
        <f>IFERROR(IF(SUMIFS(tblDaily[Admissions],tblDaily[EntryDate],DATE(2026,8,13),tblDaily[WardCode],"MAE")=0,"",SUMIFS(tblDaily[Admissions],tblDaily[EntryDate],DATE(2026,8,13),tblDaily[WardCode],"MAE")),"")</f>
        <v/>
      </c>
      <c r="C300" s="39" t="str">
        <f>IFERROR(IF(SUMIFS(tblDaily[Discharges],tblDaily[EntryDate],DATE(2026,8,13),tblDaily[WardCode],"MAE")=0,"",SUMIFS(tblDaily[Discharges],tblDaily[EntryDate],DATE(2026,8,13),tblDaily[WardCode],"MAE")),"")</f>
        <v/>
      </c>
      <c r="D300" s="39" t="str">
        <f>IFERROR(IF(SUMIFS(tblDaily[Deaths],tblDaily[EntryDate],DATE(2026,8,13),tblDaily[WardCode],"MAE")=0,"",SUMIFS(tblDaily[Deaths],tblDaily[EntryDate],DATE(2026,8,13),tblDaily[WardCode],"MAE")),"")</f>
        <v/>
      </c>
      <c r="E300" s="39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39" t="str">
        <f>IFERROR(IF(SUMIFS(tblDaily[TransfersIn],tblDaily[EntryDate],DATE(2026,8,13),tblDaily[WardCode],"MAE")=0,"",SUMIFS(tblDaily[TransfersIn],tblDaily[EntryDate],DATE(2026,8,13),tblDaily[WardCode],"MAE")),"")</f>
        <v/>
      </c>
      <c r="G300" s="39" t="str">
        <f>IFERROR(IF(SUMIFS(tblDaily[TransfersOut],tblDaily[EntryDate],DATE(2026,8,13),tblDaily[WardCode],"MAE")=0,"",SUMIFS(tblDaily[TransfersOut],tblDaily[EntryDate],DATE(2026,8,13),tblDaily[WardCode],"MAE")),"")</f>
        <v/>
      </c>
      <c r="H300" s="39" t="str">
        <f>IFERROR(IF(SUMIFS(tblDaily[Remaining],tblDaily[EntryDate],DATE(2026,8,13),tblDaily[WardCode],"MAE")=0,"",SUMIFS(tblDaily[Remaining],tblDaily[EntryDate],DATE(2026,8,13),tblDaily[WardCode],"MAE")),"")</f>
        <v/>
      </c>
      <c r="I300" s="39" t="str">
        <f>IFERROR(IF(SUMIFS(tblDaily[Admissions],tblDaily[EntryDate],DATE(2026,8,13),tblDaily[WardCode],"FAE")=0,"",SUMIFS(tblDaily[Admissions],tblDaily[EntryDate],DATE(2026,8,13),tblDaily[WardCode],"FAE")),"")</f>
        <v/>
      </c>
      <c r="J300" s="39" t="str">
        <f>IFERROR(IF(SUMIFS(tblDaily[Discharges],tblDaily[EntryDate],DATE(2026,8,13),tblDaily[WardCode],"FAE")=0,"",SUMIFS(tblDaily[Discharges],tblDaily[EntryDate],DATE(2026,8,13),tblDaily[WardCode],"FAE")),"")</f>
        <v/>
      </c>
      <c r="K300" s="39" t="str">
        <f>IFERROR(IF(SUMIFS(tblDaily[Deaths],tblDaily[EntryDate],DATE(2026,8,13),tblDaily[WardCode],"FAE")=0,"",SUMIFS(tblDaily[Deaths],tblDaily[EntryDate],DATE(2026,8,13),tblDaily[WardCode],"FAE")),"")</f>
        <v/>
      </c>
      <c r="L300" s="39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39" t="str">
        <f>IFERROR(IF(SUMIFS(tblDaily[TransfersIn],tblDaily[EntryDate],DATE(2026,8,13),tblDaily[WardCode],"FAE")=0,"",SUMIFS(tblDaily[TransfersIn],tblDaily[EntryDate],DATE(2026,8,13),tblDaily[WardCode],"FAE")),"")</f>
        <v/>
      </c>
      <c r="N300" s="39" t="str">
        <f>IFERROR(IF(SUMIFS(tblDaily[TransfersOut],tblDaily[EntryDate],DATE(2026,8,13),tblDaily[WardCode],"FAE")=0,"",SUMIFS(tblDaily[TransfersOut],tblDaily[EntryDate],DATE(2026,8,13),tblDaily[WardCode],"FAE")),"")</f>
        <v/>
      </c>
      <c r="O300" s="39" t="str">
        <f>IFERROR(IF(SUMIFS(tblDaily[Remaining],tblDaily[EntryDate],DATE(2026,8,13),tblDaily[WardCode],"FAE")=0,"",SUMIFS(tblDaily[Remaining],tblDaily[EntryDate],DATE(2026,8,13),tblDaily[WardCode],"FAE")),"")</f>
        <v/>
      </c>
      <c r="P300" s="40" t="str">
        <f t="shared" si="7"/>
        <v/>
      </c>
    </row>
    <row r="301" spans="1:16" x14ac:dyDescent="0.25">
      <c r="A301" s="39">
        <v>14</v>
      </c>
      <c r="B301" s="39" t="str">
        <f>IFERROR(IF(SUMIFS(tblDaily[Admissions],tblDaily[EntryDate],DATE(2026,8,14),tblDaily[WardCode],"MAE")=0,"",SUMIFS(tblDaily[Admissions],tblDaily[EntryDate],DATE(2026,8,14),tblDaily[WardCode],"MAE")),"")</f>
        <v/>
      </c>
      <c r="C301" s="39" t="str">
        <f>IFERROR(IF(SUMIFS(tblDaily[Discharges],tblDaily[EntryDate],DATE(2026,8,14),tblDaily[WardCode],"MAE")=0,"",SUMIFS(tblDaily[Discharges],tblDaily[EntryDate],DATE(2026,8,14),tblDaily[WardCode],"MAE")),"")</f>
        <v/>
      </c>
      <c r="D301" s="39" t="str">
        <f>IFERROR(IF(SUMIFS(tblDaily[Deaths],tblDaily[EntryDate],DATE(2026,8,14),tblDaily[WardCode],"MAE")=0,"",SUMIFS(tblDaily[Deaths],tblDaily[EntryDate],DATE(2026,8,14),tblDaily[WardCode],"MAE")),"")</f>
        <v/>
      </c>
      <c r="E301" s="39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39" t="str">
        <f>IFERROR(IF(SUMIFS(tblDaily[TransfersIn],tblDaily[EntryDate],DATE(2026,8,14),tblDaily[WardCode],"MAE")=0,"",SUMIFS(tblDaily[TransfersIn],tblDaily[EntryDate],DATE(2026,8,14),tblDaily[WardCode],"MAE")),"")</f>
        <v/>
      </c>
      <c r="G301" s="39" t="str">
        <f>IFERROR(IF(SUMIFS(tblDaily[TransfersOut],tblDaily[EntryDate],DATE(2026,8,14),tblDaily[WardCode],"MAE")=0,"",SUMIFS(tblDaily[TransfersOut],tblDaily[EntryDate],DATE(2026,8,14),tblDaily[WardCode],"MAE")),"")</f>
        <v/>
      </c>
      <c r="H301" s="39" t="str">
        <f>IFERROR(IF(SUMIFS(tblDaily[Remaining],tblDaily[EntryDate],DATE(2026,8,14),tblDaily[WardCode],"MAE")=0,"",SUMIFS(tblDaily[Remaining],tblDaily[EntryDate],DATE(2026,8,14),tblDaily[WardCode],"MAE")),"")</f>
        <v/>
      </c>
      <c r="I301" s="39" t="str">
        <f>IFERROR(IF(SUMIFS(tblDaily[Admissions],tblDaily[EntryDate],DATE(2026,8,14),tblDaily[WardCode],"FAE")=0,"",SUMIFS(tblDaily[Admissions],tblDaily[EntryDate],DATE(2026,8,14),tblDaily[WardCode],"FAE")),"")</f>
        <v/>
      </c>
      <c r="J301" s="39" t="str">
        <f>IFERROR(IF(SUMIFS(tblDaily[Discharges],tblDaily[EntryDate],DATE(2026,8,14),tblDaily[WardCode],"FAE")=0,"",SUMIFS(tblDaily[Discharges],tblDaily[EntryDate],DATE(2026,8,14),tblDaily[WardCode],"FAE")),"")</f>
        <v/>
      </c>
      <c r="K301" s="39" t="str">
        <f>IFERROR(IF(SUMIFS(tblDaily[Deaths],tblDaily[EntryDate],DATE(2026,8,14),tblDaily[WardCode],"FAE")=0,"",SUMIFS(tblDaily[Deaths],tblDaily[EntryDate],DATE(2026,8,14),tblDaily[WardCode],"FAE")),"")</f>
        <v/>
      </c>
      <c r="L301" s="39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39" t="str">
        <f>IFERROR(IF(SUMIFS(tblDaily[TransfersIn],tblDaily[EntryDate],DATE(2026,8,14),tblDaily[WardCode],"FAE")=0,"",SUMIFS(tblDaily[TransfersIn],tblDaily[EntryDate],DATE(2026,8,14),tblDaily[WardCode],"FAE")),"")</f>
        <v/>
      </c>
      <c r="N301" s="39" t="str">
        <f>IFERROR(IF(SUMIFS(tblDaily[TransfersOut],tblDaily[EntryDate],DATE(2026,8,14),tblDaily[WardCode],"FAE")=0,"",SUMIFS(tblDaily[TransfersOut],tblDaily[EntryDate],DATE(2026,8,14),tblDaily[WardCode],"FAE")),"")</f>
        <v/>
      </c>
      <c r="O301" s="39" t="str">
        <f>IFERROR(IF(SUMIFS(tblDaily[Remaining],tblDaily[EntryDate],DATE(2026,8,14),tblDaily[WardCode],"FAE")=0,"",SUMIFS(tblDaily[Remaining],tblDaily[EntryDate],DATE(2026,8,14),tblDaily[WardCode],"FAE")),"")</f>
        <v/>
      </c>
      <c r="P301" s="40" t="str">
        <f t="shared" si="7"/>
        <v/>
      </c>
    </row>
    <row r="302" spans="1:16" x14ac:dyDescent="0.25">
      <c r="A302" s="39">
        <v>15</v>
      </c>
      <c r="B302" s="39" t="str">
        <f>IFERROR(IF(SUMIFS(tblDaily[Admissions],tblDaily[EntryDate],DATE(2026,8,15),tblDaily[WardCode],"MAE")=0,"",SUMIFS(tblDaily[Admissions],tblDaily[EntryDate],DATE(2026,8,15),tblDaily[WardCode],"MAE")),"")</f>
        <v/>
      </c>
      <c r="C302" s="39" t="str">
        <f>IFERROR(IF(SUMIFS(tblDaily[Discharges],tblDaily[EntryDate],DATE(2026,8,15),tblDaily[WardCode],"MAE")=0,"",SUMIFS(tblDaily[Discharges],tblDaily[EntryDate],DATE(2026,8,15),tblDaily[WardCode],"MAE")),"")</f>
        <v/>
      </c>
      <c r="D302" s="39" t="str">
        <f>IFERROR(IF(SUMIFS(tblDaily[Deaths],tblDaily[EntryDate],DATE(2026,8,15),tblDaily[WardCode],"MAE")=0,"",SUMIFS(tblDaily[Deaths],tblDaily[EntryDate],DATE(2026,8,15),tblDaily[WardCode],"MAE")),"")</f>
        <v/>
      </c>
      <c r="E302" s="39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39" t="str">
        <f>IFERROR(IF(SUMIFS(tblDaily[TransfersIn],tblDaily[EntryDate],DATE(2026,8,15),tblDaily[WardCode],"MAE")=0,"",SUMIFS(tblDaily[TransfersIn],tblDaily[EntryDate],DATE(2026,8,15),tblDaily[WardCode],"MAE")),"")</f>
        <v/>
      </c>
      <c r="G302" s="39" t="str">
        <f>IFERROR(IF(SUMIFS(tblDaily[TransfersOut],tblDaily[EntryDate],DATE(2026,8,15),tblDaily[WardCode],"MAE")=0,"",SUMIFS(tblDaily[TransfersOut],tblDaily[EntryDate],DATE(2026,8,15),tblDaily[WardCode],"MAE")),"")</f>
        <v/>
      </c>
      <c r="H302" s="39" t="str">
        <f>IFERROR(IF(SUMIFS(tblDaily[Remaining],tblDaily[EntryDate],DATE(2026,8,15),tblDaily[WardCode],"MAE")=0,"",SUMIFS(tblDaily[Remaining],tblDaily[EntryDate],DATE(2026,8,15),tblDaily[WardCode],"MAE")),"")</f>
        <v/>
      </c>
      <c r="I302" s="39" t="str">
        <f>IFERROR(IF(SUMIFS(tblDaily[Admissions],tblDaily[EntryDate],DATE(2026,8,15),tblDaily[WardCode],"FAE")=0,"",SUMIFS(tblDaily[Admissions],tblDaily[EntryDate],DATE(2026,8,15),tblDaily[WardCode],"FAE")),"")</f>
        <v/>
      </c>
      <c r="J302" s="39" t="str">
        <f>IFERROR(IF(SUMIFS(tblDaily[Discharges],tblDaily[EntryDate],DATE(2026,8,15),tblDaily[WardCode],"FAE")=0,"",SUMIFS(tblDaily[Discharges],tblDaily[EntryDate],DATE(2026,8,15),tblDaily[WardCode],"FAE")),"")</f>
        <v/>
      </c>
      <c r="K302" s="39" t="str">
        <f>IFERROR(IF(SUMIFS(tblDaily[Deaths],tblDaily[EntryDate],DATE(2026,8,15),tblDaily[WardCode],"FAE")=0,"",SUMIFS(tblDaily[Deaths],tblDaily[EntryDate],DATE(2026,8,15),tblDaily[WardCode],"FAE")),"")</f>
        <v/>
      </c>
      <c r="L302" s="39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39" t="str">
        <f>IFERROR(IF(SUMIFS(tblDaily[TransfersIn],tblDaily[EntryDate],DATE(2026,8,15),tblDaily[WardCode],"FAE")=0,"",SUMIFS(tblDaily[TransfersIn],tblDaily[EntryDate],DATE(2026,8,15),tblDaily[WardCode],"FAE")),"")</f>
        <v/>
      </c>
      <c r="N302" s="39" t="str">
        <f>IFERROR(IF(SUMIFS(tblDaily[TransfersOut],tblDaily[EntryDate],DATE(2026,8,15),tblDaily[WardCode],"FAE")=0,"",SUMIFS(tblDaily[TransfersOut],tblDaily[EntryDate],DATE(2026,8,15),tblDaily[WardCode],"FAE")),"")</f>
        <v/>
      </c>
      <c r="O302" s="39" t="str">
        <f>IFERROR(IF(SUMIFS(tblDaily[Remaining],tblDaily[EntryDate],DATE(2026,8,15),tblDaily[WardCode],"FAE")=0,"",SUMIFS(tblDaily[Remaining],tblDaily[EntryDate],DATE(2026,8,15),tblDaily[WardCode],"FAE")),"")</f>
        <v/>
      </c>
      <c r="P302" s="40" t="str">
        <f t="shared" si="7"/>
        <v/>
      </c>
    </row>
    <row r="303" spans="1:16" x14ac:dyDescent="0.25">
      <c r="A303" s="39">
        <v>16</v>
      </c>
      <c r="B303" s="39" t="str">
        <f>IFERROR(IF(SUMIFS(tblDaily[Admissions],tblDaily[EntryDate],DATE(2026,8,16),tblDaily[WardCode],"MAE")=0,"",SUMIFS(tblDaily[Admissions],tblDaily[EntryDate],DATE(2026,8,16),tblDaily[WardCode],"MAE")),"")</f>
        <v/>
      </c>
      <c r="C303" s="39" t="str">
        <f>IFERROR(IF(SUMIFS(tblDaily[Discharges],tblDaily[EntryDate],DATE(2026,8,16),tblDaily[WardCode],"MAE")=0,"",SUMIFS(tblDaily[Discharges],tblDaily[EntryDate],DATE(2026,8,16),tblDaily[WardCode],"MAE")),"")</f>
        <v/>
      </c>
      <c r="D303" s="39" t="str">
        <f>IFERROR(IF(SUMIFS(tblDaily[Deaths],tblDaily[EntryDate],DATE(2026,8,16),tblDaily[WardCode],"MAE")=0,"",SUMIFS(tblDaily[Deaths],tblDaily[EntryDate],DATE(2026,8,16),tblDaily[WardCode],"MAE")),"")</f>
        <v/>
      </c>
      <c r="E303" s="39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39" t="str">
        <f>IFERROR(IF(SUMIFS(tblDaily[TransfersIn],tblDaily[EntryDate],DATE(2026,8,16),tblDaily[WardCode],"MAE")=0,"",SUMIFS(tblDaily[TransfersIn],tblDaily[EntryDate],DATE(2026,8,16),tblDaily[WardCode],"MAE")),"")</f>
        <v/>
      </c>
      <c r="G303" s="39" t="str">
        <f>IFERROR(IF(SUMIFS(tblDaily[TransfersOut],tblDaily[EntryDate],DATE(2026,8,16),tblDaily[WardCode],"MAE")=0,"",SUMIFS(tblDaily[TransfersOut],tblDaily[EntryDate],DATE(2026,8,16),tblDaily[WardCode],"MAE")),"")</f>
        <v/>
      </c>
      <c r="H303" s="39" t="str">
        <f>IFERROR(IF(SUMIFS(tblDaily[Remaining],tblDaily[EntryDate],DATE(2026,8,16),tblDaily[WardCode],"MAE")=0,"",SUMIFS(tblDaily[Remaining],tblDaily[EntryDate],DATE(2026,8,16),tblDaily[WardCode],"MAE")),"")</f>
        <v/>
      </c>
      <c r="I303" s="39" t="str">
        <f>IFERROR(IF(SUMIFS(tblDaily[Admissions],tblDaily[EntryDate],DATE(2026,8,16),tblDaily[WardCode],"FAE")=0,"",SUMIFS(tblDaily[Admissions],tblDaily[EntryDate],DATE(2026,8,16),tblDaily[WardCode],"FAE")),"")</f>
        <v/>
      </c>
      <c r="J303" s="39" t="str">
        <f>IFERROR(IF(SUMIFS(tblDaily[Discharges],tblDaily[EntryDate],DATE(2026,8,16),tblDaily[WardCode],"FAE")=0,"",SUMIFS(tblDaily[Discharges],tblDaily[EntryDate],DATE(2026,8,16),tblDaily[WardCode],"FAE")),"")</f>
        <v/>
      </c>
      <c r="K303" s="39" t="str">
        <f>IFERROR(IF(SUMIFS(tblDaily[Deaths],tblDaily[EntryDate],DATE(2026,8,16),tblDaily[WardCode],"FAE")=0,"",SUMIFS(tblDaily[Deaths],tblDaily[EntryDate],DATE(2026,8,16),tblDaily[WardCode],"FAE")),"")</f>
        <v/>
      </c>
      <c r="L303" s="39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39" t="str">
        <f>IFERROR(IF(SUMIFS(tblDaily[TransfersIn],tblDaily[EntryDate],DATE(2026,8,16),tblDaily[WardCode],"FAE")=0,"",SUMIFS(tblDaily[TransfersIn],tblDaily[EntryDate],DATE(2026,8,16),tblDaily[WardCode],"FAE")),"")</f>
        <v/>
      </c>
      <c r="N303" s="39" t="str">
        <f>IFERROR(IF(SUMIFS(tblDaily[TransfersOut],tblDaily[EntryDate],DATE(2026,8,16),tblDaily[WardCode],"FAE")=0,"",SUMIFS(tblDaily[TransfersOut],tblDaily[EntryDate],DATE(2026,8,16),tblDaily[WardCode],"FAE")),"")</f>
        <v/>
      </c>
      <c r="O303" s="39" t="str">
        <f>IFERROR(IF(SUMIFS(tblDaily[Remaining],tblDaily[EntryDate],DATE(2026,8,16),tblDaily[WardCode],"FAE")=0,"",SUMIFS(tblDaily[Remaining],tblDaily[EntryDate],DATE(2026,8,16),tblDaily[WardCode],"FAE")),"")</f>
        <v/>
      </c>
      <c r="P303" s="40" t="str">
        <f t="shared" si="7"/>
        <v/>
      </c>
    </row>
    <row r="304" spans="1:16" x14ac:dyDescent="0.25">
      <c r="A304" s="39">
        <v>17</v>
      </c>
      <c r="B304" s="39" t="str">
        <f>IFERROR(IF(SUMIFS(tblDaily[Admissions],tblDaily[EntryDate],DATE(2026,8,17),tblDaily[WardCode],"MAE")=0,"",SUMIFS(tblDaily[Admissions],tblDaily[EntryDate],DATE(2026,8,17),tblDaily[WardCode],"MAE")),"")</f>
        <v/>
      </c>
      <c r="C304" s="39" t="str">
        <f>IFERROR(IF(SUMIFS(tblDaily[Discharges],tblDaily[EntryDate],DATE(2026,8,17),tblDaily[WardCode],"MAE")=0,"",SUMIFS(tblDaily[Discharges],tblDaily[EntryDate],DATE(2026,8,17),tblDaily[WardCode],"MAE")),"")</f>
        <v/>
      </c>
      <c r="D304" s="39" t="str">
        <f>IFERROR(IF(SUMIFS(tblDaily[Deaths],tblDaily[EntryDate],DATE(2026,8,17),tblDaily[WardCode],"MAE")=0,"",SUMIFS(tblDaily[Deaths],tblDaily[EntryDate],DATE(2026,8,17),tblDaily[WardCode],"MAE")),"")</f>
        <v/>
      </c>
      <c r="E304" s="39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39" t="str">
        <f>IFERROR(IF(SUMIFS(tblDaily[TransfersIn],tblDaily[EntryDate],DATE(2026,8,17),tblDaily[WardCode],"MAE")=0,"",SUMIFS(tblDaily[TransfersIn],tblDaily[EntryDate],DATE(2026,8,17),tblDaily[WardCode],"MAE")),"")</f>
        <v/>
      </c>
      <c r="G304" s="39" t="str">
        <f>IFERROR(IF(SUMIFS(tblDaily[TransfersOut],tblDaily[EntryDate],DATE(2026,8,17),tblDaily[WardCode],"MAE")=0,"",SUMIFS(tblDaily[TransfersOut],tblDaily[EntryDate],DATE(2026,8,17),tblDaily[WardCode],"MAE")),"")</f>
        <v/>
      </c>
      <c r="H304" s="39" t="str">
        <f>IFERROR(IF(SUMIFS(tblDaily[Remaining],tblDaily[EntryDate],DATE(2026,8,17),tblDaily[WardCode],"MAE")=0,"",SUMIFS(tblDaily[Remaining],tblDaily[EntryDate],DATE(2026,8,17),tblDaily[WardCode],"MAE")),"")</f>
        <v/>
      </c>
      <c r="I304" s="39" t="str">
        <f>IFERROR(IF(SUMIFS(tblDaily[Admissions],tblDaily[EntryDate],DATE(2026,8,17),tblDaily[WardCode],"FAE")=0,"",SUMIFS(tblDaily[Admissions],tblDaily[EntryDate],DATE(2026,8,17),tblDaily[WardCode],"FAE")),"")</f>
        <v/>
      </c>
      <c r="J304" s="39" t="str">
        <f>IFERROR(IF(SUMIFS(tblDaily[Discharges],tblDaily[EntryDate],DATE(2026,8,17),tblDaily[WardCode],"FAE")=0,"",SUMIFS(tblDaily[Discharges],tblDaily[EntryDate],DATE(2026,8,17),tblDaily[WardCode],"FAE")),"")</f>
        <v/>
      </c>
      <c r="K304" s="39" t="str">
        <f>IFERROR(IF(SUMIFS(tblDaily[Deaths],tblDaily[EntryDate],DATE(2026,8,17),tblDaily[WardCode],"FAE")=0,"",SUMIFS(tblDaily[Deaths],tblDaily[EntryDate],DATE(2026,8,17),tblDaily[WardCode],"FAE")),"")</f>
        <v/>
      </c>
      <c r="L304" s="39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39" t="str">
        <f>IFERROR(IF(SUMIFS(tblDaily[TransfersIn],tblDaily[EntryDate],DATE(2026,8,17),tblDaily[WardCode],"FAE")=0,"",SUMIFS(tblDaily[TransfersIn],tblDaily[EntryDate],DATE(2026,8,17),tblDaily[WardCode],"FAE")),"")</f>
        <v/>
      </c>
      <c r="N304" s="39" t="str">
        <f>IFERROR(IF(SUMIFS(tblDaily[TransfersOut],tblDaily[EntryDate],DATE(2026,8,17),tblDaily[WardCode],"FAE")=0,"",SUMIFS(tblDaily[TransfersOut],tblDaily[EntryDate],DATE(2026,8,17),tblDaily[WardCode],"FAE")),"")</f>
        <v/>
      </c>
      <c r="O304" s="39" t="str">
        <f>IFERROR(IF(SUMIFS(tblDaily[Remaining],tblDaily[EntryDate],DATE(2026,8,17),tblDaily[WardCode],"FAE")=0,"",SUMIFS(tblDaily[Remaining],tblDaily[EntryDate],DATE(2026,8,17),tblDaily[WardCode],"FAE")),"")</f>
        <v/>
      </c>
      <c r="P304" s="40" t="str">
        <f t="shared" si="7"/>
        <v/>
      </c>
    </row>
    <row r="305" spans="1:16" x14ac:dyDescent="0.25">
      <c r="A305" s="39">
        <v>18</v>
      </c>
      <c r="B305" s="39" t="str">
        <f>IFERROR(IF(SUMIFS(tblDaily[Admissions],tblDaily[EntryDate],DATE(2026,8,18),tblDaily[WardCode],"MAE")=0,"",SUMIFS(tblDaily[Admissions],tblDaily[EntryDate],DATE(2026,8,18),tblDaily[WardCode],"MAE")),"")</f>
        <v/>
      </c>
      <c r="C305" s="39" t="str">
        <f>IFERROR(IF(SUMIFS(tblDaily[Discharges],tblDaily[EntryDate],DATE(2026,8,18),tblDaily[WardCode],"MAE")=0,"",SUMIFS(tblDaily[Discharges],tblDaily[EntryDate],DATE(2026,8,18),tblDaily[WardCode],"MAE")),"")</f>
        <v/>
      </c>
      <c r="D305" s="39" t="str">
        <f>IFERROR(IF(SUMIFS(tblDaily[Deaths],tblDaily[EntryDate],DATE(2026,8,18),tblDaily[WardCode],"MAE")=0,"",SUMIFS(tblDaily[Deaths],tblDaily[EntryDate],DATE(2026,8,18),tblDaily[WardCode],"MAE")),"")</f>
        <v/>
      </c>
      <c r="E305" s="39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39" t="str">
        <f>IFERROR(IF(SUMIFS(tblDaily[TransfersIn],tblDaily[EntryDate],DATE(2026,8,18),tblDaily[WardCode],"MAE")=0,"",SUMIFS(tblDaily[TransfersIn],tblDaily[EntryDate],DATE(2026,8,18),tblDaily[WardCode],"MAE")),"")</f>
        <v/>
      </c>
      <c r="G305" s="39" t="str">
        <f>IFERROR(IF(SUMIFS(tblDaily[TransfersOut],tblDaily[EntryDate],DATE(2026,8,18),tblDaily[WardCode],"MAE")=0,"",SUMIFS(tblDaily[TransfersOut],tblDaily[EntryDate],DATE(2026,8,18),tblDaily[WardCode],"MAE")),"")</f>
        <v/>
      </c>
      <c r="H305" s="39" t="str">
        <f>IFERROR(IF(SUMIFS(tblDaily[Remaining],tblDaily[EntryDate],DATE(2026,8,18),tblDaily[WardCode],"MAE")=0,"",SUMIFS(tblDaily[Remaining],tblDaily[EntryDate],DATE(2026,8,18),tblDaily[WardCode],"MAE")),"")</f>
        <v/>
      </c>
      <c r="I305" s="39" t="str">
        <f>IFERROR(IF(SUMIFS(tblDaily[Admissions],tblDaily[EntryDate],DATE(2026,8,18),tblDaily[WardCode],"FAE")=0,"",SUMIFS(tblDaily[Admissions],tblDaily[EntryDate],DATE(2026,8,18),tblDaily[WardCode],"FAE")),"")</f>
        <v/>
      </c>
      <c r="J305" s="39" t="str">
        <f>IFERROR(IF(SUMIFS(tblDaily[Discharges],tblDaily[EntryDate],DATE(2026,8,18),tblDaily[WardCode],"FAE")=0,"",SUMIFS(tblDaily[Discharges],tblDaily[EntryDate],DATE(2026,8,18),tblDaily[WardCode],"FAE")),"")</f>
        <v/>
      </c>
      <c r="K305" s="39" t="str">
        <f>IFERROR(IF(SUMIFS(tblDaily[Deaths],tblDaily[EntryDate],DATE(2026,8,18),tblDaily[WardCode],"FAE")=0,"",SUMIFS(tblDaily[Deaths],tblDaily[EntryDate],DATE(2026,8,18),tblDaily[WardCode],"FAE")),"")</f>
        <v/>
      </c>
      <c r="L305" s="39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39" t="str">
        <f>IFERROR(IF(SUMIFS(tblDaily[TransfersIn],tblDaily[EntryDate],DATE(2026,8,18),tblDaily[WardCode],"FAE")=0,"",SUMIFS(tblDaily[TransfersIn],tblDaily[EntryDate],DATE(2026,8,18),tblDaily[WardCode],"FAE")),"")</f>
        <v/>
      </c>
      <c r="N305" s="39" t="str">
        <f>IFERROR(IF(SUMIFS(tblDaily[TransfersOut],tblDaily[EntryDate],DATE(2026,8,18),tblDaily[WardCode],"FAE")=0,"",SUMIFS(tblDaily[TransfersOut],tblDaily[EntryDate],DATE(2026,8,18),tblDaily[WardCode],"FAE")),"")</f>
        <v/>
      </c>
      <c r="O305" s="39" t="str">
        <f>IFERROR(IF(SUMIFS(tblDaily[Remaining],tblDaily[EntryDate],DATE(2026,8,18),tblDaily[WardCode],"FAE")=0,"",SUMIFS(tblDaily[Remaining],tblDaily[EntryDate],DATE(2026,8,18),tblDaily[WardCode],"FAE")),"")</f>
        <v/>
      </c>
      <c r="P305" s="40" t="str">
        <f t="shared" si="7"/>
        <v/>
      </c>
    </row>
    <row r="306" spans="1:16" x14ac:dyDescent="0.25">
      <c r="A306" s="39">
        <v>19</v>
      </c>
      <c r="B306" s="39" t="str">
        <f>IFERROR(IF(SUMIFS(tblDaily[Admissions],tblDaily[EntryDate],DATE(2026,8,19),tblDaily[WardCode],"MAE")=0,"",SUMIFS(tblDaily[Admissions],tblDaily[EntryDate],DATE(2026,8,19),tblDaily[WardCode],"MAE")),"")</f>
        <v/>
      </c>
      <c r="C306" s="39" t="str">
        <f>IFERROR(IF(SUMIFS(tblDaily[Discharges],tblDaily[EntryDate],DATE(2026,8,19),tblDaily[WardCode],"MAE")=0,"",SUMIFS(tblDaily[Discharges],tblDaily[EntryDate],DATE(2026,8,19),tblDaily[WardCode],"MAE")),"")</f>
        <v/>
      </c>
      <c r="D306" s="39" t="str">
        <f>IFERROR(IF(SUMIFS(tblDaily[Deaths],tblDaily[EntryDate],DATE(2026,8,19),tblDaily[WardCode],"MAE")=0,"",SUMIFS(tblDaily[Deaths],tblDaily[EntryDate],DATE(2026,8,19),tblDaily[WardCode],"MAE")),"")</f>
        <v/>
      </c>
      <c r="E306" s="39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39" t="str">
        <f>IFERROR(IF(SUMIFS(tblDaily[TransfersIn],tblDaily[EntryDate],DATE(2026,8,19),tblDaily[WardCode],"MAE")=0,"",SUMIFS(tblDaily[TransfersIn],tblDaily[EntryDate],DATE(2026,8,19),tblDaily[WardCode],"MAE")),"")</f>
        <v/>
      </c>
      <c r="G306" s="39" t="str">
        <f>IFERROR(IF(SUMIFS(tblDaily[TransfersOut],tblDaily[EntryDate],DATE(2026,8,19),tblDaily[WardCode],"MAE")=0,"",SUMIFS(tblDaily[TransfersOut],tblDaily[EntryDate],DATE(2026,8,19),tblDaily[WardCode],"MAE")),"")</f>
        <v/>
      </c>
      <c r="H306" s="39" t="str">
        <f>IFERROR(IF(SUMIFS(tblDaily[Remaining],tblDaily[EntryDate],DATE(2026,8,19),tblDaily[WardCode],"MAE")=0,"",SUMIFS(tblDaily[Remaining],tblDaily[EntryDate],DATE(2026,8,19),tblDaily[WardCode],"MAE")),"")</f>
        <v/>
      </c>
      <c r="I306" s="39" t="str">
        <f>IFERROR(IF(SUMIFS(tblDaily[Admissions],tblDaily[EntryDate],DATE(2026,8,19),tblDaily[WardCode],"FAE")=0,"",SUMIFS(tblDaily[Admissions],tblDaily[EntryDate],DATE(2026,8,19),tblDaily[WardCode],"FAE")),"")</f>
        <v/>
      </c>
      <c r="J306" s="39" t="str">
        <f>IFERROR(IF(SUMIFS(tblDaily[Discharges],tblDaily[EntryDate],DATE(2026,8,19),tblDaily[WardCode],"FAE")=0,"",SUMIFS(tblDaily[Discharges],tblDaily[EntryDate],DATE(2026,8,19),tblDaily[WardCode],"FAE")),"")</f>
        <v/>
      </c>
      <c r="K306" s="39" t="str">
        <f>IFERROR(IF(SUMIFS(tblDaily[Deaths],tblDaily[EntryDate],DATE(2026,8,19),tblDaily[WardCode],"FAE")=0,"",SUMIFS(tblDaily[Deaths],tblDaily[EntryDate],DATE(2026,8,19),tblDaily[WardCode],"FAE")),"")</f>
        <v/>
      </c>
      <c r="L306" s="39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39" t="str">
        <f>IFERROR(IF(SUMIFS(tblDaily[TransfersIn],tblDaily[EntryDate],DATE(2026,8,19),tblDaily[WardCode],"FAE")=0,"",SUMIFS(tblDaily[TransfersIn],tblDaily[EntryDate],DATE(2026,8,19),tblDaily[WardCode],"FAE")),"")</f>
        <v/>
      </c>
      <c r="N306" s="39" t="str">
        <f>IFERROR(IF(SUMIFS(tblDaily[TransfersOut],tblDaily[EntryDate],DATE(2026,8,19),tblDaily[WardCode],"FAE")=0,"",SUMIFS(tblDaily[TransfersOut],tblDaily[EntryDate],DATE(2026,8,19),tblDaily[WardCode],"FAE")),"")</f>
        <v/>
      </c>
      <c r="O306" s="39" t="str">
        <f>IFERROR(IF(SUMIFS(tblDaily[Remaining],tblDaily[EntryDate],DATE(2026,8,19),tblDaily[WardCode],"FAE")=0,"",SUMIFS(tblDaily[Remaining],tblDaily[EntryDate],DATE(2026,8,19),tblDaily[WardCode],"FAE")),"")</f>
        <v/>
      </c>
      <c r="P306" s="40" t="str">
        <f t="shared" si="7"/>
        <v/>
      </c>
    </row>
    <row r="307" spans="1:16" x14ac:dyDescent="0.25">
      <c r="A307" s="39">
        <v>20</v>
      </c>
      <c r="B307" s="39" t="str">
        <f>IFERROR(IF(SUMIFS(tblDaily[Admissions],tblDaily[EntryDate],DATE(2026,8,20),tblDaily[WardCode],"MAE")=0,"",SUMIFS(tblDaily[Admissions],tblDaily[EntryDate],DATE(2026,8,20),tblDaily[WardCode],"MAE")),"")</f>
        <v/>
      </c>
      <c r="C307" s="39" t="str">
        <f>IFERROR(IF(SUMIFS(tblDaily[Discharges],tblDaily[EntryDate],DATE(2026,8,20),tblDaily[WardCode],"MAE")=0,"",SUMIFS(tblDaily[Discharges],tblDaily[EntryDate],DATE(2026,8,20),tblDaily[WardCode],"MAE")),"")</f>
        <v/>
      </c>
      <c r="D307" s="39" t="str">
        <f>IFERROR(IF(SUMIFS(tblDaily[Deaths],tblDaily[EntryDate],DATE(2026,8,20),tblDaily[WardCode],"MAE")=0,"",SUMIFS(tblDaily[Deaths],tblDaily[EntryDate],DATE(2026,8,20),tblDaily[WardCode],"MAE")),"")</f>
        <v/>
      </c>
      <c r="E307" s="39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39" t="str">
        <f>IFERROR(IF(SUMIFS(tblDaily[TransfersIn],tblDaily[EntryDate],DATE(2026,8,20),tblDaily[WardCode],"MAE")=0,"",SUMIFS(tblDaily[TransfersIn],tblDaily[EntryDate],DATE(2026,8,20),tblDaily[WardCode],"MAE")),"")</f>
        <v/>
      </c>
      <c r="G307" s="39" t="str">
        <f>IFERROR(IF(SUMIFS(tblDaily[TransfersOut],tblDaily[EntryDate],DATE(2026,8,20),tblDaily[WardCode],"MAE")=0,"",SUMIFS(tblDaily[TransfersOut],tblDaily[EntryDate],DATE(2026,8,20),tblDaily[WardCode],"MAE")),"")</f>
        <v/>
      </c>
      <c r="H307" s="39" t="str">
        <f>IFERROR(IF(SUMIFS(tblDaily[Remaining],tblDaily[EntryDate],DATE(2026,8,20),tblDaily[WardCode],"MAE")=0,"",SUMIFS(tblDaily[Remaining],tblDaily[EntryDate],DATE(2026,8,20),tblDaily[WardCode],"MAE")),"")</f>
        <v/>
      </c>
      <c r="I307" s="39" t="str">
        <f>IFERROR(IF(SUMIFS(tblDaily[Admissions],tblDaily[EntryDate],DATE(2026,8,20),tblDaily[WardCode],"FAE")=0,"",SUMIFS(tblDaily[Admissions],tblDaily[EntryDate],DATE(2026,8,20),tblDaily[WardCode],"FAE")),"")</f>
        <v/>
      </c>
      <c r="J307" s="39" t="str">
        <f>IFERROR(IF(SUMIFS(tblDaily[Discharges],tblDaily[EntryDate],DATE(2026,8,20),tblDaily[WardCode],"FAE")=0,"",SUMIFS(tblDaily[Discharges],tblDaily[EntryDate],DATE(2026,8,20),tblDaily[WardCode],"FAE")),"")</f>
        <v/>
      </c>
      <c r="K307" s="39" t="str">
        <f>IFERROR(IF(SUMIFS(tblDaily[Deaths],tblDaily[EntryDate],DATE(2026,8,20),tblDaily[WardCode],"FAE")=0,"",SUMIFS(tblDaily[Deaths],tblDaily[EntryDate],DATE(2026,8,20),tblDaily[WardCode],"FAE")),"")</f>
        <v/>
      </c>
      <c r="L307" s="39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39" t="str">
        <f>IFERROR(IF(SUMIFS(tblDaily[TransfersIn],tblDaily[EntryDate],DATE(2026,8,20),tblDaily[WardCode],"FAE")=0,"",SUMIFS(tblDaily[TransfersIn],tblDaily[EntryDate],DATE(2026,8,20),tblDaily[WardCode],"FAE")),"")</f>
        <v/>
      </c>
      <c r="N307" s="39" t="str">
        <f>IFERROR(IF(SUMIFS(tblDaily[TransfersOut],tblDaily[EntryDate],DATE(2026,8,20),tblDaily[WardCode],"FAE")=0,"",SUMIFS(tblDaily[TransfersOut],tblDaily[EntryDate],DATE(2026,8,20),tblDaily[WardCode],"FAE")),"")</f>
        <v/>
      </c>
      <c r="O307" s="39" t="str">
        <f>IFERROR(IF(SUMIFS(tblDaily[Remaining],tblDaily[EntryDate],DATE(2026,8,20),tblDaily[WardCode],"FAE")=0,"",SUMIFS(tblDaily[Remaining],tblDaily[EntryDate],DATE(2026,8,20),tblDaily[WardCode],"FAE")),"")</f>
        <v/>
      </c>
      <c r="P307" s="40" t="str">
        <f t="shared" si="7"/>
        <v/>
      </c>
    </row>
    <row r="308" spans="1:16" x14ac:dyDescent="0.25">
      <c r="A308" s="39">
        <v>21</v>
      </c>
      <c r="B308" s="39" t="str">
        <f>IFERROR(IF(SUMIFS(tblDaily[Admissions],tblDaily[EntryDate],DATE(2026,8,21),tblDaily[WardCode],"MAE")=0,"",SUMIFS(tblDaily[Admissions],tblDaily[EntryDate],DATE(2026,8,21),tblDaily[WardCode],"MAE")),"")</f>
        <v/>
      </c>
      <c r="C308" s="39" t="str">
        <f>IFERROR(IF(SUMIFS(tblDaily[Discharges],tblDaily[EntryDate],DATE(2026,8,21),tblDaily[WardCode],"MAE")=0,"",SUMIFS(tblDaily[Discharges],tblDaily[EntryDate],DATE(2026,8,21),tblDaily[WardCode],"MAE")),"")</f>
        <v/>
      </c>
      <c r="D308" s="39" t="str">
        <f>IFERROR(IF(SUMIFS(tblDaily[Deaths],tblDaily[EntryDate],DATE(2026,8,21),tblDaily[WardCode],"MAE")=0,"",SUMIFS(tblDaily[Deaths],tblDaily[EntryDate],DATE(2026,8,21),tblDaily[WardCode],"MAE")),"")</f>
        <v/>
      </c>
      <c r="E308" s="39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39" t="str">
        <f>IFERROR(IF(SUMIFS(tblDaily[TransfersIn],tblDaily[EntryDate],DATE(2026,8,21),tblDaily[WardCode],"MAE")=0,"",SUMIFS(tblDaily[TransfersIn],tblDaily[EntryDate],DATE(2026,8,21),tblDaily[WardCode],"MAE")),"")</f>
        <v/>
      </c>
      <c r="G308" s="39" t="str">
        <f>IFERROR(IF(SUMIFS(tblDaily[TransfersOut],tblDaily[EntryDate],DATE(2026,8,21),tblDaily[WardCode],"MAE")=0,"",SUMIFS(tblDaily[TransfersOut],tblDaily[EntryDate],DATE(2026,8,21),tblDaily[WardCode],"MAE")),"")</f>
        <v/>
      </c>
      <c r="H308" s="39" t="str">
        <f>IFERROR(IF(SUMIFS(tblDaily[Remaining],tblDaily[EntryDate],DATE(2026,8,21),tblDaily[WardCode],"MAE")=0,"",SUMIFS(tblDaily[Remaining],tblDaily[EntryDate],DATE(2026,8,21),tblDaily[WardCode],"MAE")),"")</f>
        <v/>
      </c>
      <c r="I308" s="39" t="str">
        <f>IFERROR(IF(SUMIFS(tblDaily[Admissions],tblDaily[EntryDate],DATE(2026,8,21),tblDaily[WardCode],"FAE")=0,"",SUMIFS(tblDaily[Admissions],tblDaily[EntryDate],DATE(2026,8,21),tblDaily[WardCode],"FAE")),"")</f>
        <v/>
      </c>
      <c r="J308" s="39" t="str">
        <f>IFERROR(IF(SUMIFS(tblDaily[Discharges],tblDaily[EntryDate],DATE(2026,8,21),tblDaily[WardCode],"FAE")=0,"",SUMIFS(tblDaily[Discharges],tblDaily[EntryDate],DATE(2026,8,21),tblDaily[WardCode],"FAE")),"")</f>
        <v/>
      </c>
      <c r="K308" s="39" t="str">
        <f>IFERROR(IF(SUMIFS(tblDaily[Deaths],tblDaily[EntryDate],DATE(2026,8,21),tblDaily[WardCode],"FAE")=0,"",SUMIFS(tblDaily[Deaths],tblDaily[EntryDate],DATE(2026,8,21),tblDaily[WardCode],"FAE")),"")</f>
        <v/>
      </c>
      <c r="L308" s="39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39" t="str">
        <f>IFERROR(IF(SUMIFS(tblDaily[TransfersIn],tblDaily[EntryDate],DATE(2026,8,21),tblDaily[WardCode],"FAE")=0,"",SUMIFS(tblDaily[TransfersIn],tblDaily[EntryDate],DATE(2026,8,21),tblDaily[WardCode],"FAE")),"")</f>
        <v/>
      </c>
      <c r="N308" s="39" t="str">
        <f>IFERROR(IF(SUMIFS(tblDaily[TransfersOut],tblDaily[EntryDate],DATE(2026,8,21),tblDaily[WardCode],"FAE")=0,"",SUMIFS(tblDaily[TransfersOut],tblDaily[EntryDate],DATE(2026,8,21),tblDaily[WardCode],"FAE")),"")</f>
        <v/>
      </c>
      <c r="O308" s="39" t="str">
        <f>IFERROR(IF(SUMIFS(tblDaily[Remaining],tblDaily[EntryDate],DATE(2026,8,21),tblDaily[WardCode],"FAE")=0,"",SUMIFS(tblDaily[Remaining],tblDaily[EntryDate],DATE(2026,8,21),tblDaily[WardCode],"FAE")),"")</f>
        <v/>
      </c>
      <c r="P308" s="40" t="str">
        <f t="shared" si="7"/>
        <v/>
      </c>
    </row>
    <row r="309" spans="1:16" x14ac:dyDescent="0.25">
      <c r="A309" s="39">
        <v>22</v>
      </c>
      <c r="B309" s="39" t="str">
        <f>IFERROR(IF(SUMIFS(tblDaily[Admissions],tblDaily[EntryDate],DATE(2026,8,22),tblDaily[WardCode],"MAE")=0,"",SUMIFS(tblDaily[Admissions],tblDaily[EntryDate],DATE(2026,8,22),tblDaily[WardCode],"MAE")),"")</f>
        <v/>
      </c>
      <c r="C309" s="39" t="str">
        <f>IFERROR(IF(SUMIFS(tblDaily[Discharges],tblDaily[EntryDate],DATE(2026,8,22),tblDaily[WardCode],"MAE")=0,"",SUMIFS(tblDaily[Discharges],tblDaily[EntryDate],DATE(2026,8,22),tblDaily[WardCode],"MAE")),"")</f>
        <v/>
      </c>
      <c r="D309" s="39" t="str">
        <f>IFERROR(IF(SUMIFS(tblDaily[Deaths],tblDaily[EntryDate],DATE(2026,8,22),tblDaily[WardCode],"MAE")=0,"",SUMIFS(tblDaily[Deaths],tblDaily[EntryDate],DATE(2026,8,22),tblDaily[WardCode],"MAE")),"")</f>
        <v/>
      </c>
      <c r="E309" s="39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39" t="str">
        <f>IFERROR(IF(SUMIFS(tblDaily[TransfersIn],tblDaily[EntryDate],DATE(2026,8,22),tblDaily[WardCode],"MAE")=0,"",SUMIFS(tblDaily[TransfersIn],tblDaily[EntryDate],DATE(2026,8,22),tblDaily[WardCode],"MAE")),"")</f>
        <v/>
      </c>
      <c r="G309" s="39" t="str">
        <f>IFERROR(IF(SUMIFS(tblDaily[TransfersOut],tblDaily[EntryDate],DATE(2026,8,22),tblDaily[WardCode],"MAE")=0,"",SUMIFS(tblDaily[TransfersOut],tblDaily[EntryDate],DATE(2026,8,22),tblDaily[WardCode],"MAE")),"")</f>
        <v/>
      </c>
      <c r="H309" s="39" t="str">
        <f>IFERROR(IF(SUMIFS(tblDaily[Remaining],tblDaily[EntryDate],DATE(2026,8,22),tblDaily[WardCode],"MAE")=0,"",SUMIFS(tblDaily[Remaining],tblDaily[EntryDate],DATE(2026,8,22),tblDaily[WardCode],"MAE")),"")</f>
        <v/>
      </c>
      <c r="I309" s="39" t="str">
        <f>IFERROR(IF(SUMIFS(tblDaily[Admissions],tblDaily[EntryDate],DATE(2026,8,22),tblDaily[WardCode],"FAE")=0,"",SUMIFS(tblDaily[Admissions],tblDaily[EntryDate],DATE(2026,8,22),tblDaily[WardCode],"FAE")),"")</f>
        <v/>
      </c>
      <c r="J309" s="39" t="str">
        <f>IFERROR(IF(SUMIFS(tblDaily[Discharges],tblDaily[EntryDate],DATE(2026,8,22),tblDaily[WardCode],"FAE")=0,"",SUMIFS(tblDaily[Discharges],tblDaily[EntryDate],DATE(2026,8,22),tblDaily[WardCode],"FAE")),"")</f>
        <v/>
      </c>
      <c r="K309" s="39" t="str">
        <f>IFERROR(IF(SUMIFS(tblDaily[Deaths],tblDaily[EntryDate],DATE(2026,8,22),tblDaily[WardCode],"FAE")=0,"",SUMIFS(tblDaily[Deaths],tblDaily[EntryDate],DATE(2026,8,22),tblDaily[WardCode],"FAE")),"")</f>
        <v/>
      </c>
      <c r="L309" s="39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39" t="str">
        <f>IFERROR(IF(SUMIFS(tblDaily[TransfersIn],tblDaily[EntryDate],DATE(2026,8,22),tblDaily[WardCode],"FAE")=0,"",SUMIFS(tblDaily[TransfersIn],tblDaily[EntryDate],DATE(2026,8,22),tblDaily[WardCode],"FAE")),"")</f>
        <v/>
      </c>
      <c r="N309" s="39" t="str">
        <f>IFERROR(IF(SUMIFS(tblDaily[TransfersOut],tblDaily[EntryDate],DATE(2026,8,22),tblDaily[WardCode],"FAE")=0,"",SUMIFS(tblDaily[TransfersOut],tblDaily[EntryDate],DATE(2026,8,22),tblDaily[WardCode],"FAE")),"")</f>
        <v/>
      </c>
      <c r="O309" s="39" t="str">
        <f>IFERROR(IF(SUMIFS(tblDaily[Remaining],tblDaily[EntryDate],DATE(2026,8,22),tblDaily[WardCode],"FAE")=0,"",SUMIFS(tblDaily[Remaining],tblDaily[EntryDate],DATE(2026,8,22),tblDaily[WardCode],"FAE")),"")</f>
        <v/>
      </c>
      <c r="P309" s="40" t="str">
        <f t="shared" si="7"/>
        <v/>
      </c>
    </row>
    <row r="310" spans="1:16" x14ac:dyDescent="0.25">
      <c r="A310" s="39">
        <v>23</v>
      </c>
      <c r="B310" s="39" t="str">
        <f>IFERROR(IF(SUMIFS(tblDaily[Admissions],tblDaily[EntryDate],DATE(2026,8,23),tblDaily[WardCode],"MAE")=0,"",SUMIFS(tblDaily[Admissions],tblDaily[EntryDate],DATE(2026,8,23),tblDaily[WardCode],"MAE")),"")</f>
        <v/>
      </c>
      <c r="C310" s="39" t="str">
        <f>IFERROR(IF(SUMIFS(tblDaily[Discharges],tblDaily[EntryDate],DATE(2026,8,23),tblDaily[WardCode],"MAE")=0,"",SUMIFS(tblDaily[Discharges],tblDaily[EntryDate],DATE(2026,8,23),tblDaily[WardCode],"MAE")),"")</f>
        <v/>
      </c>
      <c r="D310" s="39" t="str">
        <f>IFERROR(IF(SUMIFS(tblDaily[Deaths],tblDaily[EntryDate],DATE(2026,8,23),tblDaily[WardCode],"MAE")=0,"",SUMIFS(tblDaily[Deaths],tblDaily[EntryDate],DATE(2026,8,23),tblDaily[WardCode],"MAE")),"")</f>
        <v/>
      </c>
      <c r="E310" s="39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39" t="str">
        <f>IFERROR(IF(SUMIFS(tblDaily[TransfersIn],tblDaily[EntryDate],DATE(2026,8,23),tblDaily[WardCode],"MAE")=0,"",SUMIFS(tblDaily[TransfersIn],tblDaily[EntryDate],DATE(2026,8,23),tblDaily[WardCode],"MAE")),"")</f>
        <v/>
      </c>
      <c r="G310" s="39" t="str">
        <f>IFERROR(IF(SUMIFS(tblDaily[TransfersOut],tblDaily[EntryDate],DATE(2026,8,23),tblDaily[WardCode],"MAE")=0,"",SUMIFS(tblDaily[TransfersOut],tblDaily[EntryDate],DATE(2026,8,23),tblDaily[WardCode],"MAE")),"")</f>
        <v/>
      </c>
      <c r="H310" s="39" t="str">
        <f>IFERROR(IF(SUMIFS(tblDaily[Remaining],tblDaily[EntryDate],DATE(2026,8,23),tblDaily[WardCode],"MAE")=0,"",SUMIFS(tblDaily[Remaining],tblDaily[EntryDate],DATE(2026,8,23),tblDaily[WardCode],"MAE")),"")</f>
        <v/>
      </c>
      <c r="I310" s="39" t="str">
        <f>IFERROR(IF(SUMIFS(tblDaily[Admissions],tblDaily[EntryDate],DATE(2026,8,23),tblDaily[WardCode],"FAE")=0,"",SUMIFS(tblDaily[Admissions],tblDaily[EntryDate],DATE(2026,8,23),tblDaily[WardCode],"FAE")),"")</f>
        <v/>
      </c>
      <c r="J310" s="39" t="str">
        <f>IFERROR(IF(SUMIFS(tblDaily[Discharges],tblDaily[EntryDate],DATE(2026,8,23),tblDaily[WardCode],"FAE")=0,"",SUMIFS(tblDaily[Discharges],tblDaily[EntryDate],DATE(2026,8,23),tblDaily[WardCode],"FAE")),"")</f>
        <v/>
      </c>
      <c r="K310" s="39" t="str">
        <f>IFERROR(IF(SUMIFS(tblDaily[Deaths],tblDaily[EntryDate],DATE(2026,8,23),tblDaily[WardCode],"FAE")=0,"",SUMIFS(tblDaily[Deaths],tblDaily[EntryDate],DATE(2026,8,23),tblDaily[WardCode],"FAE")),"")</f>
        <v/>
      </c>
      <c r="L310" s="39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39" t="str">
        <f>IFERROR(IF(SUMIFS(tblDaily[TransfersIn],tblDaily[EntryDate],DATE(2026,8,23),tblDaily[WardCode],"FAE")=0,"",SUMIFS(tblDaily[TransfersIn],tblDaily[EntryDate],DATE(2026,8,23),tblDaily[WardCode],"FAE")),"")</f>
        <v/>
      </c>
      <c r="N310" s="39" t="str">
        <f>IFERROR(IF(SUMIFS(tblDaily[TransfersOut],tblDaily[EntryDate],DATE(2026,8,23),tblDaily[WardCode],"FAE")=0,"",SUMIFS(tblDaily[TransfersOut],tblDaily[EntryDate],DATE(2026,8,23),tblDaily[WardCode],"FAE")),"")</f>
        <v/>
      </c>
      <c r="O310" s="39" t="str">
        <f>IFERROR(IF(SUMIFS(tblDaily[Remaining],tblDaily[EntryDate],DATE(2026,8,23),tblDaily[WardCode],"FAE")=0,"",SUMIFS(tblDaily[Remaining],tblDaily[EntryDate],DATE(2026,8,23),tblDaily[WardCode],"FAE")),"")</f>
        <v/>
      </c>
      <c r="P310" s="40" t="str">
        <f t="shared" si="7"/>
        <v/>
      </c>
    </row>
    <row r="311" spans="1:16" x14ac:dyDescent="0.25">
      <c r="A311" s="39">
        <v>24</v>
      </c>
      <c r="B311" s="39" t="str">
        <f>IFERROR(IF(SUMIFS(tblDaily[Admissions],tblDaily[EntryDate],DATE(2026,8,24),tblDaily[WardCode],"MAE")=0,"",SUMIFS(tblDaily[Admissions],tblDaily[EntryDate],DATE(2026,8,24),tblDaily[WardCode],"MAE")),"")</f>
        <v/>
      </c>
      <c r="C311" s="39" t="str">
        <f>IFERROR(IF(SUMIFS(tblDaily[Discharges],tblDaily[EntryDate],DATE(2026,8,24),tblDaily[WardCode],"MAE")=0,"",SUMIFS(tblDaily[Discharges],tblDaily[EntryDate],DATE(2026,8,24),tblDaily[WardCode],"MAE")),"")</f>
        <v/>
      </c>
      <c r="D311" s="39" t="str">
        <f>IFERROR(IF(SUMIFS(tblDaily[Deaths],tblDaily[EntryDate],DATE(2026,8,24),tblDaily[WardCode],"MAE")=0,"",SUMIFS(tblDaily[Deaths],tblDaily[EntryDate],DATE(2026,8,24),tblDaily[WardCode],"MAE")),"")</f>
        <v/>
      </c>
      <c r="E311" s="39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39" t="str">
        <f>IFERROR(IF(SUMIFS(tblDaily[TransfersIn],tblDaily[EntryDate],DATE(2026,8,24),tblDaily[WardCode],"MAE")=0,"",SUMIFS(tblDaily[TransfersIn],tblDaily[EntryDate],DATE(2026,8,24),tblDaily[WardCode],"MAE")),"")</f>
        <v/>
      </c>
      <c r="G311" s="39" t="str">
        <f>IFERROR(IF(SUMIFS(tblDaily[TransfersOut],tblDaily[EntryDate],DATE(2026,8,24),tblDaily[WardCode],"MAE")=0,"",SUMIFS(tblDaily[TransfersOut],tblDaily[EntryDate],DATE(2026,8,24),tblDaily[WardCode],"MAE")),"")</f>
        <v/>
      </c>
      <c r="H311" s="39" t="str">
        <f>IFERROR(IF(SUMIFS(tblDaily[Remaining],tblDaily[EntryDate],DATE(2026,8,24),tblDaily[WardCode],"MAE")=0,"",SUMIFS(tblDaily[Remaining],tblDaily[EntryDate],DATE(2026,8,24),tblDaily[WardCode],"MAE")),"")</f>
        <v/>
      </c>
      <c r="I311" s="39" t="str">
        <f>IFERROR(IF(SUMIFS(tblDaily[Admissions],tblDaily[EntryDate],DATE(2026,8,24),tblDaily[WardCode],"FAE")=0,"",SUMIFS(tblDaily[Admissions],tblDaily[EntryDate],DATE(2026,8,24),tblDaily[WardCode],"FAE")),"")</f>
        <v/>
      </c>
      <c r="J311" s="39" t="str">
        <f>IFERROR(IF(SUMIFS(tblDaily[Discharges],tblDaily[EntryDate],DATE(2026,8,24),tblDaily[WardCode],"FAE")=0,"",SUMIFS(tblDaily[Discharges],tblDaily[EntryDate],DATE(2026,8,24),tblDaily[WardCode],"FAE")),"")</f>
        <v/>
      </c>
      <c r="K311" s="39" t="str">
        <f>IFERROR(IF(SUMIFS(tblDaily[Deaths],tblDaily[EntryDate],DATE(2026,8,24),tblDaily[WardCode],"FAE")=0,"",SUMIFS(tblDaily[Deaths],tblDaily[EntryDate],DATE(2026,8,24),tblDaily[WardCode],"FAE")),"")</f>
        <v/>
      </c>
      <c r="L311" s="39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39" t="str">
        <f>IFERROR(IF(SUMIFS(tblDaily[TransfersIn],tblDaily[EntryDate],DATE(2026,8,24),tblDaily[WardCode],"FAE")=0,"",SUMIFS(tblDaily[TransfersIn],tblDaily[EntryDate],DATE(2026,8,24),tblDaily[WardCode],"FAE")),"")</f>
        <v/>
      </c>
      <c r="N311" s="39" t="str">
        <f>IFERROR(IF(SUMIFS(tblDaily[TransfersOut],tblDaily[EntryDate],DATE(2026,8,24),tblDaily[WardCode],"FAE")=0,"",SUMIFS(tblDaily[TransfersOut],tblDaily[EntryDate],DATE(2026,8,24),tblDaily[WardCode],"FAE")),"")</f>
        <v/>
      </c>
      <c r="O311" s="39" t="str">
        <f>IFERROR(IF(SUMIFS(tblDaily[Remaining],tblDaily[EntryDate],DATE(2026,8,24),tblDaily[WardCode],"FAE")=0,"",SUMIFS(tblDaily[Remaining],tblDaily[EntryDate],DATE(2026,8,24),tblDaily[WardCode],"FAE")),"")</f>
        <v/>
      </c>
      <c r="P311" s="40" t="str">
        <f t="shared" si="7"/>
        <v/>
      </c>
    </row>
    <row r="312" spans="1:16" x14ac:dyDescent="0.25">
      <c r="A312" s="39">
        <v>25</v>
      </c>
      <c r="B312" s="39" t="str">
        <f>IFERROR(IF(SUMIFS(tblDaily[Admissions],tblDaily[EntryDate],DATE(2026,8,25),tblDaily[WardCode],"MAE")=0,"",SUMIFS(tblDaily[Admissions],tblDaily[EntryDate],DATE(2026,8,25),tblDaily[WardCode],"MAE")),"")</f>
        <v/>
      </c>
      <c r="C312" s="39" t="str">
        <f>IFERROR(IF(SUMIFS(tblDaily[Discharges],tblDaily[EntryDate],DATE(2026,8,25),tblDaily[WardCode],"MAE")=0,"",SUMIFS(tblDaily[Discharges],tblDaily[EntryDate],DATE(2026,8,25),tblDaily[WardCode],"MAE")),"")</f>
        <v/>
      </c>
      <c r="D312" s="39" t="str">
        <f>IFERROR(IF(SUMIFS(tblDaily[Deaths],tblDaily[EntryDate],DATE(2026,8,25),tblDaily[WardCode],"MAE")=0,"",SUMIFS(tblDaily[Deaths],tblDaily[EntryDate],DATE(2026,8,25),tblDaily[WardCode],"MAE")),"")</f>
        <v/>
      </c>
      <c r="E312" s="39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39" t="str">
        <f>IFERROR(IF(SUMIFS(tblDaily[TransfersIn],tblDaily[EntryDate],DATE(2026,8,25),tblDaily[WardCode],"MAE")=0,"",SUMIFS(tblDaily[TransfersIn],tblDaily[EntryDate],DATE(2026,8,25),tblDaily[WardCode],"MAE")),"")</f>
        <v/>
      </c>
      <c r="G312" s="39" t="str">
        <f>IFERROR(IF(SUMIFS(tblDaily[TransfersOut],tblDaily[EntryDate],DATE(2026,8,25),tblDaily[WardCode],"MAE")=0,"",SUMIFS(tblDaily[TransfersOut],tblDaily[EntryDate],DATE(2026,8,25),tblDaily[WardCode],"MAE")),"")</f>
        <v/>
      </c>
      <c r="H312" s="39" t="str">
        <f>IFERROR(IF(SUMIFS(tblDaily[Remaining],tblDaily[EntryDate],DATE(2026,8,25),tblDaily[WardCode],"MAE")=0,"",SUMIFS(tblDaily[Remaining],tblDaily[EntryDate],DATE(2026,8,25),tblDaily[WardCode],"MAE")),"")</f>
        <v/>
      </c>
      <c r="I312" s="39" t="str">
        <f>IFERROR(IF(SUMIFS(tblDaily[Admissions],tblDaily[EntryDate],DATE(2026,8,25),tblDaily[WardCode],"FAE")=0,"",SUMIFS(tblDaily[Admissions],tblDaily[EntryDate],DATE(2026,8,25),tblDaily[WardCode],"FAE")),"")</f>
        <v/>
      </c>
      <c r="J312" s="39" t="str">
        <f>IFERROR(IF(SUMIFS(tblDaily[Discharges],tblDaily[EntryDate],DATE(2026,8,25),tblDaily[WardCode],"FAE")=0,"",SUMIFS(tblDaily[Discharges],tblDaily[EntryDate],DATE(2026,8,25),tblDaily[WardCode],"FAE")),"")</f>
        <v/>
      </c>
      <c r="K312" s="39" t="str">
        <f>IFERROR(IF(SUMIFS(tblDaily[Deaths],tblDaily[EntryDate],DATE(2026,8,25),tblDaily[WardCode],"FAE")=0,"",SUMIFS(tblDaily[Deaths],tblDaily[EntryDate],DATE(2026,8,25),tblDaily[WardCode],"FAE")),"")</f>
        <v/>
      </c>
      <c r="L312" s="39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39" t="str">
        <f>IFERROR(IF(SUMIFS(tblDaily[TransfersIn],tblDaily[EntryDate],DATE(2026,8,25),tblDaily[WardCode],"FAE")=0,"",SUMIFS(tblDaily[TransfersIn],tblDaily[EntryDate],DATE(2026,8,25),tblDaily[WardCode],"FAE")),"")</f>
        <v/>
      </c>
      <c r="N312" s="39" t="str">
        <f>IFERROR(IF(SUMIFS(tblDaily[TransfersOut],tblDaily[EntryDate],DATE(2026,8,25),tblDaily[WardCode],"FAE")=0,"",SUMIFS(tblDaily[TransfersOut],tblDaily[EntryDate],DATE(2026,8,25),tblDaily[WardCode],"FAE")),"")</f>
        <v/>
      </c>
      <c r="O312" s="39" t="str">
        <f>IFERROR(IF(SUMIFS(tblDaily[Remaining],tblDaily[EntryDate],DATE(2026,8,25),tblDaily[WardCode],"FAE")=0,"",SUMIFS(tblDaily[Remaining],tblDaily[EntryDate],DATE(2026,8,25),tblDaily[WardCode],"FAE")),"")</f>
        <v/>
      </c>
      <c r="P312" s="40" t="str">
        <f t="shared" si="7"/>
        <v/>
      </c>
    </row>
    <row r="313" spans="1:16" x14ac:dyDescent="0.25">
      <c r="A313" s="39">
        <v>26</v>
      </c>
      <c r="B313" s="39" t="str">
        <f>IFERROR(IF(SUMIFS(tblDaily[Admissions],tblDaily[EntryDate],DATE(2026,8,26),tblDaily[WardCode],"MAE")=0,"",SUMIFS(tblDaily[Admissions],tblDaily[EntryDate],DATE(2026,8,26),tblDaily[WardCode],"MAE")),"")</f>
        <v/>
      </c>
      <c r="C313" s="39" t="str">
        <f>IFERROR(IF(SUMIFS(tblDaily[Discharges],tblDaily[EntryDate],DATE(2026,8,26),tblDaily[WardCode],"MAE")=0,"",SUMIFS(tblDaily[Discharges],tblDaily[EntryDate],DATE(2026,8,26),tblDaily[WardCode],"MAE")),"")</f>
        <v/>
      </c>
      <c r="D313" s="39" t="str">
        <f>IFERROR(IF(SUMIFS(tblDaily[Deaths],tblDaily[EntryDate],DATE(2026,8,26),tblDaily[WardCode],"MAE")=0,"",SUMIFS(tblDaily[Deaths],tblDaily[EntryDate],DATE(2026,8,26),tblDaily[WardCode],"MAE")),"")</f>
        <v/>
      </c>
      <c r="E313" s="39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39" t="str">
        <f>IFERROR(IF(SUMIFS(tblDaily[TransfersIn],tblDaily[EntryDate],DATE(2026,8,26),tblDaily[WardCode],"MAE")=0,"",SUMIFS(tblDaily[TransfersIn],tblDaily[EntryDate],DATE(2026,8,26),tblDaily[WardCode],"MAE")),"")</f>
        <v/>
      </c>
      <c r="G313" s="39" t="str">
        <f>IFERROR(IF(SUMIFS(tblDaily[TransfersOut],tblDaily[EntryDate],DATE(2026,8,26),tblDaily[WardCode],"MAE")=0,"",SUMIFS(tblDaily[TransfersOut],tblDaily[EntryDate],DATE(2026,8,26),tblDaily[WardCode],"MAE")),"")</f>
        <v/>
      </c>
      <c r="H313" s="39" t="str">
        <f>IFERROR(IF(SUMIFS(tblDaily[Remaining],tblDaily[EntryDate],DATE(2026,8,26),tblDaily[WardCode],"MAE")=0,"",SUMIFS(tblDaily[Remaining],tblDaily[EntryDate],DATE(2026,8,26),tblDaily[WardCode],"MAE")),"")</f>
        <v/>
      </c>
      <c r="I313" s="39" t="str">
        <f>IFERROR(IF(SUMIFS(tblDaily[Admissions],tblDaily[EntryDate],DATE(2026,8,26),tblDaily[WardCode],"FAE")=0,"",SUMIFS(tblDaily[Admissions],tblDaily[EntryDate],DATE(2026,8,26),tblDaily[WardCode],"FAE")),"")</f>
        <v/>
      </c>
      <c r="J313" s="39" t="str">
        <f>IFERROR(IF(SUMIFS(tblDaily[Discharges],tblDaily[EntryDate],DATE(2026,8,26),tblDaily[WardCode],"FAE")=0,"",SUMIFS(tblDaily[Discharges],tblDaily[EntryDate],DATE(2026,8,26),tblDaily[WardCode],"FAE")),"")</f>
        <v/>
      </c>
      <c r="K313" s="39" t="str">
        <f>IFERROR(IF(SUMIFS(tblDaily[Deaths],tblDaily[EntryDate],DATE(2026,8,26),tblDaily[WardCode],"FAE")=0,"",SUMIFS(tblDaily[Deaths],tblDaily[EntryDate],DATE(2026,8,26),tblDaily[WardCode],"FAE")),"")</f>
        <v/>
      </c>
      <c r="L313" s="39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39" t="str">
        <f>IFERROR(IF(SUMIFS(tblDaily[TransfersIn],tblDaily[EntryDate],DATE(2026,8,26),tblDaily[WardCode],"FAE")=0,"",SUMIFS(tblDaily[TransfersIn],tblDaily[EntryDate],DATE(2026,8,26),tblDaily[WardCode],"FAE")),"")</f>
        <v/>
      </c>
      <c r="N313" s="39" t="str">
        <f>IFERROR(IF(SUMIFS(tblDaily[TransfersOut],tblDaily[EntryDate],DATE(2026,8,26),tblDaily[WardCode],"FAE")=0,"",SUMIFS(tblDaily[TransfersOut],tblDaily[EntryDate],DATE(2026,8,26),tblDaily[WardCode],"FAE")),"")</f>
        <v/>
      </c>
      <c r="O313" s="39" t="str">
        <f>IFERROR(IF(SUMIFS(tblDaily[Remaining],tblDaily[EntryDate],DATE(2026,8,26),tblDaily[WardCode],"FAE")=0,"",SUMIFS(tblDaily[Remaining],tblDaily[EntryDate],DATE(2026,8,26),tblDaily[WardCode],"FAE")),"")</f>
        <v/>
      </c>
      <c r="P313" s="40" t="str">
        <f t="shared" si="7"/>
        <v/>
      </c>
    </row>
    <row r="314" spans="1:16" x14ac:dyDescent="0.25">
      <c r="A314" s="39">
        <v>27</v>
      </c>
      <c r="B314" s="39" t="str">
        <f>IFERROR(IF(SUMIFS(tblDaily[Admissions],tblDaily[EntryDate],DATE(2026,8,27),tblDaily[WardCode],"MAE")=0,"",SUMIFS(tblDaily[Admissions],tblDaily[EntryDate],DATE(2026,8,27),tblDaily[WardCode],"MAE")),"")</f>
        <v/>
      </c>
      <c r="C314" s="39" t="str">
        <f>IFERROR(IF(SUMIFS(tblDaily[Discharges],tblDaily[EntryDate],DATE(2026,8,27),tblDaily[WardCode],"MAE")=0,"",SUMIFS(tblDaily[Discharges],tblDaily[EntryDate],DATE(2026,8,27),tblDaily[WardCode],"MAE")),"")</f>
        <v/>
      </c>
      <c r="D314" s="39" t="str">
        <f>IFERROR(IF(SUMIFS(tblDaily[Deaths],tblDaily[EntryDate],DATE(2026,8,27),tblDaily[WardCode],"MAE")=0,"",SUMIFS(tblDaily[Deaths],tblDaily[EntryDate],DATE(2026,8,27),tblDaily[WardCode],"MAE")),"")</f>
        <v/>
      </c>
      <c r="E314" s="39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39" t="str">
        <f>IFERROR(IF(SUMIFS(tblDaily[TransfersIn],tblDaily[EntryDate],DATE(2026,8,27),tblDaily[WardCode],"MAE")=0,"",SUMIFS(tblDaily[TransfersIn],tblDaily[EntryDate],DATE(2026,8,27),tblDaily[WardCode],"MAE")),"")</f>
        <v/>
      </c>
      <c r="G314" s="39" t="str">
        <f>IFERROR(IF(SUMIFS(tblDaily[TransfersOut],tblDaily[EntryDate],DATE(2026,8,27),tblDaily[WardCode],"MAE")=0,"",SUMIFS(tblDaily[TransfersOut],tblDaily[EntryDate],DATE(2026,8,27),tblDaily[WardCode],"MAE")),"")</f>
        <v/>
      </c>
      <c r="H314" s="39" t="str">
        <f>IFERROR(IF(SUMIFS(tblDaily[Remaining],tblDaily[EntryDate],DATE(2026,8,27),tblDaily[WardCode],"MAE")=0,"",SUMIFS(tblDaily[Remaining],tblDaily[EntryDate],DATE(2026,8,27),tblDaily[WardCode],"MAE")),"")</f>
        <v/>
      </c>
      <c r="I314" s="39" t="str">
        <f>IFERROR(IF(SUMIFS(tblDaily[Admissions],tblDaily[EntryDate],DATE(2026,8,27),tblDaily[WardCode],"FAE")=0,"",SUMIFS(tblDaily[Admissions],tblDaily[EntryDate],DATE(2026,8,27),tblDaily[WardCode],"FAE")),"")</f>
        <v/>
      </c>
      <c r="J314" s="39" t="str">
        <f>IFERROR(IF(SUMIFS(tblDaily[Discharges],tblDaily[EntryDate],DATE(2026,8,27),tblDaily[WardCode],"FAE")=0,"",SUMIFS(tblDaily[Discharges],tblDaily[EntryDate],DATE(2026,8,27),tblDaily[WardCode],"FAE")),"")</f>
        <v/>
      </c>
      <c r="K314" s="39" t="str">
        <f>IFERROR(IF(SUMIFS(tblDaily[Deaths],tblDaily[EntryDate],DATE(2026,8,27),tblDaily[WardCode],"FAE")=0,"",SUMIFS(tblDaily[Deaths],tblDaily[EntryDate],DATE(2026,8,27),tblDaily[WardCode],"FAE")),"")</f>
        <v/>
      </c>
      <c r="L314" s="39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39" t="str">
        <f>IFERROR(IF(SUMIFS(tblDaily[TransfersIn],tblDaily[EntryDate],DATE(2026,8,27),tblDaily[WardCode],"FAE")=0,"",SUMIFS(tblDaily[TransfersIn],tblDaily[EntryDate],DATE(2026,8,27),tblDaily[WardCode],"FAE")),"")</f>
        <v/>
      </c>
      <c r="N314" s="39" t="str">
        <f>IFERROR(IF(SUMIFS(tblDaily[TransfersOut],tblDaily[EntryDate],DATE(2026,8,27),tblDaily[WardCode],"FAE")=0,"",SUMIFS(tblDaily[TransfersOut],tblDaily[EntryDate],DATE(2026,8,27),tblDaily[WardCode],"FAE")),"")</f>
        <v/>
      </c>
      <c r="O314" s="39" t="str">
        <f>IFERROR(IF(SUMIFS(tblDaily[Remaining],tblDaily[EntryDate],DATE(2026,8,27),tblDaily[WardCode],"FAE")=0,"",SUMIFS(tblDaily[Remaining],tblDaily[EntryDate],DATE(2026,8,27),tblDaily[WardCode],"FAE")),"")</f>
        <v/>
      </c>
      <c r="P314" s="40" t="str">
        <f t="shared" si="7"/>
        <v/>
      </c>
    </row>
    <row r="315" spans="1:16" x14ac:dyDescent="0.25">
      <c r="A315" s="39">
        <v>28</v>
      </c>
      <c r="B315" s="39" t="str">
        <f>IFERROR(IF(SUMIFS(tblDaily[Admissions],tblDaily[EntryDate],DATE(2026,8,28),tblDaily[WardCode],"MAE")=0,"",SUMIFS(tblDaily[Admissions],tblDaily[EntryDate],DATE(2026,8,28),tblDaily[WardCode],"MAE")),"")</f>
        <v/>
      </c>
      <c r="C315" s="39" t="str">
        <f>IFERROR(IF(SUMIFS(tblDaily[Discharges],tblDaily[EntryDate],DATE(2026,8,28),tblDaily[WardCode],"MAE")=0,"",SUMIFS(tblDaily[Discharges],tblDaily[EntryDate],DATE(2026,8,28),tblDaily[WardCode],"MAE")),"")</f>
        <v/>
      </c>
      <c r="D315" s="39" t="str">
        <f>IFERROR(IF(SUMIFS(tblDaily[Deaths],tblDaily[EntryDate],DATE(2026,8,28),tblDaily[WardCode],"MAE")=0,"",SUMIFS(tblDaily[Deaths],tblDaily[EntryDate],DATE(2026,8,28),tblDaily[WardCode],"MAE")),"")</f>
        <v/>
      </c>
      <c r="E315" s="39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39" t="str">
        <f>IFERROR(IF(SUMIFS(tblDaily[TransfersIn],tblDaily[EntryDate],DATE(2026,8,28),tblDaily[WardCode],"MAE")=0,"",SUMIFS(tblDaily[TransfersIn],tblDaily[EntryDate],DATE(2026,8,28),tblDaily[WardCode],"MAE")),"")</f>
        <v/>
      </c>
      <c r="G315" s="39" t="str">
        <f>IFERROR(IF(SUMIFS(tblDaily[TransfersOut],tblDaily[EntryDate],DATE(2026,8,28),tblDaily[WardCode],"MAE")=0,"",SUMIFS(tblDaily[TransfersOut],tblDaily[EntryDate],DATE(2026,8,28),tblDaily[WardCode],"MAE")),"")</f>
        <v/>
      </c>
      <c r="H315" s="39" t="str">
        <f>IFERROR(IF(SUMIFS(tblDaily[Remaining],tblDaily[EntryDate],DATE(2026,8,28),tblDaily[WardCode],"MAE")=0,"",SUMIFS(tblDaily[Remaining],tblDaily[EntryDate],DATE(2026,8,28),tblDaily[WardCode],"MAE")),"")</f>
        <v/>
      </c>
      <c r="I315" s="39" t="str">
        <f>IFERROR(IF(SUMIFS(tblDaily[Admissions],tblDaily[EntryDate],DATE(2026,8,28),tblDaily[WardCode],"FAE")=0,"",SUMIFS(tblDaily[Admissions],tblDaily[EntryDate],DATE(2026,8,28),tblDaily[WardCode],"FAE")),"")</f>
        <v/>
      </c>
      <c r="J315" s="39" t="str">
        <f>IFERROR(IF(SUMIFS(tblDaily[Discharges],tblDaily[EntryDate],DATE(2026,8,28),tblDaily[WardCode],"FAE")=0,"",SUMIFS(tblDaily[Discharges],tblDaily[EntryDate],DATE(2026,8,28),tblDaily[WardCode],"FAE")),"")</f>
        <v/>
      </c>
      <c r="K315" s="39" t="str">
        <f>IFERROR(IF(SUMIFS(tblDaily[Deaths],tblDaily[EntryDate],DATE(2026,8,28),tblDaily[WardCode],"FAE")=0,"",SUMIFS(tblDaily[Deaths],tblDaily[EntryDate],DATE(2026,8,28),tblDaily[WardCode],"FAE")),"")</f>
        <v/>
      </c>
      <c r="L315" s="39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39" t="str">
        <f>IFERROR(IF(SUMIFS(tblDaily[TransfersIn],tblDaily[EntryDate],DATE(2026,8,28),tblDaily[WardCode],"FAE")=0,"",SUMIFS(tblDaily[TransfersIn],tblDaily[EntryDate],DATE(2026,8,28),tblDaily[WardCode],"FAE")),"")</f>
        <v/>
      </c>
      <c r="N315" s="39" t="str">
        <f>IFERROR(IF(SUMIFS(tblDaily[TransfersOut],tblDaily[EntryDate],DATE(2026,8,28),tblDaily[WardCode],"FAE")=0,"",SUMIFS(tblDaily[TransfersOut],tblDaily[EntryDate],DATE(2026,8,28),tblDaily[WardCode],"FAE")),"")</f>
        <v/>
      </c>
      <c r="O315" s="39" t="str">
        <f>IFERROR(IF(SUMIFS(tblDaily[Remaining],tblDaily[EntryDate],DATE(2026,8,28),tblDaily[WardCode],"FAE")=0,"",SUMIFS(tblDaily[Remaining],tblDaily[EntryDate],DATE(2026,8,28),tblDaily[WardCode],"FAE")),"")</f>
        <v/>
      </c>
      <c r="P315" s="40" t="str">
        <f t="shared" si="7"/>
        <v/>
      </c>
    </row>
    <row r="316" spans="1:16" x14ac:dyDescent="0.25">
      <c r="A316" s="39">
        <v>29</v>
      </c>
      <c r="B316" s="39" t="str">
        <f>IFERROR(IF(SUMIFS(tblDaily[Admissions],tblDaily[EntryDate],DATE(2026,8,29),tblDaily[WardCode],"MAE")=0,"",SUMIFS(tblDaily[Admissions],tblDaily[EntryDate],DATE(2026,8,29),tblDaily[WardCode],"MAE")),"")</f>
        <v/>
      </c>
      <c r="C316" s="39" t="str">
        <f>IFERROR(IF(SUMIFS(tblDaily[Discharges],tblDaily[EntryDate],DATE(2026,8,29),tblDaily[WardCode],"MAE")=0,"",SUMIFS(tblDaily[Discharges],tblDaily[EntryDate],DATE(2026,8,29),tblDaily[WardCode],"MAE")),"")</f>
        <v/>
      </c>
      <c r="D316" s="39" t="str">
        <f>IFERROR(IF(SUMIFS(tblDaily[Deaths],tblDaily[EntryDate],DATE(2026,8,29),tblDaily[WardCode],"MAE")=0,"",SUMIFS(tblDaily[Deaths],tblDaily[EntryDate],DATE(2026,8,29),tblDaily[WardCode],"MAE")),"")</f>
        <v/>
      </c>
      <c r="E316" s="39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39" t="str">
        <f>IFERROR(IF(SUMIFS(tblDaily[TransfersIn],tblDaily[EntryDate],DATE(2026,8,29),tblDaily[WardCode],"MAE")=0,"",SUMIFS(tblDaily[TransfersIn],tblDaily[EntryDate],DATE(2026,8,29),tblDaily[WardCode],"MAE")),"")</f>
        <v/>
      </c>
      <c r="G316" s="39" t="str">
        <f>IFERROR(IF(SUMIFS(tblDaily[TransfersOut],tblDaily[EntryDate],DATE(2026,8,29),tblDaily[WardCode],"MAE")=0,"",SUMIFS(tblDaily[TransfersOut],tblDaily[EntryDate],DATE(2026,8,29),tblDaily[WardCode],"MAE")),"")</f>
        <v/>
      </c>
      <c r="H316" s="39" t="str">
        <f>IFERROR(IF(SUMIFS(tblDaily[Remaining],tblDaily[EntryDate],DATE(2026,8,29),tblDaily[WardCode],"MAE")=0,"",SUMIFS(tblDaily[Remaining],tblDaily[EntryDate],DATE(2026,8,29),tblDaily[WardCode],"MAE")),"")</f>
        <v/>
      </c>
      <c r="I316" s="39" t="str">
        <f>IFERROR(IF(SUMIFS(tblDaily[Admissions],tblDaily[EntryDate],DATE(2026,8,29),tblDaily[WardCode],"FAE")=0,"",SUMIFS(tblDaily[Admissions],tblDaily[EntryDate],DATE(2026,8,29),tblDaily[WardCode],"FAE")),"")</f>
        <v/>
      </c>
      <c r="J316" s="39" t="str">
        <f>IFERROR(IF(SUMIFS(tblDaily[Discharges],tblDaily[EntryDate],DATE(2026,8,29),tblDaily[WardCode],"FAE")=0,"",SUMIFS(tblDaily[Discharges],tblDaily[EntryDate],DATE(2026,8,29),tblDaily[WardCode],"FAE")),"")</f>
        <v/>
      </c>
      <c r="K316" s="39" t="str">
        <f>IFERROR(IF(SUMIFS(tblDaily[Deaths],tblDaily[EntryDate],DATE(2026,8,29),tblDaily[WardCode],"FAE")=0,"",SUMIFS(tblDaily[Deaths],tblDaily[EntryDate],DATE(2026,8,29),tblDaily[WardCode],"FAE")),"")</f>
        <v/>
      </c>
      <c r="L316" s="39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39" t="str">
        <f>IFERROR(IF(SUMIFS(tblDaily[TransfersIn],tblDaily[EntryDate],DATE(2026,8,29),tblDaily[WardCode],"FAE")=0,"",SUMIFS(tblDaily[TransfersIn],tblDaily[EntryDate],DATE(2026,8,29),tblDaily[WardCode],"FAE")),"")</f>
        <v/>
      </c>
      <c r="N316" s="39" t="str">
        <f>IFERROR(IF(SUMIFS(tblDaily[TransfersOut],tblDaily[EntryDate],DATE(2026,8,29),tblDaily[WardCode],"FAE")=0,"",SUMIFS(tblDaily[TransfersOut],tblDaily[EntryDate],DATE(2026,8,29),tblDaily[WardCode],"FAE")),"")</f>
        <v/>
      </c>
      <c r="O316" s="39" t="str">
        <f>IFERROR(IF(SUMIFS(tblDaily[Remaining],tblDaily[EntryDate],DATE(2026,8,29),tblDaily[WardCode],"FAE")=0,"",SUMIFS(tblDaily[Remaining],tblDaily[EntryDate],DATE(2026,8,29),tblDaily[WardCode],"FAE")),"")</f>
        <v/>
      </c>
      <c r="P316" s="40" t="str">
        <f t="shared" si="7"/>
        <v/>
      </c>
    </row>
    <row r="317" spans="1:16" x14ac:dyDescent="0.25">
      <c r="A317" s="39">
        <v>30</v>
      </c>
      <c r="B317" s="39" t="str">
        <f>IFERROR(IF(SUMIFS(tblDaily[Admissions],tblDaily[EntryDate],DATE(2026,8,30),tblDaily[WardCode],"MAE")=0,"",SUMIFS(tblDaily[Admissions],tblDaily[EntryDate],DATE(2026,8,30),tblDaily[WardCode],"MAE")),"")</f>
        <v/>
      </c>
      <c r="C317" s="39" t="str">
        <f>IFERROR(IF(SUMIFS(tblDaily[Discharges],tblDaily[EntryDate],DATE(2026,8,30),tblDaily[WardCode],"MAE")=0,"",SUMIFS(tblDaily[Discharges],tblDaily[EntryDate],DATE(2026,8,30),tblDaily[WardCode],"MAE")),"")</f>
        <v/>
      </c>
      <c r="D317" s="39" t="str">
        <f>IFERROR(IF(SUMIFS(tblDaily[Deaths],tblDaily[EntryDate],DATE(2026,8,30),tblDaily[WardCode],"MAE")=0,"",SUMIFS(tblDaily[Deaths],tblDaily[EntryDate],DATE(2026,8,30),tblDaily[WardCode],"MAE")),"")</f>
        <v/>
      </c>
      <c r="E317" s="39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39" t="str">
        <f>IFERROR(IF(SUMIFS(tblDaily[TransfersIn],tblDaily[EntryDate],DATE(2026,8,30),tblDaily[WardCode],"MAE")=0,"",SUMIFS(tblDaily[TransfersIn],tblDaily[EntryDate],DATE(2026,8,30),tblDaily[WardCode],"MAE")),"")</f>
        <v/>
      </c>
      <c r="G317" s="39" t="str">
        <f>IFERROR(IF(SUMIFS(tblDaily[TransfersOut],tblDaily[EntryDate],DATE(2026,8,30),tblDaily[WardCode],"MAE")=0,"",SUMIFS(tblDaily[TransfersOut],tblDaily[EntryDate],DATE(2026,8,30),tblDaily[WardCode],"MAE")),"")</f>
        <v/>
      </c>
      <c r="H317" s="39" t="str">
        <f>IFERROR(IF(SUMIFS(tblDaily[Remaining],tblDaily[EntryDate],DATE(2026,8,30),tblDaily[WardCode],"MAE")=0,"",SUMIFS(tblDaily[Remaining],tblDaily[EntryDate],DATE(2026,8,30),tblDaily[WardCode],"MAE")),"")</f>
        <v/>
      </c>
      <c r="I317" s="39" t="str">
        <f>IFERROR(IF(SUMIFS(tblDaily[Admissions],tblDaily[EntryDate],DATE(2026,8,30),tblDaily[WardCode],"FAE")=0,"",SUMIFS(tblDaily[Admissions],tblDaily[EntryDate],DATE(2026,8,30),tblDaily[WardCode],"FAE")),"")</f>
        <v/>
      </c>
      <c r="J317" s="39" t="str">
        <f>IFERROR(IF(SUMIFS(tblDaily[Discharges],tblDaily[EntryDate],DATE(2026,8,30),tblDaily[WardCode],"FAE")=0,"",SUMIFS(tblDaily[Discharges],tblDaily[EntryDate],DATE(2026,8,30),tblDaily[WardCode],"FAE")),"")</f>
        <v/>
      </c>
      <c r="K317" s="39" t="str">
        <f>IFERROR(IF(SUMIFS(tblDaily[Deaths],tblDaily[EntryDate],DATE(2026,8,30),tblDaily[WardCode],"FAE")=0,"",SUMIFS(tblDaily[Deaths],tblDaily[EntryDate],DATE(2026,8,30),tblDaily[WardCode],"FAE")),"")</f>
        <v/>
      </c>
      <c r="L317" s="39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39" t="str">
        <f>IFERROR(IF(SUMIFS(tblDaily[TransfersIn],tblDaily[EntryDate],DATE(2026,8,30),tblDaily[WardCode],"FAE")=0,"",SUMIFS(tblDaily[TransfersIn],tblDaily[EntryDate],DATE(2026,8,30),tblDaily[WardCode],"FAE")),"")</f>
        <v/>
      </c>
      <c r="N317" s="39" t="str">
        <f>IFERROR(IF(SUMIFS(tblDaily[TransfersOut],tblDaily[EntryDate],DATE(2026,8,30),tblDaily[WardCode],"FAE")=0,"",SUMIFS(tblDaily[TransfersOut],tblDaily[EntryDate],DATE(2026,8,30),tblDaily[WardCode],"FAE")),"")</f>
        <v/>
      </c>
      <c r="O317" s="39" t="str">
        <f>IFERROR(IF(SUMIFS(tblDaily[Remaining],tblDaily[EntryDate],DATE(2026,8,30),tblDaily[WardCode],"FAE")=0,"",SUMIFS(tblDaily[Remaining],tblDaily[EntryDate],DATE(2026,8,30),tblDaily[WardCode],"FAE")),"")</f>
        <v/>
      </c>
      <c r="P317" s="40" t="str">
        <f t="shared" si="7"/>
        <v/>
      </c>
    </row>
    <row r="318" spans="1:16" x14ac:dyDescent="0.25">
      <c r="A318" s="39">
        <v>31</v>
      </c>
      <c r="B318" s="39" t="str">
        <f>IFERROR(IF(SUMIFS(tblDaily[Admissions],tblDaily[EntryDate],DATE(2026,8,31),tblDaily[WardCode],"MAE")=0,"",SUMIFS(tblDaily[Admissions],tblDaily[EntryDate],DATE(2026,8,31),tblDaily[WardCode],"MAE")),"")</f>
        <v/>
      </c>
      <c r="C318" s="39" t="str">
        <f>IFERROR(IF(SUMIFS(tblDaily[Discharges],tblDaily[EntryDate],DATE(2026,8,31),tblDaily[WardCode],"MAE")=0,"",SUMIFS(tblDaily[Discharges],tblDaily[EntryDate],DATE(2026,8,31),tblDaily[WardCode],"MAE")),"")</f>
        <v/>
      </c>
      <c r="D318" s="39" t="str">
        <f>IFERROR(IF(SUMIFS(tblDaily[Deaths],tblDaily[EntryDate],DATE(2026,8,31),tblDaily[WardCode],"MAE")=0,"",SUMIFS(tblDaily[Deaths],tblDaily[EntryDate],DATE(2026,8,31),tblDaily[WardCode],"MAE")),"")</f>
        <v/>
      </c>
      <c r="E318" s="39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39" t="str">
        <f>IFERROR(IF(SUMIFS(tblDaily[TransfersIn],tblDaily[EntryDate],DATE(2026,8,31),tblDaily[WardCode],"MAE")=0,"",SUMIFS(tblDaily[TransfersIn],tblDaily[EntryDate],DATE(2026,8,31),tblDaily[WardCode],"MAE")),"")</f>
        <v/>
      </c>
      <c r="G318" s="39" t="str">
        <f>IFERROR(IF(SUMIFS(tblDaily[TransfersOut],tblDaily[EntryDate],DATE(2026,8,31),tblDaily[WardCode],"MAE")=0,"",SUMIFS(tblDaily[TransfersOut],tblDaily[EntryDate],DATE(2026,8,31),tblDaily[WardCode],"MAE")),"")</f>
        <v/>
      </c>
      <c r="H318" s="39" t="str">
        <f>IFERROR(IF(SUMIFS(tblDaily[Remaining],tblDaily[EntryDate],DATE(2026,8,31),tblDaily[WardCode],"MAE")=0,"",SUMIFS(tblDaily[Remaining],tblDaily[EntryDate],DATE(2026,8,31),tblDaily[WardCode],"MAE")),"")</f>
        <v/>
      </c>
      <c r="I318" s="39" t="str">
        <f>IFERROR(IF(SUMIFS(tblDaily[Admissions],tblDaily[EntryDate],DATE(2026,8,31),tblDaily[WardCode],"FAE")=0,"",SUMIFS(tblDaily[Admissions],tblDaily[EntryDate],DATE(2026,8,31),tblDaily[WardCode],"FAE")),"")</f>
        <v/>
      </c>
      <c r="J318" s="39" t="str">
        <f>IFERROR(IF(SUMIFS(tblDaily[Discharges],tblDaily[EntryDate],DATE(2026,8,31),tblDaily[WardCode],"FAE")=0,"",SUMIFS(tblDaily[Discharges],tblDaily[EntryDate],DATE(2026,8,31),tblDaily[WardCode],"FAE")),"")</f>
        <v/>
      </c>
      <c r="K318" s="39" t="str">
        <f>IFERROR(IF(SUMIFS(tblDaily[Deaths],tblDaily[EntryDate],DATE(2026,8,31),tblDaily[WardCode],"FAE")=0,"",SUMIFS(tblDaily[Deaths],tblDaily[EntryDate],DATE(2026,8,31),tblDaily[WardCode],"FAE")),"")</f>
        <v/>
      </c>
      <c r="L318" s="39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39" t="str">
        <f>IFERROR(IF(SUMIFS(tblDaily[TransfersIn],tblDaily[EntryDate],DATE(2026,8,31),tblDaily[WardCode],"FAE")=0,"",SUMIFS(tblDaily[TransfersIn],tblDaily[EntryDate],DATE(2026,8,31),tblDaily[WardCode],"FAE")),"")</f>
        <v/>
      </c>
      <c r="N318" s="39" t="str">
        <f>IFERROR(IF(SUMIFS(tblDaily[TransfersOut],tblDaily[EntryDate],DATE(2026,8,31),tblDaily[WardCode],"FAE")=0,"",SUMIFS(tblDaily[TransfersOut],tblDaily[EntryDate],DATE(2026,8,31),tblDaily[WardCode],"FAE")),"")</f>
        <v/>
      </c>
      <c r="O318" s="39" t="str">
        <f>IFERROR(IF(SUMIFS(tblDaily[Remaining],tblDaily[EntryDate],DATE(2026,8,31),tblDaily[WardCode],"FAE")=0,"",SUMIFS(tblDaily[Remaining],tblDaily[EntryDate],DATE(2026,8,31),tblDaily[WardCode],"FAE")),"")</f>
        <v/>
      </c>
      <c r="P318" s="40" t="str">
        <f t="shared" si="7"/>
        <v/>
      </c>
    </row>
    <row r="319" spans="1:16" x14ac:dyDescent="0.25">
      <c r="A319" s="30" t="s">
        <v>115</v>
      </c>
      <c r="B319" s="30">
        <f>SUMIFS(tblDaily[Admissions],tblDaily[Month],8,tblDaily[WardCode],"MAE") - SUMIFS(tblDaily[DeathsUnder24Hrs],tblDaily[Month],8,tblDaily[WardCode],"MAE")</f>
        <v>0</v>
      </c>
      <c r="C319" s="30">
        <f>SUMIFS(tblDaily[Discharges],tblDaily[Month],8,tblDaily[WardCode],"MAE")</f>
        <v>0</v>
      </c>
      <c r="D319" s="30">
        <f>SUMIFS(tblDaily[Deaths],tblDaily[Month],8,tblDaily[WardCode],"MAE")</f>
        <v>0</v>
      </c>
      <c r="E319" s="30">
        <f>SUMIFS(tblDaily[DeathsUnder24Hrs],tblDaily[Month],8,tblDaily[WardCode],"MAE")</f>
        <v>0</v>
      </c>
      <c r="F319" s="30">
        <f>SUMIFS(tblDaily[TransfersIn],tblDaily[Month],8,tblDaily[WardCode],"MAE")</f>
        <v>0</v>
      </c>
      <c r="G319" s="30">
        <f>SUMIFS(tblDaily[TransfersOut],tblDaily[Month],8,tblDaily[WardCode],"MAE")</f>
        <v>0</v>
      </c>
      <c r="H319" s="30">
        <f>SUMIFS(tblDaily[Remaining],tblDaily[Month],8,tblDaily[WardCode],"MAE")</f>
        <v>0</v>
      </c>
      <c r="I319" s="30">
        <f>SUMIFS(tblDaily[Admissions],tblDaily[Month],8,tblDaily[WardCode],"FAE") - SUMIFS(tblDaily[DeathsUnder24Hrs],tblDaily[Month],8,tblDaily[WardCode],"FAE")</f>
        <v>0</v>
      </c>
      <c r="J319" s="30">
        <f>SUMIFS(tblDaily[Discharges],tblDaily[Month],8,tblDaily[WardCode],"FAE")</f>
        <v>0</v>
      </c>
      <c r="K319" s="30">
        <f>SUMIFS(tblDaily[Deaths],tblDaily[Month],8,tblDaily[WardCode],"FAE")</f>
        <v>0</v>
      </c>
      <c r="L319" s="30">
        <f>SUMIFS(tblDaily[DeathsUnder24Hrs],tblDaily[Month],8,tblDaily[WardCode],"FAE")</f>
        <v>0</v>
      </c>
      <c r="M319" s="30">
        <f>SUMIFS(tblDaily[TransfersIn],tblDaily[Month],8,tblDaily[WardCode],"FAE")</f>
        <v>0</v>
      </c>
      <c r="N319" s="30">
        <f>SUMIFS(tblDaily[TransfersOut],tblDaily[Month],8,tblDaily[WardCode],"FAE")</f>
        <v>0</v>
      </c>
      <c r="O319" s="30">
        <f>SUMIFS(tblDaily[Remaining],tblDaily[Month],8,tblDaily[WardCode],"FAE")</f>
        <v>0</v>
      </c>
      <c r="P319" s="30">
        <f>H319 + O319</f>
        <v>0</v>
      </c>
    </row>
    <row r="321" spans="1:16" ht="18.75" x14ac:dyDescent="0.25">
      <c r="A321" s="32" t="s">
        <v>0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6" ht="15.75" x14ac:dyDescent="0.25">
      <c r="A322" s="23" t="s">
        <v>104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</row>
    <row r="323" spans="1:16" x14ac:dyDescent="0.25">
      <c r="A323" s="24" t="s">
        <v>4</v>
      </c>
      <c r="B323" s="25" t="s">
        <v>2</v>
      </c>
      <c r="E323" s="24" t="s">
        <v>105</v>
      </c>
      <c r="F323" s="24" t="s">
        <v>125</v>
      </c>
      <c r="M323" s="24" t="s">
        <v>107</v>
      </c>
      <c r="N323" s="24" t="s">
        <v>71</v>
      </c>
    </row>
    <row r="324" spans="1:16" x14ac:dyDescent="0.25">
      <c r="A324" s="24" t="s">
        <v>108</v>
      </c>
      <c r="B324" s="33">
        <f>IFERROR(SUMIFS(tblDaily[Remaining],tblDaily[EntryDate],DATE(2026,8,31),tblDaily[WardCode],"MAE"),0)</f>
        <v>0</v>
      </c>
      <c r="I324" s="33">
        <f>IFERROR(SUMIFS(tblDaily[Remaining],tblDaily[EntryDate],DATE(2026,8,31),tblDaily[WardCode],"FAE"),0)</f>
        <v>0</v>
      </c>
    </row>
    <row r="325" spans="1:16" x14ac:dyDescent="0.25">
      <c r="A325" s="24" t="s">
        <v>109</v>
      </c>
      <c r="B325" s="33">
        <f>IFERROR(INDEX(tblWardConfig[BedComplement],MATCH("MAE",tblWardConfig[WardCode],0)),0)</f>
        <v>10</v>
      </c>
      <c r="I325" s="33">
        <f>IFERROR(INDEX(tblWardConfig[BedComplement],MATCH("FAE",tblWardConfig[WardCode],0)),0)</f>
        <v>10</v>
      </c>
      <c r="O325" s="34">
        <f>B325+I325</f>
        <v>20</v>
      </c>
    </row>
    <row r="326" spans="1:16" x14ac:dyDescent="0.25">
      <c r="A326" s="35" t="s">
        <v>126</v>
      </c>
      <c r="B326" s="36" t="s">
        <v>122</v>
      </c>
      <c r="C326" s="22"/>
      <c r="D326" s="22"/>
      <c r="E326" s="22"/>
      <c r="F326" s="22"/>
      <c r="G326" s="22"/>
      <c r="H326" s="22"/>
      <c r="I326" s="37" t="s">
        <v>123</v>
      </c>
      <c r="J326" s="22"/>
      <c r="K326" s="22"/>
      <c r="L326" s="22"/>
      <c r="M326" s="22"/>
      <c r="N326" s="22"/>
      <c r="O326" s="22"/>
      <c r="P326" s="38" t="s">
        <v>115</v>
      </c>
    </row>
    <row r="327" spans="1:16" x14ac:dyDescent="0.25">
      <c r="A327" s="35" t="s">
        <v>126</v>
      </c>
      <c r="B327" s="35" t="s">
        <v>127</v>
      </c>
      <c r="C327" s="35" t="s">
        <v>128</v>
      </c>
      <c r="D327" s="35" t="s">
        <v>129</v>
      </c>
      <c r="E327" s="35" t="s">
        <v>130</v>
      </c>
      <c r="F327" s="35" t="s">
        <v>131</v>
      </c>
      <c r="G327" s="35" t="s">
        <v>132</v>
      </c>
      <c r="H327" s="35" t="s">
        <v>133</v>
      </c>
      <c r="I327" s="35" t="s">
        <v>127</v>
      </c>
      <c r="J327" s="35" t="s">
        <v>128</v>
      </c>
      <c r="K327" s="35" t="s">
        <v>129</v>
      </c>
      <c r="L327" s="35" t="s">
        <v>130</v>
      </c>
      <c r="M327" s="35" t="s">
        <v>131</v>
      </c>
      <c r="N327" s="35" t="s">
        <v>132</v>
      </c>
      <c r="O327" s="35" t="s">
        <v>133</v>
      </c>
      <c r="P327" s="35" t="s">
        <v>134</v>
      </c>
    </row>
    <row r="328" spans="1:16" x14ac:dyDescent="0.25">
      <c r="A328" s="39">
        <v>1</v>
      </c>
      <c r="B328" s="39" t="str">
        <f>IFERROR(IF(SUMIFS(tblDaily[Admissions],tblDaily[EntryDate],DATE(2026,9,1),tblDaily[WardCode],"MAE")=0,"",SUMIFS(tblDaily[Admissions],tblDaily[EntryDate],DATE(2026,9,1),tblDaily[WardCode],"MAE")),"")</f>
        <v/>
      </c>
      <c r="C328" s="39" t="str">
        <f>IFERROR(IF(SUMIFS(tblDaily[Discharges],tblDaily[EntryDate],DATE(2026,9,1),tblDaily[WardCode],"MAE")=0,"",SUMIFS(tblDaily[Discharges],tblDaily[EntryDate],DATE(2026,9,1),tblDaily[WardCode],"MAE")),"")</f>
        <v/>
      </c>
      <c r="D328" s="39" t="str">
        <f>IFERROR(IF(SUMIFS(tblDaily[Deaths],tblDaily[EntryDate],DATE(2026,9,1),tblDaily[WardCode],"MAE")=0,"",SUMIFS(tblDaily[Deaths],tblDaily[EntryDate],DATE(2026,9,1),tblDaily[WardCode],"MAE")),"")</f>
        <v/>
      </c>
      <c r="E328" s="39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39" t="str">
        <f>IFERROR(IF(SUMIFS(tblDaily[TransfersIn],tblDaily[EntryDate],DATE(2026,9,1),tblDaily[WardCode],"MAE")=0,"",SUMIFS(tblDaily[TransfersIn],tblDaily[EntryDate],DATE(2026,9,1),tblDaily[WardCode],"MAE")),"")</f>
        <v/>
      </c>
      <c r="G328" s="39" t="str">
        <f>IFERROR(IF(SUMIFS(tblDaily[TransfersOut],tblDaily[EntryDate],DATE(2026,9,1),tblDaily[WardCode],"MAE")=0,"",SUMIFS(tblDaily[TransfersOut],tblDaily[EntryDate],DATE(2026,9,1),tblDaily[WardCode],"MAE")),"")</f>
        <v/>
      </c>
      <c r="H328" s="39" t="str">
        <f>IFERROR(IF(SUMIFS(tblDaily[Remaining],tblDaily[EntryDate],DATE(2026,9,1),tblDaily[WardCode],"MAE")=0,"",SUMIFS(tblDaily[Remaining],tblDaily[EntryDate],DATE(2026,9,1),tblDaily[WardCode],"MAE")),"")</f>
        <v/>
      </c>
      <c r="I328" s="39" t="str">
        <f>IFERROR(IF(SUMIFS(tblDaily[Admissions],tblDaily[EntryDate],DATE(2026,9,1),tblDaily[WardCode],"FAE")=0,"",SUMIFS(tblDaily[Admissions],tblDaily[EntryDate],DATE(2026,9,1),tblDaily[WardCode],"FAE")),"")</f>
        <v/>
      </c>
      <c r="J328" s="39" t="str">
        <f>IFERROR(IF(SUMIFS(tblDaily[Discharges],tblDaily[EntryDate],DATE(2026,9,1),tblDaily[WardCode],"FAE")=0,"",SUMIFS(tblDaily[Discharges],tblDaily[EntryDate],DATE(2026,9,1),tblDaily[WardCode],"FAE")),"")</f>
        <v/>
      </c>
      <c r="K328" s="39" t="str">
        <f>IFERROR(IF(SUMIFS(tblDaily[Deaths],tblDaily[EntryDate],DATE(2026,9,1),tblDaily[WardCode],"FAE")=0,"",SUMIFS(tblDaily[Deaths],tblDaily[EntryDate],DATE(2026,9,1),tblDaily[WardCode],"FAE")),"")</f>
        <v/>
      </c>
      <c r="L328" s="39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39" t="str">
        <f>IFERROR(IF(SUMIFS(tblDaily[TransfersIn],tblDaily[EntryDate],DATE(2026,9,1),tblDaily[WardCode],"FAE")=0,"",SUMIFS(tblDaily[TransfersIn],tblDaily[EntryDate],DATE(2026,9,1),tblDaily[WardCode],"FAE")),"")</f>
        <v/>
      </c>
      <c r="N328" s="39" t="str">
        <f>IFERROR(IF(SUMIFS(tblDaily[TransfersOut],tblDaily[EntryDate],DATE(2026,9,1),tblDaily[WardCode],"FAE")=0,"",SUMIFS(tblDaily[TransfersOut],tblDaily[EntryDate],DATE(2026,9,1),tblDaily[WardCode],"FAE")),"")</f>
        <v/>
      </c>
      <c r="O328" s="39" t="str">
        <f>IFERROR(IF(SUMIFS(tblDaily[Remaining],tblDaily[EntryDate],DATE(2026,9,1),tblDaily[WardCode],"FAE")=0,"",SUMIFS(tblDaily[Remaining],tblDaily[EntryDate],DATE(2026,9,1),tblDaily[WardCode],"FAE")),"")</f>
        <v/>
      </c>
      <c r="P328" s="40" t="str">
        <f t="shared" ref="P328:P357" si="8">IF(AND(H328="", O328=""), "", N(H328) + N(O328))</f>
        <v/>
      </c>
    </row>
    <row r="329" spans="1:16" x14ac:dyDescent="0.25">
      <c r="A329" s="39">
        <v>2</v>
      </c>
      <c r="B329" s="39" t="str">
        <f>IFERROR(IF(SUMIFS(tblDaily[Admissions],tblDaily[EntryDate],DATE(2026,9,2),tblDaily[WardCode],"MAE")=0,"",SUMIFS(tblDaily[Admissions],tblDaily[EntryDate],DATE(2026,9,2),tblDaily[WardCode],"MAE")),"")</f>
        <v/>
      </c>
      <c r="C329" s="39" t="str">
        <f>IFERROR(IF(SUMIFS(tblDaily[Discharges],tblDaily[EntryDate],DATE(2026,9,2),tblDaily[WardCode],"MAE")=0,"",SUMIFS(tblDaily[Discharges],tblDaily[EntryDate],DATE(2026,9,2),tblDaily[WardCode],"MAE")),"")</f>
        <v/>
      </c>
      <c r="D329" s="39" t="str">
        <f>IFERROR(IF(SUMIFS(tblDaily[Deaths],tblDaily[EntryDate],DATE(2026,9,2),tblDaily[WardCode],"MAE")=0,"",SUMIFS(tblDaily[Deaths],tblDaily[EntryDate],DATE(2026,9,2),tblDaily[WardCode],"MAE")),"")</f>
        <v/>
      </c>
      <c r="E329" s="39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39" t="str">
        <f>IFERROR(IF(SUMIFS(tblDaily[TransfersIn],tblDaily[EntryDate],DATE(2026,9,2),tblDaily[WardCode],"MAE")=0,"",SUMIFS(tblDaily[TransfersIn],tblDaily[EntryDate],DATE(2026,9,2),tblDaily[WardCode],"MAE")),"")</f>
        <v/>
      </c>
      <c r="G329" s="39" t="str">
        <f>IFERROR(IF(SUMIFS(tblDaily[TransfersOut],tblDaily[EntryDate],DATE(2026,9,2),tblDaily[WardCode],"MAE")=0,"",SUMIFS(tblDaily[TransfersOut],tblDaily[EntryDate],DATE(2026,9,2),tblDaily[WardCode],"MAE")),"")</f>
        <v/>
      </c>
      <c r="H329" s="39" t="str">
        <f>IFERROR(IF(SUMIFS(tblDaily[Remaining],tblDaily[EntryDate],DATE(2026,9,2),tblDaily[WardCode],"MAE")=0,"",SUMIFS(tblDaily[Remaining],tblDaily[EntryDate],DATE(2026,9,2),tblDaily[WardCode],"MAE")),"")</f>
        <v/>
      </c>
      <c r="I329" s="39" t="str">
        <f>IFERROR(IF(SUMIFS(tblDaily[Admissions],tblDaily[EntryDate],DATE(2026,9,2),tblDaily[WardCode],"FAE")=0,"",SUMIFS(tblDaily[Admissions],tblDaily[EntryDate],DATE(2026,9,2),tblDaily[WardCode],"FAE")),"")</f>
        <v/>
      </c>
      <c r="J329" s="39" t="str">
        <f>IFERROR(IF(SUMIFS(tblDaily[Discharges],tblDaily[EntryDate],DATE(2026,9,2),tblDaily[WardCode],"FAE")=0,"",SUMIFS(tblDaily[Discharges],tblDaily[EntryDate],DATE(2026,9,2),tblDaily[WardCode],"FAE")),"")</f>
        <v/>
      </c>
      <c r="K329" s="39" t="str">
        <f>IFERROR(IF(SUMIFS(tblDaily[Deaths],tblDaily[EntryDate],DATE(2026,9,2),tblDaily[WardCode],"FAE")=0,"",SUMIFS(tblDaily[Deaths],tblDaily[EntryDate],DATE(2026,9,2),tblDaily[WardCode],"FAE")),"")</f>
        <v/>
      </c>
      <c r="L329" s="39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39" t="str">
        <f>IFERROR(IF(SUMIFS(tblDaily[TransfersIn],tblDaily[EntryDate],DATE(2026,9,2),tblDaily[WardCode],"FAE")=0,"",SUMIFS(tblDaily[TransfersIn],tblDaily[EntryDate],DATE(2026,9,2),tblDaily[WardCode],"FAE")),"")</f>
        <v/>
      </c>
      <c r="N329" s="39" t="str">
        <f>IFERROR(IF(SUMIFS(tblDaily[TransfersOut],tblDaily[EntryDate],DATE(2026,9,2),tblDaily[WardCode],"FAE")=0,"",SUMIFS(tblDaily[TransfersOut],tblDaily[EntryDate],DATE(2026,9,2),tblDaily[WardCode],"FAE")),"")</f>
        <v/>
      </c>
      <c r="O329" s="39" t="str">
        <f>IFERROR(IF(SUMIFS(tblDaily[Remaining],tblDaily[EntryDate],DATE(2026,9,2),tblDaily[WardCode],"FAE")=0,"",SUMIFS(tblDaily[Remaining],tblDaily[EntryDate],DATE(2026,9,2),tblDaily[WardCode],"FAE")),"")</f>
        <v/>
      </c>
      <c r="P329" s="40" t="str">
        <f t="shared" si="8"/>
        <v/>
      </c>
    </row>
    <row r="330" spans="1:16" x14ac:dyDescent="0.25">
      <c r="A330" s="39">
        <v>3</v>
      </c>
      <c r="B330" s="39" t="str">
        <f>IFERROR(IF(SUMIFS(tblDaily[Admissions],tblDaily[EntryDate],DATE(2026,9,3),tblDaily[WardCode],"MAE")=0,"",SUMIFS(tblDaily[Admissions],tblDaily[EntryDate],DATE(2026,9,3),tblDaily[WardCode],"MAE")),"")</f>
        <v/>
      </c>
      <c r="C330" s="39" t="str">
        <f>IFERROR(IF(SUMIFS(tblDaily[Discharges],tblDaily[EntryDate],DATE(2026,9,3),tblDaily[WardCode],"MAE")=0,"",SUMIFS(tblDaily[Discharges],tblDaily[EntryDate],DATE(2026,9,3),tblDaily[WardCode],"MAE")),"")</f>
        <v/>
      </c>
      <c r="D330" s="39" t="str">
        <f>IFERROR(IF(SUMIFS(tblDaily[Deaths],tblDaily[EntryDate],DATE(2026,9,3),tblDaily[WardCode],"MAE")=0,"",SUMIFS(tblDaily[Deaths],tblDaily[EntryDate],DATE(2026,9,3),tblDaily[WardCode],"MAE")),"")</f>
        <v/>
      </c>
      <c r="E330" s="39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39" t="str">
        <f>IFERROR(IF(SUMIFS(tblDaily[TransfersIn],tblDaily[EntryDate],DATE(2026,9,3),tblDaily[WardCode],"MAE")=0,"",SUMIFS(tblDaily[TransfersIn],tblDaily[EntryDate],DATE(2026,9,3),tblDaily[WardCode],"MAE")),"")</f>
        <v/>
      </c>
      <c r="G330" s="39" t="str">
        <f>IFERROR(IF(SUMIFS(tblDaily[TransfersOut],tblDaily[EntryDate],DATE(2026,9,3),tblDaily[WardCode],"MAE")=0,"",SUMIFS(tblDaily[TransfersOut],tblDaily[EntryDate],DATE(2026,9,3),tblDaily[WardCode],"MAE")),"")</f>
        <v/>
      </c>
      <c r="H330" s="39" t="str">
        <f>IFERROR(IF(SUMIFS(tblDaily[Remaining],tblDaily[EntryDate],DATE(2026,9,3),tblDaily[WardCode],"MAE")=0,"",SUMIFS(tblDaily[Remaining],tblDaily[EntryDate],DATE(2026,9,3),tblDaily[WardCode],"MAE")),"")</f>
        <v/>
      </c>
      <c r="I330" s="39" t="str">
        <f>IFERROR(IF(SUMIFS(tblDaily[Admissions],tblDaily[EntryDate],DATE(2026,9,3),tblDaily[WardCode],"FAE")=0,"",SUMIFS(tblDaily[Admissions],tblDaily[EntryDate],DATE(2026,9,3),tblDaily[WardCode],"FAE")),"")</f>
        <v/>
      </c>
      <c r="J330" s="39" t="str">
        <f>IFERROR(IF(SUMIFS(tblDaily[Discharges],tblDaily[EntryDate],DATE(2026,9,3),tblDaily[WardCode],"FAE")=0,"",SUMIFS(tblDaily[Discharges],tblDaily[EntryDate],DATE(2026,9,3),tblDaily[WardCode],"FAE")),"")</f>
        <v/>
      </c>
      <c r="K330" s="39" t="str">
        <f>IFERROR(IF(SUMIFS(tblDaily[Deaths],tblDaily[EntryDate],DATE(2026,9,3),tblDaily[WardCode],"FAE")=0,"",SUMIFS(tblDaily[Deaths],tblDaily[EntryDate],DATE(2026,9,3),tblDaily[WardCode],"FAE")),"")</f>
        <v/>
      </c>
      <c r="L330" s="39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39" t="str">
        <f>IFERROR(IF(SUMIFS(tblDaily[TransfersIn],tblDaily[EntryDate],DATE(2026,9,3),tblDaily[WardCode],"FAE")=0,"",SUMIFS(tblDaily[TransfersIn],tblDaily[EntryDate],DATE(2026,9,3),tblDaily[WardCode],"FAE")),"")</f>
        <v/>
      </c>
      <c r="N330" s="39" t="str">
        <f>IFERROR(IF(SUMIFS(tblDaily[TransfersOut],tblDaily[EntryDate],DATE(2026,9,3),tblDaily[WardCode],"FAE")=0,"",SUMIFS(tblDaily[TransfersOut],tblDaily[EntryDate],DATE(2026,9,3),tblDaily[WardCode],"FAE")),"")</f>
        <v/>
      </c>
      <c r="O330" s="39" t="str">
        <f>IFERROR(IF(SUMIFS(tblDaily[Remaining],tblDaily[EntryDate],DATE(2026,9,3),tblDaily[WardCode],"FAE")=0,"",SUMIFS(tblDaily[Remaining],tblDaily[EntryDate],DATE(2026,9,3),tblDaily[WardCode],"FAE")),"")</f>
        <v/>
      </c>
      <c r="P330" s="40" t="str">
        <f t="shared" si="8"/>
        <v/>
      </c>
    </row>
    <row r="331" spans="1:16" x14ac:dyDescent="0.25">
      <c r="A331" s="39">
        <v>4</v>
      </c>
      <c r="B331" s="39" t="str">
        <f>IFERROR(IF(SUMIFS(tblDaily[Admissions],tblDaily[EntryDate],DATE(2026,9,4),tblDaily[WardCode],"MAE")=0,"",SUMIFS(tblDaily[Admissions],tblDaily[EntryDate],DATE(2026,9,4),tblDaily[WardCode],"MAE")),"")</f>
        <v/>
      </c>
      <c r="C331" s="39" t="str">
        <f>IFERROR(IF(SUMIFS(tblDaily[Discharges],tblDaily[EntryDate],DATE(2026,9,4),tblDaily[WardCode],"MAE")=0,"",SUMIFS(tblDaily[Discharges],tblDaily[EntryDate],DATE(2026,9,4),tblDaily[WardCode],"MAE")),"")</f>
        <v/>
      </c>
      <c r="D331" s="39" t="str">
        <f>IFERROR(IF(SUMIFS(tblDaily[Deaths],tblDaily[EntryDate],DATE(2026,9,4),tblDaily[WardCode],"MAE")=0,"",SUMIFS(tblDaily[Deaths],tblDaily[EntryDate],DATE(2026,9,4),tblDaily[WardCode],"MAE")),"")</f>
        <v/>
      </c>
      <c r="E331" s="39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39" t="str">
        <f>IFERROR(IF(SUMIFS(tblDaily[TransfersIn],tblDaily[EntryDate],DATE(2026,9,4),tblDaily[WardCode],"MAE")=0,"",SUMIFS(tblDaily[TransfersIn],tblDaily[EntryDate],DATE(2026,9,4),tblDaily[WardCode],"MAE")),"")</f>
        <v/>
      </c>
      <c r="G331" s="39" t="str">
        <f>IFERROR(IF(SUMIFS(tblDaily[TransfersOut],tblDaily[EntryDate],DATE(2026,9,4),tblDaily[WardCode],"MAE")=0,"",SUMIFS(tblDaily[TransfersOut],tblDaily[EntryDate],DATE(2026,9,4),tblDaily[WardCode],"MAE")),"")</f>
        <v/>
      </c>
      <c r="H331" s="39" t="str">
        <f>IFERROR(IF(SUMIFS(tblDaily[Remaining],tblDaily[EntryDate],DATE(2026,9,4),tblDaily[WardCode],"MAE")=0,"",SUMIFS(tblDaily[Remaining],tblDaily[EntryDate],DATE(2026,9,4),tblDaily[WardCode],"MAE")),"")</f>
        <v/>
      </c>
      <c r="I331" s="39" t="str">
        <f>IFERROR(IF(SUMIFS(tblDaily[Admissions],tblDaily[EntryDate],DATE(2026,9,4),tblDaily[WardCode],"FAE")=0,"",SUMIFS(tblDaily[Admissions],tblDaily[EntryDate],DATE(2026,9,4),tblDaily[WardCode],"FAE")),"")</f>
        <v/>
      </c>
      <c r="J331" s="39" t="str">
        <f>IFERROR(IF(SUMIFS(tblDaily[Discharges],tblDaily[EntryDate],DATE(2026,9,4),tblDaily[WardCode],"FAE")=0,"",SUMIFS(tblDaily[Discharges],tblDaily[EntryDate],DATE(2026,9,4),tblDaily[WardCode],"FAE")),"")</f>
        <v/>
      </c>
      <c r="K331" s="39" t="str">
        <f>IFERROR(IF(SUMIFS(tblDaily[Deaths],tblDaily[EntryDate],DATE(2026,9,4),tblDaily[WardCode],"FAE")=0,"",SUMIFS(tblDaily[Deaths],tblDaily[EntryDate],DATE(2026,9,4),tblDaily[WardCode],"FAE")),"")</f>
        <v/>
      </c>
      <c r="L331" s="39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39" t="str">
        <f>IFERROR(IF(SUMIFS(tblDaily[TransfersIn],tblDaily[EntryDate],DATE(2026,9,4),tblDaily[WardCode],"FAE")=0,"",SUMIFS(tblDaily[TransfersIn],tblDaily[EntryDate],DATE(2026,9,4),tblDaily[WardCode],"FAE")),"")</f>
        <v/>
      </c>
      <c r="N331" s="39" t="str">
        <f>IFERROR(IF(SUMIFS(tblDaily[TransfersOut],tblDaily[EntryDate],DATE(2026,9,4),tblDaily[WardCode],"FAE")=0,"",SUMIFS(tblDaily[TransfersOut],tblDaily[EntryDate],DATE(2026,9,4),tblDaily[WardCode],"FAE")),"")</f>
        <v/>
      </c>
      <c r="O331" s="39" t="str">
        <f>IFERROR(IF(SUMIFS(tblDaily[Remaining],tblDaily[EntryDate],DATE(2026,9,4),tblDaily[WardCode],"FAE")=0,"",SUMIFS(tblDaily[Remaining],tblDaily[EntryDate],DATE(2026,9,4),tblDaily[WardCode],"FAE")),"")</f>
        <v/>
      </c>
      <c r="P331" s="40" t="str">
        <f t="shared" si="8"/>
        <v/>
      </c>
    </row>
    <row r="332" spans="1:16" x14ac:dyDescent="0.25">
      <c r="A332" s="39">
        <v>5</v>
      </c>
      <c r="B332" s="39" t="str">
        <f>IFERROR(IF(SUMIFS(tblDaily[Admissions],tblDaily[EntryDate],DATE(2026,9,5),tblDaily[WardCode],"MAE")=0,"",SUMIFS(tblDaily[Admissions],tblDaily[EntryDate],DATE(2026,9,5),tblDaily[WardCode],"MAE")),"")</f>
        <v/>
      </c>
      <c r="C332" s="39" t="str">
        <f>IFERROR(IF(SUMIFS(tblDaily[Discharges],tblDaily[EntryDate],DATE(2026,9,5),tblDaily[WardCode],"MAE")=0,"",SUMIFS(tblDaily[Discharges],tblDaily[EntryDate],DATE(2026,9,5),tblDaily[WardCode],"MAE")),"")</f>
        <v/>
      </c>
      <c r="D332" s="39" t="str">
        <f>IFERROR(IF(SUMIFS(tblDaily[Deaths],tblDaily[EntryDate],DATE(2026,9,5),tblDaily[WardCode],"MAE")=0,"",SUMIFS(tblDaily[Deaths],tblDaily[EntryDate],DATE(2026,9,5),tblDaily[WardCode],"MAE")),"")</f>
        <v/>
      </c>
      <c r="E332" s="39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39" t="str">
        <f>IFERROR(IF(SUMIFS(tblDaily[TransfersIn],tblDaily[EntryDate],DATE(2026,9,5),tblDaily[WardCode],"MAE")=0,"",SUMIFS(tblDaily[TransfersIn],tblDaily[EntryDate],DATE(2026,9,5),tblDaily[WardCode],"MAE")),"")</f>
        <v/>
      </c>
      <c r="G332" s="39" t="str">
        <f>IFERROR(IF(SUMIFS(tblDaily[TransfersOut],tblDaily[EntryDate],DATE(2026,9,5),tblDaily[WardCode],"MAE")=0,"",SUMIFS(tblDaily[TransfersOut],tblDaily[EntryDate],DATE(2026,9,5),tblDaily[WardCode],"MAE")),"")</f>
        <v/>
      </c>
      <c r="H332" s="39" t="str">
        <f>IFERROR(IF(SUMIFS(tblDaily[Remaining],tblDaily[EntryDate],DATE(2026,9,5),tblDaily[WardCode],"MAE")=0,"",SUMIFS(tblDaily[Remaining],tblDaily[EntryDate],DATE(2026,9,5),tblDaily[WardCode],"MAE")),"")</f>
        <v/>
      </c>
      <c r="I332" s="39" t="str">
        <f>IFERROR(IF(SUMIFS(tblDaily[Admissions],tblDaily[EntryDate],DATE(2026,9,5),tblDaily[WardCode],"FAE")=0,"",SUMIFS(tblDaily[Admissions],tblDaily[EntryDate],DATE(2026,9,5),tblDaily[WardCode],"FAE")),"")</f>
        <v/>
      </c>
      <c r="J332" s="39" t="str">
        <f>IFERROR(IF(SUMIFS(tblDaily[Discharges],tblDaily[EntryDate],DATE(2026,9,5),tblDaily[WardCode],"FAE")=0,"",SUMIFS(tblDaily[Discharges],tblDaily[EntryDate],DATE(2026,9,5),tblDaily[WardCode],"FAE")),"")</f>
        <v/>
      </c>
      <c r="K332" s="39" t="str">
        <f>IFERROR(IF(SUMIFS(tblDaily[Deaths],tblDaily[EntryDate],DATE(2026,9,5),tblDaily[WardCode],"FAE")=0,"",SUMIFS(tblDaily[Deaths],tblDaily[EntryDate],DATE(2026,9,5),tblDaily[WardCode],"FAE")),"")</f>
        <v/>
      </c>
      <c r="L332" s="39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39" t="str">
        <f>IFERROR(IF(SUMIFS(tblDaily[TransfersIn],tblDaily[EntryDate],DATE(2026,9,5),tblDaily[WardCode],"FAE")=0,"",SUMIFS(tblDaily[TransfersIn],tblDaily[EntryDate],DATE(2026,9,5),tblDaily[WardCode],"FAE")),"")</f>
        <v/>
      </c>
      <c r="N332" s="39" t="str">
        <f>IFERROR(IF(SUMIFS(tblDaily[TransfersOut],tblDaily[EntryDate],DATE(2026,9,5),tblDaily[WardCode],"FAE")=0,"",SUMIFS(tblDaily[TransfersOut],tblDaily[EntryDate],DATE(2026,9,5),tblDaily[WardCode],"FAE")),"")</f>
        <v/>
      </c>
      <c r="O332" s="39" t="str">
        <f>IFERROR(IF(SUMIFS(tblDaily[Remaining],tblDaily[EntryDate],DATE(2026,9,5),tblDaily[WardCode],"FAE")=0,"",SUMIFS(tblDaily[Remaining],tblDaily[EntryDate],DATE(2026,9,5),tblDaily[WardCode],"FAE")),"")</f>
        <v/>
      </c>
      <c r="P332" s="40" t="str">
        <f t="shared" si="8"/>
        <v/>
      </c>
    </row>
    <row r="333" spans="1:16" x14ac:dyDescent="0.25">
      <c r="A333" s="39">
        <v>6</v>
      </c>
      <c r="B333" s="39" t="str">
        <f>IFERROR(IF(SUMIFS(tblDaily[Admissions],tblDaily[EntryDate],DATE(2026,9,6),tblDaily[WardCode],"MAE")=0,"",SUMIFS(tblDaily[Admissions],tblDaily[EntryDate],DATE(2026,9,6),tblDaily[WardCode],"MAE")),"")</f>
        <v/>
      </c>
      <c r="C333" s="39" t="str">
        <f>IFERROR(IF(SUMIFS(tblDaily[Discharges],tblDaily[EntryDate],DATE(2026,9,6),tblDaily[WardCode],"MAE")=0,"",SUMIFS(tblDaily[Discharges],tblDaily[EntryDate],DATE(2026,9,6),tblDaily[WardCode],"MAE")),"")</f>
        <v/>
      </c>
      <c r="D333" s="39" t="str">
        <f>IFERROR(IF(SUMIFS(tblDaily[Deaths],tblDaily[EntryDate],DATE(2026,9,6),tblDaily[WardCode],"MAE")=0,"",SUMIFS(tblDaily[Deaths],tblDaily[EntryDate],DATE(2026,9,6),tblDaily[WardCode],"MAE")),"")</f>
        <v/>
      </c>
      <c r="E333" s="39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39" t="str">
        <f>IFERROR(IF(SUMIFS(tblDaily[TransfersIn],tblDaily[EntryDate],DATE(2026,9,6),tblDaily[WardCode],"MAE")=0,"",SUMIFS(tblDaily[TransfersIn],tblDaily[EntryDate],DATE(2026,9,6),tblDaily[WardCode],"MAE")),"")</f>
        <v/>
      </c>
      <c r="G333" s="39" t="str">
        <f>IFERROR(IF(SUMIFS(tblDaily[TransfersOut],tblDaily[EntryDate],DATE(2026,9,6),tblDaily[WardCode],"MAE")=0,"",SUMIFS(tblDaily[TransfersOut],tblDaily[EntryDate],DATE(2026,9,6),tblDaily[WardCode],"MAE")),"")</f>
        <v/>
      </c>
      <c r="H333" s="39" t="str">
        <f>IFERROR(IF(SUMIFS(tblDaily[Remaining],tblDaily[EntryDate],DATE(2026,9,6),tblDaily[WardCode],"MAE")=0,"",SUMIFS(tblDaily[Remaining],tblDaily[EntryDate],DATE(2026,9,6),tblDaily[WardCode],"MAE")),"")</f>
        <v/>
      </c>
      <c r="I333" s="39" t="str">
        <f>IFERROR(IF(SUMIFS(tblDaily[Admissions],tblDaily[EntryDate],DATE(2026,9,6),tblDaily[WardCode],"FAE")=0,"",SUMIFS(tblDaily[Admissions],tblDaily[EntryDate],DATE(2026,9,6),tblDaily[WardCode],"FAE")),"")</f>
        <v/>
      </c>
      <c r="J333" s="39" t="str">
        <f>IFERROR(IF(SUMIFS(tblDaily[Discharges],tblDaily[EntryDate],DATE(2026,9,6),tblDaily[WardCode],"FAE")=0,"",SUMIFS(tblDaily[Discharges],tblDaily[EntryDate],DATE(2026,9,6),tblDaily[WardCode],"FAE")),"")</f>
        <v/>
      </c>
      <c r="K333" s="39" t="str">
        <f>IFERROR(IF(SUMIFS(tblDaily[Deaths],tblDaily[EntryDate],DATE(2026,9,6),tblDaily[WardCode],"FAE")=0,"",SUMIFS(tblDaily[Deaths],tblDaily[EntryDate],DATE(2026,9,6),tblDaily[WardCode],"FAE")),"")</f>
        <v/>
      </c>
      <c r="L333" s="39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39" t="str">
        <f>IFERROR(IF(SUMIFS(tblDaily[TransfersIn],tblDaily[EntryDate],DATE(2026,9,6),tblDaily[WardCode],"FAE")=0,"",SUMIFS(tblDaily[TransfersIn],tblDaily[EntryDate],DATE(2026,9,6),tblDaily[WardCode],"FAE")),"")</f>
        <v/>
      </c>
      <c r="N333" s="39" t="str">
        <f>IFERROR(IF(SUMIFS(tblDaily[TransfersOut],tblDaily[EntryDate],DATE(2026,9,6),tblDaily[WardCode],"FAE")=0,"",SUMIFS(tblDaily[TransfersOut],tblDaily[EntryDate],DATE(2026,9,6),tblDaily[WardCode],"FAE")),"")</f>
        <v/>
      </c>
      <c r="O333" s="39" t="str">
        <f>IFERROR(IF(SUMIFS(tblDaily[Remaining],tblDaily[EntryDate],DATE(2026,9,6),tblDaily[WardCode],"FAE")=0,"",SUMIFS(tblDaily[Remaining],tblDaily[EntryDate],DATE(2026,9,6),tblDaily[WardCode],"FAE")),"")</f>
        <v/>
      </c>
      <c r="P333" s="40" t="str">
        <f t="shared" si="8"/>
        <v/>
      </c>
    </row>
    <row r="334" spans="1:16" x14ac:dyDescent="0.25">
      <c r="A334" s="39">
        <v>7</v>
      </c>
      <c r="B334" s="39" t="str">
        <f>IFERROR(IF(SUMIFS(tblDaily[Admissions],tblDaily[EntryDate],DATE(2026,9,7),tblDaily[WardCode],"MAE")=0,"",SUMIFS(tblDaily[Admissions],tblDaily[EntryDate],DATE(2026,9,7),tblDaily[WardCode],"MAE")),"")</f>
        <v/>
      </c>
      <c r="C334" s="39" t="str">
        <f>IFERROR(IF(SUMIFS(tblDaily[Discharges],tblDaily[EntryDate],DATE(2026,9,7),tblDaily[WardCode],"MAE")=0,"",SUMIFS(tblDaily[Discharges],tblDaily[EntryDate],DATE(2026,9,7),tblDaily[WardCode],"MAE")),"")</f>
        <v/>
      </c>
      <c r="D334" s="39" t="str">
        <f>IFERROR(IF(SUMIFS(tblDaily[Deaths],tblDaily[EntryDate],DATE(2026,9,7),tblDaily[WardCode],"MAE")=0,"",SUMIFS(tblDaily[Deaths],tblDaily[EntryDate],DATE(2026,9,7),tblDaily[WardCode],"MAE")),"")</f>
        <v/>
      </c>
      <c r="E334" s="39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39" t="str">
        <f>IFERROR(IF(SUMIFS(tblDaily[TransfersIn],tblDaily[EntryDate],DATE(2026,9,7),tblDaily[WardCode],"MAE")=0,"",SUMIFS(tblDaily[TransfersIn],tblDaily[EntryDate],DATE(2026,9,7),tblDaily[WardCode],"MAE")),"")</f>
        <v/>
      </c>
      <c r="G334" s="39" t="str">
        <f>IFERROR(IF(SUMIFS(tblDaily[TransfersOut],tblDaily[EntryDate],DATE(2026,9,7),tblDaily[WardCode],"MAE")=0,"",SUMIFS(tblDaily[TransfersOut],tblDaily[EntryDate],DATE(2026,9,7),tblDaily[WardCode],"MAE")),"")</f>
        <v/>
      </c>
      <c r="H334" s="39" t="str">
        <f>IFERROR(IF(SUMIFS(tblDaily[Remaining],tblDaily[EntryDate],DATE(2026,9,7),tblDaily[WardCode],"MAE")=0,"",SUMIFS(tblDaily[Remaining],tblDaily[EntryDate],DATE(2026,9,7),tblDaily[WardCode],"MAE")),"")</f>
        <v/>
      </c>
      <c r="I334" s="39" t="str">
        <f>IFERROR(IF(SUMIFS(tblDaily[Admissions],tblDaily[EntryDate],DATE(2026,9,7),tblDaily[WardCode],"FAE")=0,"",SUMIFS(tblDaily[Admissions],tblDaily[EntryDate],DATE(2026,9,7),tblDaily[WardCode],"FAE")),"")</f>
        <v/>
      </c>
      <c r="J334" s="39" t="str">
        <f>IFERROR(IF(SUMIFS(tblDaily[Discharges],tblDaily[EntryDate],DATE(2026,9,7),tblDaily[WardCode],"FAE")=0,"",SUMIFS(tblDaily[Discharges],tblDaily[EntryDate],DATE(2026,9,7),tblDaily[WardCode],"FAE")),"")</f>
        <v/>
      </c>
      <c r="K334" s="39" t="str">
        <f>IFERROR(IF(SUMIFS(tblDaily[Deaths],tblDaily[EntryDate],DATE(2026,9,7),tblDaily[WardCode],"FAE")=0,"",SUMIFS(tblDaily[Deaths],tblDaily[EntryDate],DATE(2026,9,7),tblDaily[WardCode],"FAE")),"")</f>
        <v/>
      </c>
      <c r="L334" s="39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39" t="str">
        <f>IFERROR(IF(SUMIFS(tblDaily[TransfersIn],tblDaily[EntryDate],DATE(2026,9,7),tblDaily[WardCode],"FAE")=0,"",SUMIFS(tblDaily[TransfersIn],tblDaily[EntryDate],DATE(2026,9,7),tblDaily[WardCode],"FAE")),"")</f>
        <v/>
      </c>
      <c r="N334" s="39" t="str">
        <f>IFERROR(IF(SUMIFS(tblDaily[TransfersOut],tblDaily[EntryDate],DATE(2026,9,7),tblDaily[WardCode],"FAE")=0,"",SUMIFS(tblDaily[TransfersOut],tblDaily[EntryDate],DATE(2026,9,7),tblDaily[WardCode],"FAE")),"")</f>
        <v/>
      </c>
      <c r="O334" s="39" t="str">
        <f>IFERROR(IF(SUMIFS(tblDaily[Remaining],tblDaily[EntryDate],DATE(2026,9,7),tblDaily[WardCode],"FAE")=0,"",SUMIFS(tblDaily[Remaining],tblDaily[EntryDate],DATE(2026,9,7),tblDaily[WardCode],"FAE")),"")</f>
        <v/>
      </c>
      <c r="P334" s="40" t="str">
        <f t="shared" si="8"/>
        <v/>
      </c>
    </row>
    <row r="335" spans="1:16" x14ac:dyDescent="0.25">
      <c r="A335" s="39">
        <v>8</v>
      </c>
      <c r="B335" s="39" t="str">
        <f>IFERROR(IF(SUMIFS(tblDaily[Admissions],tblDaily[EntryDate],DATE(2026,9,8),tblDaily[WardCode],"MAE")=0,"",SUMIFS(tblDaily[Admissions],tblDaily[EntryDate],DATE(2026,9,8),tblDaily[WardCode],"MAE")),"")</f>
        <v/>
      </c>
      <c r="C335" s="39" t="str">
        <f>IFERROR(IF(SUMIFS(tblDaily[Discharges],tblDaily[EntryDate],DATE(2026,9,8),tblDaily[WardCode],"MAE")=0,"",SUMIFS(tblDaily[Discharges],tblDaily[EntryDate],DATE(2026,9,8),tblDaily[WardCode],"MAE")),"")</f>
        <v/>
      </c>
      <c r="D335" s="39" t="str">
        <f>IFERROR(IF(SUMIFS(tblDaily[Deaths],tblDaily[EntryDate],DATE(2026,9,8),tblDaily[WardCode],"MAE")=0,"",SUMIFS(tblDaily[Deaths],tblDaily[EntryDate],DATE(2026,9,8),tblDaily[WardCode],"MAE")),"")</f>
        <v/>
      </c>
      <c r="E335" s="39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39" t="str">
        <f>IFERROR(IF(SUMIFS(tblDaily[TransfersIn],tblDaily[EntryDate],DATE(2026,9,8),tblDaily[WardCode],"MAE")=0,"",SUMIFS(tblDaily[TransfersIn],tblDaily[EntryDate],DATE(2026,9,8),tblDaily[WardCode],"MAE")),"")</f>
        <v/>
      </c>
      <c r="G335" s="39" t="str">
        <f>IFERROR(IF(SUMIFS(tblDaily[TransfersOut],tblDaily[EntryDate],DATE(2026,9,8),tblDaily[WardCode],"MAE")=0,"",SUMIFS(tblDaily[TransfersOut],tblDaily[EntryDate],DATE(2026,9,8),tblDaily[WardCode],"MAE")),"")</f>
        <v/>
      </c>
      <c r="H335" s="39" t="str">
        <f>IFERROR(IF(SUMIFS(tblDaily[Remaining],tblDaily[EntryDate],DATE(2026,9,8),tblDaily[WardCode],"MAE")=0,"",SUMIFS(tblDaily[Remaining],tblDaily[EntryDate],DATE(2026,9,8),tblDaily[WardCode],"MAE")),"")</f>
        <v/>
      </c>
      <c r="I335" s="39" t="str">
        <f>IFERROR(IF(SUMIFS(tblDaily[Admissions],tblDaily[EntryDate],DATE(2026,9,8),tblDaily[WardCode],"FAE")=0,"",SUMIFS(tblDaily[Admissions],tblDaily[EntryDate],DATE(2026,9,8),tblDaily[WardCode],"FAE")),"")</f>
        <v/>
      </c>
      <c r="J335" s="39" t="str">
        <f>IFERROR(IF(SUMIFS(tblDaily[Discharges],tblDaily[EntryDate],DATE(2026,9,8),tblDaily[WardCode],"FAE")=0,"",SUMIFS(tblDaily[Discharges],tblDaily[EntryDate],DATE(2026,9,8),tblDaily[WardCode],"FAE")),"")</f>
        <v/>
      </c>
      <c r="K335" s="39" t="str">
        <f>IFERROR(IF(SUMIFS(tblDaily[Deaths],tblDaily[EntryDate],DATE(2026,9,8),tblDaily[WardCode],"FAE")=0,"",SUMIFS(tblDaily[Deaths],tblDaily[EntryDate],DATE(2026,9,8),tblDaily[WardCode],"FAE")),"")</f>
        <v/>
      </c>
      <c r="L335" s="39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39" t="str">
        <f>IFERROR(IF(SUMIFS(tblDaily[TransfersIn],tblDaily[EntryDate],DATE(2026,9,8),tblDaily[WardCode],"FAE")=0,"",SUMIFS(tblDaily[TransfersIn],tblDaily[EntryDate],DATE(2026,9,8),tblDaily[WardCode],"FAE")),"")</f>
        <v/>
      </c>
      <c r="N335" s="39" t="str">
        <f>IFERROR(IF(SUMIFS(tblDaily[TransfersOut],tblDaily[EntryDate],DATE(2026,9,8),tblDaily[WardCode],"FAE")=0,"",SUMIFS(tblDaily[TransfersOut],tblDaily[EntryDate],DATE(2026,9,8),tblDaily[WardCode],"FAE")),"")</f>
        <v/>
      </c>
      <c r="O335" s="39" t="str">
        <f>IFERROR(IF(SUMIFS(tblDaily[Remaining],tblDaily[EntryDate],DATE(2026,9,8),tblDaily[WardCode],"FAE")=0,"",SUMIFS(tblDaily[Remaining],tblDaily[EntryDate],DATE(2026,9,8),tblDaily[WardCode],"FAE")),"")</f>
        <v/>
      </c>
      <c r="P335" s="40" t="str">
        <f t="shared" si="8"/>
        <v/>
      </c>
    </row>
    <row r="336" spans="1:16" x14ac:dyDescent="0.25">
      <c r="A336" s="39">
        <v>9</v>
      </c>
      <c r="B336" s="39" t="str">
        <f>IFERROR(IF(SUMIFS(tblDaily[Admissions],tblDaily[EntryDate],DATE(2026,9,9),tblDaily[WardCode],"MAE")=0,"",SUMIFS(tblDaily[Admissions],tblDaily[EntryDate],DATE(2026,9,9),tblDaily[WardCode],"MAE")),"")</f>
        <v/>
      </c>
      <c r="C336" s="39" t="str">
        <f>IFERROR(IF(SUMIFS(tblDaily[Discharges],tblDaily[EntryDate],DATE(2026,9,9),tblDaily[WardCode],"MAE")=0,"",SUMIFS(tblDaily[Discharges],tblDaily[EntryDate],DATE(2026,9,9),tblDaily[WardCode],"MAE")),"")</f>
        <v/>
      </c>
      <c r="D336" s="39" t="str">
        <f>IFERROR(IF(SUMIFS(tblDaily[Deaths],tblDaily[EntryDate],DATE(2026,9,9),tblDaily[WardCode],"MAE")=0,"",SUMIFS(tblDaily[Deaths],tblDaily[EntryDate],DATE(2026,9,9),tblDaily[WardCode],"MAE")),"")</f>
        <v/>
      </c>
      <c r="E336" s="39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39" t="str">
        <f>IFERROR(IF(SUMIFS(tblDaily[TransfersIn],tblDaily[EntryDate],DATE(2026,9,9),tblDaily[WardCode],"MAE")=0,"",SUMIFS(tblDaily[TransfersIn],tblDaily[EntryDate],DATE(2026,9,9),tblDaily[WardCode],"MAE")),"")</f>
        <v/>
      </c>
      <c r="G336" s="39" t="str">
        <f>IFERROR(IF(SUMIFS(tblDaily[TransfersOut],tblDaily[EntryDate],DATE(2026,9,9),tblDaily[WardCode],"MAE")=0,"",SUMIFS(tblDaily[TransfersOut],tblDaily[EntryDate],DATE(2026,9,9),tblDaily[WardCode],"MAE")),"")</f>
        <v/>
      </c>
      <c r="H336" s="39" t="str">
        <f>IFERROR(IF(SUMIFS(tblDaily[Remaining],tblDaily[EntryDate],DATE(2026,9,9),tblDaily[WardCode],"MAE")=0,"",SUMIFS(tblDaily[Remaining],tblDaily[EntryDate],DATE(2026,9,9),tblDaily[WardCode],"MAE")),"")</f>
        <v/>
      </c>
      <c r="I336" s="39" t="str">
        <f>IFERROR(IF(SUMIFS(tblDaily[Admissions],tblDaily[EntryDate],DATE(2026,9,9),tblDaily[WardCode],"FAE")=0,"",SUMIFS(tblDaily[Admissions],tblDaily[EntryDate],DATE(2026,9,9),tblDaily[WardCode],"FAE")),"")</f>
        <v/>
      </c>
      <c r="J336" s="39" t="str">
        <f>IFERROR(IF(SUMIFS(tblDaily[Discharges],tblDaily[EntryDate],DATE(2026,9,9),tblDaily[WardCode],"FAE")=0,"",SUMIFS(tblDaily[Discharges],tblDaily[EntryDate],DATE(2026,9,9),tblDaily[WardCode],"FAE")),"")</f>
        <v/>
      </c>
      <c r="K336" s="39" t="str">
        <f>IFERROR(IF(SUMIFS(tblDaily[Deaths],tblDaily[EntryDate],DATE(2026,9,9),tblDaily[WardCode],"FAE")=0,"",SUMIFS(tblDaily[Deaths],tblDaily[EntryDate],DATE(2026,9,9),tblDaily[WardCode],"FAE")),"")</f>
        <v/>
      </c>
      <c r="L336" s="39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39" t="str">
        <f>IFERROR(IF(SUMIFS(tblDaily[TransfersIn],tblDaily[EntryDate],DATE(2026,9,9),tblDaily[WardCode],"FAE")=0,"",SUMIFS(tblDaily[TransfersIn],tblDaily[EntryDate],DATE(2026,9,9),tblDaily[WardCode],"FAE")),"")</f>
        <v/>
      </c>
      <c r="N336" s="39" t="str">
        <f>IFERROR(IF(SUMIFS(tblDaily[TransfersOut],tblDaily[EntryDate],DATE(2026,9,9),tblDaily[WardCode],"FAE")=0,"",SUMIFS(tblDaily[TransfersOut],tblDaily[EntryDate],DATE(2026,9,9),tblDaily[WardCode],"FAE")),"")</f>
        <v/>
      </c>
      <c r="O336" s="39" t="str">
        <f>IFERROR(IF(SUMIFS(tblDaily[Remaining],tblDaily[EntryDate],DATE(2026,9,9),tblDaily[WardCode],"FAE")=0,"",SUMIFS(tblDaily[Remaining],tblDaily[EntryDate],DATE(2026,9,9),tblDaily[WardCode],"FAE")),"")</f>
        <v/>
      </c>
      <c r="P336" s="40" t="str">
        <f t="shared" si="8"/>
        <v/>
      </c>
    </row>
    <row r="337" spans="1:16" x14ac:dyDescent="0.25">
      <c r="A337" s="39">
        <v>10</v>
      </c>
      <c r="B337" s="39" t="str">
        <f>IFERROR(IF(SUMIFS(tblDaily[Admissions],tblDaily[EntryDate],DATE(2026,9,10),tblDaily[WardCode],"MAE")=0,"",SUMIFS(tblDaily[Admissions],tblDaily[EntryDate],DATE(2026,9,10),tblDaily[WardCode],"MAE")),"")</f>
        <v/>
      </c>
      <c r="C337" s="39" t="str">
        <f>IFERROR(IF(SUMIFS(tblDaily[Discharges],tblDaily[EntryDate],DATE(2026,9,10),tblDaily[WardCode],"MAE")=0,"",SUMIFS(tblDaily[Discharges],tblDaily[EntryDate],DATE(2026,9,10),tblDaily[WardCode],"MAE")),"")</f>
        <v/>
      </c>
      <c r="D337" s="39" t="str">
        <f>IFERROR(IF(SUMIFS(tblDaily[Deaths],tblDaily[EntryDate],DATE(2026,9,10),tblDaily[WardCode],"MAE")=0,"",SUMIFS(tblDaily[Deaths],tblDaily[EntryDate],DATE(2026,9,10),tblDaily[WardCode],"MAE")),"")</f>
        <v/>
      </c>
      <c r="E337" s="39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39" t="str">
        <f>IFERROR(IF(SUMIFS(tblDaily[TransfersIn],tblDaily[EntryDate],DATE(2026,9,10),tblDaily[WardCode],"MAE")=0,"",SUMIFS(tblDaily[TransfersIn],tblDaily[EntryDate],DATE(2026,9,10),tblDaily[WardCode],"MAE")),"")</f>
        <v/>
      </c>
      <c r="G337" s="39" t="str">
        <f>IFERROR(IF(SUMIFS(tblDaily[TransfersOut],tblDaily[EntryDate],DATE(2026,9,10),tblDaily[WardCode],"MAE")=0,"",SUMIFS(tblDaily[TransfersOut],tblDaily[EntryDate],DATE(2026,9,10),tblDaily[WardCode],"MAE")),"")</f>
        <v/>
      </c>
      <c r="H337" s="39" t="str">
        <f>IFERROR(IF(SUMIFS(tblDaily[Remaining],tblDaily[EntryDate],DATE(2026,9,10),tblDaily[WardCode],"MAE")=0,"",SUMIFS(tblDaily[Remaining],tblDaily[EntryDate],DATE(2026,9,10),tblDaily[WardCode],"MAE")),"")</f>
        <v/>
      </c>
      <c r="I337" s="39" t="str">
        <f>IFERROR(IF(SUMIFS(tblDaily[Admissions],tblDaily[EntryDate],DATE(2026,9,10),tblDaily[WardCode],"FAE")=0,"",SUMIFS(tblDaily[Admissions],tblDaily[EntryDate],DATE(2026,9,10),tblDaily[WardCode],"FAE")),"")</f>
        <v/>
      </c>
      <c r="J337" s="39" t="str">
        <f>IFERROR(IF(SUMIFS(tblDaily[Discharges],tblDaily[EntryDate],DATE(2026,9,10),tblDaily[WardCode],"FAE")=0,"",SUMIFS(tblDaily[Discharges],tblDaily[EntryDate],DATE(2026,9,10),tblDaily[WardCode],"FAE")),"")</f>
        <v/>
      </c>
      <c r="K337" s="39" t="str">
        <f>IFERROR(IF(SUMIFS(tblDaily[Deaths],tblDaily[EntryDate],DATE(2026,9,10),tblDaily[WardCode],"FAE")=0,"",SUMIFS(tblDaily[Deaths],tblDaily[EntryDate],DATE(2026,9,10),tblDaily[WardCode],"FAE")),"")</f>
        <v/>
      </c>
      <c r="L337" s="39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39" t="str">
        <f>IFERROR(IF(SUMIFS(tblDaily[TransfersIn],tblDaily[EntryDate],DATE(2026,9,10),tblDaily[WardCode],"FAE")=0,"",SUMIFS(tblDaily[TransfersIn],tblDaily[EntryDate],DATE(2026,9,10),tblDaily[WardCode],"FAE")),"")</f>
        <v/>
      </c>
      <c r="N337" s="39" t="str">
        <f>IFERROR(IF(SUMIFS(tblDaily[TransfersOut],tblDaily[EntryDate],DATE(2026,9,10),tblDaily[WardCode],"FAE")=0,"",SUMIFS(tblDaily[TransfersOut],tblDaily[EntryDate],DATE(2026,9,10),tblDaily[WardCode],"FAE")),"")</f>
        <v/>
      </c>
      <c r="O337" s="39" t="str">
        <f>IFERROR(IF(SUMIFS(tblDaily[Remaining],tblDaily[EntryDate],DATE(2026,9,10),tblDaily[WardCode],"FAE")=0,"",SUMIFS(tblDaily[Remaining],tblDaily[EntryDate],DATE(2026,9,10),tblDaily[WardCode],"FAE")),"")</f>
        <v/>
      </c>
      <c r="P337" s="40" t="str">
        <f t="shared" si="8"/>
        <v/>
      </c>
    </row>
    <row r="338" spans="1:16" x14ac:dyDescent="0.25">
      <c r="A338" s="39">
        <v>11</v>
      </c>
      <c r="B338" s="39" t="str">
        <f>IFERROR(IF(SUMIFS(tblDaily[Admissions],tblDaily[EntryDate],DATE(2026,9,11),tblDaily[WardCode],"MAE")=0,"",SUMIFS(tblDaily[Admissions],tblDaily[EntryDate],DATE(2026,9,11),tblDaily[WardCode],"MAE")),"")</f>
        <v/>
      </c>
      <c r="C338" s="39" t="str">
        <f>IFERROR(IF(SUMIFS(tblDaily[Discharges],tblDaily[EntryDate],DATE(2026,9,11),tblDaily[WardCode],"MAE")=0,"",SUMIFS(tblDaily[Discharges],tblDaily[EntryDate],DATE(2026,9,11),tblDaily[WardCode],"MAE")),"")</f>
        <v/>
      </c>
      <c r="D338" s="39" t="str">
        <f>IFERROR(IF(SUMIFS(tblDaily[Deaths],tblDaily[EntryDate],DATE(2026,9,11),tblDaily[WardCode],"MAE")=0,"",SUMIFS(tblDaily[Deaths],tblDaily[EntryDate],DATE(2026,9,11),tblDaily[WardCode],"MAE")),"")</f>
        <v/>
      </c>
      <c r="E338" s="39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39" t="str">
        <f>IFERROR(IF(SUMIFS(tblDaily[TransfersIn],tblDaily[EntryDate],DATE(2026,9,11),tblDaily[WardCode],"MAE")=0,"",SUMIFS(tblDaily[TransfersIn],tblDaily[EntryDate],DATE(2026,9,11),tblDaily[WardCode],"MAE")),"")</f>
        <v/>
      </c>
      <c r="G338" s="39" t="str">
        <f>IFERROR(IF(SUMIFS(tblDaily[TransfersOut],tblDaily[EntryDate],DATE(2026,9,11),tblDaily[WardCode],"MAE")=0,"",SUMIFS(tblDaily[TransfersOut],tblDaily[EntryDate],DATE(2026,9,11),tblDaily[WardCode],"MAE")),"")</f>
        <v/>
      </c>
      <c r="H338" s="39" t="str">
        <f>IFERROR(IF(SUMIFS(tblDaily[Remaining],tblDaily[EntryDate],DATE(2026,9,11),tblDaily[WardCode],"MAE")=0,"",SUMIFS(tblDaily[Remaining],tblDaily[EntryDate],DATE(2026,9,11),tblDaily[WardCode],"MAE")),"")</f>
        <v/>
      </c>
      <c r="I338" s="39" t="str">
        <f>IFERROR(IF(SUMIFS(tblDaily[Admissions],tblDaily[EntryDate],DATE(2026,9,11),tblDaily[WardCode],"FAE")=0,"",SUMIFS(tblDaily[Admissions],tblDaily[EntryDate],DATE(2026,9,11),tblDaily[WardCode],"FAE")),"")</f>
        <v/>
      </c>
      <c r="J338" s="39" t="str">
        <f>IFERROR(IF(SUMIFS(tblDaily[Discharges],tblDaily[EntryDate],DATE(2026,9,11),tblDaily[WardCode],"FAE")=0,"",SUMIFS(tblDaily[Discharges],tblDaily[EntryDate],DATE(2026,9,11),tblDaily[WardCode],"FAE")),"")</f>
        <v/>
      </c>
      <c r="K338" s="39" t="str">
        <f>IFERROR(IF(SUMIFS(tblDaily[Deaths],tblDaily[EntryDate],DATE(2026,9,11),tblDaily[WardCode],"FAE")=0,"",SUMIFS(tblDaily[Deaths],tblDaily[EntryDate],DATE(2026,9,11),tblDaily[WardCode],"FAE")),"")</f>
        <v/>
      </c>
      <c r="L338" s="39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39" t="str">
        <f>IFERROR(IF(SUMIFS(tblDaily[TransfersIn],tblDaily[EntryDate],DATE(2026,9,11),tblDaily[WardCode],"FAE")=0,"",SUMIFS(tblDaily[TransfersIn],tblDaily[EntryDate],DATE(2026,9,11),tblDaily[WardCode],"FAE")),"")</f>
        <v/>
      </c>
      <c r="N338" s="39" t="str">
        <f>IFERROR(IF(SUMIFS(tblDaily[TransfersOut],tblDaily[EntryDate],DATE(2026,9,11),tblDaily[WardCode],"FAE")=0,"",SUMIFS(tblDaily[TransfersOut],tblDaily[EntryDate],DATE(2026,9,11),tblDaily[WardCode],"FAE")),"")</f>
        <v/>
      </c>
      <c r="O338" s="39" t="str">
        <f>IFERROR(IF(SUMIFS(tblDaily[Remaining],tblDaily[EntryDate],DATE(2026,9,11),tblDaily[WardCode],"FAE")=0,"",SUMIFS(tblDaily[Remaining],tblDaily[EntryDate],DATE(2026,9,11),tblDaily[WardCode],"FAE")),"")</f>
        <v/>
      </c>
      <c r="P338" s="40" t="str">
        <f t="shared" si="8"/>
        <v/>
      </c>
    </row>
    <row r="339" spans="1:16" x14ac:dyDescent="0.25">
      <c r="A339" s="39">
        <v>12</v>
      </c>
      <c r="B339" s="39" t="str">
        <f>IFERROR(IF(SUMIFS(tblDaily[Admissions],tblDaily[EntryDate],DATE(2026,9,12),tblDaily[WardCode],"MAE")=0,"",SUMIFS(tblDaily[Admissions],tblDaily[EntryDate],DATE(2026,9,12),tblDaily[WardCode],"MAE")),"")</f>
        <v/>
      </c>
      <c r="C339" s="39" t="str">
        <f>IFERROR(IF(SUMIFS(tblDaily[Discharges],tblDaily[EntryDate],DATE(2026,9,12),tblDaily[WardCode],"MAE")=0,"",SUMIFS(tblDaily[Discharges],tblDaily[EntryDate],DATE(2026,9,12),tblDaily[WardCode],"MAE")),"")</f>
        <v/>
      </c>
      <c r="D339" s="39" t="str">
        <f>IFERROR(IF(SUMIFS(tblDaily[Deaths],tblDaily[EntryDate],DATE(2026,9,12),tblDaily[WardCode],"MAE")=0,"",SUMIFS(tblDaily[Deaths],tblDaily[EntryDate],DATE(2026,9,12),tblDaily[WardCode],"MAE")),"")</f>
        <v/>
      </c>
      <c r="E339" s="39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39" t="str">
        <f>IFERROR(IF(SUMIFS(tblDaily[TransfersIn],tblDaily[EntryDate],DATE(2026,9,12),tblDaily[WardCode],"MAE")=0,"",SUMIFS(tblDaily[TransfersIn],tblDaily[EntryDate],DATE(2026,9,12),tblDaily[WardCode],"MAE")),"")</f>
        <v/>
      </c>
      <c r="G339" s="39" t="str">
        <f>IFERROR(IF(SUMIFS(tblDaily[TransfersOut],tblDaily[EntryDate],DATE(2026,9,12),tblDaily[WardCode],"MAE")=0,"",SUMIFS(tblDaily[TransfersOut],tblDaily[EntryDate],DATE(2026,9,12),tblDaily[WardCode],"MAE")),"")</f>
        <v/>
      </c>
      <c r="H339" s="39" t="str">
        <f>IFERROR(IF(SUMIFS(tblDaily[Remaining],tblDaily[EntryDate],DATE(2026,9,12),tblDaily[WardCode],"MAE")=0,"",SUMIFS(tblDaily[Remaining],tblDaily[EntryDate],DATE(2026,9,12),tblDaily[WardCode],"MAE")),"")</f>
        <v/>
      </c>
      <c r="I339" s="39" t="str">
        <f>IFERROR(IF(SUMIFS(tblDaily[Admissions],tblDaily[EntryDate],DATE(2026,9,12),tblDaily[WardCode],"FAE")=0,"",SUMIFS(tblDaily[Admissions],tblDaily[EntryDate],DATE(2026,9,12),tblDaily[WardCode],"FAE")),"")</f>
        <v/>
      </c>
      <c r="J339" s="39" t="str">
        <f>IFERROR(IF(SUMIFS(tblDaily[Discharges],tblDaily[EntryDate],DATE(2026,9,12),tblDaily[WardCode],"FAE")=0,"",SUMIFS(tblDaily[Discharges],tblDaily[EntryDate],DATE(2026,9,12),tblDaily[WardCode],"FAE")),"")</f>
        <v/>
      </c>
      <c r="K339" s="39" t="str">
        <f>IFERROR(IF(SUMIFS(tblDaily[Deaths],tblDaily[EntryDate],DATE(2026,9,12),tblDaily[WardCode],"FAE")=0,"",SUMIFS(tblDaily[Deaths],tblDaily[EntryDate],DATE(2026,9,12),tblDaily[WardCode],"FAE")),"")</f>
        <v/>
      </c>
      <c r="L339" s="39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39" t="str">
        <f>IFERROR(IF(SUMIFS(tblDaily[TransfersIn],tblDaily[EntryDate],DATE(2026,9,12),tblDaily[WardCode],"FAE")=0,"",SUMIFS(tblDaily[TransfersIn],tblDaily[EntryDate],DATE(2026,9,12),tblDaily[WardCode],"FAE")),"")</f>
        <v/>
      </c>
      <c r="N339" s="39" t="str">
        <f>IFERROR(IF(SUMIFS(tblDaily[TransfersOut],tblDaily[EntryDate],DATE(2026,9,12),tblDaily[WardCode],"FAE")=0,"",SUMIFS(tblDaily[TransfersOut],tblDaily[EntryDate],DATE(2026,9,12),tblDaily[WardCode],"FAE")),"")</f>
        <v/>
      </c>
      <c r="O339" s="39" t="str">
        <f>IFERROR(IF(SUMIFS(tblDaily[Remaining],tblDaily[EntryDate],DATE(2026,9,12),tblDaily[WardCode],"FAE")=0,"",SUMIFS(tblDaily[Remaining],tblDaily[EntryDate],DATE(2026,9,12),tblDaily[WardCode],"FAE")),"")</f>
        <v/>
      </c>
      <c r="P339" s="40" t="str">
        <f t="shared" si="8"/>
        <v/>
      </c>
    </row>
    <row r="340" spans="1:16" x14ac:dyDescent="0.25">
      <c r="A340" s="39">
        <v>13</v>
      </c>
      <c r="B340" s="39" t="str">
        <f>IFERROR(IF(SUMIFS(tblDaily[Admissions],tblDaily[EntryDate],DATE(2026,9,13),tblDaily[WardCode],"MAE")=0,"",SUMIFS(tblDaily[Admissions],tblDaily[EntryDate],DATE(2026,9,13),tblDaily[WardCode],"MAE")),"")</f>
        <v/>
      </c>
      <c r="C340" s="39" t="str">
        <f>IFERROR(IF(SUMIFS(tblDaily[Discharges],tblDaily[EntryDate],DATE(2026,9,13),tblDaily[WardCode],"MAE")=0,"",SUMIFS(tblDaily[Discharges],tblDaily[EntryDate],DATE(2026,9,13),tblDaily[WardCode],"MAE")),"")</f>
        <v/>
      </c>
      <c r="D340" s="39" t="str">
        <f>IFERROR(IF(SUMIFS(tblDaily[Deaths],tblDaily[EntryDate],DATE(2026,9,13),tblDaily[WardCode],"MAE")=0,"",SUMIFS(tblDaily[Deaths],tblDaily[EntryDate],DATE(2026,9,13),tblDaily[WardCode],"MAE")),"")</f>
        <v/>
      </c>
      <c r="E340" s="39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39" t="str">
        <f>IFERROR(IF(SUMIFS(tblDaily[TransfersIn],tblDaily[EntryDate],DATE(2026,9,13),tblDaily[WardCode],"MAE")=0,"",SUMIFS(tblDaily[TransfersIn],tblDaily[EntryDate],DATE(2026,9,13),tblDaily[WardCode],"MAE")),"")</f>
        <v/>
      </c>
      <c r="G340" s="39" t="str">
        <f>IFERROR(IF(SUMIFS(tblDaily[TransfersOut],tblDaily[EntryDate],DATE(2026,9,13),tblDaily[WardCode],"MAE")=0,"",SUMIFS(tblDaily[TransfersOut],tblDaily[EntryDate],DATE(2026,9,13),tblDaily[WardCode],"MAE")),"")</f>
        <v/>
      </c>
      <c r="H340" s="39" t="str">
        <f>IFERROR(IF(SUMIFS(tblDaily[Remaining],tblDaily[EntryDate],DATE(2026,9,13),tblDaily[WardCode],"MAE")=0,"",SUMIFS(tblDaily[Remaining],tblDaily[EntryDate],DATE(2026,9,13),tblDaily[WardCode],"MAE")),"")</f>
        <v/>
      </c>
      <c r="I340" s="39" t="str">
        <f>IFERROR(IF(SUMIFS(tblDaily[Admissions],tblDaily[EntryDate],DATE(2026,9,13),tblDaily[WardCode],"FAE")=0,"",SUMIFS(tblDaily[Admissions],tblDaily[EntryDate],DATE(2026,9,13),tblDaily[WardCode],"FAE")),"")</f>
        <v/>
      </c>
      <c r="J340" s="39" t="str">
        <f>IFERROR(IF(SUMIFS(tblDaily[Discharges],tblDaily[EntryDate],DATE(2026,9,13),tblDaily[WardCode],"FAE")=0,"",SUMIFS(tblDaily[Discharges],tblDaily[EntryDate],DATE(2026,9,13),tblDaily[WardCode],"FAE")),"")</f>
        <v/>
      </c>
      <c r="K340" s="39" t="str">
        <f>IFERROR(IF(SUMIFS(tblDaily[Deaths],tblDaily[EntryDate],DATE(2026,9,13),tblDaily[WardCode],"FAE")=0,"",SUMIFS(tblDaily[Deaths],tblDaily[EntryDate],DATE(2026,9,13),tblDaily[WardCode],"FAE")),"")</f>
        <v/>
      </c>
      <c r="L340" s="39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39" t="str">
        <f>IFERROR(IF(SUMIFS(tblDaily[TransfersIn],tblDaily[EntryDate],DATE(2026,9,13),tblDaily[WardCode],"FAE")=0,"",SUMIFS(tblDaily[TransfersIn],tblDaily[EntryDate],DATE(2026,9,13),tblDaily[WardCode],"FAE")),"")</f>
        <v/>
      </c>
      <c r="N340" s="39" t="str">
        <f>IFERROR(IF(SUMIFS(tblDaily[TransfersOut],tblDaily[EntryDate],DATE(2026,9,13),tblDaily[WardCode],"FAE")=0,"",SUMIFS(tblDaily[TransfersOut],tblDaily[EntryDate],DATE(2026,9,13),tblDaily[WardCode],"FAE")),"")</f>
        <v/>
      </c>
      <c r="O340" s="39" t="str">
        <f>IFERROR(IF(SUMIFS(tblDaily[Remaining],tblDaily[EntryDate],DATE(2026,9,13),tblDaily[WardCode],"FAE")=0,"",SUMIFS(tblDaily[Remaining],tblDaily[EntryDate],DATE(2026,9,13),tblDaily[WardCode],"FAE")),"")</f>
        <v/>
      </c>
      <c r="P340" s="40" t="str">
        <f t="shared" si="8"/>
        <v/>
      </c>
    </row>
    <row r="341" spans="1:16" x14ac:dyDescent="0.25">
      <c r="A341" s="39">
        <v>14</v>
      </c>
      <c r="B341" s="39" t="str">
        <f>IFERROR(IF(SUMIFS(tblDaily[Admissions],tblDaily[EntryDate],DATE(2026,9,14),tblDaily[WardCode],"MAE")=0,"",SUMIFS(tblDaily[Admissions],tblDaily[EntryDate],DATE(2026,9,14),tblDaily[WardCode],"MAE")),"")</f>
        <v/>
      </c>
      <c r="C341" s="39" t="str">
        <f>IFERROR(IF(SUMIFS(tblDaily[Discharges],tblDaily[EntryDate],DATE(2026,9,14),tblDaily[WardCode],"MAE")=0,"",SUMIFS(tblDaily[Discharges],tblDaily[EntryDate],DATE(2026,9,14),tblDaily[WardCode],"MAE")),"")</f>
        <v/>
      </c>
      <c r="D341" s="39" t="str">
        <f>IFERROR(IF(SUMIFS(tblDaily[Deaths],tblDaily[EntryDate],DATE(2026,9,14),tblDaily[WardCode],"MAE")=0,"",SUMIFS(tblDaily[Deaths],tblDaily[EntryDate],DATE(2026,9,14),tblDaily[WardCode],"MAE")),"")</f>
        <v/>
      </c>
      <c r="E341" s="39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39" t="str">
        <f>IFERROR(IF(SUMIFS(tblDaily[TransfersIn],tblDaily[EntryDate],DATE(2026,9,14),tblDaily[WardCode],"MAE")=0,"",SUMIFS(tblDaily[TransfersIn],tblDaily[EntryDate],DATE(2026,9,14),tblDaily[WardCode],"MAE")),"")</f>
        <v/>
      </c>
      <c r="G341" s="39" t="str">
        <f>IFERROR(IF(SUMIFS(tblDaily[TransfersOut],tblDaily[EntryDate],DATE(2026,9,14),tblDaily[WardCode],"MAE")=0,"",SUMIFS(tblDaily[TransfersOut],tblDaily[EntryDate],DATE(2026,9,14),tblDaily[WardCode],"MAE")),"")</f>
        <v/>
      </c>
      <c r="H341" s="39" t="str">
        <f>IFERROR(IF(SUMIFS(tblDaily[Remaining],tblDaily[EntryDate],DATE(2026,9,14),tblDaily[WardCode],"MAE")=0,"",SUMIFS(tblDaily[Remaining],tblDaily[EntryDate],DATE(2026,9,14),tblDaily[WardCode],"MAE")),"")</f>
        <v/>
      </c>
      <c r="I341" s="39" t="str">
        <f>IFERROR(IF(SUMIFS(tblDaily[Admissions],tblDaily[EntryDate],DATE(2026,9,14),tblDaily[WardCode],"FAE")=0,"",SUMIFS(tblDaily[Admissions],tblDaily[EntryDate],DATE(2026,9,14),tblDaily[WardCode],"FAE")),"")</f>
        <v/>
      </c>
      <c r="J341" s="39" t="str">
        <f>IFERROR(IF(SUMIFS(tblDaily[Discharges],tblDaily[EntryDate],DATE(2026,9,14),tblDaily[WardCode],"FAE")=0,"",SUMIFS(tblDaily[Discharges],tblDaily[EntryDate],DATE(2026,9,14),tblDaily[WardCode],"FAE")),"")</f>
        <v/>
      </c>
      <c r="K341" s="39" t="str">
        <f>IFERROR(IF(SUMIFS(tblDaily[Deaths],tblDaily[EntryDate],DATE(2026,9,14),tblDaily[WardCode],"FAE")=0,"",SUMIFS(tblDaily[Deaths],tblDaily[EntryDate],DATE(2026,9,14),tblDaily[WardCode],"FAE")),"")</f>
        <v/>
      </c>
      <c r="L341" s="39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39" t="str">
        <f>IFERROR(IF(SUMIFS(tblDaily[TransfersIn],tblDaily[EntryDate],DATE(2026,9,14),tblDaily[WardCode],"FAE")=0,"",SUMIFS(tblDaily[TransfersIn],tblDaily[EntryDate],DATE(2026,9,14),tblDaily[WardCode],"FAE")),"")</f>
        <v/>
      </c>
      <c r="N341" s="39" t="str">
        <f>IFERROR(IF(SUMIFS(tblDaily[TransfersOut],tblDaily[EntryDate],DATE(2026,9,14),tblDaily[WardCode],"FAE")=0,"",SUMIFS(tblDaily[TransfersOut],tblDaily[EntryDate],DATE(2026,9,14),tblDaily[WardCode],"FAE")),"")</f>
        <v/>
      </c>
      <c r="O341" s="39" t="str">
        <f>IFERROR(IF(SUMIFS(tblDaily[Remaining],tblDaily[EntryDate],DATE(2026,9,14),tblDaily[WardCode],"FAE")=0,"",SUMIFS(tblDaily[Remaining],tblDaily[EntryDate],DATE(2026,9,14),tblDaily[WardCode],"FAE")),"")</f>
        <v/>
      </c>
      <c r="P341" s="40" t="str">
        <f t="shared" si="8"/>
        <v/>
      </c>
    </row>
    <row r="342" spans="1:16" x14ac:dyDescent="0.25">
      <c r="A342" s="39">
        <v>15</v>
      </c>
      <c r="B342" s="39" t="str">
        <f>IFERROR(IF(SUMIFS(tblDaily[Admissions],tblDaily[EntryDate],DATE(2026,9,15),tblDaily[WardCode],"MAE")=0,"",SUMIFS(tblDaily[Admissions],tblDaily[EntryDate],DATE(2026,9,15),tblDaily[WardCode],"MAE")),"")</f>
        <v/>
      </c>
      <c r="C342" s="39" t="str">
        <f>IFERROR(IF(SUMIFS(tblDaily[Discharges],tblDaily[EntryDate],DATE(2026,9,15),tblDaily[WardCode],"MAE")=0,"",SUMIFS(tblDaily[Discharges],tblDaily[EntryDate],DATE(2026,9,15),tblDaily[WardCode],"MAE")),"")</f>
        <v/>
      </c>
      <c r="D342" s="39" t="str">
        <f>IFERROR(IF(SUMIFS(tblDaily[Deaths],tblDaily[EntryDate],DATE(2026,9,15),tblDaily[WardCode],"MAE")=0,"",SUMIFS(tblDaily[Deaths],tblDaily[EntryDate],DATE(2026,9,15),tblDaily[WardCode],"MAE")),"")</f>
        <v/>
      </c>
      <c r="E342" s="39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39" t="str">
        <f>IFERROR(IF(SUMIFS(tblDaily[TransfersIn],tblDaily[EntryDate],DATE(2026,9,15),tblDaily[WardCode],"MAE")=0,"",SUMIFS(tblDaily[TransfersIn],tblDaily[EntryDate],DATE(2026,9,15),tblDaily[WardCode],"MAE")),"")</f>
        <v/>
      </c>
      <c r="G342" s="39" t="str">
        <f>IFERROR(IF(SUMIFS(tblDaily[TransfersOut],tblDaily[EntryDate],DATE(2026,9,15),tblDaily[WardCode],"MAE")=0,"",SUMIFS(tblDaily[TransfersOut],tblDaily[EntryDate],DATE(2026,9,15),tblDaily[WardCode],"MAE")),"")</f>
        <v/>
      </c>
      <c r="H342" s="39" t="str">
        <f>IFERROR(IF(SUMIFS(tblDaily[Remaining],tblDaily[EntryDate],DATE(2026,9,15),tblDaily[WardCode],"MAE")=0,"",SUMIFS(tblDaily[Remaining],tblDaily[EntryDate],DATE(2026,9,15),tblDaily[WardCode],"MAE")),"")</f>
        <v/>
      </c>
      <c r="I342" s="39" t="str">
        <f>IFERROR(IF(SUMIFS(tblDaily[Admissions],tblDaily[EntryDate],DATE(2026,9,15),tblDaily[WardCode],"FAE")=0,"",SUMIFS(tblDaily[Admissions],tblDaily[EntryDate],DATE(2026,9,15),tblDaily[WardCode],"FAE")),"")</f>
        <v/>
      </c>
      <c r="J342" s="39" t="str">
        <f>IFERROR(IF(SUMIFS(tblDaily[Discharges],tblDaily[EntryDate],DATE(2026,9,15),tblDaily[WardCode],"FAE")=0,"",SUMIFS(tblDaily[Discharges],tblDaily[EntryDate],DATE(2026,9,15),tblDaily[WardCode],"FAE")),"")</f>
        <v/>
      </c>
      <c r="K342" s="39" t="str">
        <f>IFERROR(IF(SUMIFS(tblDaily[Deaths],tblDaily[EntryDate],DATE(2026,9,15),tblDaily[WardCode],"FAE")=0,"",SUMIFS(tblDaily[Deaths],tblDaily[EntryDate],DATE(2026,9,15),tblDaily[WardCode],"FAE")),"")</f>
        <v/>
      </c>
      <c r="L342" s="39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39" t="str">
        <f>IFERROR(IF(SUMIFS(tblDaily[TransfersIn],tblDaily[EntryDate],DATE(2026,9,15),tblDaily[WardCode],"FAE")=0,"",SUMIFS(tblDaily[TransfersIn],tblDaily[EntryDate],DATE(2026,9,15),tblDaily[WardCode],"FAE")),"")</f>
        <v/>
      </c>
      <c r="N342" s="39" t="str">
        <f>IFERROR(IF(SUMIFS(tblDaily[TransfersOut],tblDaily[EntryDate],DATE(2026,9,15),tblDaily[WardCode],"FAE")=0,"",SUMIFS(tblDaily[TransfersOut],tblDaily[EntryDate],DATE(2026,9,15),tblDaily[WardCode],"FAE")),"")</f>
        <v/>
      </c>
      <c r="O342" s="39" t="str">
        <f>IFERROR(IF(SUMIFS(tblDaily[Remaining],tblDaily[EntryDate],DATE(2026,9,15),tblDaily[WardCode],"FAE")=0,"",SUMIFS(tblDaily[Remaining],tblDaily[EntryDate],DATE(2026,9,15),tblDaily[WardCode],"FAE")),"")</f>
        <v/>
      </c>
      <c r="P342" s="40" t="str">
        <f t="shared" si="8"/>
        <v/>
      </c>
    </row>
    <row r="343" spans="1:16" x14ac:dyDescent="0.25">
      <c r="A343" s="39">
        <v>16</v>
      </c>
      <c r="B343" s="39" t="str">
        <f>IFERROR(IF(SUMIFS(tblDaily[Admissions],tblDaily[EntryDate],DATE(2026,9,16),tblDaily[WardCode],"MAE")=0,"",SUMIFS(tblDaily[Admissions],tblDaily[EntryDate],DATE(2026,9,16),tblDaily[WardCode],"MAE")),"")</f>
        <v/>
      </c>
      <c r="C343" s="39" t="str">
        <f>IFERROR(IF(SUMIFS(tblDaily[Discharges],tblDaily[EntryDate],DATE(2026,9,16),tblDaily[WardCode],"MAE")=0,"",SUMIFS(tblDaily[Discharges],tblDaily[EntryDate],DATE(2026,9,16),tblDaily[WardCode],"MAE")),"")</f>
        <v/>
      </c>
      <c r="D343" s="39" t="str">
        <f>IFERROR(IF(SUMIFS(tblDaily[Deaths],tblDaily[EntryDate],DATE(2026,9,16),tblDaily[WardCode],"MAE")=0,"",SUMIFS(tblDaily[Deaths],tblDaily[EntryDate],DATE(2026,9,16),tblDaily[WardCode],"MAE")),"")</f>
        <v/>
      </c>
      <c r="E343" s="39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39" t="str">
        <f>IFERROR(IF(SUMIFS(tblDaily[TransfersIn],tblDaily[EntryDate],DATE(2026,9,16),tblDaily[WardCode],"MAE")=0,"",SUMIFS(tblDaily[TransfersIn],tblDaily[EntryDate],DATE(2026,9,16),tblDaily[WardCode],"MAE")),"")</f>
        <v/>
      </c>
      <c r="G343" s="39" t="str">
        <f>IFERROR(IF(SUMIFS(tblDaily[TransfersOut],tblDaily[EntryDate],DATE(2026,9,16),tblDaily[WardCode],"MAE")=0,"",SUMIFS(tblDaily[TransfersOut],tblDaily[EntryDate],DATE(2026,9,16),tblDaily[WardCode],"MAE")),"")</f>
        <v/>
      </c>
      <c r="H343" s="39" t="str">
        <f>IFERROR(IF(SUMIFS(tblDaily[Remaining],tblDaily[EntryDate],DATE(2026,9,16),tblDaily[WardCode],"MAE")=0,"",SUMIFS(tblDaily[Remaining],tblDaily[EntryDate],DATE(2026,9,16),tblDaily[WardCode],"MAE")),"")</f>
        <v/>
      </c>
      <c r="I343" s="39" t="str">
        <f>IFERROR(IF(SUMIFS(tblDaily[Admissions],tblDaily[EntryDate],DATE(2026,9,16),tblDaily[WardCode],"FAE")=0,"",SUMIFS(tblDaily[Admissions],tblDaily[EntryDate],DATE(2026,9,16),tblDaily[WardCode],"FAE")),"")</f>
        <v/>
      </c>
      <c r="J343" s="39" t="str">
        <f>IFERROR(IF(SUMIFS(tblDaily[Discharges],tblDaily[EntryDate],DATE(2026,9,16),tblDaily[WardCode],"FAE")=0,"",SUMIFS(tblDaily[Discharges],tblDaily[EntryDate],DATE(2026,9,16),tblDaily[WardCode],"FAE")),"")</f>
        <v/>
      </c>
      <c r="K343" s="39" t="str">
        <f>IFERROR(IF(SUMIFS(tblDaily[Deaths],tblDaily[EntryDate],DATE(2026,9,16),tblDaily[WardCode],"FAE")=0,"",SUMIFS(tblDaily[Deaths],tblDaily[EntryDate],DATE(2026,9,16),tblDaily[WardCode],"FAE")),"")</f>
        <v/>
      </c>
      <c r="L343" s="39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39" t="str">
        <f>IFERROR(IF(SUMIFS(tblDaily[TransfersIn],tblDaily[EntryDate],DATE(2026,9,16),tblDaily[WardCode],"FAE")=0,"",SUMIFS(tblDaily[TransfersIn],tblDaily[EntryDate],DATE(2026,9,16),tblDaily[WardCode],"FAE")),"")</f>
        <v/>
      </c>
      <c r="N343" s="39" t="str">
        <f>IFERROR(IF(SUMIFS(tblDaily[TransfersOut],tblDaily[EntryDate],DATE(2026,9,16),tblDaily[WardCode],"FAE")=0,"",SUMIFS(tblDaily[TransfersOut],tblDaily[EntryDate],DATE(2026,9,16),tblDaily[WardCode],"FAE")),"")</f>
        <v/>
      </c>
      <c r="O343" s="39" t="str">
        <f>IFERROR(IF(SUMIFS(tblDaily[Remaining],tblDaily[EntryDate],DATE(2026,9,16),tblDaily[WardCode],"FAE")=0,"",SUMIFS(tblDaily[Remaining],tblDaily[EntryDate],DATE(2026,9,16),tblDaily[WardCode],"FAE")),"")</f>
        <v/>
      </c>
      <c r="P343" s="40" t="str">
        <f t="shared" si="8"/>
        <v/>
      </c>
    </row>
    <row r="344" spans="1:16" x14ac:dyDescent="0.25">
      <c r="A344" s="39">
        <v>17</v>
      </c>
      <c r="B344" s="39" t="str">
        <f>IFERROR(IF(SUMIFS(tblDaily[Admissions],tblDaily[EntryDate],DATE(2026,9,17),tblDaily[WardCode],"MAE")=0,"",SUMIFS(tblDaily[Admissions],tblDaily[EntryDate],DATE(2026,9,17),tblDaily[WardCode],"MAE")),"")</f>
        <v/>
      </c>
      <c r="C344" s="39" t="str">
        <f>IFERROR(IF(SUMIFS(tblDaily[Discharges],tblDaily[EntryDate],DATE(2026,9,17),tblDaily[WardCode],"MAE")=0,"",SUMIFS(tblDaily[Discharges],tblDaily[EntryDate],DATE(2026,9,17),tblDaily[WardCode],"MAE")),"")</f>
        <v/>
      </c>
      <c r="D344" s="39" t="str">
        <f>IFERROR(IF(SUMIFS(tblDaily[Deaths],tblDaily[EntryDate],DATE(2026,9,17),tblDaily[WardCode],"MAE")=0,"",SUMIFS(tblDaily[Deaths],tblDaily[EntryDate],DATE(2026,9,17),tblDaily[WardCode],"MAE")),"")</f>
        <v/>
      </c>
      <c r="E344" s="39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39" t="str">
        <f>IFERROR(IF(SUMIFS(tblDaily[TransfersIn],tblDaily[EntryDate],DATE(2026,9,17),tblDaily[WardCode],"MAE")=0,"",SUMIFS(tblDaily[TransfersIn],tblDaily[EntryDate],DATE(2026,9,17),tblDaily[WardCode],"MAE")),"")</f>
        <v/>
      </c>
      <c r="G344" s="39" t="str">
        <f>IFERROR(IF(SUMIFS(tblDaily[TransfersOut],tblDaily[EntryDate],DATE(2026,9,17),tblDaily[WardCode],"MAE")=0,"",SUMIFS(tblDaily[TransfersOut],tblDaily[EntryDate],DATE(2026,9,17),tblDaily[WardCode],"MAE")),"")</f>
        <v/>
      </c>
      <c r="H344" s="39" t="str">
        <f>IFERROR(IF(SUMIFS(tblDaily[Remaining],tblDaily[EntryDate],DATE(2026,9,17),tblDaily[WardCode],"MAE")=0,"",SUMIFS(tblDaily[Remaining],tblDaily[EntryDate],DATE(2026,9,17),tblDaily[WardCode],"MAE")),"")</f>
        <v/>
      </c>
      <c r="I344" s="39" t="str">
        <f>IFERROR(IF(SUMIFS(tblDaily[Admissions],tblDaily[EntryDate],DATE(2026,9,17),tblDaily[WardCode],"FAE")=0,"",SUMIFS(tblDaily[Admissions],tblDaily[EntryDate],DATE(2026,9,17),tblDaily[WardCode],"FAE")),"")</f>
        <v/>
      </c>
      <c r="J344" s="39" t="str">
        <f>IFERROR(IF(SUMIFS(tblDaily[Discharges],tblDaily[EntryDate],DATE(2026,9,17),tblDaily[WardCode],"FAE")=0,"",SUMIFS(tblDaily[Discharges],tblDaily[EntryDate],DATE(2026,9,17),tblDaily[WardCode],"FAE")),"")</f>
        <v/>
      </c>
      <c r="K344" s="39" t="str">
        <f>IFERROR(IF(SUMIFS(tblDaily[Deaths],tblDaily[EntryDate],DATE(2026,9,17),tblDaily[WardCode],"FAE")=0,"",SUMIFS(tblDaily[Deaths],tblDaily[EntryDate],DATE(2026,9,17),tblDaily[WardCode],"FAE")),"")</f>
        <v/>
      </c>
      <c r="L344" s="39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39" t="str">
        <f>IFERROR(IF(SUMIFS(tblDaily[TransfersIn],tblDaily[EntryDate],DATE(2026,9,17),tblDaily[WardCode],"FAE")=0,"",SUMIFS(tblDaily[TransfersIn],tblDaily[EntryDate],DATE(2026,9,17),tblDaily[WardCode],"FAE")),"")</f>
        <v/>
      </c>
      <c r="N344" s="39" t="str">
        <f>IFERROR(IF(SUMIFS(tblDaily[TransfersOut],tblDaily[EntryDate],DATE(2026,9,17),tblDaily[WardCode],"FAE")=0,"",SUMIFS(tblDaily[TransfersOut],tblDaily[EntryDate],DATE(2026,9,17),tblDaily[WardCode],"FAE")),"")</f>
        <v/>
      </c>
      <c r="O344" s="39" t="str">
        <f>IFERROR(IF(SUMIFS(tblDaily[Remaining],tblDaily[EntryDate],DATE(2026,9,17),tblDaily[WardCode],"FAE")=0,"",SUMIFS(tblDaily[Remaining],tblDaily[EntryDate],DATE(2026,9,17),tblDaily[WardCode],"FAE")),"")</f>
        <v/>
      </c>
      <c r="P344" s="40" t="str">
        <f t="shared" si="8"/>
        <v/>
      </c>
    </row>
    <row r="345" spans="1:16" x14ac:dyDescent="0.25">
      <c r="A345" s="39">
        <v>18</v>
      </c>
      <c r="B345" s="39" t="str">
        <f>IFERROR(IF(SUMIFS(tblDaily[Admissions],tblDaily[EntryDate],DATE(2026,9,18),tblDaily[WardCode],"MAE")=0,"",SUMIFS(tblDaily[Admissions],tblDaily[EntryDate],DATE(2026,9,18),tblDaily[WardCode],"MAE")),"")</f>
        <v/>
      </c>
      <c r="C345" s="39" t="str">
        <f>IFERROR(IF(SUMIFS(tblDaily[Discharges],tblDaily[EntryDate],DATE(2026,9,18),tblDaily[WardCode],"MAE")=0,"",SUMIFS(tblDaily[Discharges],tblDaily[EntryDate],DATE(2026,9,18),tblDaily[WardCode],"MAE")),"")</f>
        <v/>
      </c>
      <c r="D345" s="39" t="str">
        <f>IFERROR(IF(SUMIFS(tblDaily[Deaths],tblDaily[EntryDate],DATE(2026,9,18),tblDaily[WardCode],"MAE")=0,"",SUMIFS(tblDaily[Deaths],tblDaily[EntryDate],DATE(2026,9,18),tblDaily[WardCode],"MAE")),"")</f>
        <v/>
      </c>
      <c r="E345" s="39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39" t="str">
        <f>IFERROR(IF(SUMIFS(tblDaily[TransfersIn],tblDaily[EntryDate],DATE(2026,9,18),tblDaily[WardCode],"MAE")=0,"",SUMIFS(tblDaily[TransfersIn],tblDaily[EntryDate],DATE(2026,9,18),tblDaily[WardCode],"MAE")),"")</f>
        <v/>
      </c>
      <c r="G345" s="39" t="str">
        <f>IFERROR(IF(SUMIFS(tblDaily[TransfersOut],tblDaily[EntryDate],DATE(2026,9,18),tblDaily[WardCode],"MAE")=0,"",SUMIFS(tblDaily[TransfersOut],tblDaily[EntryDate],DATE(2026,9,18),tblDaily[WardCode],"MAE")),"")</f>
        <v/>
      </c>
      <c r="H345" s="39" t="str">
        <f>IFERROR(IF(SUMIFS(tblDaily[Remaining],tblDaily[EntryDate],DATE(2026,9,18),tblDaily[WardCode],"MAE")=0,"",SUMIFS(tblDaily[Remaining],tblDaily[EntryDate],DATE(2026,9,18),tblDaily[WardCode],"MAE")),"")</f>
        <v/>
      </c>
      <c r="I345" s="39" t="str">
        <f>IFERROR(IF(SUMIFS(tblDaily[Admissions],tblDaily[EntryDate],DATE(2026,9,18),tblDaily[WardCode],"FAE")=0,"",SUMIFS(tblDaily[Admissions],tblDaily[EntryDate],DATE(2026,9,18),tblDaily[WardCode],"FAE")),"")</f>
        <v/>
      </c>
      <c r="J345" s="39" t="str">
        <f>IFERROR(IF(SUMIFS(tblDaily[Discharges],tblDaily[EntryDate],DATE(2026,9,18),tblDaily[WardCode],"FAE")=0,"",SUMIFS(tblDaily[Discharges],tblDaily[EntryDate],DATE(2026,9,18),tblDaily[WardCode],"FAE")),"")</f>
        <v/>
      </c>
      <c r="K345" s="39" t="str">
        <f>IFERROR(IF(SUMIFS(tblDaily[Deaths],tblDaily[EntryDate],DATE(2026,9,18),tblDaily[WardCode],"FAE")=0,"",SUMIFS(tblDaily[Deaths],tblDaily[EntryDate],DATE(2026,9,18),tblDaily[WardCode],"FAE")),"")</f>
        <v/>
      </c>
      <c r="L345" s="39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39" t="str">
        <f>IFERROR(IF(SUMIFS(tblDaily[TransfersIn],tblDaily[EntryDate],DATE(2026,9,18),tblDaily[WardCode],"FAE")=0,"",SUMIFS(tblDaily[TransfersIn],tblDaily[EntryDate],DATE(2026,9,18),tblDaily[WardCode],"FAE")),"")</f>
        <v/>
      </c>
      <c r="N345" s="39" t="str">
        <f>IFERROR(IF(SUMIFS(tblDaily[TransfersOut],tblDaily[EntryDate],DATE(2026,9,18),tblDaily[WardCode],"FAE")=0,"",SUMIFS(tblDaily[TransfersOut],tblDaily[EntryDate],DATE(2026,9,18),tblDaily[WardCode],"FAE")),"")</f>
        <v/>
      </c>
      <c r="O345" s="39" t="str">
        <f>IFERROR(IF(SUMIFS(tblDaily[Remaining],tblDaily[EntryDate],DATE(2026,9,18),tblDaily[WardCode],"FAE")=0,"",SUMIFS(tblDaily[Remaining],tblDaily[EntryDate],DATE(2026,9,18),tblDaily[WardCode],"FAE")),"")</f>
        <v/>
      </c>
      <c r="P345" s="40" t="str">
        <f t="shared" si="8"/>
        <v/>
      </c>
    </row>
    <row r="346" spans="1:16" x14ac:dyDescent="0.25">
      <c r="A346" s="39">
        <v>19</v>
      </c>
      <c r="B346" s="39" t="str">
        <f>IFERROR(IF(SUMIFS(tblDaily[Admissions],tblDaily[EntryDate],DATE(2026,9,19),tblDaily[WardCode],"MAE")=0,"",SUMIFS(tblDaily[Admissions],tblDaily[EntryDate],DATE(2026,9,19),tblDaily[WardCode],"MAE")),"")</f>
        <v/>
      </c>
      <c r="C346" s="39" t="str">
        <f>IFERROR(IF(SUMIFS(tblDaily[Discharges],tblDaily[EntryDate],DATE(2026,9,19),tblDaily[WardCode],"MAE")=0,"",SUMIFS(tblDaily[Discharges],tblDaily[EntryDate],DATE(2026,9,19),tblDaily[WardCode],"MAE")),"")</f>
        <v/>
      </c>
      <c r="D346" s="39" t="str">
        <f>IFERROR(IF(SUMIFS(tblDaily[Deaths],tblDaily[EntryDate],DATE(2026,9,19),tblDaily[WardCode],"MAE")=0,"",SUMIFS(tblDaily[Deaths],tblDaily[EntryDate],DATE(2026,9,19),tblDaily[WardCode],"MAE")),"")</f>
        <v/>
      </c>
      <c r="E346" s="39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39" t="str">
        <f>IFERROR(IF(SUMIFS(tblDaily[TransfersIn],tblDaily[EntryDate],DATE(2026,9,19),tblDaily[WardCode],"MAE")=0,"",SUMIFS(tblDaily[TransfersIn],tblDaily[EntryDate],DATE(2026,9,19),tblDaily[WardCode],"MAE")),"")</f>
        <v/>
      </c>
      <c r="G346" s="39" t="str">
        <f>IFERROR(IF(SUMIFS(tblDaily[TransfersOut],tblDaily[EntryDate],DATE(2026,9,19),tblDaily[WardCode],"MAE")=0,"",SUMIFS(tblDaily[TransfersOut],tblDaily[EntryDate],DATE(2026,9,19),tblDaily[WardCode],"MAE")),"")</f>
        <v/>
      </c>
      <c r="H346" s="39" t="str">
        <f>IFERROR(IF(SUMIFS(tblDaily[Remaining],tblDaily[EntryDate],DATE(2026,9,19),tblDaily[WardCode],"MAE")=0,"",SUMIFS(tblDaily[Remaining],tblDaily[EntryDate],DATE(2026,9,19),tblDaily[WardCode],"MAE")),"")</f>
        <v/>
      </c>
      <c r="I346" s="39" t="str">
        <f>IFERROR(IF(SUMIFS(tblDaily[Admissions],tblDaily[EntryDate],DATE(2026,9,19),tblDaily[WardCode],"FAE")=0,"",SUMIFS(tblDaily[Admissions],tblDaily[EntryDate],DATE(2026,9,19),tblDaily[WardCode],"FAE")),"")</f>
        <v/>
      </c>
      <c r="J346" s="39" t="str">
        <f>IFERROR(IF(SUMIFS(tblDaily[Discharges],tblDaily[EntryDate],DATE(2026,9,19),tblDaily[WardCode],"FAE")=0,"",SUMIFS(tblDaily[Discharges],tblDaily[EntryDate],DATE(2026,9,19),tblDaily[WardCode],"FAE")),"")</f>
        <v/>
      </c>
      <c r="K346" s="39" t="str">
        <f>IFERROR(IF(SUMIFS(tblDaily[Deaths],tblDaily[EntryDate],DATE(2026,9,19),tblDaily[WardCode],"FAE")=0,"",SUMIFS(tblDaily[Deaths],tblDaily[EntryDate],DATE(2026,9,19),tblDaily[WardCode],"FAE")),"")</f>
        <v/>
      </c>
      <c r="L346" s="39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39" t="str">
        <f>IFERROR(IF(SUMIFS(tblDaily[TransfersIn],tblDaily[EntryDate],DATE(2026,9,19),tblDaily[WardCode],"FAE")=0,"",SUMIFS(tblDaily[TransfersIn],tblDaily[EntryDate],DATE(2026,9,19),tblDaily[WardCode],"FAE")),"")</f>
        <v/>
      </c>
      <c r="N346" s="39" t="str">
        <f>IFERROR(IF(SUMIFS(tblDaily[TransfersOut],tblDaily[EntryDate],DATE(2026,9,19),tblDaily[WardCode],"FAE")=0,"",SUMIFS(tblDaily[TransfersOut],tblDaily[EntryDate],DATE(2026,9,19),tblDaily[WardCode],"FAE")),"")</f>
        <v/>
      </c>
      <c r="O346" s="39" t="str">
        <f>IFERROR(IF(SUMIFS(tblDaily[Remaining],tblDaily[EntryDate],DATE(2026,9,19),tblDaily[WardCode],"FAE")=0,"",SUMIFS(tblDaily[Remaining],tblDaily[EntryDate],DATE(2026,9,19),tblDaily[WardCode],"FAE")),"")</f>
        <v/>
      </c>
      <c r="P346" s="40" t="str">
        <f t="shared" si="8"/>
        <v/>
      </c>
    </row>
    <row r="347" spans="1:16" x14ac:dyDescent="0.25">
      <c r="A347" s="39">
        <v>20</v>
      </c>
      <c r="B347" s="39" t="str">
        <f>IFERROR(IF(SUMIFS(tblDaily[Admissions],tblDaily[EntryDate],DATE(2026,9,20),tblDaily[WardCode],"MAE")=0,"",SUMIFS(tblDaily[Admissions],tblDaily[EntryDate],DATE(2026,9,20),tblDaily[WardCode],"MAE")),"")</f>
        <v/>
      </c>
      <c r="C347" s="39" t="str">
        <f>IFERROR(IF(SUMIFS(tblDaily[Discharges],tblDaily[EntryDate],DATE(2026,9,20),tblDaily[WardCode],"MAE")=0,"",SUMIFS(tblDaily[Discharges],tblDaily[EntryDate],DATE(2026,9,20),tblDaily[WardCode],"MAE")),"")</f>
        <v/>
      </c>
      <c r="D347" s="39" t="str">
        <f>IFERROR(IF(SUMIFS(tblDaily[Deaths],tblDaily[EntryDate],DATE(2026,9,20),tblDaily[WardCode],"MAE")=0,"",SUMIFS(tblDaily[Deaths],tblDaily[EntryDate],DATE(2026,9,20),tblDaily[WardCode],"MAE")),"")</f>
        <v/>
      </c>
      <c r="E347" s="39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39" t="str">
        <f>IFERROR(IF(SUMIFS(tblDaily[TransfersIn],tblDaily[EntryDate],DATE(2026,9,20),tblDaily[WardCode],"MAE")=0,"",SUMIFS(tblDaily[TransfersIn],tblDaily[EntryDate],DATE(2026,9,20),tblDaily[WardCode],"MAE")),"")</f>
        <v/>
      </c>
      <c r="G347" s="39" t="str">
        <f>IFERROR(IF(SUMIFS(tblDaily[TransfersOut],tblDaily[EntryDate],DATE(2026,9,20),tblDaily[WardCode],"MAE")=0,"",SUMIFS(tblDaily[TransfersOut],tblDaily[EntryDate],DATE(2026,9,20),tblDaily[WardCode],"MAE")),"")</f>
        <v/>
      </c>
      <c r="H347" s="39" t="str">
        <f>IFERROR(IF(SUMIFS(tblDaily[Remaining],tblDaily[EntryDate],DATE(2026,9,20),tblDaily[WardCode],"MAE")=0,"",SUMIFS(tblDaily[Remaining],tblDaily[EntryDate],DATE(2026,9,20),tblDaily[WardCode],"MAE")),"")</f>
        <v/>
      </c>
      <c r="I347" s="39" t="str">
        <f>IFERROR(IF(SUMIFS(tblDaily[Admissions],tblDaily[EntryDate],DATE(2026,9,20),tblDaily[WardCode],"FAE")=0,"",SUMIFS(tblDaily[Admissions],tblDaily[EntryDate],DATE(2026,9,20),tblDaily[WardCode],"FAE")),"")</f>
        <v/>
      </c>
      <c r="J347" s="39" t="str">
        <f>IFERROR(IF(SUMIFS(tblDaily[Discharges],tblDaily[EntryDate],DATE(2026,9,20),tblDaily[WardCode],"FAE")=0,"",SUMIFS(tblDaily[Discharges],tblDaily[EntryDate],DATE(2026,9,20),tblDaily[WardCode],"FAE")),"")</f>
        <v/>
      </c>
      <c r="K347" s="39" t="str">
        <f>IFERROR(IF(SUMIFS(tblDaily[Deaths],tblDaily[EntryDate],DATE(2026,9,20),tblDaily[WardCode],"FAE")=0,"",SUMIFS(tblDaily[Deaths],tblDaily[EntryDate],DATE(2026,9,20),tblDaily[WardCode],"FAE")),"")</f>
        <v/>
      </c>
      <c r="L347" s="39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39" t="str">
        <f>IFERROR(IF(SUMIFS(tblDaily[TransfersIn],tblDaily[EntryDate],DATE(2026,9,20),tblDaily[WardCode],"FAE")=0,"",SUMIFS(tblDaily[TransfersIn],tblDaily[EntryDate],DATE(2026,9,20),tblDaily[WardCode],"FAE")),"")</f>
        <v/>
      </c>
      <c r="N347" s="39" t="str">
        <f>IFERROR(IF(SUMIFS(tblDaily[TransfersOut],tblDaily[EntryDate],DATE(2026,9,20),tblDaily[WardCode],"FAE")=0,"",SUMIFS(tblDaily[TransfersOut],tblDaily[EntryDate],DATE(2026,9,20),tblDaily[WardCode],"FAE")),"")</f>
        <v/>
      </c>
      <c r="O347" s="39" t="str">
        <f>IFERROR(IF(SUMIFS(tblDaily[Remaining],tblDaily[EntryDate],DATE(2026,9,20),tblDaily[WardCode],"FAE")=0,"",SUMIFS(tblDaily[Remaining],tblDaily[EntryDate],DATE(2026,9,20),tblDaily[WardCode],"FAE")),"")</f>
        <v/>
      </c>
      <c r="P347" s="40" t="str">
        <f t="shared" si="8"/>
        <v/>
      </c>
    </row>
    <row r="348" spans="1:16" x14ac:dyDescent="0.25">
      <c r="A348" s="39">
        <v>21</v>
      </c>
      <c r="B348" s="39" t="str">
        <f>IFERROR(IF(SUMIFS(tblDaily[Admissions],tblDaily[EntryDate],DATE(2026,9,21),tblDaily[WardCode],"MAE")=0,"",SUMIFS(tblDaily[Admissions],tblDaily[EntryDate],DATE(2026,9,21),tblDaily[WardCode],"MAE")),"")</f>
        <v/>
      </c>
      <c r="C348" s="39" t="str">
        <f>IFERROR(IF(SUMIFS(tblDaily[Discharges],tblDaily[EntryDate],DATE(2026,9,21),tblDaily[WardCode],"MAE")=0,"",SUMIFS(tblDaily[Discharges],tblDaily[EntryDate],DATE(2026,9,21),tblDaily[WardCode],"MAE")),"")</f>
        <v/>
      </c>
      <c r="D348" s="39" t="str">
        <f>IFERROR(IF(SUMIFS(tblDaily[Deaths],tblDaily[EntryDate],DATE(2026,9,21),tblDaily[WardCode],"MAE")=0,"",SUMIFS(tblDaily[Deaths],tblDaily[EntryDate],DATE(2026,9,21),tblDaily[WardCode],"MAE")),"")</f>
        <v/>
      </c>
      <c r="E348" s="39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39" t="str">
        <f>IFERROR(IF(SUMIFS(tblDaily[TransfersIn],tblDaily[EntryDate],DATE(2026,9,21),tblDaily[WardCode],"MAE")=0,"",SUMIFS(tblDaily[TransfersIn],tblDaily[EntryDate],DATE(2026,9,21),tblDaily[WardCode],"MAE")),"")</f>
        <v/>
      </c>
      <c r="G348" s="39" t="str">
        <f>IFERROR(IF(SUMIFS(tblDaily[TransfersOut],tblDaily[EntryDate],DATE(2026,9,21),tblDaily[WardCode],"MAE")=0,"",SUMIFS(tblDaily[TransfersOut],tblDaily[EntryDate],DATE(2026,9,21),tblDaily[WardCode],"MAE")),"")</f>
        <v/>
      </c>
      <c r="H348" s="39" t="str">
        <f>IFERROR(IF(SUMIFS(tblDaily[Remaining],tblDaily[EntryDate],DATE(2026,9,21),tblDaily[WardCode],"MAE")=0,"",SUMIFS(tblDaily[Remaining],tblDaily[EntryDate],DATE(2026,9,21),tblDaily[WardCode],"MAE")),"")</f>
        <v/>
      </c>
      <c r="I348" s="39" t="str">
        <f>IFERROR(IF(SUMIFS(tblDaily[Admissions],tblDaily[EntryDate],DATE(2026,9,21),tblDaily[WardCode],"FAE")=0,"",SUMIFS(tblDaily[Admissions],tblDaily[EntryDate],DATE(2026,9,21),tblDaily[WardCode],"FAE")),"")</f>
        <v/>
      </c>
      <c r="J348" s="39" t="str">
        <f>IFERROR(IF(SUMIFS(tblDaily[Discharges],tblDaily[EntryDate],DATE(2026,9,21),tblDaily[WardCode],"FAE")=0,"",SUMIFS(tblDaily[Discharges],tblDaily[EntryDate],DATE(2026,9,21),tblDaily[WardCode],"FAE")),"")</f>
        <v/>
      </c>
      <c r="K348" s="39" t="str">
        <f>IFERROR(IF(SUMIFS(tblDaily[Deaths],tblDaily[EntryDate],DATE(2026,9,21),tblDaily[WardCode],"FAE")=0,"",SUMIFS(tblDaily[Deaths],tblDaily[EntryDate],DATE(2026,9,21),tblDaily[WardCode],"FAE")),"")</f>
        <v/>
      </c>
      <c r="L348" s="39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39" t="str">
        <f>IFERROR(IF(SUMIFS(tblDaily[TransfersIn],tblDaily[EntryDate],DATE(2026,9,21),tblDaily[WardCode],"FAE")=0,"",SUMIFS(tblDaily[TransfersIn],tblDaily[EntryDate],DATE(2026,9,21),tblDaily[WardCode],"FAE")),"")</f>
        <v/>
      </c>
      <c r="N348" s="39" t="str">
        <f>IFERROR(IF(SUMIFS(tblDaily[TransfersOut],tblDaily[EntryDate],DATE(2026,9,21),tblDaily[WardCode],"FAE")=0,"",SUMIFS(tblDaily[TransfersOut],tblDaily[EntryDate],DATE(2026,9,21),tblDaily[WardCode],"FAE")),"")</f>
        <v/>
      </c>
      <c r="O348" s="39" t="str">
        <f>IFERROR(IF(SUMIFS(tblDaily[Remaining],tblDaily[EntryDate],DATE(2026,9,21),tblDaily[WardCode],"FAE")=0,"",SUMIFS(tblDaily[Remaining],tblDaily[EntryDate],DATE(2026,9,21),tblDaily[WardCode],"FAE")),"")</f>
        <v/>
      </c>
      <c r="P348" s="40" t="str">
        <f t="shared" si="8"/>
        <v/>
      </c>
    </row>
    <row r="349" spans="1:16" x14ac:dyDescent="0.25">
      <c r="A349" s="39">
        <v>22</v>
      </c>
      <c r="B349" s="39" t="str">
        <f>IFERROR(IF(SUMIFS(tblDaily[Admissions],tblDaily[EntryDate],DATE(2026,9,22),tblDaily[WardCode],"MAE")=0,"",SUMIFS(tblDaily[Admissions],tblDaily[EntryDate],DATE(2026,9,22),tblDaily[WardCode],"MAE")),"")</f>
        <v/>
      </c>
      <c r="C349" s="39" t="str">
        <f>IFERROR(IF(SUMIFS(tblDaily[Discharges],tblDaily[EntryDate],DATE(2026,9,22),tblDaily[WardCode],"MAE")=0,"",SUMIFS(tblDaily[Discharges],tblDaily[EntryDate],DATE(2026,9,22),tblDaily[WardCode],"MAE")),"")</f>
        <v/>
      </c>
      <c r="D349" s="39" t="str">
        <f>IFERROR(IF(SUMIFS(tblDaily[Deaths],tblDaily[EntryDate],DATE(2026,9,22),tblDaily[WardCode],"MAE")=0,"",SUMIFS(tblDaily[Deaths],tblDaily[EntryDate],DATE(2026,9,22),tblDaily[WardCode],"MAE")),"")</f>
        <v/>
      </c>
      <c r="E349" s="39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39" t="str">
        <f>IFERROR(IF(SUMIFS(tblDaily[TransfersIn],tblDaily[EntryDate],DATE(2026,9,22),tblDaily[WardCode],"MAE")=0,"",SUMIFS(tblDaily[TransfersIn],tblDaily[EntryDate],DATE(2026,9,22),tblDaily[WardCode],"MAE")),"")</f>
        <v/>
      </c>
      <c r="G349" s="39" t="str">
        <f>IFERROR(IF(SUMIFS(tblDaily[TransfersOut],tblDaily[EntryDate],DATE(2026,9,22),tblDaily[WardCode],"MAE")=0,"",SUMIFS(tblDaily[TransfersOut],tblDaily[EntryDate],DATE(2026,9,22),tblDaily[WardCode],"MAE")),"")</f>
        <v/>
      </c>
      <c r="H349" s="39" t="str">
        <f>IFERROR(IF(SUMIFS(tblDaily[Remaining],tblDaily[EntryDate],DATE(2026,9,22),tblDaily[WardCode],"MAE")=0,"",SUMIFS(tblDaily[Remaining],tblDaily[EntryDate],DATE(2026,9,22),tblDaily[WardCode],"MAE")),"")</f>
        <v/>
      </c>
      <c r="I349" s="39" t="str">
        <f>IFERROR(IF(SUMIFS(tblDaily[Admissions],tblDaily[EntryDate],DATE(2026,9,22),tblDaily[WardCode],"FAE")=0,"",SUMIFS(tblDaily[Admissions],tblDaily[EntryDate],DATE(2026,9,22),tblDaily[WardCode],"FAE")),"")</f>
        <v/>
      </c>
      <c r="J349" s="39" t="str">
        <f>IFERROR(IF(SUMIFS(tblDaily[Discharges],tblDaily[EntryDate],DATE(2026,9,22),tblDaily[WardCode],"FAE")=0,"",SUMIFS(tblDaily[Discharges],tblDaily[EntryDate],DATE(2026,9,22),tblDaily[WardCode],"FAE")),"")</f>
        <v/>
      </c>
      <c r="K349" s="39" t="str">
        <f>IFERROR(IF(SUMIFS(tblDaily[Deaths],tblDaily[EntryDate],DATE(2026,9,22),tblDaily[WardCode],"FAE")=0,"",SUMIFS(tblDaily[Deaths],tblDaily[EntryDate],DATE(2026,9,22),tblDaily[WardCode],"FAE")),"")</f>
        <v/>
      </c>
      <c r="L349" s="39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39" t="str">
        <f>IFERROR(IF(SUMIFS(tblDaily[TransfersIn],tblDaily[EntryDate],DATE(2026,9,22),tblDaily[WardCode],"FAE")=0,"",SUMIFS(tblDaily[TransfersIn],tblDaily[EntryDate],DATE(2026,9,22),tblDaily[WardCode],"FAE")),"")</f>
        <v/>
      </c>
      <c r="N349" s="39" t="str">
        <f>IFERROR(IF(SUMIFS(tblDaily[TransfersOut],tblDaily[EntryDate],DATE(2026,9,22),tblDaily[WardCode],"FAE")=0,"",SUMIFS(tblDaily[TransfersOut],tblDaily[EntryDate],DATE(2026,9,22),tblDaily[WardCode],"FAE")),"")</f>
        <v/>
      </c>
      <c r="O349" s="39" t="str">
        <f>IFERROR(IF(SUMIFS(tblDaily[Remaining],tblDaily[EntryDate],DATE(2026,9,22),tblDaily[WardCode],"FAE")=0,"",SUMIFS(tblDaily[Remaining],tblDaily[EntryDate],DATE(2026,9,22),tblDaily[WardCode],"FAE")),"")</f>
        <v/>
      </c>
      <c r="P349" s="40" t="str">
        <f t="shared" si="8"/>
        <v/>
      </c>
    </row>
    <row r="350" spans="1:16" x14ac:dyDescent="0.25">
      <c r="A350" s="39">
        <v>23</v>
      </c>
      <c r="B350" s="39" t="str">
        <f>IFERROR(IF(SUMIFS(tblDaily[Admissions],tblDaily[EntryDate],DATE(2026,9,23),tblDaily[WardCode],"MAE")=0,"",SUMIFS(tblDaily[Admissions],tblDaily[EntryDate],DATE(2026,9,23),tblDaily[WardCode],"MAE")),"")</f>
        <v/>
      </c>
      <c r="C350" s="39" t="str">
        <f>IFERROR(IF(SUMIFS(tblDaily[Discharges],tblDaily[EntryDate],DATE(2026,9,23),tblDaily[WardCode],"MAE")=0,"",SUMIFS(tblDaily[Discharges],tblDaily[EntryDate],DATE(2026,9,23),tblDaily[WardCode],"MAE")),"")</f>
        <v/>
      </c>
      <c r="D350" s="39" t="str">
        <f>IFERROR(IF(SUMIFS(tblDaily[Deaths],tblDaily[EntryDate],DATE(2026,9,23),tblDaily[WardCode],"MAE")=0,"",SUMIFS(tblDaily[Deaths],tblDaily[EntryDate],DATE(2026,9,23),tblDaily[WardCode],"MAE")),"")</f>
        <v/>
      </c>
      <c r="E350" s="39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39" t="str">
        <f>IFERROR(IF(SUMIFS(tblDaily[TransfersIn],tblDaily[EntryDate],DATE(2026,9,23),tblDaily[WardCode],"MAE")=0,"",SUMIFS(tblDaily[TransfersIn],tblDaily[EntryDate],DATE(2026,9,23),tblDaily[WardCode],"MAE")),"")</f>
        <v/>
      </c>
      <c r="G350" s="39" t="str">
        <f>IFERROR(IF(SUMIFS(tblDaily[TransfersOut],tblDaily[EntryDate],DATE(2026,9,23),tblDaily[WardCode],"MAE")=0,"",SUMIFS(tblDaily[TransfersOut],tblDaily[EntryDate],DATE(2026,9,23),tblDaily[WardCode],"MAE")),"")</f>
        <v/>
      </c>
      <c r="H350" s="39" t="str">
        <f>IFERROR(IF(SUMIFS(tblDaily[Remaining],tblDaily[EntryDate],DATE(2026,9,23),tblDaily[WardCode],"MAE")=0,"",SUMIFS(tblDaily[Remaining],tblDaily[EntryDate],DATE(2026,9,23),tblDaily[WardCode],"MAE")),"")</f>
        <v/>
      </c>
      <c r="I350" s="39" t="str">
        <f>IFERROR(IF(SUMIFS(tblDaily[Admissions],tblDaily[EntryDate],DATE(2026,9,23),tblDaily[WardCode],"FAE")=0,"",SUMIFS(tblDaily[Admissions],tblDaily[EntryDate],DATE(2026,9,23),tblDaily[WardCode],"FAE")),"")</f>
        <v/>
      </c>
      <c r="J350" s="39" t="str">
        <f>IFERROR(IF(SUMIFS(tblDaily[Discharges],tblDaily[EntryDate],DATE(2026,9,23),tblDaily[WardCode],"FAE")=0,"",SUMIFS(tblDaily[Discharges],tblDaily[EntryDate],DATE(2026,9,23),tblDaily[WardCode],"FAE")),"")</f>
        <v/>
      </c>
      <c r="K350" s="39" t="str">
        <f>IFERROR(IF(SUMIFS(tblDaily[Deaths],tblDaily[EntryDate],DATE(2026,9,23),tblDaily[WardCode],"FAE")=0,"",SUMIFS(tblDaily[Deaths],tblDaily[EntryDate],DATE(2026,9,23),tblDaily[WardCode],"FAE")),"")</f>
        <v/>
      </c>
      <c r="L350" s="39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39" t="str">
        <f>IFERROR(IF(SUMIFS(tblDaily[TransfersIn],tblDaily[EntryDate],DATE(2026,9,23),tblDaily[WardCode],"FAE")=0,"",SUMIFS(tblDaily[TransfersIn],tblDaily[EntryDate],DATE(2026,9,23),tblDaily[WardCode],"FAE")),"")</f>
        <v/>
      </c>
      <c r="N350" s="39" t="str">
        <f>IFERROR(IF(SUMIFS(tblDaily[TransfersOut],tblDaily[EntryDate],DATE(2026,9,23),tblDaily[WardCode],"FAE")=0,"",SUMIFS(tblDaily[TransfersOut],tblDaily[EntryDate],DATE(2026,9,23),tblDaily[WardCode],"FAE")),"")</f>
        <v/>
      </c>
      <c r="O350" s="39" t="str">
        <f>IFERROR(IF(SUMIFS(tblDaily[Remaining],tblDaily[EntryDate],DATE(2026,9,23),tblDaily[WardCode],"FAE")=0,"",SUMIFS(tblDaily[Remaining],tblDaily[EntryDate],DATE(2026,9,23),tblDaily[WardCode],"FAE")),"")</f>
        <v/>
      </c>
      <c r="P350" s="40" t="str">
        <f t="shared" si="8"/>
        <v/>
      </c>
    </row>
    <row r="351" spans="1:16" x14ac:dyDescent="0.25">
      <c r="A351" s="39">
        <v>24</v>
      </c>
      <c r="B351" s="39" t="str">
        <f>IFERROR(IF(SUMIFS(tblDaily[Admissions],tblDaily[EntryDate],DATE(2026,9,24),tblDaily[WardCode],"MAE")=0,"",SUMIFS(tblDaily[Admissions],tblDaily[EntryDate],DATE(2026,9,24),tblDaily[WardCode],"MAE")),"")</f>
        <v/>
      </c>
      <c r="C351" s="39" t="str">
        <f>IFERROR(IF(SUMIFS(tblDaily[Discharges],tblDaily[EntryDate],DATE(2026,9,24),tblDaily[WardCode],"MAE")=0,"",SUMIFS(tblDaily[Discharges],tblDaily[EntryDate],DATE(2026,9,24),tblDaily[WardCode],"MAE")),"")</f>
        <v/>
      </c>
      <c r="D351" s="39" t="str">
        <f>IFERROR(IF(SUMIFS(tblDaily[Deaths],tblDaily[EntryDate],DATE(2026,9,24),tblDaily[WardCode],"MAE")=0,"",SUMIFS(tblDaily[Deaths],tblDaily[EntryDate],DATE(2026,9,24),tblDaily[WardCode],"MAE")),"")</f>
        <v/>
      </c>
      <c r="E351" s="39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39" t="str">
        <f>IFERROR(IF(SUMIFS(tblDaily[TransfersIn],tblDaily[EntryDate],DATE(2026,9,24),tblDaily[WardCode],"MAE")=0,"",SUMIFS(tblDaily[TransfersIn],tblDaily[EntryDate],DATE(2026,9,24),tblDaily[WardCode],"MAE")),"")</f>
        <v/>
      </c>
      <c r="G351" s="39" t="str">
        <f>IFERROR(IF(SUMIFS(tblDaily[TransfersOut],tblDaily[EntryDate],DATE(2026,9,24),tblDaily[WardCode],"MAE")=0,"",SUMIFS(tblDaily[TransfersOut],tblDaily[EntryDate],DATE(2026,9,24),tblDaily[WardCode],"MAE")),"")</f>
        <v/>
      </c>
      <c r="H351" s="39" t="str">
        <f>IFERROR(IF(SUMIFS(tblDaily[Remaining],tblDaily[EntryDate],DATE(2026,9,24),tblDaily[WardCode],"MAE")=0,"",SUMIFS(tblDaily[Remaining],tblDaily[EntryDate],DATE(2026,9,24),tblDaily[WardCode],"MAE")),"")</f>
        <v/>
      </c>
      <c r="I351" s="39" t="str">
        <f>IFERROR(IF(SUMIFS(tblDaily[Admissions],tblDaily[EntryDate],DATE(2026,9,24),tblDaily[WardCode],"FAE")=0,"",SUMIFS(tblDaily[Admissions],tblDaily[EntryDate],DATE(2026,9,24),tblDaily[WardCode],"FAE")),"")</f>
        <v/>
      </c>
      <c r="J351" s="39" t="str">
        <f>IFERROR(IF(SUMIFS(tblDaily[Discharges],tblDaily[EntryDate],DATE(2026,9,24),tblDaily[WardCode],"FAE")=0,"",SUMIFS(tblDaily[Discharges],tblDaily[EntryDate],DATE(2026,9,24),tblDaily[WardCode],"FAE")),"")</f>
        <v/>
      </c>
      <c r="K351" s="39" t="str">
        <f>IFERROR(IF(SUMIFS(tblDaily[Deaths],tblDaily[EntryDate],DATE(2026,9,24),tblDaily[WardCode],"FAE")=0,"",SUMIFS(tblDaily[Deaths],tblDaily[EntryDate],DATE(2026,9,24),tblDaily[WardCode],"FAE")),"")</f>
        <v/>
      </c>
      <c r="L351" s="39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39" t="str">
        <f>IFERROR(IF(SUMIFS(tblDaily[TransfersIn],tblDaily[EntryDate],DATE(2026,9,24),tblDaily[WardCode],"FAE")=0,"",SUMIFS(tblDaily[TransfersIn],tblDaily[EntryDate],DATE(2026,9,24),tblDaily[WardCode],"FAE")),"")</f>
        <v/>
      </c>
      <c r="N351" s="39" t="str">
        <f>IFERROR(IF(SUMIFS(tblDaily[TransfersOut],tblDaily[EntryDate],DATE(2026,9,24),tblDaily[WardCode],"FAE")=0,"",SUMIFS(tblDaily[TransfersOut],tblDaily[EntryDate],DATE(2026,9,24),tblDaily[WardCode],"FAE")),"")</f>
        <v/>
      </c>
      <c r="O351" s="39" t="str">
        <f>IFERROR(IF(SUMIFS(tblDaily[Remaining],tblDaily[EntryDate],DATE(2026,9,24),tblDaily[WardCode],"FAE")=0,"",SUMIFS(tblDaily[Remaining],tblDaily[EntryDate],DATE(2026,9,24),tblDaily[WardCode],"FAE")),"")</f>
        <v/>
      </c>
      <c r="P351" s="40" t="str">
        <f t="shared" si="8"/>
        <v/>
      </c>
    </row>
    <row r="352" spans="1:16" x14ac:dyDescent="0.25">
      <c r="A352" s="39">
        <v>25</v>
      </c>
      <c r="B352" s="39" t="str">
        <f>IFERROR(IF(SUMIFS(tblDaily[Admissions],tblDaily[EntryDate],DATE(2026,9,25),tblDaily[WardCode],"MAE")=0,"",SUMIFS(tblDaily[Admissions],tblDaily[EntryDate],DATE(2026,9,25),tblDaily[WardCode],"MAE")),"")</f>
        <v/>
      </c>
      <c r="C352" s="39" t="str">
        <f>IFERROR(IF(SUMIFS(tblDaily[Discharges],tblDaily[EntryDate],DATE(2026,9,25),tblDaily[WardCode],"MAE")=0,"",SUMIFS(tblDaily[Discharges],tblDaily[EntryDate],DATE(2026,9,25),tblDaily[WardCode],"MAE")),"")</f>
        <v/>
      </c>
      <c r="D352" s="39" t="str">
        <f>IFERROR(IF(SUMIFS(tblDaily[Deaths],tblDaily[EntryDate],DATE(2026,9,25),tblDaily[WardCode],"MAE")=0,"",SUMIFS(tblDaily[Deaths],tblDaily[EntryDate],DATE(2026,9,25),tblDaily[WardCode],"MAE")),"")</f>
        <v/>
      </c>
      <c r="E352" s="39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39" t="str">
        <f>IFERROR(IF(SUMIFS(tblDaily[TransfersIn],tblDaily[EntryDate],DATE(2026,9,25),tblDaily[WardCode],"MAE")=0,"",SUMIFS(tblDaily[TransfersIn],tblDaily[EntryDate],DATE(2026,9,25),tblDaily[WardCode],"MAE")),"")</f>
        <v/>
      </c>
      <c r="G352" s="39" t="str">
        <f>IFERROR(IF(SUMIFS(tblDaily[TransfersOut],tblDaily[EntryDate],DATE(2026,9,25),tblDaily[WardCode],"MAE")=0,"",SUMIFS(tblDaily[TransfersOut],tblDaily[EntryDate],DATE(2026,9,25),tblDaily[WardCode],"MAE")),"")</f>
        <v/>
      </c>
      <c r="H352" s="39" t="str">
        <f>IFERROR(IF(SUMIFS(tblDaily[Remaining],tblDaily[EntryDate],DATE(2026,9,25),tblDaily[WardCode],"MAE")=0,"",SUMIFS(tblDaily[Remaining],tblDaily[EntryDate],DATE(2026,9,25),tblDaily[WardCode],"MAE")),"")</f>
        <v/>
      </c>
      <c r="I352" s="39" t="str">
        <f>IFERROR(IF(SUMIFS(tblDaily[Admissions],tblDaily[EntryDate],DATE(2026,9,25),tblDaily[WardCode],"FAE")=0,"",SUMIFS(tblDaily[Admissions],tblDaily[EntryDate],DATE(2026,9,25),tblDaily[WardCode],"FAE")),"")</f>
        <v/>
      </c>
      <c r="J352" s="39" t="str">
        <f>IFERROR(IF(SUMIFS(tblDaily[Discharges],tblDaily[EntryDate],DATE(2026,9,25),tblDaily[WardCode],"FAE")=0,"",SUMIFS(tblDaily[Discharges],tblDaily[EntryDate],DATE(2026,9,25),tblDaily[WardCode],"FAE")),"")</f>
        <v/>
      </c>
      <c r="K352" s="39" t="str">
        <f>IFERROR(IF(SUMIFS(tblDaily[Deaths],tblDaily[EntryDate],DATE(2026,9,25),tblDaily[WardCode],"FAE")=0,"",SUMIFS(tblDaily[Deaths],tblDaily[EntryDate],DATE(2026,9,25),tblDaily[WardCode],"FAE")),"")</f>
        <v/>
      </c>
      <c r="L352" s="39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39" t="str">
        <f>IFERROR(IF(SUMIFS(tblDaily[TransfersIn],tblDaily[EntryDate],DATE(2026,9,25),tblDaily[WardCode],"FAE")=0,"",SUMIFS(tblDaily[TransfersIn],tblDaily[EntryDate],DATE(2026,9,25),tblDaily[WardCode],"FAE")),"")</f>
        <v/>
      </c>
      <c r="N352" s="39" t="str">
        <f>IFERROR(IF(SUMIFS(tblDaily[TransfersOut],tblDaily[EntryDate],DATE(2026,9,25),tblDaily[WardCode],"FAE")=0,"",SUMIFS(tblDaily[TransfersOut],tblDaily[EntryDate],DATE(2026,9,25),tblDaily[WardCode],"FAE")),"")</f>
        <v/>
      </c>
      <c r="O352" s="39" t="str">
        <f>IFERROR(IF(SUMIFS(tblDaily[Remaining],tblDaily[EntryDate],DATE(2026,9,25),tblDaily[WardCode],"FAE")=0,"",SUMIFS(tblDaily[Remaining],tblDaily[EntryDate],DATE(2026,9,25),tblDaily[WardCode],"FAE")),"")</f>
        <v/>
      </c>
      <c r="P352" s="40" t="str">
        <f t="shared" si="8"/>
        <v/>
      </c>
    </row>
    <row r="353" spans="1:16" x14ac:dyDescent="0.25">
      <c r="A353" s="39">
        <v>26</v>
      </c>
      <c r="B353" s="39" t="str">
        <f>IFERROR(IF(SUMIFS(tblDaily[Admissions],tblDaily[EntryDate],DATE(2026,9,26),tblDaily[WardCode],"MAE")=0,"",SUMIFS(tblDaily[Admissions],tblDaily[EntryDate],DATE(2026,9,26),tblDaily[WardCode],"MAE")),"")</f>
        <v/>
      </c>
      <c r="C353" s="39" t="str">
        <f>IFERROR(IF(SUMIFS(tblDaily[Discharges],tblDaily[EntryDate],DATE(2026,9,26),tblDaily[WardCode],"MAE")=0,"",SUMIFS(tblDaily[Discharges],tblDaily[EntryDate],DATE(2026,9,26),tblDaily[WardCode],"MAE")),"")</f>
        <v/>
      </c>
      <c r="D353" s="39" t="str">
        <f>IFERROR(IF(SUMIFS(tblDaily[Deaths],tblDaily[EntryDate],DATE(2026,9,26),tblDaily[WardCode],"MAE")=0,"",SUMIFS(tblDaily[Deaths],tblDaily[EntryDate],DATE(2026,9,26),tblDaily[WardCode],"MAE")),"")</f>
        <v/>
      </c>
      <c r="E353" s="39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39" t="str">
        <f>IFERROR(IF(SUMIFS(tblDaily[TransfersIn],tblDaily[EntryDate],DATE(2026,9,26),tblDaily[WardCode],"MAE")=0,"",SUMIFS(tblDaily[TransfersIn],tblDaily[EntryDate],DATE(2026,9,26),tblDaily[WardCode],"MAE")),"")</f>
        <v/>
      </c>
      <c r="G353" s="39" t="str">
        <f>IFERROR(IF(SUMIFS(tblDaily[TransfersOut],tblDaily[EntryDate],DATE(2026,9,26),tblDaily[WardCode],"MAE")=0,"",SUMIFS(tblDaily[TransfersOut],tblDaily[EntryDate],DATE(2026,9,26),tblDaily[WardCode],"MAE")),"")</f>
        <v/>
      </c>
      <c r="H353" s="39" t="str">
        <f>IFERROR(IF(SUMIFS(tblDaily[Remaining],tblDaily[EntryDate],DATE(2026,9,26),tblDaily[WardCode],"MAE")=0,"",SUMIFS(tblDaily[Remaining],tblDaily[EntryDate],DATE(2026,9,26),tblDaily[WardCode],"MAE")),"")</f>
        <v/>
      </c>
      <c r="I353" s="39" t="str">
        <f>IFERROR(IF(SUMIFS(tblDaily[Admissions],tblDaily[EntryDate],DATE(2026,9,26),tblDaily[WardCode],"FAE")=0,"",SUMIFS(tblDaily[Admissions],tblDaily[EntryDate],DATE(2026,9,26),tblDaily[WardCode],"FAE")),"")</f>
        <v/>
      </c>
      <c r="J353" s="39" t="str">
        <f>IFERROR(IF(SUMIFS(tblDaily[Discharges],tblDaily[EntryDate],DATE(2026,9,26),tblDaily[WardCode],"FAE")=0,"",SUMIFS(tblDaily[Discharges],tblDaily[EntryDate],DATE(2026,9,26),tblDaily[WardCode],"FAE")),"")</f>
        <v/>
      </c>
      <c r="K353" s="39" t="str">
        <f>IFERROR(IF(SUMIFS(tblDaily[Deaths],tblDaily[EntryDate],DATE(2026,9,26),tblDaily[WardCode],"FAE")=0,"",SUMIFS(tblDaily[Deaths],tblDaily[EntryDate],DATE(2026,9,26),tblDaily[WardCode],"FAE")),"")</f>
        <v/>
      </c>
      <c r="L353" s="39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39" t="str">
        <f>IFERROR(IF(SUMIFS(tblDaily[TransfersIn],tblDaily[EntryDate],DATE(2026,9,26),tblDaily[WardCode],"FAE")=0,"",SUMIFS(tblDaily[TransfersIn],tblDaily[EntryDate],DATE(2026,9,26),tblDaily[WardCode],"FAE")),"")</f>
        <v/>
      </c>
      <c r="N353" s="39" t="str">
        <f>IFERROR(IF(SUMIFS(tblDaily[TransfersOut],tblDaily[EntryDate],DATE(2026,9,26),tblDaily[WardCode],"FAE")=0,"",SUMIFS(tblDaily[TransfersOut],tblDaily[EntryDate],DATE(2026,9,26),tblDaily[WardCode],"FAE")),"")</f>
        <v/>
      </c>
      <c r="O353" s="39" t="str">
        <f>IFERROR(IF(SUMIFS(tblDaily[Remaining],tblDaily[EntryDate],DATE(2026,9,26),tblDaily[WardCode],"FAE")=0,"",SUMIFS(tblDaily[Remaining],tblDaily[EntryDate],DATE(2026,9,26),tblDaily[WardCode],"FAE")),"")</f>
        <v/>
      </c>
      <c r="P353" s="40" t="str">
        <f t="shared" si="8"/>
        <v/>
      </c>
    </row>
    <row r="354" spans="1:16" x14ac:dyDescent="0.25">
      <c r="A354" s="39">
        <v>27</v>
      </c>
      <c r="B354" s="39" t="str">
        <f>IFERROR(IF(SUMIFS(tblDaily[Admissions],tblDaily[EntryDate],DATE(2026,9,27),tblDaily[WardCode],"MAE")=0,"",SUMIFS(tblDaily[Admissions],tblDaily[EntryDate],DATE(2026,9,27),tblDaily[WardCode],"MAE")),"")</f>
        <v/>
      </c>
      <c r="C354" s="39" t="str">
        <f>IFERROR(IF(SUMIFS(tblDaily[Discharges],tblDaily[EntryDate],DATE(2026,9,27),tblDaily[WardCode],"MAE")=0,"",SUMIFS(tblDaily[Discharges],tblDaily[EntryDate],DATE(2026,9,27),tblDaily[WardCode],"MAE")),"")</f>
        <v/>
      </c>
      <c r="D354" s="39" t="str">
        <f>IFERROR(IF(SUMIFS(tblDaily[Deaths],tblDaily[EntryDate],DATE(2026,9,27),tblDaily[WardCode],"MAE")=0,"",SUMIFS(tblDaily[Deaths],tblDaily[EntryDate],DATE(2026,9,27),tblDaily[WardCode],"MAE")),"")</f>
        <v/>
      </c>
      <c r="E354" s="39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39" t="str">
        <f>IFERROR(IF(SUMIFS(tblDaily[TransfersIn],tblDaily[EntryDate],DATE(2026,9,27),tblDaily[WardCode],"MAE")=0,"",SUMIFS(tblDaily[TransfersIn],tblDaily[EntryDate],DATE(2026,9,27),tblDaily[WardCode],"MAE")),"")</f>
        <v/>
      </c>
      <c r="G354" s="39" t="str">
        <f>IFERROR(IF(SUMIFS(tblDaily[TransfersOut],tblDaily[EntryDate],DATE(2026,9,27),tblDaily[WardCode],"MAE")=0,"",SUMIFS(tblDaily[TransfersOut],tblDaily[EntryDate],DATE(2026,9,27),tblDaily[WardCode],"MAE")),"")</f>
        <v/>
      </c>
      <c r="H354" s="39" t="str">
        <f>IFERROR(IF(SUMIFS(tblDaily[Remaining],tblDaily[EntryDate],DATE(2026,9,27),tblDaily[WardCode],"MAE")=0,"",SUMIFS(tblDaily[Remaining],tblDaily[EntryDate],DATE(2026,9,27),tblDaily[WardCode],"MAE")),"")</f>
        <v/>
      </c>
      <c r="I354" s="39" t="str">
        <f>IFERROR(IF(SUMIFS(tblDaily[Admissions],tblDaily[EntryDate],DATE(2026,9,27),tblDaily[WardCode],"FAE")=0,"",SUMIFS(tblDaily[Admissions],tblDaily[EntryDate],DATE(2026,9,27),tblDaily[WardCode],"FAE")),"")</f>
        <v/>
      </c>
      <c r="J354" s="39" t="str">
        <f>IFERROR(IF(SUMIFS(tblDaily[Discharges],tblDaily[EntryDate],DATE(2026,9,27),tblDaily[WardCode],"FAE")=0,"",SUMIFS(tblDaily[Discharges],tblDaily[EntryDate],DATE(2026,9,27),tblDaily[WardCode],"FAE")),"")</f>
        <v/>
      </c>
      <c r="K354" s="39" t="str">
        <f>IFERROR(IF(SUMIFS(tblDaily[Deaths],tblDaily[EntryDate],DATE(2026,9,27),tblDaily[WardCode],"FAE")=0,"",SUMIFS(tblDaily[Deaths],tblDaily[EntryDate],DATE(2026,9,27),tblDaily[WardCode],"FAE")),"")</f>
        <v/>
      </c>
      <c r="L354" s="39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39" t="str">
        <f>IFERROR(IF(SUMIFS(tblDaily[TransfersIn],tblDaily[EntryDate],DATE(2026,9,27),tblDaily[WardCode],"FAE")=0,"",SUMIFS(tblDaily[TransfersIn],tblDaily[EntryDate],DATE(2026,9,27),tblDaily[WardCode],"FAE")),"")</f>
        <v/>
      </c>
      <c r="N354" s="39" t="str">
        <f>IFERROR(IF(SUMIFS(tblDaily[TransfersOut],tblDaily[EntryDate],DATE(2026,9,27),tblDaily[WardCode],"FAE")=0,"",SUMIFS(tblDaily[TransfersOut],tblDaily[EntryDate],DATE(2026,9,27),tblDaily[WardCode],"FAE")),"")</f>
        <v/>
      </c>
      <c r="O354" s="39" t="str">
        <f>IFERROR(IF(SUMIFS(tblDaily[Remaining],tblDaily[EntryDate],DATE(2026,9,27),tblDaily[WardCode],"FAE")=0,"",SUMIFS(tblDaily[Remaining],tblDaily[EntryDate],DATE(2026,9,27),tblDaily[WardCode],"FAE")),"")</f>
        <v/>
      </c>
      <c r="P354" s="40" t="str">
        <f t="shared" si="8"/>
        <v/>
      </c>
    </row>
    <row r="355" spans="1:16" x14ac:dyDescent="0.25">
      <c r="A355" s="39">
        <v>28</v>
      </c>
      <c r="B355" s="39" t="str">
        <f>IFERROR(IF(SUMIFS(tblDaily[Admissions],tblDaily[EntryDate],DATE(2026,9,28),tblDaily[WardCode],"MAE")=0,"",SUMIFS(tblDaily[Admissions],tblDaily[EntryDate],DATE(2026,9,28),tblDaily[WardCode],"MAE")),"")</f>
        <v/>
      </c>
      <c r="C355" s="39" t="str">
        <f>IFERROR(IF(SUMIFS(tblDaily[Discharges],tblDaily[EntryDate],DATE(2026,9,28),tblDaily[WardCode],"MAE")=0,"",SUMIFS(tblDaily[Discharges],tblDaily[EntryDate],DATE(2026,9,28),tblDaily[WardCode],"MAE")),"")</f>
        <v/>
      </c>
      <c r="D355" s="39" t="str">
        <f>IFERROR(IF(SUMIFS(tblDaily[Deaths],tblDaily[EntryDate],DATE(2026,9,28),tblDaily[WardCode],"MAE")=0,"",SUMIFS(tblDaily[Deaths],tblDaily[EntryDate],DATE(2026,9,28),tblDaily[WardCode],"MAE")),"")</f>
        <v/>
      </c>
      <c r="E355" s="39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39" t="str">
        <f>IFERROR(IF(SUMIFS(tblDaily[TransfersIn],tblDaily[EntryDate],DATE(2026,9,28),tblDaily[WardCode],"MAE")=0,"",SUMIFS(tblDaily[TransfersIn],tblDaily[EntryDate],DATE(2026,9,28),tblDaily[WardCode],"MAE")),"")</f>
        <v/>
      </c>
      <c r="G355" s="39" t="str">
        <f>IFERROR(IF(SUMIFS(tblDaily[TransfersOut],tblDaily[EntryDate],DATE(2026,9,28),tblDaily[WardCode],"MAE")=0,"",SUMIFS(tblDaily[TransfersOut],tblDaily[EntryDate],DATE(2026,9,28),tblDaily[WardCode],"MAE")),"")</f>
        <v/>
      </c>
      <c r="H355" s="39" t="str">
        <f>IFERROR(IF(SUMIFS(tblDaily[Remaining],tblDaily[EntryDate],DATE(2026,9,28),tblDaily[WardCode],"MAE")=0,"",SUMIFS(tblDaily[Remaining],tblDaily[EntryDate],DATE(2026,9,28),tblDaily[WardCode],"MAE")),"")</f>
        <v/>
      </c>
      <c r="I355" s="39" t="str">
        <f>IFERROR(IF(SUMIFS(tblDaily[Admissions],tblDaily[EntryDate],DATE(2026,9,28),tblDaily[WardCode],"FAE")=0,"",SUMIFS(tblDaily[Admissions],tblDaily[EntryDate],DATE(2026,9,28),tblDaily[WardCode],"FAE")),"")</f>
        <v/>
      </c>
      <c r="J355" s="39" t="str">
        <f>IFERROR(IF(SUMIFS(tblDaily[Discharges],tblDaily[EntryDate],DATE(2026,9,28),tblDaily[WardCode],"FAE")=0,"",SUMIFS(tblDaily[Discharges],tblDaily[EntryDate],DATE(2026,9,28),tblDaily[WardCode],"FAE")),"")</f>
        <v/>
      </c>
      <c r="K355" s="39" t="str">
        <f>IFERROR(IF(SUMIFS(tblDaily[Deaths],tblDaily[EntryDate],DATE(2026,9,28),tblDaily[WardCode],"FAE")=0,"",SUMIFS(tblDaily[Deaths],tblDaily[EntryDate],DATE(2026,9,28),tblDaily[WardCode],"FAE")),"")</f>
        <v/>
      </c>
      <c r="L355" s="39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39" t="str">
        <f>IFERROR(IF(SUMIFS(tblDaily[TransfersIn],tblDaily[EntryDate],DATE(2026,9,28),tblDaily[WardCode],"FAE")=0,"",SUMIFS(tblDaily[TransfersIn],tblDaily[EntryDate],DATE(2026,9,28),tblDaily[WardCode],"FAE")),"")</f>
        <v/>
      </c>
      <c r="N355" s="39" t="str">
        <f>IFERROR(IF(SUMIFS(tblDaily[TransfersOut],tblDaily[EntryDate],DATE(2026,9,28),tblDaily[WardCode],"FAE")=0,"",SUMIFS(tblDaily[TransfersOut],tblDaily[EntryDate],DATE(2026,9,28),tblDaily[WardCode],"FAE")),"")</f>
        <v/>
      </c>
      <c r="O355" s="39" t="str">
        <f>IFERROR(IF(SUMIFS(tblDaily[Remaining],tblDaily[EntryDate],DATE(2026,9,28),tblDaily[WardCode],"FAE")=0,"",SUMIFS(tblDaily[Remaining],tblDaily[EntryDate],DATE(2026,9,28),tblDaily[WardCode],"FAE")),"")</f>
        <v/>
      </c>
      <c r="P355" s="40" t="str">
        <f t="shared" si="8"/>
        <v/>
      </c>
    </row>
    <row r="356" spans="1:16" x14ac:dyDescent="0.25">
      <c r="A356" s="39">
        <v>29</v>
      </c>
      <c r="B356" s="39" t="str">
        <f>IFERROR(IF(SUMIFS(tblDaily[Admissions],tblDaily[EntryDate],DATE(2026,9,29),tblDaily[WardCode],"MAE")=0,"",SUMIFS(tblDaily[Admissions],tblDaily[EntryDate],DATE(2026,9,29),tblDaily[WardCode],"MAE")),"")</f>
        <v/>
      </c>
      <c r="C356" s="39" t="str">
        <f>IFERROR(IF(SUMIFS(tblDaily[Discharges],tblDaily[EntryDate],DATE(2026,9,29),tblDaily[WardCode],"MAE")=0,"",SUMIFS(tblDaily[Discharges],tblDaily[EntryDate],DATE(2026,9,29),tblDaily[WardCode],"MAE")),"")</f>
        <v/>
      </c>
      <c r="D356" s="39" t="str">
        <f>IFERROR(IF(SUMIFS(tblDaily[Deaths],tblDaily[EntryDate],DATE(2026,9,29),tblDaily[WardCode],"MAE")=0,"",SUMIFS(tblDaily[Deaths],tblDaily[EntryDate],DATE(2026,9,29),tblDaily[WardCode],"MAE")),"")</f>
        <v/>
      </c>
      <c r="E356" s="39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39" t="str">
        <f>IFERROR(IF(SUMIFS(tblDaily[TransfersIn],tblDaily[EntryDate],DATE(2026,9,29),tblDaily[WardCode],"MAE")=0,"",SUMIFS(tblDaily[TransfersIn],tblDaily[EntryDate],DATE(2026,9,29),tblDaily[WardCode],"MAE")),"")</f>
        <v/>
      </c>
      <c r="G356" s="39" t="str">
        <f>IFERROR(IF(SUMIFS(tblDaily[TransfersOut],tblDaily[EntryDate],DATE(2026,9,29),tblDaily[WardCode],"MAE")=0,"",SUMIFS(tblDaily[TransfersOut],tblDaily[EntryDate],DATE(2026,9,29),tblDaily[WardCode],"MAE")),"")</f>
        <v/>
      </c>
      <c r="H356" s="39" t="str">
        <f>IFERROR(IF(SUMIFS(tblDaily[Remaining],tblDaily[EntryDate],DATE(2026,9,29),tblDaily[WardCode],"MAE")=0,"",SUMIFS(tblDaily[Remaining],tblDaily[EntryDate],DATE(2026,9,29),tblDaily[WardCode],"MAE")),"")</f>
        <v/>
      </c>
      <c r="I356" s="39" t="str">
        <f>IFERROR(IF(SUMIFS(tblDaily[Admissions],tblDaily[EntryDate],DATE(2026,9,29),tblDaily[WardCode],"FAE")=0,"",SUMIFS(tblDaily[Admissions],tblDaily[EntryDate],DATE(2026,9,29),tblDaily[WardCode],"FAE")),"")</f>
        <v/>
      </c>
      <c r="J356" s="39" t="str">
        <f>IFERROR(IF(SUMIFS(tblDaily[Discharges],tblDaily[EntryDate],DATE(2026,9,29),tblDaily[WardCode],"FAE")=0,"",SUMIFS(tblDaily[Discharges],tblDaily[EntryDate],DATE(2026,9,29),tblDaily[WardCode],"FAE")),"")</f>
        <v/>
      </c>
      <c r="K356" s="39" t="str">
        <f>IFERROR(IF(SUMIFS(tblDaily[Deaths],tblDaily[EntryDate],DATE(2026,9,29),tblDaily[WardCode],"FAE")=0,"",SUMIFS(tblDaily[Deaths],tblDaily[EntryDate],DATE(2026,9,29),tblDaily[WardCode],"FAE")),"")</f>
        <v/>
      </c>
      <c r="L356" s="39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39" t="str">
        <f>IFERROR(IF(SUMIFS(tblDaily[TransfersIn],tblDaily[EntryDate],DATE(2026,9,29),tblDaily[WardCode],"FAE")=0,"",SUMIFS(tblDaily[TransfersIn],tblDaily[EntryDate],DATE(2026,9,29),tblDaily[WardCode],"FAE")),"")</f>
        <v/>
      </c>
      <c r="N356" s="39" t="str">
        <f>IFERROR(IF(SUMIFS(tblDaily[TransfersOut],tblDaily[EntryDate],DATE(2026,9,29),tblDaily[WardCode],"FAE")=0,"",SUMIFS(tblDaily[TransfersOut],tblDaily[EntryDate],DATE(2026,9,29),tblDaily[WardCode],"FAE")),"")</f>
        <v/>
      </c>
      <c r="O356" s="39" t="str">
        <f>IFERROR(IF(SUMIFS(tblDaily[Remaining],tblDaily[EntryDate],DATE(2026,9,29),tblDaily[WardCode],"FAE")=0,"",SUMIFS(tblDaily[Remaining],tblDaily[EntryDate],DATE(2026,9,29),tblDaily[WardCode],"FAE")),"")</f>
        <v/>
      </c>
      <c r="P356" s="40" t="str">
        <f t="shared" si="8"/>
        <v/>
      </c>
    </row>
    <row r="357" spans="1:16" x14ac:dyDescent="0.25">
      <c r="A357" s="39">
        <v>30</v>
      </c>
      <c r="B357" s="39" t="str">
        <f>IFERROR(IF(SUMIFS(tblDaily[Admissions],tblDaily[EntryDate],DATE(2026,9,30),tblDaily[WardCode],"MAE")=0,"",SUMIFS(tblDaily[Admissions],tblDaily[EntryDate],DATE(2026,9,30),tblDaily[WardCode],"MAE")),"")</f>
        <v/>
      </c>
      <c r="C357" s="39" t="str">
        <f>IFERROR(IF(SUMIFS(tblDaily[Discharges],tblDaily[EntryDate],DATE(2026,9,30),tblDaily[WardCode],"MAE")=0,"",SUMIFS(tblDaily[Discharges],tblDaily[EntryDate],DATE(2026,9,30),tblDaily[WardCode],"MAE")),"")</f>
        <v/>
      </c>
      <c r="D357" s="39" t="str">
        <f>IFERROR(IF(SUMIFS(tblDaily[Deaths],tblDaily[EntryDate],DATE(2026,9,30),tblDaily[WardCode],"MAE")=0,"",SUMIFS(tblDaily[Deaths],tblDaily[EntryDate],DATE(2026,9,30),tblDaily[WardCode],"MAE")),"")</f>
        <v/>
      </c>
      <c r="E357" s="39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39" t="str">
        <f>IFERROR(IF(SUMIFS(tblDaily[TransfersIn],tblDaily[EntryDate],DATE(2026,9,30),tblDaily[WardCode],"MAE")=0,"",SUMIFS(tblDaily[TransfersIn],tblDaily[EntryDate],DATE(2026,9,30),tblDaily[WardCode],"MAE")),"")</f>
        <v/>
      </c>
      <c r="G357" s="39" t="str">
        <f>IFERROR(IF(SUMIFS(tblDaily[TransfersOut],tblDaily[EntryDate],DATE(2026,9,30),tblDaily[WardCode],"MAE")=0,"",SUMIFS(tblDaily[TransfersOut],tblDaily[EntryDate],DATE(2026,9,30),tblDaily[WardCode],"MAE")),"")</f>
        <v/>
      </c>
      <c r="H357" s="39" t="str">
        <f>IFERROR(IF(SUMIFS(tblDaily[Remaining],tblDaily[EntryDate],DATE(2026,9,30),tblDaily[WardCode],"MAE")=0,"",SUMIFS(tblDaily[Remaining],tblDaily[EntryDate],DATE(2026,9,30),tblDaily[WardCode],"MAE")),"")</f>
        <v/>
      </c>
      <c r="I357" s="39" t="str">
        <f>IFERROR(IF(SUMIFS(tblDaily[Admissions],tblDaily[EntryDate],DATE(2026,9,30),tblDaily[WardCode],"FAE")=0,"",SUMIFS(tblDaily[Admissions],tblDaily[EntryDate],DATE(2026,9,30),tblDaily[WardCode],"FAE")),"")</f>
        <v/>
      </c>
      <c r="J357" s="39" t="str">
        <f>IFERROR(IF(SUMIFS(tblDaily[Discharges],tblDaily[EntryDate],DATE(2026,9,30),tblDaily[WardCode],"FAE")=0,"",SUMIFS(tblDaily[Discharges],tblDaily[EntryDate],DATE(2026,9,30),tblDaily[WardCode],"FAE")),"")</f>
        <v/>
      </c>
      <c r="K357" s="39" t="str">
        <f>IFERROR(IF(SUMIFS(tblDaily[Deaths],tblDaily[EntryDate],DATE(2026,9,30),tblDaily[WardCode],"FAE")=0,"",SUMIFS(tblDaily[Deaths],tblDaily[EntryDate],DATE(2026,9,30),tblDaily[WardCode],"FAE")),"")</f>
        <v/>
      </c>
      <c r="L357" s="39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39" t="str">
        <f>IFERROR(IF(SUMIFS(tblDaily[TransfersIn],tblDaily[EntryDate],DATE(2026,9,30),tblDaily[WardCode],"FAE")=0,"",SUMIFS(tblDaily[TransfersIn],tblDaily[EntryDate],DATE(2026,9,30),tblDaily[WardCode],"FAE")),"")</f>
        <v/>
      </c>
      <c r="N357" s="39" t="str">
        <f>IFERROR(IF(SUMIFS(tblDaily[TransfersOut],tblDaily[EntryDate],DATE(2026,9,30),tblDaily[WardCode],"FAE")=0,"",SUMIFS(tblDaily[TransfersOut],tblDaily[EntryDate],DATE(2026,9,30),tblDaily[WardCode],"FAE")),"")</f>
        <v/>
      </c>
      <c r="O357" s="39" t="str">
        <f>IFERROR(IF(SUMIFS(tblDaily[Remaining],tblDaily[EntryDate],DATE(2026,9,30),tblDaily[WardCode],"FAE")=0,"",SUMIFS(tblDaily[Remaining],tblDaily[EntryDate],DATE(2026,9,30),tblDaily[WardCode],"FAE")),"")</f>
        <v/>
      </c>
      <c r="P357" s="40" t="str">
        <f t="shared" si="8"/>
        <v/>
      </c>
    </row>
    <row r="358" spans="1:16" x14ac:dyDescent="0.25">
      <c r="A358" s="39">
        <v>31</v>
      </c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</row>
    <row r="359" spans="1:16" x14ac:dyDescent="0.25">
      <c r="A359" s="30" t="s">
        <v>115</v>
      </c>
      <c r="B359" s="30">
        <f>SUMIFS(tblDaily[Admissions],tblDaily[Month],9,tblDaily[WardCode],"MAE") - SUMIFS(tblDaily[DeathsUnder24Hrs],tblDaily[Month],9,tblDaily[WardCode],"MAE")</f>
        <v>0</v>
      </c>
      <c r="C359" s="30">
        <f>SUMIFS(tblDaily[Discharges],tblDaily[Month],9,tblDaily[WardCode],"MAE")</f>
        <v>0</v>
      </c>
      <c r="D359" s="30">
        <f>SUMIFS(tblDaily[Deaths],tblDaily[Month],9,tblDaily[WardCode],"MAE")</f>
        <v>0</v>
      </c>
      <c r="E359" s="30">
        <f>SUMIFS(tblDaily[DeathsUnder24Hrs],tblDaily[Month],9,tblDaily[WardCode],"MAE")</f>
        <v>0</v>
      </c>
      <c r="F359" s="30">
        <f>SUMIFS(tblDaily[TransfersIn],tblDaily[Month],9,tblDaily[WardCode],"MAE")</f>
        <v>0</v>
      </c>
      <c r="G359" s="30">
        <f>SUMIFS(tblDaily[TransfersOut],tblDaily[Month],9,tblDaily[WardCode],"MAE")</f>
        <v>0</v>
      </c>
      <c r="H359" s="30">
        <f>SUMIFS(tblDaily[Remaining],tblDaily[Month],9,tblDaily[WardCode],"MAE")</f>
        <v>0</v>
      </c>
      <c r="I359" s="30">
        <f>SUMIFS(tblDaily[Admissions],tblDaily[Month],9,tblDaily[WardCode],"FAE") - SUMIFS(tblDaily[DeathsUnder24Hrs],tblDaily[Month],9,tblDaily[WardCode],"FAE")</f>
        <v>0</v>
      </c>
      <c r="J359" s="30">
        <f>SUMIFS(tblDaily[Discharges],tblDaily[Month],9,tblDaily[WardCode],"FAE")</f>
        <v>0</v>
      </c>
      <c r="K359" s="30">
        <f>SUMIFS(tblDaily[Deaths],tblDaily[Month],9,tblDaily[WardCode],"FAE")</f>
        <v>0</v>
      </c>
      <c r="L359" s="30">
        <f>SUMIFS(tblDaily[DeathsUnder24Hrs],tblDaily[Month],9,tblDaily[WardCode],"FAE")</f>
        <v>0</v>
      </c>
      <c r="M359" s="30">
        <f>SUMIFS(tblDaily[TransfersIn],tblDaily[Month],9,tblDaily[WardCode],"FAE")</f>
        <v>0</v>
      </c>
      <c r="N359" s="30">
        <f>SUMIFS(tblDaily[TransfersOut],tblDaily[Month],9,tblDaily[WardCode],"FAE")</f>
        <v>0</v>
      </c>
      <c r="O359" s="30">
        <f>SUMIFS(tblDaily[Remaining],tblDaily[Month],9,tblDaily[WardCode],"FAE")</f>
        <v>0</v>
      </c>
      <c r="P359" s="30">
        <f>H359 + O359</f>
        <v>0</v>
      </c>
    </row>
    <row r="361" spans="1:16" ht="18.75" x14ac:dyDescent="0.25">
      <c r="A361" s="32" t="s">
        <v>0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</row>
    <row r="362" spans="1:16" ht="15.75" x14ac:dyDescent="0.25">
      <c r="A362" s="23" t="s">
        <v>104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6" x14ac:dyDescent="0.25">
      <c r="A363" s="24" t="s">
        <v>4</v>
      </c>
      <c r="B363" s="25" t="s">
        <v>2</v>
      </c>
      <c r="E363" s="24" t="s">
        <v>105</v>
      </c>
      <c r="F363" s="24" t="s">
        <v>125</v>
      </c>
      <c r="M363" s="24" t="s">
        <v>107</v>
      </c>
      <c r="N363" s="24" t="s">
        <v>72</v>
      </c>
    </row>
    <row r="364" spans="1:16" x14ac:dyDescent="0.25">
      <c r="A364" s="24" t="s">
        <v>108</v>
      </c>
      <c r="B364" s="33">
        <f>IFERROR(SUMIFS(tblDaily[Remaining],tblDaily[EntryDate],DATE(2026,9,30),tblDaily[WardCode],"MAE"),0)</f>
        <v>0</v>
      </c>
      <c r="I364" s="33">
        <f>IFERROR(SUMIFS(tblDaily[Remaining],tblDaily[EntryDate],DATE(2026,9,30),tblDaily[WardCode],"FAE"),0)</f>
        <v>0</v>
      </c>
    </row>
    <row r="365" spans="1:16" x14ac:dyDescent="0.25">
      <c r="A365" s="24" t="s">
        <v>109</v>
      </c>
      <c r="B365" s="33">
        <f>IFERROR(INDEX(tblWardConfig[BedComplement],MATCH("MAE",tblWardConfig[WardCode],0)),0)</f>
        <v>10</v>
      </c>
      <c r="I365" s="33">
        <f>IFERROR(INDEX(tblWardConfig[BedComplement],MATCH("FAE",tblWardConfig[WardCode],0)),0)</f>
        <v>10</v>
      </c>
      <c r="O365" s="34">
        <f>B365+I365</f>
        <v>20</v>
      </c>
    </row>
    <row r="366" spans="1:16" x14ac:dyDescent="0.25">
      <c r="A366" s="35" t="s">
        <v>126</v>
      </c>
      <c r="B366" s="36" t="s">
        <v>122</v>
      </c>
      <c r="C366" s="22"/>
      <c r="D366" s="22"/>
      <c r="E366" s="22"/>
      <c r="F366" s="22"/>
      <c r="G366" s="22"/>
      <c r="H366" s="22"/>
      <c r="I366" s="37" t="s">
        <v>123</v>
      </c>
      <c r="J366" s="22"/>
      <c r="K366" s="22"/>
      <c r="L366" s="22"/>
      <c r="M366" s="22"/>
      <c r="N366" s="22"/>
      <c r="O366" s="22"/>
      <c r="P366" s="38" t="s">
        <v>115</v>
      </c>
    </row>
    <row r="367" spans="1:16" x14ac:dyDescent="0.25">
      <c r="A367" s="35" t="s">
        <v>126</v>
      </c>
      <c r="B367" s="35" t="s">
        <v>127</v>
      </c>
      <c r="C367" s="35" t="s">
        <v>128</v>
      </c>
      <c r="D367" s="35" t="s">
        <v>129</v>
      </c>
      <c r="E367" s="35" t="s">
        <v>130</v>
      </c>
      <c r="F367" s="35" t="s">
        <v>131</v>
      </c>
      <c r="G367" s="35" t="s">
        <v>132</v>
      </c>
      <c r="H367" s="35" t="s">
        <v>133</v>
      </c>
      <c r="I367" s="35" t="s">
        <v>127</v>
      </c>
      <c r="J367" s="35" t="s">
        <v>128</v>
      </c>
      <c r="K367" s="35" t="s">
        <v>129</v>
      </c>
      <c r="L367" s="35" t="s">
        <v>130</v>
      </c>
      <c r="M367" s="35" t="s">
        <v>131</v>
      </c>
      <c r="N367" s="35" t="s">
        <v>132</v>
      </c>
      <c r="O367" s="35" t="s">
        <v>133</v>
      </c>
      <c r="P367" s="35" t="s">
        <v>134</v>
      </c>
    </row>
    <row r="368" spans="1:16" x14ac:dyDescent="0.25">
      <c r="A368" s="39">
        <v>1</v>
      </c>
      <c r="B368" s="39" t="str">
        <f>IFERROR(IF(SUMIFS(tblDaily[Admissions],tblDaily[EntryDate],DATE(2026,10,1),tblDaily[WardCode],"MAE")=0,"",SUMIFS(tblDaily[Admissions],tblDaily[EntryDate],DATE(2026,10,1),tblDaily[WardCode],"MAE")),"")</f>
        <v/>
      </c>
      <c r="C368" s="39" t="str">
        <f>IFERROR(IF(SUMIFS(tblDaily[Discharges],tblDaily[EntryDate],DATE(2026,10,1),tblDaily[WardCode],"MAE")=0,"",SUMIFS(tblDaily[Discharges],tblDaily[EntryDate],DATE(2026,10,1),tblDaily[WardCode],"MAE")),"")</f>
        <v/>
      </c>
      <c r="D368" s="39" t="str">
        <f>IFERROR(IF(SUMIFS(tblDaily[Deaths],tblDaily[EntryDate],DATE(2026,10,1),tblDaily[WardCode],"MAE")=0,"",SUMIFS(tblDaily[Deaths],tblDaily[EntryDate],DATE(2026,10,1),tblDaily[WardCode],"MAE")),"")</f>
        <v/>
      </c>
      <c r="E368" s="39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39" t="str">
        <f>IFERROR(IF(SUMIFS(tblDaily[TransfersIn],tblDaily[EntryDate],DATE(2026,10,1),tblDaily[WardCode],"MAE")=0,"",SUMIFS(tblDaily[TransfersIn],tblDaily[EntryDate],DATE(2026,10,1),tblDaily[WardCode],"MAE")),"")</f>
        <v/>
      </c>
      <c r="G368" s="39" t="str">
        <f>IFERROR(IF(SUMIFS(tblDaily[TransfersOut],tblDaily[EntryDate],DATE(2026,10,1),tblDaily[WardCode],"MAE")=0,"",SUMIFS(tblDaily[TransfersOut],tblDaily[EntryDate],DATE(2026,10,1),tblDaily[WardCode],"MAE")),"")</f>
        <v/>
      </c>
      <c r="H368" s="39" t="str">
        <f>IFERROR(IF(SUMIFS(tblDaily[Remaining],tblDaily[EntryDate],DATE(2026,10,1),tblDaily[WardCode],"MAE")=0,"",SUMIFS(tblDaily[Remaining],tblDaily[EntryDate],DATE(2026,10,1),tblDaily[WardCode],"MAE")),"")</f>
        <v/>
      </c>
      <c r="I368" s="39" t="str">
        <f>IFERROR(IF(SUMIFS(tblDaily[Admissions],tblDaily[EntryDate],DATE(2026,10,1),tblDaily[WardCode],"FAE")=0,"",SUMIFS(tblDaily[Admissions],tblDaily[EntryDate],DATE(2026,10,1),tblDaily[WardCode],"FAE")),"")</f>
        <v/>
      </c>
      <c r="J368" s="39" t="str">
        <f>IFERROR(IF(SUMIFS(tblDaily[Discharges],tblDaily[EntryDate],DATE(2026,10,1),tblDaily[WardCode],"FAE")=0,"",SUMIFS(tblDaily[Discharges],tblDaily[EntryDate],DATE(2026,10,1),tblDaily[WardCode],"FAE")),"")</f>
        <v/>
      </c>
      <c r="K368" s="39" t="str">
        <f>IFERROR(IF(SUMIFS(tblDaily[Deaths],tblDaily[EntryDate],DATE(2026,10,1),tblDaily[WardCode],"FAE")=0,"",SUMIFS(tblDaily[Deaths],tblDaily[EntryDate],DATE(2026,10,1),tblDaily[WardCode],"FAE")),"")</f>
        <v/>
      </c>
      <c r="L368" s="39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39" t="str">
        <f>IFERROR(IF(SUMIFS(tblDaily[TransfersIn],tblDaily[EntryDate],DATE(2026,10,1),tblDaily[WardCode],"FAE")=0,"",SUMIFS(tblDaily[TransfersIn],tblDaily[EntryDate],DATE(2026,10,1),tblDaily[WardCode],"FAE")),"")</f>
        <v/>
      </c>
      <c r="N368" s="39" t="str">
        <f>IFERROR(IF(SUMIFS(tblDaily[TransfersOut],tblDaily[EntryDate],DATE(2026,10,1),tblDaily[WardCode],"FAE")=0,"",SUMIFS(tblDaily[TransfersOut],tblDaily[EntryDate],DATE(2026,10,1),tblDaily[WardCode],"FAE")),"")</f>
        <v/>
      </c>
      <c r="O368" s="39" t="str">
        <f>IFERROR(IF(SUMIFS(tblDaily[Remaining],tblDaily[EntryDate],DATE(2026,10,1),tblDaily[WardCode],"FAE")=0,"",SUMIFS(tblDaily[Remaining],tblDaily[EntryDate],DATE(2026,10,1),tblDaily[WardCode],"FAE")),"")</f>
        <v/>
      </c>
      <c r="P368" s="40" t="str">
        <f t="shared" ref="P368:P398" si="9">IF(AND(H368="", O368=""), "", N(H368) + N(O368))</f>
        <v/>
      </c>
    </row>
    <row r="369" spans="1:16" x14ac:dyDescent="0.25">
      <c r="A369" s="39">
        <v>2</v>
      </c>
      <c r="B369" s="39" t="str">
        <f>IFERROR(IF(SUMIFS(tblDaily[Admissions],tblDaily[EntryDate],DATE(2026,10,2),tblDaily[WardCode],"MAE")=0,"",SUMIFS(tblDaily[Admissions],tblDaily[EntryDate],DATE(2026,10,2),tblDaily[WardCode],"MAE")),"")</f>
        <v/>
      </c>
      <c r="C369" s="39" t="str">
        <f>IFERROR(IF(SUMIFS(tblDaily[Discharges],tblDaily[EntryDate],DATE(2026,10,2),tblDaily[WardCode],"MAE")=0,"",SUMIFS(tblDaily[Discharges],tblDaily[EntryDate],DATE(2026,10,2),tblDaily[WardCode],"MAE")),"")</f>
        <v/>
      </c>
      <c r="D369" s="39" t="str">
        <f>IFERROR(IF(SUMIFS(tblDaily[Deaths],tblDaily[EntryDate],DATE(2026,10,2),tblDaily[WardCode],"MAE")=0,"",SUMIFS(tblDaily[Deaths],tblDaily[EntryDate],DATE(2026,10,2),tblDaily[WardCode],"MAE")),"")</f>
        <v/>
      </c>
      <c r="E369" s="39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39" t="str">
        <f>IFERROR(IF(SUMIFS(tblDaily[TransfersIn],tblDaily[EntryDate],DATE(2026,10,2),tblDaily[WardCode],"MAE")=0,"",SUMIFS(tblDaily[TransfersIn],tblDaily[EntryDate],DATE(2026,10,2),tblDaily[WardCode],"MAE")),"")</f>
        <v/>
      </c>
      <c r="G369" s="39" t="str">
        <f>IFERROR(IF(SUMIFS(tblDaily[TransfersOut],tblDaily[EntryDate],DATE(2026,10,2),tblDaily[WardCode],"MAE")=0,"",SUMIFS(tblDaily[TransfersOut],tblDaily[EntryDate],DATE(2026,10,2),tblDaily[WardCode],"MAE")),"")</f>
        <v/>
      </c>
      <c r="H369" s="39" t="str">
        <f>IFERROR(IF(SUMIFS(tblDaily[Remaining],tblDaily[EntryDate],DATE(2026,10,2),tblDaily[WardCode],"MAE")=0,"",SUMIFS(tblDaily[Remaining],tblDaily[EntryDate],DATE(2026,10,2),tblDaily[WardCode],"MAE")),"")</f>
        <v/>
      </c>
      <c r="I369" s="39" t="str">
        <f>IFERROR(IF(SUMIFS(tblDaily[Admissions],tblDaily[EntryDate],DATE(2026,10,2),tblDaily[WardCode],"FAE")=0,"",SUMIFS(tblDaily[Admissions],tblDaily[EntryDate],DATE(2026,10,2),tblDaily[WardCode],"FAE")),"")</f>
        <v/>
      </c>
      <c r="J369" s="39" t="str">
        <f>IFERROR(IF(SUMIFS(tblDaily[Discharges],tblDaily[EntryDate],DATE(2026,10,2),tblDaily[WardCode],"FAE")=0,"",SUMIFS(tblDaily[Discharges],tblDaily[EntryDate],DATE(2026,10,2),tblDaily[WardCode],"FAE")),"")</f>
        <v/>
      </c>
      <c r="K369" s="39" t="str">
        <f>IFERROR(IF(SUMIFS(tblDaily[Deaths],tblDaily[EntryDate],DATE(2026,10,2),tblDaily[WardCode],"FAE")=0,"",SUMIFS(tblDaily[Deaths],tblDaily[EntryDate],DATE(2026,10,2),tblDaily[WardCode],"FAE")),"")</f>
        <v/>
      </c>
      <c r="L369" s="39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39" t="str">
        <f>IFERROR(IF(SUMIFS(tblDaily[TransfersIn],tblDaily[EntryDate],DATE(2026,10,2),tblDaily[WardCode],"FAE")=0,"",SUMIFS(tblDaily[TransfersIn],tblDaily[EntryDate],DATE(2026,10,2),tblDaily[WardCode],"FAE")),"")</f>
        <v/>
      </c>
      <c r="N369" s="39" t="str">
        <f>IFERROR(IF(SUMIFS(tblDaily[TransfersOut],tblDaily[EntryDate],DATE(2026,10,2),tblDaily[WardCode],"FAE")=0,"",SUMIFS(tblDaily[TransfersOut],tblDaily[EntryDate],DATE(2026,10,2),tblDaily[WardCode],"FAE")),"")</f>
        <v/>
      </c>
      <c r="O369" s="39" t="str">
        <f>IFERROR(IF(SUMIFS(tblDaily[Remaining],tblDaily[EntryDate],DATE(2026,10,2),tblDaily[WardCode],"FAE")=0,"",SUMIFS(tblDaily[Remaining],tblDaily[EntryDate],DATE(2026,10,2),tblDaily[WardCode],"FAE")),"")</f>
        <v/>
      </c>
      <c r="P369" s="40" t="str">
        <f t="shared" si="9"/>
        <v/>
      </c>
    </row>
    <row r="370" spans="1:16" x14ac:dyDescent="0.25">
      <c r="A370" s="39">
        <v>3</v>
      </c>
      <c r="B370" s="39" t="str">
        <f>IFERROR(IF(SUMIFS(tblDaily[Admissions],tblDaily[EntryDate],DATE(2026,10,3),tblDaily[WardCode],"MAE")=0,"",SUMIFS(tblDaily[Admissions],tblDaily[EntryDate],DATE(2026,10,3),tblDaily[WardCode],"MAE")),"")</f>
        <v/>
      </c>
      <c r="C370" s="39" t="str">
        <f>IFERROR(IF(SUMIFS(tblDaily[Discharges],tblDaily[EntryDate],DATE(2026,10,3),tblDaily[WardCode],"MAE")=0,"",SUMIFS(tblDaily[Discharges],tblDaily[EntryDate],DATE(2026,10,3),tblDaily[WardCode],"MAE")),"")</f>
        <v/>
      </c>
      <c r="D370" s="39" t="str">
        <f>IFERROR(IF(SUMIFS(tblDaily[Deaths],tblDaily[EntryDate],DATE(2026,10,3),tblDaily[WardCode],"MAE")=0,"",SUMIFS(tblDaily[Deaths],tblDaily[EntryDate],DATE(2026,10,3),tblDaily[WardCode],"MAE")),"")</f>
        <v/>
      </c>
      <c r="E370" s="39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39" t="str">
        <f>IFERROR(IF(SUMIFS(tblDaily[TransfersIn],tblDaily[EntryDate],DATE(2026,10,3),tblDaily[WardCode],"MAE")=0,"",SUMIFS(tblDaily[TransfersIn],tblDaily[EntryDate],DATE(2026,10,3),tblDaily[WardCode],"MAE")),"")</f>
        <v/>
      </c>
      <c r="G370" s="39" t="str">
        <f>IFERROR(IF(SUMIFS(tblDaily[TransfersOut],tblDaily[EntryDate],DATE(2026,10,3),tblDaily[WardCode],"MAE")=0,"",SUMIFS(tblDaily[TransfersOut],tblDaily[EntryDate],DATE(2026,10,3),tblDaily[WardCode],"MAE")),"")</f>
        <v/>
      </c>
      <c r="H370" s="39" t="str">
        <f>IFERROR(IF(SUMIFS(tblDaily[Remaining],tblDaily[EntryDate],DATE(2026,10,3),tblDaily[WardCode],"MAE")=0,"",SUMIFS(tblDaily[Remaining],tblDaily[EntryDate],DATE(2026,10,3),tblDaily[WardCode],"MAE")),"")</f>
        <v/>
      </c>
      <c r="I370" s="39" t="str">
        <f>IFERROR(IF(SUMIFS(tblDaily[Admissions],tblDaily[EntryDate],DATE(2026,10,3),tblDaily[WardCode],"FAE")=0,"",SUMIFS(tblDaily[Admissions],tblDaily[EntryDate],DATE(2026,10,3),tblDaily[WardCode],"FAE")),"")</f>
        <v/>
      </c>
      <c r="J370" s="39" t="str">
        <f>IFERROR(IF(SUMIFS(tblDaily[Discharges],tblDaily[EntryDate],DATE(2026,10,3),tblDaily[WardCode],"FAE")=0,"",SUMIFS(tblDaily[Discharges],tblDaily[EntryDate],DATE(2026,10,3),tblDaily[WardCode],"FAE")),"")</f>
        <v/>
      </c>
      <c r="K370" s="39" t="str">
        <f>IFERROR(IF(SUMIFS(tblDaily[Deaths],tblDaily[EntryDate],DATE(2026,10,3),tblDaily[WardCode],"FAE")=0,"",SUMIFS(tblDaily[Deaths],tblDaily[EntryDate],DATE(2026,10,3),tblDaily[WardCode],"FAE")),"")</f>
        <v/>
      </c>
      <c r="L370" s="39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39" t="str">
        <f>IFERROR(IF(SUMIFS(tblDaily[TransfersIn],tblDaily[EntryDate],DATE(2026,10,3),tblDaily[WardCode],"FAE")=0,"",SUMIFS(tblDaily[TransfersIn],tblDaily[EntryDate],DATE(2026,10,3),tblDaily[WardCode],"FAE")),"")</f>
        <v/>
      </c>
      <c r="N370" s="39" t="str">
        <f>IFERROR(IF(SUMIFS(tblDaily[TransfersOut],tblDaily[EntryDate],DATE(2026,10,3),tblDaily[WardCode],"FAE")=0,"",SUMIFS(tblDaily[TransfersOut],tblDaily[EntryDate],DATE(2026,10,3),tblDaily[WardCode],"FAE")),"")</f>
        <v/>
      </c>
      <c r="O370" s="39" t="str">
        <f>IFERROR(IF(SUMIFS(tblDaily[Remaining],tblDaily[EntryDate],DATE(2026,10,3),tblDaily[WardCode],"FAE")=0,"",SUMIFS(tblDaily[Remaining],tblDaily[EntryDate],DATE(2026,10,3),tblDaily[WardCode],"FAE")),"")</f>
        <v/>
      </c>
      <c r="P370" s="40" t="str">
        <f t="shared" si="9"/>
        <v/>
      </c>
    </row>
    <row r="371" spans="1:16" x14ac:dyDescent="0.25">
      <c r="A371" s="39">
        <v>4</v>
      </c>
      <c r="B371" s="39" t="str">
        <f>IFERROR(IF(SUMIFS(tblDaily[Admissions],tblDaily[EntryDate],DATE(2026,10,4),tblDaily[WardCode],"MAE")=0,"",SUMIFS(tblDaily[Admissions],tblDaily[EntryDate],DATE(2026,10,4),tblDaily[WardCode],"MAE")),"")</f>
        <v/>
      </c>
      <c r="C371" s="39" t="str">
        <f>IFERROR(IF(SUMIFS(tblDaily[Discharges],tblDaily[EntryDate],DATE(2026,10,4),tblDaily[WardCode],"MAE")=0,"",SUMIFS(tblDaily[Discharges],tblDaily[EntryDate],DATE(2026,10,4),tblDaily[WardCode],"MAE")),"")</f>
        <v/>
      </c>
      <c r="D371" s="39" t="str">
        <f>IFERROR(IF(SUMIFS(tblDaily[Deaths],tblDaily[EntryDate],DATE(2026,10,4),tblDaily[WardCode],"MAE")=0,"",SUMIFS(tblDaily[Deaths],tblDaily[EntryDate],DATE(2026,10,4),tblDaily[WardCode],"MAE")),"")</f>
        <v/>
      </c>
      <c r="E371" s="39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39" t="str">
        <f>IFERROR(IF(SUMIFS(tblDaily[TransfersIn],tblDaily[EntryDate],DATE(2026,10,4),tblDaily[WardCode],"MAE")=0,"",SUMIFS(tblDaily[TransfersIn],tblDaily[EntryDate],DATE(2026,10,4),tblDaily[WardCode],"MAE")),"")</f>
        <v/>
      </c>
      <c r="G371" s="39" t="str">
        <f>IFERROR(IF(SUMIFS(tblDaily[TransfersOut],tblDaily[EntryDate],DATE(2026,10,4),tblDaily[WardCode],"MAE")=0,"",SUMIFS(tblDaily[TransfersOut],tblDaily[EntryDate],DATE(2026,10,4),tblDaily[WardCode],"MAE")),"")</f>
        <v/>
      </c>
      <c r="H371" s="39" t="str">
        <f>IFERROR(IF(SUMIFS(tblDaily[Remaining],tblDaily[EntryDate],DATE(2026,10,4),tblDaily[WardCode],"MAE")=0,"",SUMIFS(tblDaily[Remaining],tblDaily[EntryDate],DATE(2026,10,4),tblDaily[WardCode],"MAE")),"")</f>
        <v/>
      </c>
      <c r="I371" s="39" t="str">
        <f>IFERROR(IF(SUMIFS(tblDaily[Admissions],tblDaily[EntryDate],DATE(2026,10,4),tblDaily[WardCode],"FAE")=0,"",SUMIFS(tblDaily[Admissions],tblDaily[EntryDate],DATE(2026,10,4),tblDaily[WardCode],"FAE")),"")</f>
        <v/>
      </c>
      <c r="J371" s="39" t="str">
        <f>IFERROR(IF(SUMIFS(tblDaily[Discharges],tblDaily[EntryDate],DATE(2026,10,4),tblDaily[WardCode],"FAE")=0,"",SUMIFS(tblDaily[Discharges],tblDaily[EntryDate],DATE(2026,10,4),tblDaily[WardCode],"FAE")),"")</f>
        <v/>
      </c>
      <c r="K371" s="39" t="str">
        <f>IFERROR(IF(SUMIFS(tblDaily[Deaths],tblDaily[EntryDate],DATE(2026,10,4),tblDaily[WardCode],"FAE")=0,"",SUMIFS(tblDaily[Deaths],tblDaily[EntryDate],DATE(2026,10,4),tblDaily[WardCode],"FAE")),"")</f>
        <v/>
      </c>
      <c r="L371" s="39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39" t="str">
        <f>IFERROR(IF(SUMIFS(tblDaily[TransfersIn],tblDaily[EntryDate],DATE(2026,10,4),tblDaily[WardCode],"FAE")=0,"",SUMIFS(tblDaily[TransfersIn],tblDaily[EntryDate],DATE(2026,10,4),tblDaily[WardCode],"FAE")),"")</f>
        <v/>
      </c>
      <c r="N371" s="39" t="str">
        <f>IFERROR(IF(SUMIFS(tblDaily[TransfersOut],tblDaily[EntryDate],DATE(2026,10,4),tblDaily[WardCode],"FAE")=0,"",SUMIFS(tblDaily[TransfersOut],tblDaily[EntryDate],DATE(2026,10,4),tblDaily[WardCode],"FAE")),"")</f>
        <v/>
      </c>
      <c r="O371" s="39" t="str">
        <f>IFERROR(IF(SUMIFS(tblDaily[Remaining],tblDaily[EntryDate],DATE(2026,10,4),tblDaily[WardCode],"FAE")=0,"",SUMIFS(tblDaily[Remaining],tblDaily[EntryDate],DATE(2026,10,4),tblDaily[WardCode],"FAE")),"")</f>
        <v/>
      </c>
      <c r="P371" s="40" t="str">
        <f t="shared" si="9"/>
        <v/>
      </c>
    </row>
    <row r="372" spans="1:16" x14ac:dyDescent="0.25">
      <c r="A372" s="39">
        <v>5</v>
      </c>
      <c r="B372" s="39" t="str">
        <f>IFERROR(IF(SUMIFS(tblDaily[Admissions],tblDaily[EntryDate],DATE(2026,10,5),tblDaily[WardCode],"MAE")=0,"",SUMIFS(tblDaily[Admissions],tblDaily[EntryDate],DATE(2026,10,5),tblDaily[WardCode],"MAE")),"")</f>
        <v/>
      </c>
      <c r="C372" s="39" t="str">
        <f>IFERROR(IF(SUMIFS(tblDaily[Discharges],tblDaily[EntryDate],DATE(2026,10,5),tblDaily[WardCode],"MAE")=0,"",SUMIFS(tblDaily[Discharges],tblDaily[EntryDate],DATE(2026,10,5),tblDaily[WardCode],"MAE")),"")</f>
        <v/>
      </c>
      <c r="D372" s="39" t="str">
        <f>IFERROR(IF(SUMIFS(tblDaily[Deaths],tblDaily[EntryDate],DATE(2026,10,5),tblDaily[WardCode],"MAE")=0,"",SUMIFS(tblDaily[Deaths],tblDaily[EntryDate],DATE(2026,10,5),tblDaily[WardCode],"MAE")),"")</f>
        <v/>
      </c>
      <c r="E372" s="39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39" t="str">
        <f>IFERROR(IF(SUMIFS(tblDaily[TransfersIn],tblDaily[EntryDate],DATE(2026,10,5),tblDaily[WardCode],"MAE")=0,"",SUMIFS(tblDaily[TransfersIn],tblDaily[EntryDate],DATE(2026,10,5),tblDaily[WardCode],"MAE")),"")</f>
        <v/>
      </c>
      <c r="G372" s="39" t="str">
        <f>IFERROR(IF(SUMIFS(tblDaily[TransfersOut],tblDaily[EntryDate],DATE(2026,10,5),tblDaily[WardCode],"MAE")=0,"",SUMIFS(tblDaily[TransfersOut],tblDaily[EntryDate],DATE(2026,10,5),tblDaily[WardCode],"MAE")),"")</f>
        <v/>
      </c>
      <c r="H372" s="39" t="str">
        <f>IFERROR(IF(SUMIFS(tblDaily[Remaining],tblDaily[EntryDate],DATE(2026,10,5),tblDaily[WardCode],"MAE")=0,"",SUMIFS(tblDaily[Remaining],tblDaily[EntryDate],DATE(2026,10,5),tblDaily[WardCode],"MAE")),"")</f>
        <v/>
      </c>
      <c r="I372" s="39" t="str">
        <f>IFERROR(IF(SUMIFS(tblDaily[Admissions],tblDaily[EntryDate],DATE(2026,10,5),tblDaily[WardCode],"FAE")=0,"",SUMIFS(tblDaily[Admissions],tblDaily[EntryDate],DATE(2026,10,5),tblDaily[WardCode],"FAE")),"")</f>
        <v/>
      </c>
      <c r="J372" s="39" t="str">
        <f>IFERROR(IF(SUMIFS(tblDaily[Discharges],tblDaily[EntryDate],DATE(2026,10,5),tblDaily[WardCode],"FAE")=0,"",SUMIFS(tblDaily[Discharges],tblDaily[EntryDate],DATE(2026,10,5),tblDaily[WardCode],"FAE")),"")</f>
        <v/>
      </c>
      <c r="K372" s="39" t="str">
        <f>IFERROR(IF(SUMIFS(tblDaily[Deaths],tblDaily[EntryDate],DATE(2026,10,5),tblDaily[WardCode],"FAE")=0,"",SUMIFS(tblDaily[Deaths],tblDaily[EntryDate],DATE(2026,10,5),tblDaily[WardCode],"FAE")),"")</f>
        <v/>
      </c>
      <c r="L372" s="39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39" t="str">
        <f>IFERROR(IF(SUMIFS(tblDaily[TransfersIn],tblDaily[EntryDate],DATE(2026,10,5),tblDaily[WardCode],"FAE")=0,"",SUMIFS(tblDaily[TransfersIn],tblDaily[EntryDate],DATE(2026,10,5),tblDaily[WardCode],"FAE")),"")</f>
        <v/>
      </c>
      <c r="N372" s="39" t="str">
        <f>IFERROR(IF(SUMIFS(tblDaily[TransfersOut],tblDaily[EntryDate],DATE(2026,10,5),tblDaily[WardCode],"FAE")=0,"",SUMIFS(tblDaily[TransfersOut],tblDaily[EntryDate],DATE(2026,10,5),tblDaily[WardCode],"FAE")),"")</f>
        <v/>
      </c>
      <c r="O372" s="39" t="str">
        <f>IFERROR(IF(SUMIFS(tblDaily[Remaining],tblDaily[EntryDate],DATE(2026,10,5),tblDaily[WardCode],"FAE")=0,"",SUMIFS(tblDaily[Remaining],tblDaily[EntryDate],DATE(2026,10,5),tblDaily[WardCode],"FAE")),"")</f>
        <v/>
      </c>
      <c r="P372" s="40" t="str">
        <f t="shared" si="9"/>
        <v/>
      </c>
    </row>
    <row r="373" spans="1:16" x14ac:dyDescent="0.25">
      <c r="A373" s="39">
        <v>6</v>
      </c>
      <c r="B373" s="39" t="str">
        <f>IFERROR(IF(SUMIFS(tblDaily[Admissions],tblDaily[EntryDate],DATE(2026,10,6),tblDaily[WardCode],"MAE")=0,"",SUMIFS(tblDaily[Admissions],tblDaily[EntryDate],DATE(2026,10,6),tblDaily[WardCode],"MAE")),"")</f>
        <v/>
      </c>
      <c r="C373" s="39" t="str">
        <f>IFERROR(IF(SUMIFS(tblDaily[Discharges],tblDaily[EntryDate],DATE(2026,10,6),tblDaily[WardCode],"MAE")=0,"",SUMIFS(tblDaily[Discharges],tblDaily[EntryDate],DATE(2026,10,6),tblDaily[WardCode],"MAE")),"")</f>
        <v/>
      </c>
      <c r="D373" s="39" t="str">
        <f>IFERROR(IF(SUMIFS(tblDaily[Deaths],tblDaily[EntryDate],DATE(2026,10,6),tblDaily[WardCode],"MAE")=0,"",SUMIFS(tblDaily[Deaths],tblDaily[EntryDate],DATE(2026,10,6),tblDaily[WardCode],"MAE")),"")</f>
        <v/>
      </c>
      <c r="E373" s="39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39" t="str">
        <f>IFERROR(IF(SUMIFS(tblDaily[TransfersIn],tblDaily[EntryDate],DATE(2026,10,6),tblDaily[WardCode],"MAE")=0,"",SUMIFS(tblDaily[TransfersIn],tblDaily[EntryDate],DATE(2026,10,6),tblDaily[WardCode],"MAE")),"")</f>
        <v/>
      </c>
      <c r="G373" s="39" t="str">
        <f>IFERROR(IF(SUMIFS(tblDaily[TransfersOut],tblDaily[EntryDate],DATE(2026,10,6),tblDaily[WardCode],"MAE")=0,"",SUMIFS(tblDaily[TransfersOut],tblDaily[EntryDate],DATE(2026,10,6),tblDaily[WardCode],"MAE")),"")</f>
        <v/>
      </c>
      <c r="H373" s="39" t="str">
        <f>IFERROR(IF(SUMIFS(tblDaily[Remaining],tblDaily[EntryDate],DATE(2026,10,6),tblDaily[WardCode],"MAE")=0,"",SUMIFS(tblDaily[Remaining],tblDaily[EntryDate],DATE(2026,10,6),tblDaily[WardCode],"MAE")),"")</f>
        <v/>
      </c>
      <c r="I373" s="39" t="str">
        <f>IFERROR(IF(SUMIFS(tblDaily[Admissions],tblDaily[EntryDate],DATE(2026,10,6),tblDaily[WardCode],"FAE")=0,"",SUMIFS(tblDaily[Admissions],tblDaily[EntryDate],DATE(2026,10,6),tblDaily[WardCode],"FAE")),"")</f>
        <v/>
      </c>
      <c r="J373" s="39" t="str">
        <f>IFERROR(IF(SUMIFS(tblDaily[Discharges],tblDaily[EntryDate],DATE(2026,10,6),tblDaily[WardCode],"FAE")=0,"",SUMIFS(tblDaily[Discharges],tblDaily[EntryDate],DATE(2026,10,6),tblDaily[WardCode],"FAE")),"")</f>
        <v/>
      </c>
      <c r="K373" s="39" t="str">
        <f>IFERROR(IF(SUMIFS(tblDaily[Deaths],tblDaily[EntryDate],DATE(2026,10,6),tblDaily[WardCode],"FAE")=0,"",SUMIFS(tblDaily[Deaths],tblDaily[EntryDate],DATE(2026,10,6),tblDaily[WardCode],"FAE")),"")</f>
        <v/>
      </c>
      <c r="L373" s="39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39" t="str">
        <f>IFERROR(IF(SUMIFS(tblDaily[TransfersIn],tblDaily[EntryDate],DATE(2026,10,6),tblDaily[WardCode],"FAE")=0,"",SUMIFS(tblDaily[TransfersIn],tblDaily[EntryDate],DATE(2026,10,6),tblDaily[WardCode],"FAE")),"")</f>
        <v/>
      </c>
      <c r="N373" s="39" t="str">
        <f>IFERROR(IF(SUMIFS(tblDaily[TransfersOut],tblDaily[EntryDate],DATE(2026,10,6),tblDaily[WardCode],"FAE")=0,"",SUMIFS(tblDaily[TransfersOut],tblDaily[EntryDate],DATE(2026,10,6),tblDaily[WardCode],"FAE")),"")</f>
        <v/>
      </c>
      <c r="O373" s="39" t="str">
        <f>IFERROR(IF(SUMIFS(tblDaily[Remaining],tblDaily[EntryDate],DATE(2026,10,6),tblDaily[WardCode],"FAE")=0,"",SUMIFS(tblDaily[Remaining],tblDaily[EntryDate],DATE(2026,10,6),tblDaily[WardCode],"FAE")),"")</f>
        <v/>
      </c>
      <c r="P373" s="40" t="str">
        <f t="shared" si="9"/>
        <v/>
      </c>
    </row>
    <row r="374" spans="1:16" x14ac:dyDescent="0.25">
      <c r="A374" s="39">
        <v>7</v>
      </c>
      <c r="B374" s="39" t="str">
        <f>IFERROR(IF(SUMIFS(tblDaily[Admissions],tblDaily[EntryDate],DATE(2026,10,7),tblDaily[WardCode],"MAE")=0,"",SUMIFS(tblDaily[Admissions],tblDaily[EntryDate],DATE(2026,10,7),tblDaily[WardCode],"MAE")),"")</f>
        <v/>
      </c>
      <c r="C374" s="39" t="str">
        <f>IFERROR(IF(SUMIFS(tblDaily[Discharges],tblDaily[EntryDate],DATE(2026,10,7),tblDaily[WardCode],"MAE")=0,"",SUMIFS(tblDaily[Discharges],tblDaily[EntryDate],DATE(2026,10,7),tblDaily[WardCode],"MAE")),"")</f>
        <v/>
      </c>
      <c r="D374" s="39" t="str">
        <f>IFERROR(IF(SUMIFS(tblDaily[Deaths],tblDaily[EntryDate],DATE(2026,10,7),tblDaily[WardCode],"MAE")=0,"",SUMIFS(tblDaily[Deaths],tblDaily[EntryDate],DATE(2026,10,7),tblDaily[WardCode],"MAE")),"")</f>
        <v/>
      </c>
      <c r="E374" s="39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39" t="str">
        <f>IFERROR(IF(SUMIFS(tblDaily[TransfersIn],tblDaily[EntryDate],DATE(2026,10,7),tblDaily[WardCode],"MAE")=0,"",SUMIFS(tblDaily[TransfersIn],tblDaily[EntryDate],DATE(2026,10,7),tblDaily[WardCode],"MAE")),"")</f>
        <v/>
      </c>
      <c r="G374" s="39" t="str">
        <f>IFERROR(IF(SUMIFS(tblDaily[TransfersOut],tblDaily[EntryDate],DATE(2026,10,7),tblDaily[WardCode],"MAE")=0,"",SUMIFS(tblDaily[TransfersOut],tblDaily[EntryDate],DATE(2026,10,7),tblDaily[WardCode],"MAE")),"")</f>
        <v/>
      </c>
      <c r="H374" s="39" t="str">
        <f>IFERROR(IF(SUMIFS(tblDaily[Remaining],tblDaily[EntryDate],DATE(2026,10,7),tblDaily[WardCode],"MAE")=0,"",SUMIFS(tblDaily[Remaining],tblDaily[EntryDate],DATE(2026,10,7),tblDaily[WardCode],"MAE")),"")</f>
        <v/>
      </c>
      <c r="I374" s="39" t="str">
        <f>IFERROR(IF(SUMIFS(tblDaily[Admissions],tblDaily[EntryDate],DATE(2026,10,7),tblDaily[WardCode],"FAE")=0,"",SUMIFS(tblDaily[Admissions],tblDaily[EntryDate],DATE(2026,10,7),tblDaily[WardCode],"FAE")),"")</f>
        <v/>
      </c>
      <c r="J374" s="39" t="str">
        <f>IFERROR(IF(SUMIFS(tblDaily[Discharges],tblDaily[EntryDate],DATE(2026,10,7),tblDaily[WardCode],"FAE")=0,"",SUMIFS(tblDaily[Discharges],tblDaily[EntryDate],DATE(2026,10,7),tblDaily[WardCode],"FAE")),"")</f>
        <v/>
      </c>
      <c r="K374" s="39" t="str">
        <f>IFERROR(IF(SUMIFS(tblDaily[Deaths],tblDaily[EntryDate],DATE(2026,10,7),tblDaily[WardCode],"FAE")=0,"",SUMIFS(tblDaily[Deaths],tblDaily[EntryDate],DATE(2026,10,7),tblDaily[WardCode],"FAE")),"")</f>
        <v/>
      </c>
      <c r="L374" s="39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39" t="str">
        <f>IFERROR(IF(SUMIFS(tblDaily[TransfersIn],tblDaily[EntryDate],DATE(2026,10,7),tblDaily[WardCode],"FAE")=0,"",SUMIFS(tblDaily[TransfersIn],tblDaily[EntryDate],DATE(2026,10,7),tblDaily[WardCode],"FAE")),"")</f>
        <v/>
      </c>
      <c r="N374" s="39" t="str">
        <f>IFERROR(IF(SUMIFS(tblDaily[TransfersOut],tblDaily[EntryDate],DATE(2026,10,7),tblDaily[WardCode],"FAE")=0,"",SUMIFS(tblDaily[TransfersOut],tblDaily[EntryDate],DATE(2026,10,7),tblDaily[WardCode],"FAE")),"")</f>
        <v/>
      </c>
      <c r="O374" s="39" t="str">
        <f>IFERROR(IF(SUMIFS(tblDaily[Remaining],tblDaily[EntryDate],DATE(2026,10,7),tblDaily[WardCode],"FAE")=0,"",SUMIFS(tblDaily[Remaining],tblDaily[EntryDate],DATE(2026,10,7),tblDaily[WardCode],"FAE")),"")</f>
        <v/>
      </c>
      <c r="P374" s="40" t="str">
        <f t="shared" si="9"/>
        <v/>
      </c>
    </row>
    <row r="375" spans="1:16" x14ac:dyDescent="0.25">
      <c r="A375" s="39">
        <v>8</v>
      </c>
      <c r="B375" s="39" t="str">
        <f>IFERROR(IF(SUMIFS(tblDaily[Admissions],tblDaily[EntryDate],DATE(2026,10,8),tblDaily[WardCode],"MAE")=0,"",SUMIFS(tblDaily[Admissions],tblDaily[EntryDate],DATE(2026,10,8),tblDaily[WardCode],"MAE")),"")</f>
        <v/>
      </c>
      <c r="C375" s="39" t="str">
        <f>IFERROR(IF(SUMIFS(tblDaily[Discharges],tblDaily[EntryDate],DATE(2026,10,8),tblDaily[WardCode],"MAE")=0,"",SUMIFS(tblDaily[Discharges],tblDaily[EntryDate],DATE(2026,10,8),tblDaily[WardCode],"MAE")),"")</f>
        <v/>
      </c>
      <c r="D375" s="39" t="str">
        <f>IFERROR(IF(SUMIFS(tblDaily[Deaths],tblDaily[EntryDate],DATE(2026,10,8),tblDaily[WardCode],"MAE")=0,"",SUMIFS(tblDaily[Deaths],tblDaily[EntryDate],DATE(2026,10,8),tblDaily[WardCode],"MAE")),"")</f>
        <v/>
      </c>
      <c r="E375" s="39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39" t="str">
        <f>IFERROR(IF(SUMIFS(tblDaily[TransfersIn],tblDaily[EntryDate],DATE(2026,10,8),tblDaily[WardCode],"MAE")=0,"",SUMIFS(tblDaily[TransfersIn],tblDaily[EntryDate],DATE(2026,10,8),tblDaily[WardCode],"MAE")),"")</f>
        <v/>
      </c>
      <c r="G375" s="39" t="str">
        <f>IFERROR(IF(SUMIFS(tblDaily[TransfersOut],tblDaily[EntryDate],DATE(2026,10,8),tblDaily[WardCode],"MAE")=0,"",SUMIFS(tblDaily[TransfersOut],tblDaily[EntryDate],DATE(2026,10,8),tblDaily[WardCode],"MAE")),"")</f>
        <v/>
      </c>
      <c r="H375" s="39" t="str">
        <f>IFERROR(IF(SUMIFS(tblDaily[Remaining],tblDaily[EntryDate],DATE(2026,10,8),tblDaily[WardCode],"MAE")=0,"",SUMIFS(tblDaily[Remaining],tblDaily[EntryDate],DATE(2026,10,8),tblDaily[WardCode],"MAE")),"")</f>
        <v/>
      </c>
      <c r="I375" s="39" t="str">
        <f>IFERROR(IF(SUMIFS(tblDaily[Admissions],tblDaily[EntryDate],DATE(2026,10,8),tblDaily[WardCode],"FAE")=0,"",SUMIFS(tblDaily[Admissions],tblDaily[EntryDate],DATE(2026,10,8),tblDaily[WardCode],"FAE")),"")</f>
        <v/>
      </c>
      <c r="J375" s="39" t="str">
        <f>IFERROR(IF(SUMIFS(tblDaily[Discharges],tblDaily[EntryDate],DATE(2026,10,8),tblDaily[WardCode],"FAE")=0,"",SUMIFS(tblDaily[Discharges],tblDaily[EntryDate],DATE(2026,10,8),tblDaily[WardCode],"FAE")),"")</f>
        <v/>
      </c>
      <c r="K375" s="39" t="str">
        <f>IFERROR(IF(SUMIFS(tblDaily[Deaths],tblDaily[EntryDate],DATE(2026,10,8),tblDaily[WardCode],"FAE")=0,"",SUMIFS(tblDaily[Deaths],tblDaily[EntryDate],DATE(2026,10,8),tblDaily[WardCode],"FAE")),"")</f>
        <v/>
      </c>
      <c r="L375" s="39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39" t="str">
        <f>IFERROR(IF(SUMIFS(tblDaily[TransfersIn],tblDaily[EntryDate],DATE(2026,10,8),tblDaily[WardCode],"FAE")=0,"",SUMIFS(tblDaily[TransfersIn],tblDaily[EntryDate],DATE(2026,10,8),tblDaily[WardCode],"FAE")),"")</f>
        <v/>
      </c>
      <c r="N375" s="39" t="str">
        <f>IFERROR(IF(SUMIFS(tblDaily[TransfersOut],tblDaily[EntryDate],DATE(2026,10,8),tblDaily[WardCode],"FAE")=0,"",SUMIFS(tblDaily[TransfersOut],tblDaily[EntryDate],DATE(2026,10,8),tblDaily[WardCode],"FAE")),"")</f>
        <v/>
      </c>
      <c r="O375" s="39" t="str">
        <f>IFERROR(IF(SUMIFS(tblDaily[Remaining],tblDaily[EntryDate],DATE(2026,10,8),tblDaily[WardCode],"FAE")=0,"",SUMIFS(tblDaily[Remaining],tblDaily[EntryDate],DATE(2026,10,8),tblDaily[WardCode],"FAE")),"")</f>
        <v/>
      </c>
      <c r="P375" s="40" t="str">
        <f t="shared" si="9"/>
        <v/>
      </c>
    </row>
    <row r="376" spans="1:16" x14ac:dyDescent="0.25">
      <c r="A376" s="39">
        <v>9</v>
      </c>
      <c r="B376" s="39" t="str">
        <f>IFERROR(IF(SUMIFS(tblDaily[Admissions],tblDaily[EntryDate],DATE(2026,10,9),tblDaily[WardCode],"MAE")=0,"",SUMIFS(tblDaily[Admissions],tblDaily[EntryDate],DATE(2026,10,9),tblDaily[WardCode],"MAE")),"")</f>
        <v/>
      </c>
      <c r="C376" s="39" t="str">
        <f>IFERROR(IF(SUMIFS(tblDaily[Discharges],tblDaily[EntryDate],DATE(2026,10,9),tblDaily[WardCode],"MAE")=0,"",SUMIFS(tblDaily[Discharges],tblDaily[EntryDate],DATE(2026,10,9),tblDaily[WardCode],"MAE")),"")</f>
        <v/>
      </c>
      <c r="D376" s="39" t="str">
        <f>IFERROR(IF(SUMIFS(tblDaily[Deaths],tblDaily[EntryDate],DATE(2026,10,9),tblDaily[WardCode],"MAE")=0,"",SUMIFS(tblDaily[Deaths],tblDaily[EntryDate],DATE(2026,10,9),tblDaily[WardCode],"MAE")),"")</f>
        <v/>
      </c>
      <c r="E376" s="39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39" t="str">
        <f>IFERROR(IF(SUMIFS(tblDaily[TransfersIn],tblDaily[EntryDate],DATE(2026,10,9),tblDaily[WardCode],"MAE")=0,"",SUMIFS(tblDaily[TransfersIn],tblDaily[EntryDate],DATE(2026,10,9),tblDaily[WardCode],"MAE")),"")</f>
        <v/>
      </c>
      <c r="G376" s="39" t="str">
        <f>IFERROR(IF(SUMIFS(tblDaily[TransfersOut],tblDaily[EntryDate],DATE(2026,10,9),tblDaily[WardCode],"MAE")=0,"",SUMIFS(tblDaily[TransfersOut],tblDaily[EntryDate],DATE(2026,10,9),tblDaily[WardCode],"MAE")),"")</f>
        <v/>
      </c>
      <c r="H376" s="39" t="str">
        <f>IFERROR(IF(SUMIFS(tblDaily[Remaining],tblDaily[EntryDate],DATE(2026,10,9),tblDaily[WardCode],"MAE")=0,"",SUMIFS(tblDaily[Remaining],tblDaily[EntryDate],DATE(2026,10,9),tblDaily[WardCode],"MAE")),"")</f>
        <v/>
      </c>
      <c r="I376" s="39" t="str">
        <f>IFERROR(IF(SUMIFS(tblDaily[Admissions],tblDaily[EntryDate],DATE(2026,10,9),tblDaily[WardCode],"FAE")=0,"",SUMIFS(tblDaily[Admissions],tblDaily[EntryDate],DATE(2026,10,9),tblDaily[WardCode],"FAE")),"")</f>
        <v/>
      </c>
      <c r="J376" s="39" t="str">
        <f>IFERROR(IF(SUMIFS(tblDaily[Discharges],tblDaily[EntryDate],DATE(2026,10,9),tblDaily[WardCode],"FAE")=0,"",SUMIFS(tblDaily[Discharges],tblDaily[EntryDate],DATE(2026,10,9),tblDaily[WardCode],"FAE")),"")</f>
        <v/>
      </c>
      <c r="K376" s="39" t="str">
        <f>IFERROR(IF(SUMIFS(tblDaily[Deaths],tblDaily[EntryDate],DATE(2026,10,9),tblDaily[WardCode],"FAE")=0,"",SUMIFS(tblDaily[Deaths],tblDaily[EntryDate],DATE(2026,10,9),tblDaily[WardCode],"FAE")),"")</f>
        <v/>
      </c>
      <c r="L376" s="39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39" t="str">
        <f>IFERROR(IF(SUMIFS(tblDaily[TransfersIn],tblDaily[EntryDate],DATE(2026,10,9),tblDaily[WardCode],"FAE")=0,"",SUMIFS(tblDaily[TransfersIn],tblDaily[EntryDate],DATE(2026,10,9),tblDaily[WardCode],"FAE")),"")</f>
        <v/>
      </c>
      <c r="N376" s="39" t="str">
        <f>IFERROR(IF(SUMIFS(tblDaily[TransfersOut],tblDaily[EntryDate],DATE(2026,10,9),tblDaily[WardCode],"FAE")=0,"",SUMIFS(tblDaily[TransfersOut],tblDaily[EntryDate],DATE(2026,10,9),tblDaily[WardCode],"FAE")),"")</f>
        <v/>
      </c>
      <c r="O376" s="39" t="str">
        <f>IFERROR(IF(SUMIFS(tblDaily[Remaining],tblDaily[EntryDate],DATE(2026,10,9),tblDaily[WardCode],"FAE")=0,"",SUMIFS(tblDaily[Remaining],tblDaily[EntryDate],DATE(2026,10,9),tblDaily[WardCode],"FAE")),"")</f>
        <v/>
      </c>
      <c r="P376" s="40" t="str">
        <f t="shared" si="9"/>
        <v/>
      </c>
    </row>
    <row r="377" spans="1:16" x14ac:dyDescent="0.25">
      <c r="A377" s="39">
        <v>10</v>
      </c>
      <c r="B377" s="39" t="str">
        <f>IFERROR(IF(SUMIFS(tblDaily[Admissions],tblDaily[EntryDate],DATE(2026,10,10),tblDaily[WardCode],"MAE")=0,"",SUMIFS(tblDaily[Admissions],tblDaily[EntryDate],DATE(2026,10,10),tblDaily[WardCode],"MAE")),"")</f>
        <v/>
      </c>
      <c r="C377" s="39" t="str">
        <f>IFERROR(IF(SUMIFS(tblDaily[Discharges],tblDaily[EntryDate],DATE(2026,10,10),tblDaily[WardCode],"MAE")=0,"",SUMIFS(tblDaily[Discharges],tblDaily[EntryDate],DATE(2026,10,10),tblDaily[WardCode],"MAE")),"")</f>
        <v/>
      </c>
      <c r="D377" s="39" t="str">
        <f>IFERROR(IF(SUMIFS(tblDaily[Deaths],tblDaily[EntryDate],DATE(2026,10,10),tblDaily[WardCode],"MAE")=0,"",SUMIFS(tblDaily[Deaths],tblDaily[EntryDate],DATE(2026,10,10),tblDaily[WardCode],"MAE")),"")</f>
        <v/>
      </c>
      <c r="E377" s="3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39" t="str">
        <f>IFERROR(IF(SUMIFS(tblDaily[TransfersIn],tblDaily[EntryDate],DATE(2026,10,10),tblDaily[WardCode],"MAE")=0,"",SUMIFS(tblDaily[TransfersIn],tblDaily[EntryDate],DATE(2026,10,10),tblDaily[WardCode],"MAE")),"")</f>
        <v/>
      </c>
      <c r="G377" s="39" t="str">
        <f>IFERROR(IF(SUMIFS(tblDaily[TransfersOut],tblDaily[EntryDate],DATE(2026,10,10),tblDaily[WardCode],"MAE")=0,"",SUMIFS(tblDaily[TransfersOut],tblDaily[EntryDate],DATE(2026,10,10),tblDaily[WardCode],"MAE")),"")</f>
        <v/>
      </c>
      <c r="H377" s="39" t="str">
        <f>IFERROR(IF(SUMIFS(tblDaily[Remaining],tblDaily[EntryDate],DATE(2026,10,10),tblDaily[WardCode],"MAE")=0,"",SUMIFS(tblDaily[Remaining],tblDaily[EntryDate],DATE(2026,10,10),tblDaily[WardCode],"MAE")),"")</f>
        <v/>
      </c>
      <c r="I377" s="39" t="str">
        <f>IFERROR(IF(SUMIFS(tblDaily[Admissions],tblDaily[EntryDate],DATE(2026,10,10),tblDaily[WardCode],"FAE")=0,"",SUMIFS(tblDaily[Admissions],tblDaily[EntryDate],DATE(2026,10,10),tblDaily[WardCode],"FAE")),"")</f>
        <v/>
      </c>
      <c r="J377" s="39" t="str">
        <f>IFERROR(IF(SUMIFS(tblDaily[Discharges],tblDaily[EntryDate],DATE(2026,10,10),tblDaily[WardCode],"FAE")=0,"",SUMIFS(tblDaily[Discharges],tblDaily[EntryDate],DATE(2026,10,10),tblDaily[WardCode],"FAE")),"")</f>
        <v/>
      </c>
      <c r="K377" s="39" t="str">
        <f>IFERROR(IF(SUMIFS(tblDaily[Deaths],tblDaily[EntryDate],DATE(2026,10,10),tblDaily[WardCode],"FAE")=0,"",SUMIFS(tblDaily[Deaths],tblDaily[EntryDate],DATE(2026,10,10),tblDaily[WardCode],"FAE")),"")</f>
        <v/>
      </c>
      <c r="L377" s="39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39" t="str">
        <f>IFERROR(IF(SUMIFS(tblDaily[TransfersIn],tblDaily[EntryDate],DATE(2026,10,10),tblDaily[WardCode],"FAE")=0,"",SUMIFS(tblDaily[TransfersIn],tblDaily[EntryDate],DATE(2026,10,10),tblDaily[WardCode],"FAE")),"")</f>
        <v/>
      </c>
      <c r="N377" s="39" t="str">
        <f>IFERROR(IF(SUMIFS(tblDaily[TransfersOut],tblDaily[EntryDate],DATE(2026,10,10),tblDaily[WardCode],"FAE")=0,"",SUMIFS(tblDaily[TransfersOut],tblDaily[EntryDate],DATE(2026,10,10),tblDaily[WardCode],"FAE")),"")</f>
        <v/>
      </c>
      <c r="O377" s="39" t="str">
        <f>IFERROR(IF(SUMIFS(tblDaily[Remaining],tblDaily[EntryDate],DATE(2026,10,10),tblDaily[WardCode],"FAE")=0,"",SUMIFS(tblDaily[Remaining],tblDaily[EntryDate],DATE(2026,10,10),tblDaily[WardCode],"FAE")),"")</f>
        <v/>
      </c>
      <c r="P377" s="40" t="str">
        <f t="shared" si="9"/>
        <v/>
      </c>
    </row>
    <row r="378" spans="1:16" x14ac:dyDescent="0.25">
      <c r="A378" s="39">
        <v>11</v>
      </c>
      <c r="B378" s="39" t="str">
        <f>IFERROR(IF(SUMIFS(tblDaily[Admissions],tblDaily[EntryDate],DATE(2026,10,11),tblDaily[WardCode],"MAE")=0,"",SUMIFS(tblDaily[Admissions],tblDaily[EntryDate],DATE(2026,10,11),tblDaily[WardCode],"MAE")),"")</f>
        <v/>
      </c>
      <c r="C378" s="39" t="str">
        <f>IFERROR(IF(SUMIFS(tblDaily[Discharges],tblDaily[EntryDate],DATE(2026,10,11),tblDaily[WardCode],"MAE")=0,"",SUMIFS(tblDaily[Discharges],tblDaily[EntryDate],DATE(2026,10,11),tblDaily[WardCode],"MAE")),"")</f>
        <v/>
      </c>
      <c r="D378" s="39" t="str">
        <f>IFERROR(IF(SUMIFS(tblDaily[Deaths],tblDaily[EntryDate],DATE(2026,10,11),tblDaily[WardCode],"MAE")=0,"",SUMIFS(tblDaily[Deaths],tblDaily[EntryDate],DATE(2026,10,11),tblDaily[WardCode],"MAE")),"")</f>
        <v/>
      </c>
      <c r="E378" s="3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39" t="str">
        <f>IFERROR(IF(SUMIFS(tblDaily[TransfersIn],tblDaily[EntryDate],DATE(2026,10,11),tblDaily[WardCode],"MAE")=0,"",SUMIFS(tblDaily[TransfersIn],tblDaily[EntryDate],DATE(2026,10,11),tblDaily[WardCode],"MAE")),"")</f>
        <v/>
      </c>
      <c r="G378" s="39" t="str">
        <f>IFERROR(IF(SUMIFS(tblDaily[TransfersOut],tblDaily[EntryDate],DATE(2026,10,11),tblDaily[WardCode],"MAE")=0,"",SUMIFS(tblDaily[TransfersOut],tblDaily[EntryDate],DATE(2026,10,11),tblDaily[WardCode],"MAE")),"")</f>
        <v/>
      </c>
      <c r="H378" s="39" t="str">
        <f>IFERROR(IF(SUMIFS(tblDaily[Remaining],tblDaily[EntryDate],DATE(2026,10,11),tblDaily[WardCode],"MAE")=0,"",SUMIFS(tblDaily[Remaining],tblDaily[EntryDate],DATE(2026,10,11),tblDaily[WardCode],"MAE")),"")</f>
        <v/>
      </c>
      <c r="I378" s="39" t="str">
        <f>IFERROR(IF(SUMIFS(tblDaily[Admissions],tblDaily[EntryDate],DATE(2026,10,11),tblDaily[WardCode],"FAE")=0,"",SUMIFS(tblDaily[Admissions],tblDaily[EntryDate],DATE(2026,10,11),tblDaily[WardCode],"FAE")),"")</f>
        <v/>
      </c>
      <c r="J378" s="39" t="str">
        <f>IFERROR(IF(SUMIFS(tblDaily[Discharges],tblDaily[EntryDate],DATE(2026,10,11),tblDaily[WardCode],"FAE")=0,"",SUMIFS(tblDaily[Discharges],tblDaily[EntryDate],DATE(2026,10,11),tblDaily[WardCode],"FAE")),"")</f>
        <v/>
      </c>
      <c r="K378" s="39" t="str">
        <f>IFERROR(IF(SUMIFS(tblDaily[Deaths],tblDaily[EntryDate],DATE(2026,10,11),tblDaily[WardCode],"FAE")=0,"",SUMIFS(tblDaily[Deaths],tblDaily[EntryDate],DATE(2026,10,11),tblDaily[WardCode],"FAE")),"")</f>
        <v/>
      </c>
      <c r="L378" s="39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39" t="str">
        <f>IFERROR(IF(SUMIFS(tblDaily[TransfersIn],tblDaily[EntryDate],DATE(2026,10,11),tblDaily[WardCode],"FAE")=0,"",SUMIFS(tblDaily[TransfersIn],tblDaily[EntryDate],DATE(2026,10,11),tblDaily[WardCode],"FAE")),"")</f>
        <v/>
      </c>
      <c r="N378" s="39" t="str">
        <f>IFERROR(IF(SUMIFS(tblDaily[TransfersOut],tblDaily[EntryDate],DATE(2026,10,11),tblDaily[WardCode],"FAE")=0,"",SUMIFS(tblDaily[TransfersOut],tblDaily[EntryDate],DATE(2026,10,11),tblDaily[WardCode],"FAE")),"")</f>
        <v/>
      </c>
      <c r="O378" s="39" t="str">
        <f>IFERROR(IF(SUMIFS(tblDaily[Remaining],tblDaily[EntryDate],DATE(2026,10,11),tblDaily[WardCode],"FAE")=0,"",SUMIFS(tblDaily[Remaining],tblDaily[EntryDate],DATE(2026,10,11),tblDaily[WardCode],"FAE")),"")</f>
        <v/>
      </c>
      <c r="P378" s="40" t="str">
        <f t="shared" si="9"/>
        <v/>
      </c>
    </row>
    <row r="379" spans="1:16" x14ac:dyDescent="0.25">
      <c r="A379" s="39">
        <v>12</v>
      </c>
      <c r="B379" s="39" t="str">
        <f>IFERROR(IF(SUMIFS(tblDaily[Admissions],tblDaily[EntryDate],DATE(2026,10,12),tblDaily[WardCode],"MAE")=0,"",SUMIFS(tblDaily[Admissions],tblDaily[EntryDate],DATE(2026,10,12),tblDaily[WardCode],"MAE")),"")</f>
        <v/>
      </c>
      <c r="C379" s="39" t="str">
        <f>IFERROR(IF(SUMIFS(tblDaily[Discharges],tblDaily[EntryDate],DATE(2026,10,12),tblDaily[WardCode],"MAE")=0,"",SUMIFS(tblDaily[Discharges],tblDaily[EntryDate],DATE(2026,10,12),tblDaily[WardCode],"MAE")),"")</f>
        <v/>
      </c>
      <c r="D379" s="39" t="str">
        <f>IFERROR(IF(SUMIFS(tblDaily[Deaths],tblDaily[EntryDate],DATE(2026,10,12),tblDaily[WardCode],"MAE")=0,"",SUMIFS(tblDaily[Deaths],tblDaily[EntryDate],DATE(2026,10,12),tblDaily[WardCode],"MAE")),"")</f>
        <v/>
      </c>
      <c r="E379" s="3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39" t="str">
        <f>IFERROR(IF(SUMIFS(tblDaily[TransfersIn],tblDaily[EntryDate],DATE(2026,10,12),tblDaily[WardCode],"MAE")=0,"",SUMIFS(tblDaily[TransfersIn],tblDaily[EntryDate],DATE(2026,10,12),tblDaily[WardCode],"MAE")),"")</f>
        <v/>
      </c>
      <c r="G379" s="39" t="str">
        <f>IFERROR(IF(SUMIFS(tblDaily[TransfersOut],tblDaily[EntryDate],DATE(2026,10,12),tblDaily[WardCode],"MAE")=0,"",SUMIFS(tblDaily[TransfersOut],tblDaily[EntryDate],DATE(2026,10,12),tblDaily[WardCode],"MAE")),"")</f>
        <v/>
      </c>
      <c r="H379" s="39" t="str">
        <f>IFERROR(IF(SUMIFS(tblDaily[Remaining],tblDaily[EntryDate],DATE(2026,10,12),tblDaily[WardCode],"MAE")=0,"",SUMIFS(tblDaily[Remaining],tblDaily[EntryDate],DATE(2026,10,12),tblDaily[WardCode],"MAE")),"")</f>
        <v/>
      </c>
      <c r="I379" s="39" t="str">
        <f>IFERROR(IF(SUMIFS(tblDaily[Admissions],tblDaily[EntryDate],DATE(2026,10,12),tblDaily[WardCode],"FAE")=0,"",SUMIFS(tblDaily[Admissions],tblDaily[EntryDate],DATE(2026,10,12),tblDaily[WardCode],"FAE")),"")</f>
        <v/>
      </c>
      <c r="J379" s="39" t="str">
        <f>IFERROR(IF(SUMIFS(tblDaily[Discharges],tblDaily[EntryDate],DATE(2026,10,12),tblDaily[WardCode],"FAE")=0,"",SUMIFS(tblDaily[Discharges],tblDaily[EntryDate],DATE(2026,10,12),tblDaily[WardCode],"FAE")),"")</f>
        <v/>
      </c>
      <c r="K379" s="39" t="str">
        <f>IFERROR(IF(SUMIFS(tblDaily[Deaths],tblDaily[EntryDate],DATE(2026,10,12),tblDaily[WardCode],"FAE")=0,"",SUMIFS(tblDaily[Deaths],tblDaily[EntryDate],DATE(2026,10,12),tblDaily[WardCode],"FAE")),"")</f>
        <v/>
      </c>
      <c r="L379" s="39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39" t="str">
        <f>IFERROR(IF(SUMIFS(tblDaily[TransfersIn],tblDaily[EntryDate],DATE(2026,10,12),tblDaily[WardCode],"FAE")=0,"",SUMIFS(tblDaily[TransfersIn],tblDaily[EntryDate],DATE(2026,10,12),tblDaily[WardCode],"FAE")),"")</f>
        <v/>
      </c>
      <c r="N379" s="39" t="str">
        <f>IFERROR(IF(SUMIFS(tblDaily[TransfersOut],tblDaily[EntryDate],DATE(2026,10,12),tblDaily[WardCode],"FAE")=0,"",SUMIFS(tblDaily[TransfersOut],tblDaily[EntryDate],DATE(2026,10,12),tblDaily[WardCode],"FAE")),"")</f>
        <v/>
      </c>
      <c r="O379" s="39" t="str">
        <f>IFERROR(IF(SUMIFS(tblDaily[Remaining],tblDaily[EntryDate],DATE(2026,10,12),tblDaily[WardCode],"FAE")=0,"",SUMIFS(tblDaily[Remaining],tblDaily[EntryDate],DATE(2026,10,12),tblDaily[WardCode],"FAE")),"")</f>
        <v/>
      </c>
      <c r="P379" s="40" t="str">
        <f t="shared" si="9"/>
        <v/>
      </c>
    </row>
    <row r="380" spans="1:16" x14ac:dyDescent="0.25">
      <c r="A380" s="39">
        <v>13</v>
      </c>
      <c r="B380" s="39" t="str">
        <f>IFERROR(IF(SUMIFS(tblDaily[Admissions],tblDaily[EntryDate],DATE(2026,10,13),tblDaily[WardCode],"MAE")=0,"",SUMIFS(tblDaily[Admissions],tblDaily[EntryDate],DATE(2026,10,13),tblDaily[WardCode],"MAE")),"")</f>
        <v/>
      </c>
      <c r="C380" s="39" t="str">
        <f>IFERROR(IF(SUMIFS(tblDaily[Discharges],tblDaily[EntryDate],DATE(2026,10,13),tblDaily[WardCode],"MAE")=0,"",SUMIFS(tblDaily[Discharges],tblDaily[EntryDate],DATE(2026,10,13),tblDaily[WardCode],"MAE")),"")</f>
        <v/>
      </c>
      <c r="D380" s="39" t="str">
        <f>IFERROR(IF(SUMIFS(tblDaily[Deaths],tblDaily[EntryDate],DATE(2026,10,13),tblDaily[WardCode],"MAE")=0,"",SUMIFS(tblDaily[Deaths],tblDaily[EntryDate],DATE(2026,10,13),tblDaily[WardCode],"MAE")),"")</f>
        <v/>
      </c>
      <c r="E380" s="3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39" t="str">
        <f>IFERROR(IF(SUMIFS(tblDaily[TransfersIn],tblDaily[EntryDate],DATE(2026,10,13),tblDaily[WardCode],"MAE")=0,"",SUMIFS(tblDaily[TransfersIn],tblDaily[EntryDate],DATE(2026,10,13),tblDaily[WardCode],"MAE")),"")</f>
        <v/>
      </c>
      <c r="G380" s="39" t="str">
        <f>IFERROR(IF(SUMIFS(tblDaily[TransfersOut],tblDaily[EntryDate],DATE(2026,10,13),tblDaily[WardCode],"MAE")=0,"",SUMIFS(tblDaily[TransfersOut],tblDaily[EntryDate],DATE(2026,10,13),tblDaily[WardCode],"MAE")),"")</f>
        <v/>
      </c>
      <c r="H380" s="39" t="str">
        <f>IFERROR(IF(SUMIFS(tblDaily[Remaining],tblDaily[EntryDate],DATE(2026,10,13),tblDaily[WardCode],"MAE")=0,"",SUMIFS(tblDaily[Remaining],tblDaily[EntryDate],DATE(2026,10,13),tblDaily[WardCode],"MAE")),"")</f>
        <v/>
      </c>
      <c r="I380" s="39" t="str">
        <f>IFERROR(IF(SUMIFS(tblDaily[Admissions],tblDaily[EntryDate],DATE(2026,10,13),tblDaily[WardCode],"FAE")=0,"",SUMIFS(tblDaily[Admissions],tblDaily[EntryDate],DATE(2026,10,13),tblDaily[WardCode],"FAE")),"")</f>
        <v/>
      </c>
      <c r="J380" s="39" t="str">
        <f>IFERROR(IF(SUMIFS(tblDaily[Discharges],tblDaily[EntryDate],DATE(2026,10,13),tblDaily[WardCode],"FAE")=0,"",SUMIFS(tblDaily[Discharges],tblDaily[EntryDate],DATE(2026,10,13),tblDaily[WardCode],"FAE")),"")</f>
        <v/>
      </c>
      <c r="K380" s="39" t="str">
        <f>IFERROR(IF(SUMIFS(tblDaily[Deaths],tblDaily[EntryDate],DATE(2026,10,13),tblDaily[WardCode],"FAE")=0,"",SUMIFS(tblDaily[Deaths],tblDaily[EntryDate],DATE(2026,10,13),tblDaily[WardCode],"FAE")),"")</f>
        <v/>
      </c>
      <c r="L380" s="39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39" t="str">
        <f>IFERROR(IF(SUMIFS(tblDaily[TransfersIn],tblDaily[EntryDate],DATE(2026,10,13),tblDaily[WardCode],"FAE")=0,"",SUMIFS(tblDaily[TransfersIn],tblDaily[EntryDate],DATE(2026,10,13),tblDaily[WardCode],"FAE")),"")</f>
        <v/>
      </c>
      <c r="N380" s="39" t="str">
        <f>IFERROR(IF(SUMIFS(tblDaily[TransfersOut],tblDaily[EntryDate],DATE(2026,10,13),tblDaily[WardCode],"FAE")=0,"",SUMIFS(tblDaily[TransfersOut],tblDaily[EntryDate],DATE(2026,10,13),tblDaily[WardCode],"FAE")),"")</f>
        <v/>
      </c>
      <c r="O380" s="39" t="str">
        <f>IFERROR(IF(SUMIFS(tblDaily[Remaining],tblDaily[EntryDate],DATE(2026,10,13),tblDaily[WardCode],"FAE")=0,"",SUMIFS(tblDaily[Remaining],tblDaily[EntryDate],DATE(2026,10,13),tblDaily[WardCode],"FAE")),"")</f>
        <v/>
      </c>
      <c r="P380" s="40" t="str">
        <f t="shared" si="9"/>
        <v/>
      </c>
    </row>
    <row r="381" spans="1:16" x14ac:dyDescent="0.25">
      <c r="A381" s="39">
        <v>14</v>
      </c>
      <c r="B381" s="39" t="str">
        <f>IFERROR(IF(SUMIFS(tblDaily[Admissions],tblDaily[EntryDate],DATE(2026,10,14),tblDaily[WardCode],"MAE")=0,"",SUMIFS(tblDaily[Admissions],tblDaily[EntryDate],DATE(2026,10,14),tblDaily[WardCode],"MAE")),"")</f>
        <v/>
      </c>
      <c r="C381" s="39" t="str">
        <f>IFERROR(IF(SUMIFS(tblDaily[Discharges],tblDaily[EntryDate],DATE(2026,10,14),tblDaily[WardCode],"MAE")=0,"",SUMIFS(tblDaily[Discharges],tblDaily[EntryDate],DATE(2026,10,14),tblDaily[WardCode],"MAE")),"")</f>
        <v/>
      </c>
      <c r="D381" s="39" t="str">
        <f>IFERROR(IF(SUMIFS(tblDaily[Deaths],tblDaily[EntryDate],DATE(2026,10,14),tblDaily[WardCode],"MAE")=0,"",SUMIFS(tblDaily[Deaths],tblDaily[EntryDate],DATE(2026,10,14),tblDaily[WardCode],"MAE")),"")</f>
        <v/>
      </c>
      <c r="E381" s="3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39" t="str">
        <f>IFERROR(IF(SUMIFS(tblDaily[TransfersIn],tblDaily[EntryDate],DATE(2026,10,14),tblDaily[WardCode],"MAE")=0,"",SUMIFS(tblDaily[TransfersIn],tblDaily[EntryDate],DATE(2026,10,14),tblDaily[WardCode],"MAE")),"")</f>
        <v/>
      </c>
      <c r="G381" s="39" t="str">
        <f>IFERROR(IF(SUMIFS(tblDaily[TransfersOut],tblDaily[EntryDate],DATE(2026,10,14),tblDaily[WardCode],"MAE")=0,"",SUMIFS(tblDaily[TransfersOut],tblDaily[EntryDate],DATE(2026,10,14),tblDaily[WardCode],"MAE")),"")</f>
        <v/>
      </c>
      <c r="H381" s="39" t="str">
        <f>IFERROR(IF(SUMIFS(tblDaily[Remaining],tblDaily[EntryDate],DATE(2026,10,14),tblDaily[WardCode],"MAE")=0,"",SUMIFS(tblDaily[Remaining],tblDaily[EntryDate],DATE(2026,10,14),tblDaily[WardCode],"MAE")),"")</f>
        <v/>
      </c>
      <c r="I381" s="39" t="str">
        <f>IFERROR(IF(SUMIFS(tblDaily[Admissions],tblDaily[EntryDate],DATE(2026,10,14),tblDaily[WardCode],"FAE")=0,"",SUMIFS(tblDaily[Admissions],tblDaily[EntryDate],DATE(2026,10,14),tblDaily[WardCode],"FAE")),"")</f>
        <v/>
      </c>
      <c r="J381" s="39" t="str">
        <f>IFERROR(IF(SUMIFS(tblDaily[Discharges],tblDaily[EntryDate],DATE(2026,10,14),tblDaily[WardCode],"FAE")=0,"",SUMIFS(tblDaily[Discharges],tblDaily[EntryDate],DATE(2026,10,14),tblDaily[WardCode],"FAE")),"")</f>
        <v/>
      </c>
      <c r="K381" s="39" t="str">
        <f>IFERROR(IF(SUMIFS(tblDaily[Deaths],tblDaily[EntryDate],DATE(2026,10,14),tblDaily[WardCode],"FAE")=0,"",SUMIFS(tblDaily[Deaths],tblDaily[EntryDate],DATE(2026,10,14),tblDaily[WardCode],"FAE")),"")</f>
        <v/>
      </c>
      <c r="L381" s="39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39" t="str">
        <f>IFERROR(IF(SUMIFS(tblDaily[TransfersIn],tblDaily[EntryDate],DATE(2026,10,14),tblDaily[WardCode],"FAE")=0,"",SUMIFS(tblDaily[TransfersIn],tblDaily[EntryDate],DATE(2026,10,14),tblDaily[WardCode],"FAE")),"")</f>
        <v/>
      </c>
      <c r="N381" s="39" t="str">
        <f>IFERROR(IF(SUMIFS(tblDaily[TransfersOut],tblDaily[EntryDate],DATE(2026,10,14),tblDaily[WardCode],"FAE")=0,"",SUMIFS(tblDaily[TransfersOut],tblDaily[EntryDate],DATE(2026,10,14),tblDaily[WardCode],"FAE")),"")</f>
        <v/>
      </c>
      <c r="O381" s="39" t="str">
        <f>IFERROR(IF(SUMIFS(tblDaily[Remaining],tblDaily[EntryDate],DATE(2026,10,14),tblDaily[WardCode],"FAE")=0,"",SUMIFS(tblDaily[Remaining],tblDaily[EntryDate],DATE(2026,10,14),tblDaily[WardCode],"FAE")),"")</f>
        <v/>
      </c>
      <c r="P381" s="40" t="str">
        <f t="shared" si="9"/>
        <v/>
      </c>
    </row>
    <row r="382" spans="1:16" x14ac:dyDescent="0.25">
      <c r="A382" s="39">
        <v>15</v>
      </c>
      <c r="B382" s="39" t="str">
        <f>IFERROR(IF(SUMIFS(tblDaily[Admissions],tblDaily[EntryDate],DATE(2026,10,15),tblDaily[WardCode],"MAE")=0,"",SUMIFS(tblDaily[Admissions],tblDaily[EntryDate],DATE(2026,10,15),tblDaily[WardCode],"MAE")),"")</f>
        <v/>
      </c>
      <c r="C382" s="39" t="str">
        <f>IFERROR(IF(SUMIFS(tblDaily[Discharges],tblDaily[EntryDate],DATE(2026,10,15),tblDaily[WardCode],"MAE")=0,"",SUMIFS(tblDaily[Discharges],tblDaily[EntryDate],DATE(2026,10,15),tblDaily[WardCode],"MAE")),"")</f>
        <v/>
      </c>
      <c r="D382" s="39" t="str">
        <f>IFERROR(IF(SUMIFS(tblDaily[Deaths],tblDaily[EntryDate],DATE(2026,10,15),tblDaily[WardCode],"MAE")=0,"",SUMIFS(tblDaily[Deaths],tblDaily[EntryDate],DATE(2026,10,15),tblDaily[WardCode],"MAE")),"")</f>
        <v/>
      </c>
      <c r="E382" s="3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39" t="str">
        <f>IFERROR(IF(SUMIFS(tblDaily[TransfersIn],tblDaily[EntryDate],DATE(2026,10,15),tblDaily[WardCode],"MAE")=0,"",SUMIFS(tblDaily[TransfersIn],tblDaily[EntryDate],DATE(2026,10,15),tblDaily[WardCode],"MAE")),"")</f>
        <v/>
      </c>
      <c r="G382" s="39" t="str">
        <f>IFERROR(IF(SUMIFS(tblDaily[TransfersOut],tblDaily[EntryDate],DATE(2026,10,15),tblDaily[WardCode],"MAE")=0,"",SUMIFS(tblDaily[TransfersOut],tblDaily[EntryDate],DATE(2026,10,15),tblDaily[WardCode],"MAE")),"")</f>
        <v/>
      </c>
      <c r="H382" s="39" t="str">
        <f>IFERROR(IF(SUMIFS(tblDaily[Remaining],tblDaily[EntryDate],DATE(2026,10,15),tblDaily[WardCode],"MAE")=0,"",SUMIFS(tblDaily[Remaining],tblDaily[EntryDate],DATE(2026,10,15),tblDaily[WardCode],"MAE")),"")</f>
        <v/>
      </c>
      <c r="I382" s="39" t="str">
        <f>IFERROR(IF(SUMIFS(tblDaily[Admissions],tblDaily[EntryDate],DATE(2026,10,15),tblDaily[WardCode],"FAE")=0,"",SUMIFS(tblDaily[Admissions],tblDaily[EntryDate],DATE(2026,10,15),tblDaily[WardCode],"FAE")),"")</f>
        <v/>
      </c>
      <c r="J382" s="39" t="str">
        <f>IFERROR(IF(SUMIFS(tblDaily[Discharges],tblDaily[EntryDate],DATE(2026,10,15),tblDaily[WardCode],"FAE")=0,"",SUMIFS(tblDaily[Discharges],tblDaily[EntryDate],DATE(2026,10,15),tblDaily[WardCode],"FAE")),"")</f>
        <v/>
      </c>
      <c r="K382" s="39" t="str">
        <f>IFERROR(IF(SUMIFS(tblDaily[Deaths],tblDaily[EntryDate],DATE(2026,10,15),tblDaily[WardCode],"FAE")=0,"",SUMIFS(tblDaily[Deaths],tblDaily[EntryDate],DATE(2026,10,15),tblDaily[WardCode],"FAE")),"")</f>
        <v/>
      </c>
      <c r="L382" s="39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39" t="str">
        <f>IFERROR(IF(SUMIFS(tblDaily[TransfersIn],tblDaily[EntryDate],DATE(2026,10,15),tblDaily[WardCode],"FAE")=0,"",SUMIFS(tblDaily[TransfersIn],tblDaily[EntryDate],DATE(2026,10,15),tblDaily[WardCode],"FAE")),"")</f>
        <v/>
      </c>
      <c r="N382" s="39" t="str">
        <f>IFERROR(IF(SUMIFS(tblDaily[TransfersOut],tblDaily[EntryDate],DATE(2026,10,15),tblDaily[WardCode],"FAE")=0,"",SUMIFS(tblDaily[TransfersOut],tblDaily[EntryDate],DATE(2026,10,15),tblDaily[WardCode],"FAE")),"")</f>
        <v/>
      </c>
      <c r="O382" s="39" t="str">
        <f>IFERROR(IF(SUMIFS(tblDaily[Remaining],tblDaily[EntryDate],DATE(2026,10,15),tblDaily[WardCode],"FAE")=0,"",SUMIFS(tblDaily[Remaining],tblDaily[EntryDate],DATE(2026,10,15),tblDaily[WardCode],"FAE")),"")</f>
        <v/>
      </c>
      <c r="P382" s="40" t="str">
        <f t="shared" si="9"/>
        <v/>
      </c>
    </row>
    <row r="383" spans="1:16" x14ac:dyDescent="0.25">
      <c r="A383" s="39">
        <v>16</v>
      </c>
      <c r="B383" s="39" t="str">
        <f>IFERROR(IF(SUMIFS(tblDaily[Admissions],tblDaily[EntryDate],DATE(2026,10,16),tblDaily[WardCode],"MAE")=0,"",SUMIFS(tblDaily[Admissions],tblDaily[EntryDate],DATE(2026,10,16),tblDaily[WardCode],"MAE")),"")</f>
        <v/>
      </c>
      <c r="C383" s="39" t="str">
        <f>IFERROR(IF(SUMIFS(tblDaily[Discharges],tblDaily[EntryDate],DATE(2026,10,16),tblDaily[WardCode],"MAE")=0,"",SUMIFS(tblDaily[Discharges],tblDaily[EntryDate],DATE(2026,10,16),tblDaily[WardCode],"MAE")),"")</f>
        <v/>
      </c>
      <c r="D383" s="39" t="str">
        <f>IFERROR(IF(SUMIFS(tblDaily[Deaths],tblDaily[EntryDate],DATE(2026,10,16),tblDaily[WardCode],"MAE")=0,"",SUMIFS(tblDaily[Deaths],tblDaily[EntryDate],DATE(2026,10,16),tblDaily[WardCode],"MAE")),"")</f>
        <v/>
      </c>
      <c r="E383" s="3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39" t="str">
        <f>IFERROR(IF(SUMIFS(tblDaily[TransfersIn],tblDaily[EntryDate],DATE(2026,10,16),tblDaily[WardCode],"MAE")=0,"",SUMIFS(tblDaily[TransfersIn],tblDaily[EntryDate],DATE(2026,10,16),tblDaily[WardCode],"MAE")),"")</f>
        <v/>
      </c>
      <c r="G383" s="39" t="str">
        <f>IFERROR(IF(SUMIFS(tblDaily[TransfersOut],tblDaily[EntryDate],DATE(2026,10,16),tblDaily[WardCode],"MAE")=0,"",SUMIFS(tblDaily[TransfersOut],tblDaily[EntryDate],DATE(2026,10,16),tblDaily[WardCode],"MAE")),"")</f>
        <v/>
      </c>
      <c r="H383" s="39" t="str">
        <f>IFERROR(IF(SUMIFS(tblDaily[Remaining],tblDaily[EntryDate],DATE(2026,10,16),tblDaily[WardCode],"MAE")=0,"",SUMIFS(tblDaily[Remaining],tblDaily[EntryDate],DATE(2026,10,16),tblDaily[WardCode],"MAE")),"")</f>
        <v/>
      </c>
      <c r="I383" s="39" t="str">
        <f>IFERROR(IF(SUMIFS(tblDaily[Admissions],tblDaily[EntryDate],DATE(2026,10,16),tblDaily[WardCode],"FAE")=0,"",SUMIFS(tblDaily[Admissions],tblDaily[EntryDate],DATE(2026,10,16),tblDaily[WardCode],"FAE")),"")</f>
        <v/>
      </c>
      <c r="J383" s="39" t="str">
        <f>IFERROR(IF(SUMIFS(tblDaily[Discharges],tblDaily[EntryDate],DATE(2026,10,16),tblDaily[WardCode],"FAE")=0,"",SUMIFS(tblDaily[Discharges],tblDaily[EntryDate],DATE(2026,10,16),tblDaily[WardCode],"FAE")),"")</f>
        <v/>
      </c>
      <c r="K383" s="39" t="str">
        <f>IFERROR(IF(SUMIFS(tblDaily[Deaths],tblDaily[EntryDate],DATE(2026,10,16),tblDaily[WardCode],"FAE")=0,"",SUMIFS(tblDaily[Deaths],tblDaily[EntryDate],DATE(2026,10,16),tblDaily[WardCode],"FAE")),"")</f>
        <v/>
      </c>
      <c r="L383" s="39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39" t="str">
        <f>IFERROR(IF(SUMIFS(tblDaily[TransfersIn],tblDaily[EntryDate],DATE(2026,10,16),tblDaily[WardCode],"FAE")=0,"",SUMIFS(tblDaily[TransfersIn],tblDaily[EntryDate],DATE(2026,10,16),tblDaily[WardCode],"FAE")),"")</f>
        <v/>
      </c>
      <c r="N383" s="39" t="str">
        <f>IFERROR(IF(SUMIFS(tblDaily[TransfersOut],tblDaily[EntryDate],DATE(2026,10,16),tblDaily[WardCode],"FAE")=0,"",SUMIFS(tblDaily[TransfersOut],tblDaily[EntryDate],DATE(2026,10,16),tblDaily[WardCode],"FAE")),"")</f>
        <v/>
      </c>
      <c r="O383" s="39" t="str">
        <f>IFERROR(IF(SUMIFS(tblDaily[Remaining],tblDaily[EntryDate],DATE(2026,10,16),tblDaily[WardCode],"FAE")=0,"",SUMIFS(tblDaily[Remaining],tblDaily[EntryDate],DATE(2026,10,16),tblDaily[WardCode],"FAE")),"")</f>
        <v/>
      </c>
      <c r="P383" s="40" t="str">
        <f t="shared" si="9"/>
        <v/>
      </c>
    </row>
    <row r="384" spans="1:16" x14ac:dyDescent="0.25">
      <c r="A384" s="39">
        <v>17</v>
      </c>
      <c r="B384" s="39" t="str">
        <f>IFERROR(IF(SUMIFS(tblDaily[Admissions],tblDaily[EntryDate],DATE(2026,10,17),tblDaily[WardCode],"MAE")=0,"",SUMIFS(tblDaily[Admissions],tblDaily[EntryDate],DATE(2026,10,17),tblDaily[WardCode],"MAE")),"")</f>
        <v/>
      </c>
      <c r="C384" s="39" t="str">
        <f>IFERROR(IF(SUMIFS(tblDaily[Discharges],tblDaily[EntryDate],DATE(2026,10,17),tblDaily[WardCode],"MAE")=0,"",SUMIFS(tblDaily[Discharges],tblDaily[EntryDate],DATE(2026,10,17),tblDaily[WardCode],"MAE")),"")</f>
        <v/>
      </c>
      <c r="D384" s="39" t="str">
        <f>IFERROR(IF(SUMIFS(tblDaily[Deaths],tblDaily[EntryDate],DATE(2026,10,17),tblDaily[WardCode],"MAE")=0,"",SUMIFS(tblDaily[Deaths],tblDaily[EntryDate],DATE(2026,10,17),tblDaily[WardCode],"MAE")),"")</f>
        <v/>
      </c>
      <c r="E384" s="3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39" t="str">
        <f>IFERROR(IF(SUMIFS(tblDaily[TransfersIn],tblDaily[EntryDate],DATE(2026,10,17),tblDaily[WardCode],"MAE")=0,"",SUMIFS(tblDaily[TransfersIn],tblDaily[EntryDate],DATE(2026,10,17),tblDaily[WardCode],"MAE")),"")</f>
        <v/>
      </c>
      <c r="G384" s="39" t="str">
        <f>IFERROR(IF(SUMIFS(tblDaily[TransfersOut],tblDaily[EntryDate],DATE(2026,10,17),tblDaily[WardCode],"MAE")=0,"",SUMIFS(tblDaily[TransfersOut],tblDaily[EntryDate],DATE(2026,10,17),tblDaily[WardCode],"MAE")),"")</f>
        <v/>
      </c>
      <c r="H384" s="39" t="str">
        <f>IFERROR(IF(SUMIFS(tblDaily[Remaining],tblDaily[EntryDate],DATE(2026,10,17),tblDaily[WardCode],"MAE")=0,"",SUMIFS(tblDaily[Remaining],tblDaily[EntryDate],DATE(2026,10,17),tblDaily[WardCode],"MAE")),"")</f>
        <v/>
      </c>
      <c r="I384" s="39" t="str">
        <f>IFERROR(IF(SUMIFS(tblDaily[Admissions],tblDaily[EntryDate],DATE(2026,10,17),tblDaily[WardCode],"FAE")=0,"",SUMIFS(tblDaily[Admissions],tblDaily[EntryDate],DATE(2026,10,17),tblDaily[WardCode],"FAE")),"")</f>
        <v/>
      </c>
      <c r="J384" s="39" t="str">
        <f>IFERROR(IF(SUMIFS(tblDaily[Discharges],tblDaily[EntryDate],DATE(2026,10,17),tblDaily[WardCode],"FAE")=0,"",SUMIFS(tblDaily[Discharges],tblDaily[EntryDate],DATE(2026,10,17),tblDaily[WardCode],"FAE")),"")</f>
        <v/>
      </c>
      <c r="K384" s="39" t="str">
        <f>IFERROR(IF(SUMIFS(tblDaily[Deaths],tblDaily[EntryDate],DATE(2026,10,17),tblDaily[WardCode],"FAE")=0,"",SUMIFS(tblDaily[Deaths],tblDaily[EntryDate],DATE(2026,10,17),tblDaily[WardCode],"FAE")),"")</f>
        <v/>
      </c>
      <c r="L384" s="39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39" t="str">
        <f>IFERROR(IF(SUMIFS(tblDaily[TransfersIn],tblDaily[EntryDate],DATE(2026,10,17),tblDaily[WardCode],"FAE")=0,"",SUMIFS(tblDaily[TransfersIn],tblDaily[EntryDate],DATE(2026,10,17),tblDaily[WardCode],"FAE")),"")</f>
        <v/>
      </c>
      <c r="N384" s="39" t="str">
        <f>IFERROR(IF(SUMIFS(tblDaily[TransfersOut],tblDaily[EntryDate],DATE(2026,10,17),tblDaily[WardCode],"FAE")=0,"",SUMIFS(tblDaily[TransfersOut],tblDaily[EntryDate],DATE(2026,10,17),tblDaily[WardCode],"FAE")),"")</f>
        <v/>
      </c>
      <c r="O384" s="39" t="str">
        <f>IFERROR(IF(SUMIFS(tblDaily[Remaining],tblDaily[EntryDate],DATE(2026,10,17),tblDaily[WardCode],"FAE")=0,"",SUMIFS(tblDaily[Remaining],tblDaily[EntryDate],DATE(2026,10,17),tblDaily[WardCode],"FAE")),"")</f>
        <v/>
      </c>
      <c r="P384" s="40" t="str">
        <f t="shared" si="9"/>
        <v/>
      </c>
    </row>
    <row r="385" spans="1:16" x14ac:dyDescent="0.25">
      <c r="A385" s="39">
        <v>18</v>
      </c>
      <c r="B385" s="39" t="str">
        <f>IFERROR(IF(SUMIFS(tblDaily[Admissions],tblDaily[EntryDate],DATE(2026,10,18),tblDaily[WardCode],"MAE")=0,"",SUMIFS(tblDaily[Admissions],tblDaily[EntryDate],DATE(2026,10,18),tblDaily[WardCode],"MAE")),"")</f>
        <v/>
      </c>
      <c r="C385" s="39" t="str">
        <f>IFERROR(IF(SUMIFS(tblDaily[Discharges],tblDaily[EntryDate],DATE(2026,10,18),tblDaily[WardCode],"MAE")=0,"",SUMIFS(tblDaily[Discharges],tblDaily[EntryDate],DATE(2026,10,18),tblDaily[WardCode],"MAE")),"")</f>
        <v/>
      </c>
      <c r="D385" s="39" t="str">
        <f>IFERROR(IF(SUMIFS(tblDaily[Deaths],tblDaily[EntryDate],DATE(2026,10,18),tblDaily[WardCode],"MAE")=0,"",SUMIFS(tblDaily[Deaths],tblDaily[EntryDate],DATE(2026,10,18),tblDaily[WardCode],"MAE")),"")</f>
        <v/>
      </c>
      <c r="E385" s="3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39" t="str">
        <f>IFERROR(IF(SUMIFS(tblDaily[TransfersIn],tblDaily[EntryDate],DATE(2026,10,18),tblDaily[WardCode],"MAE")=0,"",SUMIFS(tblDaily[TransfersIn],tblDaily[EntryDate],DATE(2026,10,18),tblDaily[WardCode],"MAE")),"")</f>
        <v/>
      </c>
      <c r="G385" s="39" t="str">
        <f>IFERROR(IF(SUMIFS(tblDaily[TransfersOut],tblDaily[EntryDate],DATE(2026,10,18),tblDaily[WardCode],"MAE")=0,"",SUMIFS(tblDaily[TransfersOut],tblDaily[EntryDate],DATE(2026,10,18),tblDaily[WardCode],"MAE")),"")</f>
        <v/>
      </c>
      <c r="H385" s="39" t="str">
        <f>IFERROR(IF(SUMIFS(tblDaily[Remaining],tblDaily[EntryDate],DATE(2026,10,18),tblDaily[WardCode],"MAE")=0,"",SUMIFS(tblDaily[Remaining],tblDaily[EntryDate],DATE(2026,10,18),tblDaily[WardCode],"MAE")),"")</f>
        <v/>
      </c>
      <c r="I385" s="39" t="str">
        <f>IFERROR(IF(SUMIFS(tblDaily[Admissions],tblDaily[EntryDate],DATE(2026,10,18),tblDaily[WardCode],"FAE")=0,"",SUMIFS(tblDaily[Admissions],tblDaily[EntryDate],DATE(2026,10,18),tblDaily[WardCode],"FAE")),"")</f>
        <v/>
      </c>
      <c r="J385" s="39" t="str">
        <f>IFERROR(IF(SUMIFS(tblDaily[Discharges],tblDaily[EntryDate],DATE(2026,10,18),tblDaily[WardCode],"FAE")=0,"",SUMIFS(tblDaily[Discharges],tblDaily[EntryDate],DATE(2026,10,18),tblDaily[WardCode],"FAE")),"")</f>
        <v/>
      </c>
      <c r="K385" s="39" t="str">
        <f>IFERROR(IF(SUMIFS(tblDaily[Deaths],tblDaily[EntryDate],DATE(2026,10,18),tblDaily[WardCode],"FAE")=0,"",SUMIFS(tblDaily[Deaths],tblDaily[EntryDate],DATE(2026,10,18),tblDaily[WardCode],"FAE")),"")</f>
        <v/>
      </c>
      <c r="L385" s="39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39" t="str">
        <f>IFERROR(IF(SUMIFS(tblDaily[TransfersIn],tblDaily[EntryDate],DATE(2026,10,18),tblDaily[WardCode],"FAE")=0,"",SUMIFS(tblDaily[TransfersIn],tblDaily[EntryDate],DATE(2026,10,18),tblDaily[WardCode],"FAE")),"")</f>
        <v/>
      </c>
      <c r="N385" s="39" t="str">
        <f>IFERROR(IF(SUMIFS(tblDaily[TransfersOut],tblDaily[EntryDate],DATE(2026,10,18),tblDaily[WardCode],"FAE")=0,"",SUMIFS(tblDaily[TransfersOut],tblDaily[EntryDate],DATE(2026,10,18),tblDaily[WardCode],"FAE")),"")</f>
        <v/>
      </c>
      <c r="O385" s="39" t="str">
        <f>IFERROR(IF(SUMIFS(tblDaily[Remaining],tblDaily[EntryDate],DATE(2026,10,18),tblDaily[WardCode],"FAE")=0,"",SUMIFS(tblDaily[Remaining],tblDaily[EntryDate],DATE(2026,10,18),tblDaily[WardCode],"FAE")),"")</f>
        <v/>
      </c>
      <c r="P385" s="40" t="str">
        <f t="shared" si="9"/>
        <v/>
      </c>
    </row>
    <row r="386" spans="1:16" x14ac:dyDescent="0.25">
      <c r="A386" s="39">
        <v>19</v>
      </c>
      <c r="B386" s="39" t="str">
        <f>IFERROR(IF(SUMIFS(tblDaily[Admissions],tblDaily[EntryDate],DATE(2026,10,19),tblDaily[WardCode],"MAE")=0,"",SUMIFS(tblDaily[Admissions],tblDaily[EntryDate],DATE(2026,10,19),tblDaily[WardCode],"MAE")),"")</f>
        <v/>
      </c>
      <c r="C386" s="39" t="str">
        <f>IFERROR(IF(SUMIFS(tblDaily[Discharges],tblDaily[EntryDate],DATE(2026,10,19),tblDaily[WardCode],"MAE")=0,"",SUMIFS(tblDaily[Discharges],tblDaily[EntryDate],DATE(2026,10,19),tblDaily[WardCode],"MAE")),"")</f>
        <v/>
      </c>
      <c r="D386" s="39" t="str">
        <f>IFERROR(IF(SUMIFS(tblDaily[Deaths],tblDaily[EntryDate],DATE(2026,10,19),tblDaily[WardCode],"MAE")=0,"",SUMIFS(tblDaily[Deaths],tblDaily[EntryDate],DATE(2026,10,19),tblDaily[WardCode],"MAE")),"")</f>
        <v/>
      </c>
      <c r="E386" s="3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39" t="str">
        <f>IFERROR(IF(SUMIFS(tblDaily[TransfersIn],tblDaily[EntryDate],DATE(2026,10,19),tblDaily[WardCode],"MAE")=0,"",SUMIFS(tblDaily[TransfersIn],tblDaily[EntryDate],DATE(2026,10,19),tblDaily[WardCode],"MAE")),"")</f>
        <v/>
      </c>
      <c r="G386" s="39" t="str">
        <f>IFERROR(IF(SUMIFS(tblDaily[TransfersOut],tblDaily[EntryDate],DATE(2026,10,19),tblDaily[WardCode],"MAE")=0,"",SUMIFS(tblDaily[TransfersOut],tblDaily[EntryDate],DATE(2026,10,19),tblDaily[WardCode],"MAE")),"")</f>
        <v/>
      </c>
      <c r="H386" s="39" t="str">
        <f>IFERROR(IF(SUMIFS(tblDaily[Remaining],tblDaily[EntryDate],DATE(2026,10,19),tblDaily[WardCode],"MAE")=0,"",SUMIFS(tblDaily[Remaining],tblDaily[EntryDate],DATE(2026,10,19),tblDaily[WardCode],"MAE")),"")</f>
        <v/>
      </c>
      <c r="I386" s="39" t="str">
        <f>IFERROR(IF(SUMIFS(tblDaily[Admissions],tblDaily[EntryDate],DATE(2026,10,19),tblDaily[WardCode],"FAE")=0,"",SUMIFS(tblDaily[Admissions],tblDaily[EntryDate],DATE(2026,10,19),tblDaily[WardCode],"FAE")),"")</f>
        <v/>
      </c>
      <c r="J386" s="39" t="str">
        <f>IFERROR(IF(SUMIFS(tblDaily[Discharges],tblDaily[EntryDate],DATE(2026,10,19),tblDaily[WardCode],"FAE")=0,"",SUMIFS(tblDaily[Discharges],tblDaily[EntryDate],DATE(2026,10,19),tblDaily[WardCode],"FAE")),"")</f>
        <v/>
      </c>
      <c r="K386" s="39" t="str">
        <f>IFERROR(IF(SUMIFS(tblDaily[Deaths],tblDaily[EntryDate],DATE(2026,10,19),tblDaily[WardCode],"FAE")=0,"",SUMIFS(tblDaily[Deaths],tblDaily[EntryDate],DATE(2026,10,19),tblDaily[WardCode],"FAE")),"")</f>
        <v/>
      </c>
      <c r="L386" s="39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39" t="str">
        <f>IFERROR(IF(SUMIFS(tblDaily[TransfersIn],tblDaily[EntryDate],DATE(2026,10,19),tblDaily[WardCode],"FAE")=0,"",SUMIFS(tblDaily[TransfersIn],tblDaily[EntryDate],DATE(2026,10,19),tblDaily[WardCode],"FAE")),"")</f>
        <v/>
      </c>
      <c r="N386" s="39" t="str">
        <f>IFERROR(IF(SUMIFS(tblDaily[TransfersOut],tblDaily[EntryDate],DATE(2026,10,19),tblDaily[WardCode],"FAE")=0,"",SUMIFS(tblDaily[TransfersOut],tblDaily[EntryDate],DATE(2026,10,19),tblDaily[WardCode],"FAE")),"")</f>
        <v/>
      </c>
      <c r="O386" s="39" t="str">
        <f>IFERROR(IF(SUMIFS(tblDaily[Remaining],tblDaily[EntryDate],DATE(2026,10,19),tblDaily[WardCode],"FAE")=0,"",SUMIFS(tblDaily[Remaining],tblDaily[EntryDate],DATE(2026,10,19),tblDaily[WardCode],"FAE")),"")</f>
        <v/>
      </c>
      <c r="P386" s="40" t="str">
        <f t="shared" si="9"/>
        <v/>
      </c>
    </row>
    <row r="387" spans="1:16" x14ac:dyDescent="0.25">
      <c r="A387" s="39">
        <v>20</v>
      </c>
      <c r="B387" s="39" t="str">
        <f>IFERROR(IF(SUMIFS(tblDaily[Admissions],tblDaily[EntryDate],DATE(2026,10,20),tblDaily[WardCode],"MAE")=0,"",SUMIFS(tblDaily[Admissions],tblDaily[EntryDate],DATE(2026,10,20),tblDaily[WardCode],"MAE")),"")</f>
        <v/>
      </c>
      <c r="C387" s="39" t="str">
        <f>IFERROR(IF(SUMIFS(tblDaily[Discharges],tblDaily[EntryDate],DATE(2026,10,20),tblDaily[WardCode],"MAE")=0,"",SUMIFS(tblDaily[Discharges],tblDaily[EntryDate],DATE(2026,10,20),tblDaily[WardCode],"MAE")),"")</f>
        <v/>
      </c>
      <c r="D387" s="39" t="str">
        <f>IFERROR(IF(SUMIFS(tblDaily[Deaths],tblDaily[EntryDate],DATE(2026,10,20),tblDaily[WardCode],"MAE")=0,"",SUMIFS(tblDaily[Deaths],tblDaily[EntryDate],DATE(2026,10,20),tblDaily[WardCode],"MAE")),"")</f>
        <v/>
      </c>
      <c r="E387" s="3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39" t="str">
        <f>IFERROR(IF(SUMIFS(tblDaily[TransfersIn],tblDaily[EntryDate],DATE(2026,10,20),tblDaily[WardCode],"MAE")=0,"",SUMIFS(tblDaily[TransfersIn],tblDaily[EntryDate],DATE(2026,10,20),tblDaily[WardCode],"MAE")),"")</f>
        <v/>
      </c>
      <c r="G387" s="39" t="str">
        <f>IFERROR(IF(SUMIFS(tblDaily[TransfersOut],tblDaily[EntryDate],DATE(2026,10,20),tblDaily[WardCode],"MAE")=0,"",SUMIFS(tblDaily[TransfersOut],tblDaily[EntryDate],DATE(2026,10,20),tblDaily[WardCode],"MAE")),"")</f>
        <v/>
      </c>
      <c r="H387" s="39" t="str">
        <f>IFERROR(IF(SUMIFS(tblDaily[Remaining],tblDaily[EntryDate],DATE(2026,10,20),tblDaily[WardCode],"MAE")=0,"",SUMIFS(tblDaily[Remaining],tblDaily[EntryDate],DATE(2026,10,20),tblDaily[WardCode],"MAE")),"")</f>
        <v/>
      </c>
      <c r="I387" s="39" t="str">
        <f>IFERROR(IF(SUMIFS(tblDaily[Admissions],tblDaily[EntryDate],DATE(2026,10,20),tblDaily[WardCode],"FAE")=0,"",SUMIFS(tblDaily[Admissions],tblDaily[EntryDate],DATE(2026,10,20),tblDaily[WardCode],"FAE")),"")</f>
        <v/>
      </c>
      <c r="J387" s="39" t="str">
        <f>IFERROR(IF(SUMIFS(tblDaily[Discharges],tblDaily[EntryDate],DATE(2026,10,20),tblDaily[WardCode],"FAE")=0,"",SUMIFS(tblDaily[Discharges],tblDaily[EntryDate],DATE(2026,10,20),tblDaily[WardCode],"FAE")),"")</f>
        <v/>
      </c>
      <c r="K387" s="39" t="str">
        <f>IFERROR(IF(SUMIFS(tblDaily[Deaths],tblDaily[EntryDate],DATE(2026,10,20),tblDaily[WardCode],"FAE")=0,"",SUMIFS(tblDaily[Deaths],tblDaily[EntryDate],DATE(2026,10,20),tblDaily[WardCode],"FAE")),"")</f>
        <v/>
      </c>
      <c r="L387" s="39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39" t="str">
        <f>IFERROR(IF(SUMIFS(tblDaily[TransfersIn],tblDaily[EntryDate],DATE(2026,10,20),tblDaily[WardCode],"FAE")=0,"",SUMIFS(tblDaily[TransfersIn],tblDaily[EntryDate],DATE(2026,10,20),tblDaily[WardCode],"FAE")),"")</f>
        <v/>
      </c>
      <c r="N387" s="39" t="str">
        <f>IFERROR(IF(SUMIFS(tblDaily[TransfersOut],tblDaily[EntryDate],DATE(2026,10,20),tblDaily[WardCode],"FAE")=0,"",SUMIFS(tblDaily[TransfersOut],tblDaily[EntryDate],DATE(2026,10,20),tblDaily[WardCode],"FAE")),"")</f>
        <v/>
      </c>
      <c r="O387" s="39" t="str">
        <f>IFERROR(IF(SUMIFS(tblDaily[Remaining],tblDaily[EntryDate],DATE(2026,10,20),tblDaily[WardCode],"FAE")=0,"",SUMIFS(tblDaily[Remaining],tblDaily[EntryDate],DATE(2026,10,20),tblDaily[WardCode],"FAE")),"")</f>
        <v/>
      </c>
      <c r="P387" s="40" t="str">
        <f t="shared" si="9"/>
        <v/>
      </c>
    </row>
    <row r="388" spans="1:16" x14ac:dyDescent="0.25">
      <c r="A388" s="39">
        <v>21</v>
      </c>
      <c r="B388" s="39" t="str">
        <f>IFERROR(IF(SUMIFS(tblDaily[Admissions],tblDaily[EntryDate],DATE(2026,10,21),tblDaily[WardCode],"MAE")=0,"",SUMIFS(tblDaily[Admissions],tblDaily[EntryDate],DATE(2026,10,21),tblDaily[WardCode],"MAE")),"")</f>
        <v/>
      </c>
      <c r="C388" s="39" t="str">
        <f>IFERROR(IF(SUMIFS(tblDaily[Discharges],tblDaily[EntryDate],DATE(2026,10,21),tblDaily[WardCode],"MAE")=0,"",SUMIFS(tblDaily[Discharges],tblDaily[EntryDate],DATE(2026,10,21),tblDaily[WardCode],"MAE")),"")</f>
        <v/>
      </c>
      <c r="D388" s="39" t="str">
        <f>IFERROR(IF(SUMIFS(tblDaily[Deaths],tblDaily[EntryDate],DATE(2026,10,21),tblDaily[WardCode],"MAE")=0,"",SUMIFS(tblDaily[Deaths],tblDaily[EntryDate],DATE(2026,10,21),tblDaily[WardCode],"MAE")),"")</f>
        <v/>
      </c>
      <c r="E388" s="3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39" t="str">
        <f>IFERROR(IF(SUMIFS(tblDaily[TransfersIn],tblDaily[EntryDate],DATE(2026,10,21),tblDaily[WardCode],"MAE")=0,"",SUMIFS(tblDaily[TransfersIn],tblDaily[EntryDate],DATE(2026,10,21),tblDaily[WardCode],"MAE")),"")</f>
        <v/>
      </c>
      <c r="G388" s="39" t="str">
        <f>IFERROR(IF(SUMIFS(tblDaily[TransfersOut],tblDaily[EntryDate],DATE(2026,10,21),tblDaily[WardCode],"MAE")=0,"",SUMIFS(tblDaily[TransfersOut],tblDaily[EntryDate],DATE(2026,10,21),tblDaily[WardCode],"MAE")),"")</f>
        <v/>
      </c>
      <c r="H388" s="39" t="str">
        <f>IFERROR(IF(SUMIFS(tblDaily[Remaining],tblDaily[EntryDate],DATE(2026,10,21),tblDaily[WardCode],"MAE")=0,"",SUMIFS(tblDaily[Remaining],tblDaily[EntryDate],DATE(2026,10,21),tblDaily[WardCode],"MAE")),"")</f>
        <v/>
      </c>
      <c r="I388" s="39" t="str">
        <f>IFERROR(IF(SUMIFS(tblDaily[Admissions],tblDaily[EntryDate],DATE(2026,10,21),tblDaily[WardCode],"FAE")=0,"",SUMIFS(tblDaily[Admissions],tblDaily[EntryDate],DATE(2026,10,21),tblDaily[WardCode],"FAE")),"")</f>
        <v/>
      </c>
      <c r="J388" s="39" t="str">
        <f>IFERROR(IF(SUMIFS(tblDaily[Discharges],tblDaily[EntryDate],DATE(2026,10,21),tblDaily[WardCode],"FAE")=0,"",SUMIFS(tblDaily[Discharges],tblDaily[EntryDate],DATE(2026,10,21),tblDaily[WardCode],"FAE")),"")</f>
        <v/>
      </c>
      <c r="K388" s="39" t="str">
        <f>IFERROR(IF(SUMIFS(tblDaily[Deaths],tblDaily[EntryDate],DATE(2026,10,21),tblDaily[WardCode],"FAE")=0,"",SUMIFS(tblDaily[Deaths],tblDaily[EntryDate],DATE(2026,10,21),tblDaily[WardCode],"FAE")),"")</f>
        <v/>
      </c>
      <c r="L388" s="39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39" t="str">
        <f>IFERROR(IF(SUMIFS(tblDaily[TransfersIn],tblDaily[EntryDate],DATE(2026,10,21),tblDaily[WardCode],"FAE")=0,"",SUMIFS(tblDaily[TransfersIn],tblDaily[EntryDate],DATE(2026,10,21),tblDaily[WardCode],"FAE")),"")</f>
        <v/>
      </c>
      <c r="N388" s="39" t="str">
        <f>IFERROR(IF(SUMIFS(tblDaily[TransfersOut],tblDaily[EntryDate],DATE(2026,10,21),tblDaily[WardCode],"FAE")=0,"",SUMIFS(tblDaily[TransfersOut],tblDaily[EntryDate],DATE(2026,10,21),tblDaily[WardCode],"FAE")),"")</f>
        <v/>
      </c>
      <c r="O388" s="39" t="str">
        <f>IFERROR(IF(SUMIFS(tblDaily[Remaining],tblDaily[EntryDate],DATE(2026,10,21),tblDaily[WardCode],"FAE")=0,"",SUMIFS(tblDaily[Remaining],tblDaily[EntryDate],DATE(2026,10,21),tblDaily[WardCode],"FAE")),"")</f>
        <v/>
      </c>
      <c r="P388" s="40" t="str">
        <f t="shared" si="9"/>
        <v/>
      </c>
    </row>
    <row r="389" spans="1:16" x14ac:dyDescent="0.25">
      <c r="A389" s="39">
        <v>22</v>
      </c>
      <c r="B389" s="39" t="str">
        <f>IFERROR(IF(SUMIFS(tblDaily[Admissions],tblDaily[EntryDate],DATE(2026,10,22),tblDaily[WardCode],"MAE")=0,"",SUMIFS(tblDaily[Admissions],tblDaily[EntryDate],DATE(2026,10,22),tblDaily[WardCode],"MAE")),"")</f>
        <v/>
      </c>
      <c r="C389" s="39" t="str">
        <f>IFERROR(IF(SUMIFS(tblDaily[Discharges],tblDaily[EntryDate],DATE(2026,10,22),tblDaily[WardCode],"MAE")=0,"",SUMIFS(tblDaily[Discharges],tblDaily[EntryDate],DATE(2026,10,22),tblDaily[WardCode],"MAE")),"")</f>
        <v/>
      </c>
      <c r="D389" s="39" t="str">
        <f>IFERROR(IF(SUMIFS(tblDaily[Deaths],tblDaily[EntryDate],DATE(2026,10,22),tblDaily[WardCode],"MAE")=0,"",SUMIFS(tblDaily[Deaths],tblDaily[EntryDate],DATE(2026,10,22),tblDaily[WardCode],"MAE")),"")</f>
        <v/>
      </c>
      <c r="E389" s="3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39" t="str">
        <f>IFERROR(IF(SUMIFS(tblDaily[TransfersIn],tblDaily[EntryDate],DATE(2026,10,22),tblDaily[WardCode],"MAE")=0,"",SUMIFS(tblDaily[TransfersIn],tblDaily[EntryDate],DATE(2026,10,22),tblDaily[WardCode],"MAE")),"")</f>
        <v/>
      </c>
      <c r="G389" s="39" t="str">
        <f>IFERROR(IF(SUMIFS(tblDaily[TransfersOut],tblDaily[EntryDate],DATE(2026,10,22),tblDaily[WardCode],"MAE")=0,"",SUMIFS(tblDaily[TransfersOut],tblDaily[EntryDate],DATE(2026,10,22),tblDaily[WardCode],"MAE")),"")</f>
        <v/>
      </c>
      <c r="H389" s="39" t="str">
        <f>IFERROR(IF(SUMIFS(tblDaily[Remaining],tblDaily[EntryDate],DATE(2026,10,22),tblDaily[WardCode],"MAE")=0,"",SUMIFS(tblDaily[Remaining],tblDaily[EntryDate],DATE(2026,10,22),tblDaily[WardCode],"MAE")),"")</f>
        <v/>
      </c>
      <c r="I389" s="39" t="str">
        <f>IFERROR(IF(SUMIFS(tblDaily[Admissions],tblDaily[EntryDate],DATE(2026,10,22),tblDaily[WardCode],"FAE")=0,"",SUMIFS(tblDaily[Admissions],tblDaily[EntryDate],DATE(2026,10,22),tblDaily[WardCode],"FAE")),"")</f>
        <v/>
      </c>
      <c r="J389" s="39" t="str">
        <f>IFERROR(IF(SUMIFS(tblDaily[Discharges],tblDaily[EntryDate],DATE(2026,10,22),tblDaily[WardCode],"FAE")=0,"",SUMIFS(tblDaily[Discharges],tblDaily[EntryDate],DATE(2026,10,22),tblDaily[WardCode],"FAE")),"")</f>
        <v/>
      </c>
      <c r="K389" s="39" t="str">
        <f>IFERROR(IF(SUMIFS(tblDaily[Deaths],tblDaily[EntryDate],DATE(2026,10,22),tblDaily[WardCode],"FAE")=0,"",SUMIFS(tblDaily[Deaths],tblDaily[EntryDate],DATE(2026,10,22),tblDaily[WardCode],"FAE")),"")</f>
        <v/>
      </c>
      <c r="L389" s="39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39" t="str">
        <f>IFERROR(IF(SUMIFS(tblDaily[TransfersIn],tblDaily[EntryDate],DATE(2026,10,22),tblDaily[WardCode],"FAE")=0,"",SUMIFS(tblDaily[TransfersIn],tblDaily[EntryDate],DATE(2026,10,22),tblDaily[WardCode],"FAE")),"")</f>
        <v/>
      </c>
      <c r="N389" s="39" t="str">
        <f>IFERROR(IF(SUMIFS(tblDaily[TransfersOut],tblDaily[EntryDate],DATE(2026,10,22),tblDaily[WardCode],"FAE")=0,"",SUMIFS(tblDaily[TransfersOut],tblDaily[EntryDate],DATE(2026,10,22),tblDaily[WardCode],"FAE")),"")</f>
        <v/>
      </c>
      <c r="O389" s="39" t="str">
        <f>IFERROR(IF(SUMIFS(tblDaily[Remaining],tblDaily[EntryDate],DATE(2026,10,22),tblDaily[WardCode],"FAE")=0,"",SUMIFS(tblDaily[Remaining],tblDaily[EntryDate],DATE(2026,10,22),tblDaily[WardCode],"FAE")),"")</f>
        <v/>
      </c>
      <c r="P389" s="40" t="str">
        <f t="shared" si="9"/>
        <v/>
      </c>
    </row>
    <row r="390" spans="1:16" x14ac:dyDescent="0.25">
      <c r="A390" s="39">
        <v>23</v>
      </c>
      <c r="B390" s="39" t="str">
        <f>IFERROR(IF(SUMIFS(tblDaily[Admissions],tblDaily[EntryDate],DATE(2026,10,23),tblDaily[WardCode],"MAE")=0,"",SUMIFS(tblDaily[Admissions],tblDaily[EntryDate],DATE(2026,10,23),tblDaily[WardCode],"MAE")),"")</f>
        <v/>
      </c>
      <c r="C390" s="39" t="str">
        <f>IFERROR(IF(SUMIFS(tblDaily[Discharges],tblDaily[EntryDate],DATE(2026,10,23),tblDaily[WardCode],"MAE")=0,"",SUMIFS(tblDaily[Discharges],tblDaily[EntryDate],DATE(2026,10,23),tblDaily[WardCode],"MAE")),"")</f>
        <v/>
      </c>
      <c r="D390" s="39" t="str">
        <f>IFERROR(IF(SUMIFS(tblDaily[Deaths],tblDaily[EntryDate],DATE(2026,10,23),tblDaily[WardCode],"MAE")=0,"",SUMIFS(tblDaily[Deaths],tblDaily[EntryDate],DATE(2026,10,23),tblDaily[WardCode],"MAE")),"")</f>
        <v/>
      </c>
      <c r="E390" s="3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39" t="str">
        <f>IFERROR(IF(SUMIFS(tblDaily[TransfersIn],tblDaily[EntryDate],DATE(2026,10,23),tblDaily[WardCode],"MAE")=0,"",SUMIFS(tblDaily[TransfersIn],tblDaily[EntryDate],DATE(2026,10,23),tblDaily[WardCode],"MAE")),"")</f>
        <v/>
      </c>
      <c r="G390" s="39" t="str">
        <f>IFERROR(IF(SUMIFS(tblDaily[TransfersOut],tblDaily[EntryDate],DATE(2026,10,23),tblDaily[WardCode],"MAE")=0,"",SUMIFS(tblDaily[TransfersOut],tblDaily[EntryDate],DATE(2026,10,23),tblDaily[WardCode],"MAE")),"")</f>
        <v/>
      </c>
      <c r="H390" s="39" t="str">
        <f>IFERROR(IF(SUMIFS(tblDaily[Remaining],tblDaily[EntryDate],DATE(2026,10,23),tblDaily[WardCode],"MAE")=0,"",SUMIFS(tblDaily[Remaining],tblDaily[EntryDate],DATE(2026,10,23),tblDaily[WardCode],"MAE")),"")</f>
        <v/>
      </c>
      <c r="I390" s="39" t="str">
        <f>IFERROR(IF(SUMIFS(tblDaily[Admissions],tblDaily[EntryDate],DATE(2026,10,23),tblDaily[WardCode],"FAE")=0,"",SUMIFS(tblDaily[Admissions],tblDaily[EntryDate],DATE(2026,10,23),tblDaily[WardCode],"FAE")),"")</f>
        <v/>
      </c>
      <c r="J390" s="39" t="str">
        <f>IFERROR(IF(SUMIFS(tblDaily[Discharges],tblDaily[EntryDate],DATE(2026,10,23),tblDaily[WardCode],"FAE")=0,"",SUMIFS(tblDaily[Discharges],tblDaily[EntryDate],DATE(2026,10,23),tblDaily[WardCode],"FAE")),"")</f>
        <v/>
      </c>
      <c r="K390" s="39" t="str">
        <f>IFERROR(IF(SUMIFS(tblDaily[Deaths],tblDaily[EntryDate],DATE(2026,10,23),tblDaily[WardCode],"FAE")=0,"",SUMIFS(tblDaily[Deaths],tblDaily[EntryDate],DATE(2026,10,23),tblDaily[WardCode],"FAE")),"")</f>
        <v/>
      </c>
      <c r="L390" s="39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39" t="str">
        <f>IFERROR(IF(SUMIFS(tblDaily[TransfersIn],tblDaily[EntryDate],DATE(2026,10,23),tblDaily[WardCode],"FAE")=0,"",SUMIFS(tblDaily[TransfersIn],tblDaily[EntryDate],DATE(2026,10,23),tblDaily[WardCode],"FAE")),"")</f>
        <v/>
      </c>
      <c r="N390" s="39" t="str">
        <f>IFERROR(IF(SUMIFS(tblDaily[TransfersOut],tblDaily[EntryDate],DATE(2026,10,23),tblDaily[WardCode],"FAE")=0,"",SUMIFS(tblDaily[TransfersOut],tblDaily[EntryDate],DATE(2026,10,23),tblDaily[WardCode],"FAE")),"")</f>
        <v/>
      </c>
      <c r="O390" s="39" t="str">
        <f>IFERROR(IF(SUMIFS(tblDaily[Remaining],tblDaily[EntryDate],DATE(2026,10,23),tblDaily[WardCode],"FAE")=0,"",SUMIFS(tblDaily[Remaining],tblDaily[EntryDate],DATE(2026,10,23),tblDaily[WardCode],"FAE")),"")</f>
        <v/>
      </c>
      <c r="P390" s="40" t="str">
        <f t="shared" si="9"/>
        <v/>
      </c>
    </row>
    <row r="391" spans="1:16" x14ac:dyDescent="0.25">
      <c r="A391" s="39">
        <v>24</v>
      </c>
      <c r="B391" s="39" t="str">
        <f>IFERROR(IF(SUMIFS(tblDaily[Admissions],tblDaily[EntryDate],DATE(2026,10,24),tblDaily[WardCode],"MAE")=0,"",SUMIFS(tblDaily[Admissions],tblDaily[EntryDate],DATE(2026,10,24),tblDaily[WardCode],"MAE")),"")</f>
        <v/>
      </c>
      <c r="C391" s="39" t="str">
        <f>IFERROR(IF(SUMIFS(tblDaily[Discharges],tblDaily[EntryDate],DATE(2026,10,24),tblDaily[WardCode],"MAE")=0,"",SUMIFS(tblDaily[Discharges],tblDaily[EntryDate],DATE(2026,10,24),tblDaily[WardCode],"MAE")),"")</f>
        <v/>
      </c>
      <c r="D391" s="39" t="str">
        <f>IFERROR(IF(SUMIFS(tblDaily[Deaths],tblDaily[EntryDate],DATE(2026,10,24),tblDaily[WardCode],"MAE")=0,"",SUMIFS(tblDaily[Deaths],tblDaily[EntryDate],DATE(2026,10,24),tblDaily[WardCode],"MAE")),"")</f>
        <v/>
      </c>
      <c r="E391" s="3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39" t="str">
        <f>IFERROR(IF(SUMIFS(tblDaily[TransfersIn],tblDaily[EntryDate],DATE(2026,10,24),tblDaily[WardCode],"MAE")=0,"",SUMIFS(tblDaily[TransfersIn],tblDaily[EntryDate],DATE(2026,10,24),tblDaily[WardCode],"MAE")),"")</f>
        <v/>
      </c>
      <c r="G391" s="39" t="str">
        <f>IFERROR(IF(SUMIFS(tblDaily[TransfersOut],tblDaily[EntryDate],DATE(2026,10,24),tblDaily[WardCode],"MAE")=0,"",SUMIFS(tblDaily[TransfersOut],tblDaily[EntryDate],DATE(2026,10,24),tblDaily[WardCode],"MAE")),"")</f>
        <v/>
      </c>
      <c r="H391" s="39" t="str">
        <f>IFERROR(IF(SUMIFS(tblDaily[Remaining],tblDaily[EntryDate],DATE(2026,10,24),tblDaily[WardCode],"MAE")=0,"",SUMIFS(tblDaily[Remaining],tblDaily[EntryDate],DATE(2026,10,24),tblDaily[WardCode],"MAE")),"")</f>
        <v/>
      </c>
      <c r="I391" s="39" t="str">
        <f>IFERROR(IF(SUMIFS(tblDaily[Admissions],tblDaily[EntryDate],DATE(2026,10,24),tblDaily[WardCode],"FAE")=0,"",SUMIFS(tblDaily[Admissions],tblDaily[EntryDate],DATE(2026,10,24),tblDaily[WardCode],"FAE")),"")</f>
        <v/>
      </c>
      <c r="J391" s="39" t="str">
        <f>IFERROR(IF(SUMIFS(tblDaily[Discharges],tblDaily[EntryDate],DATE(2026,10,24),tblDaily[WardCode],"FAE")=0,"",SUMIFS(tblDaily[Discharges],tblDaily[EntryDate],DATE(2026,10,24),tblDaily[WardCode],"FAE")),"")</f>
        <v/>
      </c>
      <c r="K391" s="39" t="str">
        <f>IFERROR(IF(SUMIFS(tblDaily[Deaths],tblDaily[EntryDate],DATE(2026,10,24),tblDaily[WardCode],"FAE")=0,"",SUMIFS(tblDaily[Deaths],tblDaily[EntryDate],DATE(2026,10,24),tblDaily[WardCode],"FAE")),"")</f>
        <v/>
      </c>
      <c r="L391" s="39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39" t="str">
        <f>IFERROR(IF(SUMIFS(tblDaily[TransfersIn],tblDaily[EntryDate],DATE(2026,10,24),tblDaily[WardCode],"FAE")=0,"",SUMIFS(tblDaily[TransfersIn],tblDaily[EntryDate],DATE(2026,10,24),tblDaily[WardCode],"FAE")),"")</f>
        <v/>
      </c>
      <c r="N391" s="39" t="str">
        <f>IFERROR(IF(SUMIFS(tblDaily[TransfersOut],tblDaily[EntryDate],DATE(2026,10,24),tblDaily[WardCode],"FAE")=0,"",SUMIFS(tblDaily[TransfersOut],tblDaily[EntryDate],DATE(2026,10,24),tblDaily[WardCode],"FAE")),"")</f>
        <v/>
      </c>
      <c r="O391" s="39" t="str">
        <f>IFERROR(IF(SUMIFS(tblDaily[Remaining],tblDaily[EntryDate],DATE(2026,10,24),tblDaily[WardCode],"FAE")=0,"",SUMIFS(tblDaily[Remaining],tblDaily[EntryDate],DATE(2026,10,24),tblDaily[WardCode],"FAE")),"")</f>
        <v/>
      </c>
      <c r="P391" s="40" t="str">
        <f t="shared" si="9"/>
        <v/>
      </c>
    </row>
    <row r="392" spans="1:16" x14ac:dyDescent="0.25">
      <c r="A392" s="39">
        <v>25</v>
      </c>
      <c r="B392" s="39" t="str">
        <f>IFERROR(IF(SUMIFS(tblDaily[Admissions],tblDaily[EntryDate],DATE(2026,10,25),tblDaily[WardCode],"MAE")=0,"",SUMIFS(tblDaily[Admissions],tblDaily[EntryDate],DATE(2026,10,25),tblDaily[WardCode],"MAE")),"")</f>
        <v/>
      </c>
      <c r="C392" s="39" t="str">
        <f>IFERROR(IF(SUMIFS(tblDaily[Discharges],tblDaily[EntryDate],DATE(2026,10,25),tblDaily[WardCode],"MAE")=0,"",SUMIFS(tblDaily[Discharges],tblDaily[EntryDate],DATE(2026,10,25),tblDaily[WardCode],"MAE")),"")</f>
        <v/>
      </c>
      <c r="D392" s="39" t="str">
        <f>IFERROR(IF(SUMIFS(tblDaily[Deaths],tblDaily[EntryDate],DATE(2026,10,25),tblDaily[WardCode],"MAE")=0,"",SUMIFS(tblDaily[Deaths],tblDaily[EntryDate],DATE(2026,10,25),tblDaily[WardCode],"MAE")),"")</f>
        <v/>
      </c>
      <c r="E392" s="3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39" t="str">
        <f>IFERROR(IF(SUMIFS(tblDaily[TransfersIn],tblDaily[EntryDate],DATE(2026,10,25),tblDaily[WardCode],"MAE")=0,"",SUMIFS(tblDaily[TransfersIn],tblDaily[EntryDate],DATE(2026,10,25),tblDaily[WardCode],"MAE")),"")</f>
        <v/>
      </c>
      <c r="G392" s="39" t="str">
        <f>IFERROR(IF(SUMIFS(tblDaily[TransfersOut],tblDaily[EntryDate],DATE(2026,10,25),tblDaily[WardCode],"MAE")=0,"",SUMIFS(tblDaily[TransfersOut],tblDaily[EntryDate],DATE(2026,10,25),tblDaily[WardCode],"MAE")),"")</f>
        <v/>
      </c>
      <c r="H392" s="39" t="str">
        <f>IFERROR(IF(SUMIFS(tblDaily[Remaining],tblDaily[EntryDate],DATE(2026,10,25),tblDaily[WardCode],"MAE")=0,"",SUMIFS(tblDaily[Remaining],tblDaily[EntryDate],DATE(2026,10,25),tblDaily[WardCode],"MAE")),"")</f>
        <v/>
      </c>
      <c r="I392" s="39" t="str">
        <f>IFERROR(IF(SUMIFS(tblDaily[Admissions],tblDaily[EntryDate],DATE(2026,10,25),tblDaily[WardCode],"FAE")=0,"",SUMIFS(tblDaily[Admissions],tblDaily[EntryDate],DATE(2026,10,25),tblDaily[WardCode],"FAE")),"")</f>
        <v/>
      </c>
      <c r="J392" s="39" t="str">
        <f>IFERROR(IF(SUMIFS(tblDaily[Discharges],tblDaily[EntryDate],DATE(2026,10,25),tblDaily[WardCode],"FAE")=0,"",SUMIFS(tblDaily[Discharges],tblDaily[EntryDate],DATE(2026,10,25),tblDaily[WardCode],"FAE")),"")</f>
        <v/>
      </c>
      <c r="K392" s="39" t="str">
        <f>IFERROR(IF(SUMIFS(tblDaily[Deaths],tblDaily[EntryDate],DATE(2026,10,25),tblDaily[WardCode],"FAE")=0,"",SUMIFS(tblDaily[Deaths],tblDaily[EntryDate],DATE(2026,10,25),tblDaily[WardCode],"FAE")),"")</f>
        <v/>
      </c>
      <c r="L392" s="39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39" t="str">
        <f>IFERROR(IF(SUMIFS(tblDaily[TransfersIn],tblDaily[EntryDate],DATE(2026,10,25),tblDaily[WardCode],"FAE")=0,"",SUMIFS(tblDaily[TransfersIn],tblDaily[EntryDate],DATE(2026,10,25),tblDaily[WardCode],"FAE")),"")</f>
        <v/>
      </c>
      <c r="N392" s="39" t="str">
        <f>IFERROR(IF(SUMIFS(tblDaily[TransfersOut],tblDaily[EntryDate],DATE(2026,10,25),tblDaily[WardCode],"FAE")=0,"",SUMIFS(tblDaily[TransfersOut],tblDaily[EntryDate],DATE(2026,10,25),tblDaily[WardCode],"FAE")),"")</f>
        <v/>
      </c>
      <c r="O392" s="39" t="str">
        <f>IFERROR(IF(SUMIFS(tblDaily[Remaining],tblDaily[EntryDate],DATE(2026,10,25),tblDaily[WardCode],"FAE")=0,"",SUMIFS(tblDaily[Remaining],tblDaily[EntryDate],DATE(2026,10,25),tblDaily[WardCode],"FAE")),"")</f>
        <v/>
      </c>
      <c r="P392" s="40" t="str">
        <f t="shared" si="9"/>
        <v/>
      </c>
    </row>
    <row r="393" spans="1:16" x14ac:dyDescent="0.25">
      <c r="A393" s="39">
        <v>26</v>
      </c>
      <c r="B393" s="39" t="str">
        <f>IFERROR(IF(SUMIFS(tblDaily[Admissions],tblDaily[EntryDate],DATE(2026,10,26),tblDaily[WardCode],"MAE")=0,"",SUMIFS(tblDaily[Admissions],tblDaily[EntryDate],DATE(2026,10,26),tblDaily[WardCode],"MAE")),"")</f>
        <v/>
      </c>
      <c r="C393" s="39" t="str">
        <f>IFERROR(IF(SUMIFS(tblDaily[Discharges],tblDaily[EntryDate],DATE(2026,10,26),tblDaily[WardCode],"MAE")=0,"",SUMIFS(tblDaily[Discharges],tblDaily[EntryDate],DATE(2026,10,26),tblDaily[WardCode],"MAE")),"")</f>
        <v/>
      </c>
      <c r="D393" s="39" t="str">
        <f>IFERROR(IF(SUMIFS(tblDaily[Deaths],tblDaily[EntryDate],DATE(2026,10,26),tblDaily[WardCode],"MAE")=0,"",SUMIFS(tblDaily[Deaths],tblDaily[EntryDate],DATE(2026,10,26),tblDaily[WardCode],"MAE")),"")</f>
        <v/>
      </c>
      <c r="E393" s="3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39" t="str">
        <f>IFERROR(IF(SUMIFS(tblDaily[TransfersIn],tblDaily[EntryDate],DATE(2026,10,26),tblDaily[WardCode],"MAE")=0,"",SUMIFS(tblDaily[TransfersIn],tblDaily[EntryDate],DATE(2026,10,26),tblDaily[WardCode],"MAE")),"")</f>
        <v/>
      </c>
      <c r="G393" s="39" t="str">
        <f>IFERROR(IF(SUMIFS(tblDaily[TransfersOut],tblDaily[EntryDate],DATE(2026,10,26),tblDaily[WardCode],"MAE")=0,"",SUMIFS(tblDaily[TransfersOut],tblDaily[EntryDate],DATE(2026,10,26),tblDaily[WardCode],"MAE")),"")</f>
        <v/>
      </c>
      <c r="H393" s="39" t="str">
        <f>IFERROR(IF(SUMIFS(tblDaily[Remaining],tblDaily[EntryDate],DATE(2026,10,26),tblDaily[WardCode],"MAE")=0,"",SUMIFS(tblDaily[Remaining],tblDaily[EntryDate],DATE(2026,10,26),tblDaily[WardCode],"MAE")),"")</f>
        <v/>
      </c>
      <c r="I393" s="39" t="str">
        <f>IFERROR(IF(SUMIFS(tblDaily[Admissions],tblDaily[EntryDate],DATE(2026,10,26),tblDaily[WardCode],"FAE")=0,"",SUMIFS(tblDaily[Admissions],tblDaily[EntryDate],DATE(2026,10,26),tblDaily[WardCode],"FAE")),"")</f>
        <v/>
      </c>
      <c r="J393" s="39" t="str">
        <f>IFERROR(IF(SUMIFS(tblDaily[Discharges],tblDaily[EntryDate],DATE(2026,10,26),tblDaily[WardCode],"FAE")=0,"",SUMIFS(tblDaily[Discharges],tblDaily[EntryDate],DATE(2026,10,26),tblDaily[WardCode],"FAE")),"")</f>
        <v/>
      </c>
      <c r="K393" s="39" t="str">
        <f>IFERROR(IF(SUMIFS(tblDaily[Deaths],tblDaily[EntryDate],DATE(2026,10,26),tblDaily[WardCode],"FAE")=0,"",SUMIFS(tblDaily[Deaths],tblDaily[EntryDate],DATE(2026,10,26),tblDaily[WardCode],"FAE")),"")</f>
        <v/>
      </c>
      <c r="L393" s="39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39" t="str">
        <f>IFERROR(IF(SUMIFS(tblDaily[TransfersIn],tblDaily[EntryDate],DATE(2026,10,26),tblDaily[WardCode],"FAE")=0,"",SUMIFS(tblDaily[TransfersIn],tblDaily[EntryDate],DATE(2026,10,26),tblDaily[WardCode],"FAE")),"")</f>
        <v/>
      </c>
      <c r="N393" s="39" t="str">
        <f>IFERROR(IF(SUMIFS(tblDaily[TransfersOut],tblDaily[EntryDate],DATE(2026,10,26),tblDaily[WardCode],"FAE")=0,"",SUMIFS(tblDaily[TransfersOut],tblDaily[EntryDate],DATE(2026,10,26),tblDaily[WardCode],"FAE")),"")</f>
        <v/>
      </c>
      <c r="O393" s="39" t="str">
        <f>IFERROR(IF(SUMIFS(tblDaily[Remaining],tblDaily[EntryDate],DATE(2026,10,26),tblDaily[WardCode],"FAE")=0,"",SUMIFS(tblDaily[Remaining],tblDaily[EntryDate],DATE(2026,10,26),tblDaily[WardCode],"FAE")),"")</f>
        <v/>
      </c>
      <c r="P393" s="40" t="str">
        <f t="shared" si="9"/>
        <v/>
      </c>
    </row>
    <row r="394" spans="1:16" x14ac:dyDescent="0.25">
      <c r="A394" s="39">
        <v>27</v>
      </c>
      <c r="B394" s="39" t="str">
        <f>IFERROR(IF(SUMIFS(tblDaily[Admissions],tblDaily[EntryDate],DATE(2026,10,27),tblDaily[WardCode],"MAE")=0,"",SUMIFS(tblDaily[Admissions],tblDaily[EntryDate],DATE(2026,10,27),tblDaily[WardCode],"MAE")),"")</f>
        <v/>
      </c>
      <c r="C394" s="39" t="str">
        <f>IFERROR(IF(SUMIFS(tblDaily[Discharges],tblDaily[EntryDate],DATE(2026,10,27),tblDaily[WardCode],"MAE")=0,"",SUMIFS(tblDaily[Discharges],tblDaily[EntryDate],DATE(2026,10,27),tblDaily[WardCode],"MAE")),"")</f>
        <v/>
      </c>
      <c r="D394" s="39" t="str">
        <f>IFERROR(IF(SUMIFS(tblDaily[Deaths],tblDaily[EntryDate],DATE(2026,10,27),tblDaily[WardCode],"MAE")=0,"",SUMIFS(tblDaily[Deaths],tblDaily[EntryDate],DATE(2026,10,27),tblDaily[WardCode],"MAE")),"")</f>
        <v/>
      </c>
      <c r="E394" s="3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39" t="str">
        <f>IFERROR(IF(SUMIFS(tblDaily[TransfersIn],tblDaily[EntryDate],DATE(2026,10,27),tblDaily[WardCode],"MAE")=0,"",SUMIFS(tblDaily[TransfersIn],tblDaily[EntryDate],DATE(2026,10,27),tblDaily[WardCode],"MAE")),"")</f>
        <v/>
      </c>
      <c r="G394" s="39" t="str">
        <f>IFERROR(IF(SUMIFS(tblDaily[TransfersOut],tblDaily[EntryDate],DATE(2026,10,27),tblDaily[WardCode],"MAE")=0,"",SUMIFS(tblDaily[TransfersOut],tblDaily[EntryDate],DATE(2026,10,27),tblDaily[WardCode],"MAE")),"")</f>
        <v/>
      </c>
      <c r="H394" s="39" t="str">
        <f>IFERROR(IF(SUMIFS(tblDaily[Remaining],tblDaily[EntryDate],DATE(2026,10,27),tblDaily[WardCode],"MAE")=0,"",SUMIFS(tblDaily[Remaining],tblDaily[EntryDate],DATE(2026,10,27),tblDaily[WardCode],"MAE")),"")</f>
        <v/>
      </c>
      <c r="I394" s="39" t="str">
        <f>IFERROR(IF(SUMIFS(tblDaily[Admissions],tblDaily[EntryDate],DATE(2026,10,27),tblDaily[WardCode],"FAE")=0,"",SUMIFS(tblDaily[Admissions],tblDaily[EntryDate],DATE(2026,10,27),tblDaily[WardCode],"FAE")),"")</f>
        <v/>
      </c>
      <c r="J394" s="39" t="str">
        <f>IFERROR(IF(SUMIFS(tblDaily[Discharges],tblDaily[EntryDate],DATE(2026,10,27),tblDaily[WardCode],"FAE")=0,"",SUMIFS(tblDaily[Discharges],tblDaily[EntryDate],DATE(2026,10,27),tblDaily[WardCode],"FAE")),"")</f>
        <v/>
      </c>
      <c r="K394" s="39" t="str">
        <f>IFERROR(IF(SUMIFS(tblDaily[Deaths],tblDaily[EntryDate],DATE(2026,10,27),tblDaily[WardCode],"FAE")=0,"",SUMIFS(tblDaily[Deaths],tblDaily[EntryDate],DATE(2026,10,27),tblDaily[WardCode],"FAE")),"")</f>
        <v/>
      </c>
      <c r="L394" s="39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39" t="str">
        <f>IFERROR(IF(SUMIFS(tblDaily[TransfersIn],tblDaily[EntryDate],DATE(2026,10,27),tblDaily[WardCode],"FAE")=0,"",SUMIFS(tblDaily[TransfersIn],tblDaily[EntryDate],DATE(2026,10,27),tblDaily[WardCode],"FAE")),"")</f>
        <v/>
      </c>
      <c r="N394" s="39" t="str">
        <f>IFERROR(IF(SUMIFS(tblDaily[TransfersOut],tblDaily[EntryDate],DATE(2026,10,27),tblDaily[WardCode],"FAE")=0,"",SUMIFS(tblDaily[TransfersOut],tblDaily[EntryDate],DATE(2026,10,27),tblDaily[WardCode],"FAE")),"")</f>
        <v/>
      </c>
      <c r="O394" s="39" t="str">
        <f>IFERROR(IF(SUMIFS(tblDaily[Remaining],tblDaily[EntryDate],DATE(2026,10,27),tblDaily[WardCode],"FAE")=0,"",SUMIFS(tblDaily[Remaining],tblDaily[EntryDate],DATE(2026,10,27),tblDaily[WardCode],"FAE")),"")</f>
        <v/>
      </c>
      <c r="P394" s="40" t="str">
        <f t="shared" si="9"/>
        <v/>
      </c>
    </row>
    <row r="395" spans="1:16" x14ac:dyDescent="0.25">
      <c r="A395" s="39">
        <v>28</v>
      </c>
      <c r="B395" s="39" t="str">
        <f>IFERROR(IF(SUMIFS(tblDaily[Admissions],tblDaily[EntryDate],DATE(2026,10,28),tblDaily[WardCode],"MAE")=0,"",SUMIFS(tblDaily[Admissions],tblDaily[EntryDate],DATE(2026,10,28),tblDaily[WardCode],"MAE")),"")</f>
        <v/>
      </c>
      <c r="C395" s="39" t="str">
        <f>IFERROR(IF(SUMIFS(tblDaily[Discharges],tblDaily[EntryDate],DATE(2026,10,28),tblDaily[WardCode],"MAE")=0,"",SUMIFS(tblDaily[Discharges],tblDaily[EntryDate],DATE(2026,10,28),tblDaily[WardCode],"MAE")),"")</f>
        <v/>
      </c>
      <c r="D395" s="39" t="str">
        <f>IFERROR(IF(SUMIFS(tblDaily[Deaths],tblDaily[EntryDate],DATE(2026,10,28),tblDaily[WardCode],"MAE")=0,"",SUMIFS(tblDaily[Deaths],tblDaily[EntryDate],DATE(2026,10,28),tblDaily[WardCode],"MAE")),"")</f>
        <v/>
      </c>
      <c r="E395" s="3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39" t="str">
        <f>IFERROR(IF(SUMIFS(tblDaily[TransfersIn],tblDaily[EntryDate],DATE(2026,10,28),tblDaily[WardCode],"MAE")=0,"",SUMIFS(tblDaily[TransfersIn],tblDaily[EntryDate],DATE(2026,10,28),tblDaily[WardCode],"MAE")),"")</f>
        <v/>
      </c>
      <c r="G395" s="39" t="str">
        <f>IFERROR(IF(SUMIFS(tblDaily[TransfersOut],tblDaily[EntryDate],DATE(2026,10,28),tblDaily[WardCode],"MAE")=0,"",SUMIFS(tblDaily[TransfersOut],tblDaily[EntryDate],DATE(2026,10,28),tblDaily[WardCode],"MAE")),"")</f>
        <v/>
      </c>
      <c r="H395" s="39" t="str">
        <f>IFERROR(IF(SUMIFS(tblDaily[Remaining],tblDaily[EntryDate],DATE(2026,10,28),tblDaily[WardCode],"MAE")=0,"",SUMIFS(tblDaily[Remaining],tblDaily[EntryDate],DATE(2026,10,28),tblDaily[WardCode],"MAE")),"")</f>
        <v/>
      </c>
      <c r="I395" s="39" t="str">
        <f>IFERROR(IF(SUMIFS(tblDaily[Admissions],tblDaily[EntryDate],DATE(2026,10,28),tblDaily[WardCode],"FAE")=0,"",SUMIFS(tblDaily[Admissions],tblDaily[EntryDate],DATE(2026,10,28),tblDaily[WardCode],"FAE")),"")</f>
        <v/>
      </c>
      <c r="J395" s="39" t="str">
        <f>IFERROR(IF(SUMIFS(tblDaily[Discharges],tblDaily[EntryDate],DATE(2026,10,28),tblDaily[WardCode],"FAE")=0,"",SUMIFS(tblDaily[Discharges],tblDaily[EntryDate],DATE(2026,10,28),tblDaily[WardCode],"FAE")),"")</f>
        <v/>
      </c>
      <c r="K395" s="39" t="str">
        <f>IFERROR(IF(SUMIFS(tblDaily[Deaths],tblDaily[EntryDate],DATE(2026,10,28),tblDaily[WardCode],"FAE")=0,"",SUMIFS(tblDaily[Deaths],tblDaily[EntryDate],DATE(2026,10,28),tblDaily[WardCode],"FAE")),"")</f>
        <v/>
      </c>
      <c r="L395" s="39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39" t="str">
        <f>IFERROR(IF(SUMIFS(tblDaily[TransfersIn],tblDaily[EntryDate],DATE(2026,10,28),tblDaily[WardCode],"FAE")=0,"",SUMIFS(tblDaily[TransfersIn],tblDaily[EntryDate],DATE(2026,10,28),tblDaily[WardCode],"FAE")),"")</f>
        <v/>
      </c>
      <c r="N395" s="39" t="str">
        <f>IFERROR(IF(SUMIFS(tblDaily[TransfersOut],tblDaily[EntryDate],DATE(2026,10,28),tblDaily[WardCode],"FAE")=0,"",SUMIFS(tblDaily[TransfersOut],tblDaily[EntryDate],DATE(2026,10,28),tblDaily[WardCode],"FAE")),"")</f>
        <v/>
      </c>
      <c r="O395" s="39" t="str">
        <f>IFERROR(IF(SUMIFS(tblDaily[Remaining],tblDaily[EntryDate],DATE(2026,10,28),tblDaily[WardCode],"FAE")=0,"",SUMIFS(tblDaily[Remaining],tblDaily[EntryDate],DATE(2026,10,28),tblDaily[WardCode],"FAE")),"")</f>
        <v/>
      </c>
      <c r="P395" s="40" t="str">
        <f t="shared" si="9"/>
        <v/>
      </c>
    </row>
    <row r="396" spans="1:16" x14ac:dyDescent="0.25">
      <c r="A396" s="39">
        <v>29</v>
      </c>
      <c r="B396" s="39" t="str">
        <f>IFERROR(IF(SUMIFS(tblDaily[Admissions],tblDaily[EntryDate],DATE(2026,10,29),tblDaily[WardCode],"MAE")=0,"",SUMIFS(tblDaily[Admissions],tblDaily[EntryDate],DATE(2026,10,29),tblDaily[WardCode],"MAE")),"")</f>
        <v/>
      </c>
      <c r="C396" s="39" t="str">
        <f>IFERROR(IF(SUMIFS(tblDaily[Discharges],tblDaily[EntryDate],DATE(2026,10,29),tblDaily[WardCode],"MAE")=0,"",SUMIFS(tblDaily[Discharges],tblDaily[EntryDate],DATE(2026,10,29),tblDaily[WardCode],"MAE")),"")</f>
        <v/>
      </c>
      <c r="D396" s="39" t="str">
        <f>IFERROR(IF(SUMIFS(tblDaily[Deaths],tblDaily[EntryDate],DATE(2026,10,29),tblDaily[WardCode],"MAE")=0,"",SUMIFS(tblDaily[Deaths],tblDaily[EntryDate],DATE(2026,10,29),tblDaily[WardCode],"MAE")),"")</f>
        <v/>
      </c>
      <c r="E396" s="3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39" t="str">
        <f>IFERROR(IF(SUMIFS(tblDaily[TransfersIn],tblDaily[EntryDate],DATE(2026,10,29),tblDaily[WardCode],"MAE")=0,"",SUMIFS(tblDaily[TransfersIn],tblDaily[EntryDate],DATE(2026,10,29),tblDaily[WardCode],"MAE")),"")</f>
        <v/>
      </c>
      <c r="G396" s="39" t="str">
        <f>IFERROR(IF(SUMIFS(tblDaily[TransfersOut],tblDaily[EntryDate],DATE(2026,10,29),tblDaily[WardCode],"MAE")=0,"",SUMIFS(tblDaily[TransfersOut],tblDaily[EntryDate],DATE(2026,10,29),tblDaily[WardCode],"MAE")),"")</f>
        <v/>
      </c>
      <c r="H396" s="39" t="str">
        <f>IFERROR(IF(SUMIFS(tblDaily[Remaining],tblDaily[EntryDate],DATE(2026,10,29),tblDaily[WardCode],"MAE")=0,"",SUMIFS(tblDaily[Remaining],tblDaily[EntryDate],DATE(2026,10,29),tblDaily[WardCode],"MAE")),"")</f>
        <v/>
      </c>
      <c r="I396" s="39" t="str">
        <f>IFERROR(IF(SUMIFS(tblDaily[Admissions],tblDaily[EntryDate],DATE(2026,10,29),tblDaily[WardCode],"FAE")=0,"",SUMIFS(tblDaily[Admissions],tblDaily[EntryDate],DATE(2026,10,29),tblDaily[WardCode],"FAE")),"")</f>
        <v/>
      </c>
      <c r="J396" s="39" t="str">
        <f>IFERROR(IF(SUMIFS(tblDaily[Discharges],tblDaily[EntryDate],DATE(2026,10,29),tblDaily[WardCode],"FAE")=0,"",SUMIFS(tblDaily[Discharges],tblDaily[EntryDate],DATE(2026,10,29),tblDaily[WardCode],"FAE")),"")</f>
        <v/>
      </c>
      <c r="K396" s="39" t="str">
        <f>IFERROR(IF(SUMIFS(tblDaily[Deaths],tblDaily[EntryDate],DATE(2026,10,29),tblDaily[WardCode],"FAE")=0,"",SUMIFS(tblDaily[Deaths],tblDaily[EntryDate],DATE(2026,10,29),tblDaily[WardCode],"FAE")),"")</f>
        <v/>
      </c>
      <c r="L396" s="39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39" t="str">
        <f>IFERROR(IF(SUMIFS(tblDaily[TransfersIn],tblDaily[EntryDate],DATE(2026,10,29),tblDaily[WardCode],"FAE")=0,"",SUMIFS(tblDaily[TransfersIn],tblDaily[EntryDate],DATE(2026,10,29),tblDaily[WardCode],"FAE")),"")</f>
        <v/>
      </c>
      <c r="N396" s="39" t="str">
        <f>IFERROR(IF(SUMIFS(tblDaily[TransfersOut],tblDaily[EntryDate],DATE(2026,10,29),tblDaily[WardCode],"FAE")=0,"",SUMIFS(tblDaily[TransfersOut],tblDaily[EntryDate],DATE(2026,10,29),tblDaily[WardCode],"FAE")),"")</f>
        <v/>
      </c>
      <c r="O396" s="39" t="str">
        <f>IFERROR(IF(SUMIFS(tblDaily[Remaining],tblDaily[EntryDate],DATE(2026,10,29),tblDaily[WardCode],"FAE")=0,"",SUMIFS(tblDaily[Remaining],tblDaily[EntryDate],DATE(2026,10,29),tblDaily[WardCode],"FAE")),"")</f>
        <v/>
      </c>
      <c r="P396" s="40" t="str">
        <f t="shared" si="9"/>
        <v/>
      </c>
    </row>
    <row r="397" spans="1:16" x14ac:dyDescent="0.25">
      <c r="A397" s="39">
        <v>30</v>
      </c>
      <c r="B397" s="39" t="str">
        <f>IFERROR(IF(SUMIFS(tblDaily[Admissions],tblDaily[EntryDate],DATE(2026,10,30),tblDaily[WardCode],"MAE")=0,"",SUMIFS(tblDaily[Admissions],tblDaily[EntryDate],DATE(2026,10,30),tblDaily[WardCode],"MAE")),"")</f>
        <v/>
      </c>
      <c r="C397" s="39" t="str">
        <f>IFERROR(IF(SUMIFS(tblDaily[Discharges],tblDaily[EntryDate],DATE(2026,10,30),tblDaily[WardCode],"MAE")=0,"",SUMIFS(tblDaily[Discharges],tblDaily[EntryDate],DATE(2026,10,30),tblDaily[WardCode],"MAE")),"")</f>
        <v/>
      </c>
      <c r="D397" s="39" t="str">
        <f>IFERROR(IF(SUMIFS(tblDaily[Deaths],tblDaily[EntryDate],DATE(2026,10,30),tblDaily[WardCode],"MAE")=0,"",SUMIFS(tblDaily[Deaths],tblDaily[EntryDate],DATE(2026,10,30),tblDaily[WardCode],"MAE")),"")</f>
        <v/>
      </c>
      <c r="E397" s="3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39" t="str">
        <f>IFERROR(IF(SUMIFS(tblDaily[TransfersIn],tblDaily[EntryDate],DATE(2026,10,30),tblDaily[WardCode],"MAE")=0,"",SUMIFS(tblDaily[TransfersIn],tblDaily[EntryDate],DATE(2026,10,30),tblDaily[WardCode],"MAE")),"")</f>
        <v/>
      </c>
      <c r="G397" s="39" t="str">
        <f>IFERROR(IF(SUMIFS(tblDaily[TransfersOut],tblDaily[EntryDate],DATE(2026,10,30),tblDaily[WardCode],"MAE")=0,"",SUMIFS(tblDaily[TransfersOut],tblDaily[EntryDate],DATE(2026,10,30),tblDaily[WardCode],"MAE")),"")</f>
        <v/>
      </c>
      <c r="H397" s="39" t="str">
        <f>IFERROR(IF(SUMIFS(tblDaily[Remaining],tblDaily[EntryDate],DATE(2026,10,30),tblDaily[WardCode],"MAE")=0,"",SUMIFS(tblDaily[Remaining],tblDaily[EntryDate],DATE(2026,10,30),tblDaily[WardCode],"MAE")),"")</f>
        <v/>
      </c>
      <c r="I397" s="39" t="str">
        <f>IFERROR(IF(SUMIFS(tblDaily[Admissions],tblDaily[EntryDate],DATE(2026,10,30),tblDaily[WardCode],"FAE")=0,"",SUMIFS(tblDaily[Admissions],tblDaily[EntryDate],DATE(2026,10,30),tblDaily[WardCode],"FAE")),"")</f>
        <v/>
      </c>
      <c r="J397" s="39" t="str">
        <f>IFERROR(IF(SUMIFS(tblDaily[Discharges],tblDaily[EntryDate],DATE(2026,10,30),tblDaily[WardCode],"FAE")=0,"",SUMIFS(tblDaily[Discharges],tblDaily[EntryDate],DATE(2026,10,30),tblDaily[WardCode],"FAE")),"")</f>
        <v/>
      </c>
      <c r="K397" s="39" t="str">
        <f>IFERROR(IF(SUMIFS(tblDaily[Deaths],tblDaily[EntryDate],DATE(2026,10,30),tblDaily[WardCode],"FAE")=0,"",SUMIFS(tblDaily[Deaths],tblDaily[EntryDate],DATE(2026,10,30),tblDaily[WardCode],"FAE")),"")</f>
        <v/>
      </c>
      <c r="L397" s="39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39" t="str">
        <f>IFERROR(IF(SUMIFS(tblDaily[TransfersIn],tblDaily[EntryDate],DATE(2026,10,30),tblDaily[WardCode],"FAE")=0,"",SUMIFS(tblDaily[TransfersIn],tblDaily[EntryDate],DATE(2026,10,30),tblDaily[WardCode],"FAE")),"")</f>
        <v/>
      </c>
      <c r="N397" s="39" t="str">
        <f>IFERROR(IF(SUMIFS(tblDaily[TransfersOut],tblDaily[EntryDate],DATE(2026,10,30),tblDaily[WardCode],"FAE")=0,"",SUMIFS(tblDaily[TransfersOut],tblDaily[EntryDate],DATE(2026,10,30),tblDaily[WardCode],"FAE")),"")</f>
        <v/>
      </c>
      <c r="O397" s="39" t="str">
        <f>IFERROR(IF(SUMIFS(tblDaily[Remaining],tblDaily[EntryDate],DATE(2026,10,30),tblDaily[WardCode],"FAE")=0,"",SUMIFS(tblDaily[Remaining],tblDaily[EntryDate],DATE(2026,10,30),tblDaily[WardCode],"FAE")),"")</f>
        <v/>
      </c>
      <c r="P397" s="40" t="str">
        <f t="shared" si="9"/>
        <v/>
      </c>
    </row>
    <row r="398" spans="1:16" x14ac:dyDescent="0.25">
      <c r="A398" s="39">
        <v>31</v>
      </c>
      <c r="B398" s="39" t="str">
        <f>IFERROR(IF(SUMIFS(tblDaily[Admissions],tblDaily[EntryDate],DATE(2026,10,31),tblDaily[WardCode],"MAE")=0,"",SUMIFS(tblDaily[Admissions],tblDaily[EntryDate],DATE(2026,10,31),tblDaily[WardCode],"MAE")),"")</f>
        <v/>
      </c>
      <c r="C398" s="39" t="str">
        <f>IFERROR(IF(SUMIFS(tblDaily[Discharges],tblDaily[EntryDate],DATE(2026,10,31),tblDaily[WardCode],"MAE")=0,"",SUMIFS(tblDaily[Discharges],tblDaily[EntryDate],DATE(2026,10,31),tblDaily[WardCode],"MAE")),"")</f>
        <v/>
      </c>
      <c r="D398" s="39" t="str">
        <f>IFERROR(IF(SUMIFS(tblDaily[Deaths],tblDaily[EntryDate],DATE(2026,10,31),tblDaily[WardCode],"MAE")=0,"",SUMIFS(tblDaily[Deaths],tblDaily[EntryDate],DATE(2026,10,31),tblDaily[WardCode],"MAE")),"")</f>
        <v/>
      </c>
      <c r="E398" s="3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39" t="str">
        <f>IFERROR(IF(SUMIFS(tblDaily[TransfersIn],tblDaily[EntryDate],DATE(2026,10,31),tblDaily[WardCode],"MAE")=0,"",SUMIFS(tblDaily[TransfersIn],tblDaily[EntryDate],DATE(2026,10,31),tblDaily[WardCode],"MAE")),"")</f>
        <v/>
      </c>
      <c r="G398" s="39" t="str">
        <f>IFERROR(IF(SUMIFS(tblDaily[TransfersOut],tblDaily[EntryDate],DATE(2026,10,31),tblDaily[WardCode],"MAE")=0,"",SUMIFS(tblDaily[TransfersOut],tblDaily[EntryDate],DATE(2026,10,31),tblDaily[WardCode],"MAE")),"")</f>
        <v/>
      </c>
      <c r="H398" s="39" t="str">
        <f>IFERROR(IF(SUMIFS(tblDaily[Remaining],tblDaily[EntryDate],DATE(2026,10,31),tblDaily[WardCode],"MAE")=0,"",SUMIFS(tblDaily[Remaining],tblDaily[EntryDate],DATE(2026,10,31),tblDaily[WardCode],"MAE")),"")</f>
        <v/>
      </c>
      <c r="I398" s="39" t="str">
        <f>IFERROR(IF(SUMIFS(tblDaily[Admissions],tblDaily[EntryDate],DATE(2026,10,31),tblDaily[WardCode],"FAE")=0,"",SUMIFS(tblDaily[Admissions],tblDaily[EntryDate],DATE(2026,10,31),tblDaily[WardCode],"FAE")),"")</f>
        <v/>
      </c>
      <c r="J398" s="39" t="str">
        <f>IFERROR(IF(SUMIFS(tblDaily[Discharges],tblDaily[EntryDate],DATE(2026,10,31),tblDaily[WardCode],"FAE")=0,"",SUMIFS(tblDaily[Discharges],tblDaily[EntryDate],DATE(2026,10,31),tblDaily[WardCode],"FAE")),"")</f>
        <v/>
      </c>
      <c r="K398" s="39" t="str">
        <f>IFERROR(IF(SUMIFS(tblDaily[Deaths],tblDaily[EntryDate],DATE(2026,10,31),tblDaily[WardCode],"FAE")=0,"",SUMIFS(tblDaily[Deaths],tblDaily[EntryDate],DATE(2026,10,31),tblDaily[WardCode],"FAE")),"")</f>
        <v/>
      </c>
      <c r="L398" s="39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39" t="str">
        <f>IFERROR(IF(SUMIFS(tblDaily[TransfersIn],tblDaily[EntryDate],DATE(2026,10,31),tblDaily[WardCode],"FAE")=0,"",SUMIFS(tblDaily[TransfersIn],tblDaily[EntryDate],DATE(2026,10,31),tblDaily[WardCode],"FAE")),"")</f>
        <v/>
      </c>
      <c r="N398" s="39" t="str">
        <f>IFERROR(IF(SUMIFS(tblDaily[TransfersOut],tblDaily[EntryDate],DATE(2026,10,31),tblDaily[WardCode],"FAE")=0,"",SUMIFS(tblDaily[TransfersOut],tblDaily[EntryDate],DATE(2026,10,31),tblDaily[WardCode],"FAE")),"")</f>
        <v/>
      </c>
      <c r="O398" s="39" t="str">
        <f>IFERROR(IF(SUMIFS(tblDaily[Remaining],tblDaily[EntryDate],DATE(2026,10,31),tblDaily[WardCode],"FAE")=0,"",SUMIFS(tblDaily[Remaining],tblDaily[EntryDate],DATE(2026,10,31),tblDaily[WardCode],"FAE")),"")</f>
        <v/>
      </c>
      <c r="P398" s="40" t="str">
        <f t="shared" si="9"/>
        <v/>
      </c>
    </row>
    <row r="399" spans="1:16" x14ac:dyDescent="0.25">
      <c r="A399" s="30" t="s">
        <v>115</v>
      </c>
      <c r="B399" s="30">
        <f>SUMIFS(tblDaily[Admissions],tblDaily[Month],10,tblDaily[WardCode],"MAE") - SUMIFS(tblDaily[DeathsUnder24Hrs],tblDaily[Month],10,tblDaily[WardCode],"MAE")</f>
        <v>0</v>
      </c>
      <c r="C399" s="30">
        <f>SUMIFS(tblDaily[Discharges],tblDaily[Month],10,tblDaily[WardCode],"MAE")</f>
        <v>0</v>
      </c>
      <c r="D399" s="30">
        <f>SUMIFS(tblDaily[Deaths],tblDaily[Month],10,tblDaily[WardCode],"MAE")</f>
        <v>0</v>
      </c>
      <c r="E399" s="30">
        <f>SUMIFS(tblDaily[DeathsUnder24Hrs],tblDaily[Month],10,tblDaily[WardCode],"MAE")</f>
        <v>0</v>
      </c>
      <c r="F399" s="30">
        <f>SUMIFS(tblDaily[TransfersIn],tblDaily[Month],10,tblDaily[WardCode],"MAE")</f>
        <v>0</v>
      </c>
      <c r="G399" s="30">
        <f>SUMIFS(tblDaily[TransfersOut],tblDaily[Month],10,tblDaily[WardCode],"MAE")</f>
        <v>0</v>
      </c>
      <c r="H399" s="30">
        <f>SUMIFS(tblDaily[Remaining],tblDaily[Month],10,tblDaily[WardCode],"MAE")</f>
        <v>0</v>
      </c>
      <c r="I399" s="30">
        <f>SUMIFS(tblDaily[Admissions],tblDaily[Month],10,tblDaily[WardCode],"FAE") - SUMIFS(tblDaily[DeathsUnder24Hrs],tblDaily[Month],10,tblDaily[WardCode],"FAE")</f>
        <v>0</v>
      </c>
      <c r="J399" s="30">
        <f>SUMIFS(tblDaily[Discharges],tblDaily[Month],10,tblDaily[WardCode],"FAE")</f>
        <v>0</v>
      </c>
      <c r="K399" s="30">
        <f>SUMIFS(tblDaily[Deaths],tblDaily[Month],10,tblDaily[WardCode],"FAE")</f>
        <v>0</v>
      </c>
      <c r="L399" s="30">
        <f>SUMIFS(tblDaily[DeathsUnder24Hrs],tblDaily[Month],10,tblDaily[WardCode],"FAE")</f>
        <v>0</v>
      </c>
      <c r="M399" s="30">
        <f>SUMIFS(tblDaily[TransfersIn],tblDaily[Month],10,tblDaily[WardCode],"FAE")</f>
        <v>0</v>
      </c>
      <c r="N399" s="30">
        <f>SUMIFS(tblDaily[TransfersOut],tblDaily[Month],10,tblDaily[WardCode],"FAE")</f>
        <v>0</v>
      </c>
      <c r="O399" s="30">
        <f>SUMIFS(tblDaily[Remaining],tblDaily[Month],10,tblDaily[WardCode],"FAE")</f>
        <v>0</v>
      </c>
      <c r="P399" s="30">
        <f>H399 + O399</f>
        <v>0</v>
      </c>
    </row>
    <row r="401" spans="1:16" ht="18.75" x14ac:dyDescent="0.25">
      <c r="A401" s="32" t="s">
        <v>0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6" ht="15.75" x14ac:dyDescent="0.25">
      <c r="A402" s="23" t="s">
        <v>104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6" x14ac:dyDescent="0.25">
      <c r="A403" s="24" t="s">
        <v>4</v>
      </c>
      <c r="B403" s="25" t="s">
        <v>2</v>
      </c>
      <c r="E403" s="24" t="s">
        <v>105</v>
      </c>
      <c r="F403" s="24" t="s">
        <v>125</v>
      </c>
      <c r="M403" s="24" t="s">
        <v>107</v>
      </c>
      <c r="N403" s="24" t="s">
        <v>73</v>
      </c>
    </row>
    <row r="404" spans="1:16" x14ac:dyDescent="0.25">
      <c r="A404" s="24" t="s">
        <v>108</v>
      </c>
      <c r="B404" s="33">
        <f>IFERROR(SUMIFS(tblDaily[Remaining],tblDaily[EntryDate],DATE(2026,10,31),tblDaily[WardCode],"MAE"),0)</f>
        <v>0</v>
      </c>
      <c r="I404" s="33">
        <f>IFERROR(SUMIFS(tblDaily[Remaining],tblDaily[EntryDate],DATE(2026,10,31),tblDaily[WardCode],"FAE"),0)</f>
        <v>0</v>
      </c>
    </row>
    <row r="405" spans="1:16" x14ac:dyDescent="0.25">
      <c r="A405" s="24" t="s">
        <v>109</v>
      </c>
      <c r="B405" s="33">
        <f>IFERROR(INDEX(tblWardConfig[BedComplement],MATCH("MAE",tblWardConfig[WardCode],0)),0)</f>
        <v>10</v>
      </c>
      <c r="I405" s="33">
        <f>IFERROR(INDEX(tblWardConfig[BedComplement],MATCH("FAE",tblWardConfig[WardCode],0)),0)</f>
        <v>10</v>
      </c>
      <c r="O405" s="34">
        <f>B405+I405</f>
        <v>20</v>
      </c>
    </row>
    <row r="406" spans="1:16" x14ac:dyDescent="0.25">
      <c r="A406" s="35" t="s">
        <v>126</v>
      </c>
      <c r="B406" s="36" t="s">
        <v>122</v>
      </c>
      <c r="C406" s="22"/>
      <c r="D406" s="22"/>
      <c r="E406" s="22"/>
      <c r="F406" s="22"/>
      <c r="G406" s="22"/>
      <c r="H406" s="22"/>
      <c r="I406" s="37" t="s">
        <v>123</v>
      </c>
      <c r="J406" s="22"/>
      <c r="K406" s="22"/>
      <c r="L406" s="22"/>
      <c r="M406" s="22"/>
      <c r="N406" s="22"/>
      <c r="O406" s="22"/>
      <c r="P406" s="38" t="s">
        <v>115</v>
      </c>
    </row>
    <row r="407" spans="1:16" x14ac:dyDescent="0.25">
      <c r="A407" s="35" t="s">
        <v>126</v>
      </c>
      <c r="B407" s="35" t="s">
        <v>127</v>
      </c>
      <c r="C407" s="35" t="s">
        <v>128</v>
      </c>
      <c r="D407" s="35" t="s">
        <v>129</v>
      </c>
      <c r="E407" s="35" t="s">
        <v>130</v>
      </c>
      <c r="F407" s="35" t="s">
        <v>131</v>
      </c>
      <c r="G407" s="35" t="s">
        <v>132</v>
      </c>
      <c r="H407" s="35" t="s">
        <v>133</v>
      </c>
      <c r="I407" s="35" t="s">
        <v>127</v>
      </c>
      <c r="J407" s="35" t="s">
        <v>128</v>
      </c>
      <c r="K407" s="35" t="s">
        <v>129</v>
      </c>
      <c r="L407" s="35" t="s">
        <v>130</v>
      </c>
      <c r="M407" s="35" t="s">
        <v>131</v>
      </c>
      <c r="N407" s="35" t="s">
        <v>132</v>
      </c>
      <c r="O407" s="35" t="s">
        <v>133</v>
      </c>
      <c r="P407" s="35" t="s">
        <v>134</v>
      </c>
    </row>
    <row r="408" spans="1:16" x14ac:dyDescent="0.25">
      <c r="A408" s="39">
        <v>1</v>
      </c>
      <c r="B408" s="39" t="str">
        <f>IFERROR(IF(SUMIFS(tblDaily[Admissions],tblDaily[EntryDate],DATE(2026,11,1),tblDaily[WardCode],"MAE")=0,"",SUMIFS(tblDaily[Admissions],tblDaily[EntryDate],DATE(2026,11,1),tblDaily[WardCode],"MAE")),"")</f>
        <v/>
      </c>
      <c r="C408" s="39" t="str">
        <f>IFERROR(IF(SUMIFS(tblDaily[Discharges],tblDaily[EntryDate],DATE(2026,11,1),tblDaily[WardCode],"MAE")=0,"",SUMIFS(tblDaily[Discharges],tblDaily[EntryDate],DATE(2026,11,1),tblDaily[WardCode],"MAE")),"")</f>
        <v/>
      </c>
      <c r="D408" s="39" t="str">
        <f>IFERROR(IF(SUMIFS(tblDaily[Deaths],tblDaily[EntryDate],DATE(2026,11,1),tblDaily[WardCode],"MAE")=0,"",SUMIFS(tblDaily[Deaths],tblDaily[EntryDate],DATE(2026,11,1),tblDaily[WardCode],"MAE")),"")</f>
        <v/>
      </c>
      <c r="E408" s="39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39" t="str">
        <f>IFERROR(IF(SUMIFS(tblDaily[TransfersIn],tblDaily[EntryDate],DATE(2026,11,1),tblDaily[WardCode],"MAE")=0,"",SUMIFS(tblDaily[TransfersIn],tblDaily[EntryDate],DATE(2026,11,1),tblDaily[WardCode],"MAE")),"")</f>
        <v/>
      </c>
      <c r="G408" s="39" t="str">
        <f>IFERROR(IF(SUMIFS(tblDaily[TransfersOut],tblDaily[EntryDate],DATE(2026,11,1),tblDaily[WardCode],"MAE")=0,"",SUMIFS(tblDaily[TransfersOut],tblDaily[EntryDate],DATE(2026,11,1),tblDaily[WardCode],"MAE")),"")</f>
        <v/>
      </c>
      <c r="H408" s="39" t="str">
        <f>IFERROR(IF(SUMIFS(tblDaily[Remaining],tblDaily[EntryDate],DATE(2026,11,1),tblDaily[WardCode],"MAE")=0,"",SUMIFS(tblDaily[Remaining],tblDaily[EntryDate],DATE(2026,11,1),tblDaily[WardCode],"MAE")),"")</f>
        <v/>
      </c>
      <c r="I408" s="39" t="str">
        <f>IFERROR(IF(SUMIFS(tblDaily[Admissions],tblDaily[EntryDate],DATE(2026,11,1),tblDaily[WardCode],"FAE")=0,"",SUMIFS(tblDaily[Admissions],tblDaily[EntryDate],DATE(2026,11,1),tblDaily[WardCode],"FAE")),"")</f>
        <v/>
      </c>
      <c r="J408" s="39" t="str">
        <f>IFERROR(IF(SUMIFS(tblDaily[Discharges],tblDaily[EntryDate],DATE(2026,11,1),tblDaily[WardCode],"FAE")=0,"",SUMIFS(tblDaily[Discharges],tblDaily[EntryDate],DATE(2026,11,1),tblDaily[WardCode],"FAE")),"")</f>
        <v/>
      </c>
      <c r="K408" s="39" t="str">
        <f>IFERROR(IF(SUMIFS(tblDaily[Deaths],tblDaily[EntryDate],DATE(2026,11,1),tblDaily[WardCode],"FAE")=0,"",SUMIFS(tblDaily[Deaths],tblDaily[EntryDate],DATE(2026,11,1),tblDaily[WardCode],"FAE")),"")</f>
        <v/>
      </c>
      <c r="L408" s="39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39" t="str">
        <f>IFERROR(IF(SUMIFS(tblDaily[TransfersIn],tblDaily[EntryDate],DATE(2026,11,1),tblDaily[WardCode],"FAE")=0,"",SUMIFS(tblDaily[TransfersIn],tblDaily[EntryDate],DATE(2026,11,1),tblDaily[WardCode],"FAE")),"")</f>
        <v/>
      </c>
      <c r="N408" s="39" t="str">
        <f>IFERROR(IF(SUMIFS(tblDaily[TransfersOut],tblDaily[EntryDate],DATE(2026,11,1),tblDaily[WardCode],"FAE")=0,"",SUMIFS(tblDaily[TransfersOut],tblDaily[EntryDate],DATE(2026,11,1),tblDaily[WardCode],"FAE")),"")</f>
        <v/>
      </c>
      <c r="O408" s="39" t="str">
        <f>IFERROR(IF(SUMIFS(tblDaily[Remaining],tblDaily[EntryDate],DATE(2026,11,1),tblDaily[WardCode],"FAE")=0,"",SUMIFS(tblDaily[Remaining],tblDaily[EntryDate],DATE(2026,11,1),tblDaily[WardCode],"FAE")),"")</f>
        <v/>
      </c>
      <c r="P408" s="40" t="str">
        <f t="shared" ref="P408:P437" si="10">IF(AND(H408="", O408=""), "", N(H408) + N(O408))</f>
        <v/>
      </c>
    </row>
    <row r="409" spans="1:16" x14ac:dyDescent="0.25">
      <c r="A409" s="39">
        <v>2</v>
      </c>
      <c r="B409" s="39" t="str">
        <f>IFERROR(IF(SUMIFS(tblDaily[Admissions],tblDaily[EntryDate],DATE(2026,11,2),tblDaily[WardCode],"MAE")=0,"",SUMIFS(tblDaily[Admissions],tblDaily[EntryDate],DATE(2026,11,2),tblDaily[WardCode],"MAE")),"")</f>
        <v/>
      </c>
      <c r="C409" s="39" t="str">
        <f>IFERROR(IF(SUMIFS(tblDaily[Discharges],tblDaily[EntryDate],DATE(2026,11,2),tblDaily[WardCode],"MAE")=0,"",SUMIFS(tblDaily[Discharges],tblDaily[EntryDate],DATE(2026,11,2),tblDaily[WardCode],"MAE")),"")</f>
        <v/>
      </c>
      <c r="D409" s="39" t="str">
        <f>IFERROR(IF(SUMIFS(tblDaily[Deaths],tblDaily[EntryDate],DATE(2026,11,2),tblDaily[WardCode],"MAE")=0,"",SUMIFS(tblDaily[Deaths],tblDaily[EntryDate],DATE(2026,11,2),tblDaily[WardCode],"MAE")),"")</f>
        <v/>
      </c>
      <c r="E409" s="39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39" t="str">
        <f>IFERROR(IF(SUMIFS(tblDaily[TransfersIn],tblDaily[EntryDate],DATE(2026,11,2),tblDaily[WardCode],"MAE")=0,"",SUMIFS(tblDaily[TransfersIn],tblDaily[EntryDate],DATE(2026,11,2),tblDaily[WardCode],"MAE")),"")</f>
        <v/>
      </c>
      <c r="G409" s="39" t="str">
        <f>IFERROR(IF(SUMIFS(tblDaily[TransfersOut],tblDaily[EntryDate],DATE(2026,11,2),tblDaily[WardCode],"MAE")=0,"",SUMIFS(tblDaily[TransfersOut],tblDaily[EntryDate],DATE(2026,11,2),tblDaily[WardCode],"MAE")),"")</f>
        <v/>
      </c>
      <c r="H409" s="39" t="str">
        <f>IFERROR(IF(SUMIFS(tblDaily[Remaining],tblDaily[EntryDate],DATE(2026,11,2),tblDaily[WardCode],"MAE")=0,"",SUMIFS(tblDaily[Remaining],tblDaily[EntryDate],DATE(2026,11,2),tblDaily[WardCode],"MAE")),"")</f>
        <v/>
      </c>
      <c r="I409" s="39" t="str">
        <f>IFERROR(IF(SUMIFS(tblDaily[Admissions],tblDaily[EntryDate],DATE(2026,11,2),tblDaily[WardCode],"FAE")=0,"",SUMIFS(tblDaily[Admissions],tblDaily[EntryDate],DATE(2026,11,2),tblDaily[WardCode],"FAE")),"")</f>
        <v/>
      </c>
      <c r="J409" s="39" t="str">
        <f>IFERROR(IF(SUMIFS(tblDaily[Discharges],tblDaily[EntryDate],DATE(2026,11,2),tblDaily[WardCode],"FAE")=0,"",SUMIFS(tblDaily[Discharges],tblDaily[EntryDate],DATE(2026,11,2),tblDaily[WardCode],"FAE")),"")</f>
        <v/>
      </c>
      <c r="K409" s="39" t="str">
        <f>IFERROR(IF(SUMIFS(tblDaily[Deaths],tblDaily[EntryDate],DATE(2026,11,2),tblDaily[WardCode],"FAE")=0,"",SUMIFS(tblDaily[Deaths],tblDaily[EntryDate],DATE(2026,11,2),tblDaily[WardCode],"FAE")),"")</f>
        <v/>
      </c>
      <c r="L409" s="39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39" t="str">
        <f>IFERROR(IF(SUMIFS(tblDaily[TransfersIn],tblDaily[EntryDate],DATE(2026,11,2),tblDaily[WardCode],"FAE")=0,"",SUMIFS(tblDaily[TransfersIn],tblDaily[EntryDate],DATE(2026,11,2),tblDaily[WardCode],"FAE")),"")</f>
        <v/>
      </c>
      <c r="N409" s="39" t="str">
        <f>IFERROR(IF(SUMIFS(tblDaily[TransfersOut],tblDaily[EntryDate],DATE(2026,11,2),tblDaily[WardCode],"FAE")=0,"",SUMIFS(tblDaily[TransfersOut],tblDaily[EntryDate],DATE(2026,11,2),tblDaily[WardCode],"FAE")),"")</f>
        <v/>
      </c>
      <c r="O409" s="39" t="str">
        <f>IFERROR(IF(SUMIFS(tblDaily[Remaining],tblDaily[EntryDate],DATE(2026,11,2),tblDaily[WardCode],"FAE")=0,"",SUMIFS(tblDaily[Remaining],tblDaily[EntryDate],DATE(2026,11,2),tblDaily[WardCode],"FAE")),"")</f>
        <v/>
      </c>
      <c r="P409" s="40" t="str">
        <f t="shared" si="10"/>
        <v/>
      </c>
    </row>
    <row r="410" spans="1:16" x14ac:dyDescent="0.25">
      <c r="A410" s="39">
        <v>3</v>
      </c>
      <c r="B410" s="39" t="str">
        <f>IFERROR(IF(SUMIFS(tblDaily[Admissions],tblDaily[EntryDate],DATE(2026,11,3),tblDaily[WardCode],"MAE")=0,"",SUMIFS(tblDaily[Admissions],tblDaily[EntryDate],DATE(2026,11,3),tblDaily[WardCode],"MAE")),"")</f>
        <v/>
      </c>
      <c r="C410" s="39" t="str">
        <f>IFERROR(IF(SUMIFS(tblDaily[Discharges],tblDaily[EntryDate],DATE(2026,11,3),tblDaily[WardCode],"MAE")=0,"",SUMIFS(tblDaily[Discharges],tblDaily[EntryDate],DATE(2026,11,3),tblDaily[WardCode],"MAE")),"")</f>
        <v/>
      </c>
      <c r="D410" s="39" t="str">
        <f>IFERROR(IF(SUMIFS(tblDaily[Deaths],tblDaily[EntryDate],DATE(2026,11,3),tblDaily[WardCode],"MAE")=0,"",SUMIFS(tblDaily[Deaths],tblDaily[EntryDate],DATE(2026,11,3),tblDaily[WardCode],"MAE")),"")</f>
        <v/>
      </c>
      <c r="E410" s="39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39" t="str">
        <f>IFERROR(IF(SUMIFS(tblDaily[TransfersIn],tblDaily[EntryDate],DATE(2026,11,3),tblDaily[WardCode],"MAE")=0,"",SUMIFS(tblDaily[TransfersIn],tblDaily[EntryDate],DATE(2026,11,3),tblDaily[WardCode],"MAE")),"")</f>
        <v/>
      </c>
      <c r="G410" s="39" t="str">
        <f>IFERROR(IF(SUMIFS(tblDaily[TransfersOut],tblDaily[EntryDate],DATE(2026,11,3),tblDaily[WardCode],"MAE")=0,"",SUMIFS(tblDaily[TransfersOut],tblDaily[EntryDate],DATE(2026,11,3),tblDaily[WardCode],"MAE")),"")</f>
        <v/>
      </c>
      <c r="H410" s="39" t="str">
        <f>IFERROR(IF(SUMIFS(tblDaily[Remaining],tblDaily[EntryDate],DATE(2026,11,3),tblDaily[WardCode],"MAE")=0,"",SUMIFS(tblDaily[Remaining],tblDaily[EntryDate],DATE(2026,11,3),tblDaily[WardCode],"MAE")),"")</f>
        <v/>
      </c>
      <c r="I410" s="39" t="str">
        <f>IFERROR(IF(SUMIFS(tblDaily[Admissions],tblDaily[EntryDate],DATE(2026,11,3),tblDaily[WardCode],"FAE")=0,"",SUMIFS(tblDaily[Admissions],tblDaily[EntryDate],DATE(2026,11,3),tblDaily[WardCode],"FAE")),"")</f>
        <v/>
      </c>
      <c r="J410" s="39" t="str">
        <f>IFERROR(IF(SUMIFS(tblDaily[Discharges],tblDaily[EntryDate],DATE(2026,11,3),tblDaily[WardCode],"FAE")=0,"",SUMIFS(tblDaily[Discharges],tblDaily[EntryDate],DATE(2026,11,3),tblDaily[WardCode],"FAE")),"")</f>
        <v/>
      </c>
      <c r="K410" s="39" t="str">
        <f>IFERROR(IF(SUMIFS(tblDaily[Deaths],tblDaily[EntryDate],DATE(2026,11,3),tblDaily[WardCode],"FAE")=0,"",SUMIFS(tblDaily[Deaths],tblDaily[EntryDate],DATE(2026,11,3),tblDaily[WardCode],"FAE")),"")</f>
        <v/>
      </c>
      <c r="L410" s="39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39" t="str">
        <f>IFERROR(IF(SUMIFS(tblDaily[TransfersIn],tblDaily[EntryDate],DATE(2026,11,3),tblDaily[WardCode],"FAE")=0,"",SUMIFS(tblDaily[TransfersIn],tblDaily[EntryDate],DATE(2026,11,3),tblDaily[WardCode],"FAE")),"")</f>
        <v/>
      </c>
      <c r="N410" s="39" t="str">
        <f>IFERROR(IF(SUMIFS(tblDaily[TransfersOut],tblDaily[EntryDate],DATE(2026,11,3),tblDaily[WardCode],"FAE")=0,"",SUMIFS(tblDaily[TransfersOut],tblDaily[EntryDate],DATE(2026,11,3),tblDaily[WardCode],"FAE")),"")</f>
        <v/>
      </c>
      <c r="O410" s="39" t="str">
        <f>IFERROR(IF(SUMIFS(tblDaily[Remaining],tblDaily[EntryDate],DATE(2026,11,3),tblDaily[WardCode],"FAE")=0,"",SUMIFS(tblDaily[Remaining],tblDaily[EntryDate],DATE(2026,11,3),tblDaily[WardCode],"FAE")),"")</f>
        <v/>
      </c>
      <c r="P410" s="40" t="str">
        <f t="shared" si="10"/>
        <v/>
      </c>
    </row>
    <row r="411" spans="1:16" x14ac:dyDescent="0.25">
      <c r="A411" s="39">
        <v>4</v>
      </c>
      <c r="B411" s="39" t="str">
        <f>IFERROR(IF(SUMIFS(tblDaily[Admissions],tblDaily[EntryDate],DATE(2026,11,4),tblDaily[WardCode],"MAE")=0,"",SUMIFS(tblDaily[Admissions],tblDaily[EntryDate],DATE(2026,11,4),tblDaily[WardCode],"MAE")),"")</f>
        <v/>
      </c>
      <c r="C411" s="39" t="str">
        <f>IFERROR(IF(SUMIFS(tblDaily[Discharges],tblDaily[EntryDate],DATE(2026,11,4),tblDaily[WardCode],"MAE")=0,"",SUMIFS(tblDaily[Discharges],tblDaily[EntryDate],DATE(2026,11,4),tblDaily[WardCode],"MAE")),"")</f>
        <v/>
      </c>
      <c r="D411" s="39" t="str">
        <f>IFERROR(IF(SUMIFS(tblDaily[Deaths],tblDaily[EntryDate],DATE(2026,11,4),tblDaily[WardCode],"MAE")=0,"",SUMIFS(tblDaily[Deaths],tblDaily[EntryDate],DATE(2026,11,4),tblDaily[WardCode],"MAE")),"")</f>
        <v/>
      </c>
      <c r="E411" s="39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39" t="str">
        <f>IFERROR(IF(SUMIFS(tblDaily[TransfersIn],tblDaily[EntryDate],DATE(2026,11,4),tblDaily[WardCode],"MAE")=0,"",SUMIFS(tblDaily[TransfersIn],tblDaily[EntryDate],DATE(2026,11,4),tblDaily[WardCode],"MAE")),"")</f>
        <v/>
      </c>
      <c r="G411" s="39" t="str">
        <f>IFERROR(IF(SUMIFS(tblDaily[TransfersOut],tblDaily[EntryDate],DATE(2026,11,4),tblDaily[WardCode],"MAE")=0,"",SUMIFS(tblDaily[TransfersOut],tblDaily[EntryDate],DATE(2026,11,4),tblDaily[WardCode],"MAE")),"")</f>
        <v/>
      </c>
      <c r="H411" s="39" t="str">
        <f>IFERROR(IF(SUMIFS(tblDaily[Remaining],tblDaily[EntryDate],DATE(2026,11,4),tblDaily[WardCode],"MAE")=0,"",SUMIFS(tblDaily[Remaining],tblDaily[EntryDate],DATE(2026,11,4),tblDaily[WardCode],"MAE")),"")</f>
        <v/>
      </c>
      <c r="I411" s="39" t="str">
        <f>IFERROR(IF(SUMIFS(tblDaily[Admissions],tblDaily[EntryDate],DATE(2026,11,4),tblDaily[WardCode],"FAE")=0,"",SUMIFS(tblDaily[Admissions],tblDaily[EntryDate],DATE(2026,11,4),tblDaily[WardCode],"FAE")),"")</f>
        <v/>
      </c>
      <c r="J411" s="39" t="str">
        <f>IFERROR(IF(SUMIFS(tblDaily[Discharges],tblDaily[EntryDate],DATE(2026,11,4),tblDaily[WardCode],"FAE")=0,"",SUMIFS(tblDaily[Discharges],tblDaily[EntryDate],DATE(2026,11,4),tblDaily[WardCode],"FAE")),"")</f>
        <v/>
      </c>
      <c r="K411" s="39" t="str">
        <f>IFERROR(IF(SUMIFS(tblDaily[Deaths],tblDaily[EntryDate],DATE(2026,11,4),tblDaily[WardCode],"FAE")=0,"",SUMIFS(tblDaily[Deaths],tblDaily[EntryDate],DATE(2026,11,4),tblDaily[WardCode],"FAE")),"")</f>
        <v/>
      </c>
      <c r="L411" s="39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39" t="str">
        <f>IFERROR(IF(SUMIFS(tblDaily[TransfersIn],tblDaily[EntryDate],DATE(2026,11,4),tblDaily[WardCode],"FAE")=0,"",SUMIFS(tblDaily[TransfersIn],tblDaily[EntryDate],DATE(2026,11,4),tblDaily[WardCode],"FAE")),"")</f>
        <v/>
      </c>
      <c r="N411" s="39" t="str">
        <f>IFERROR(IF(SUMIFS(tblDaily[TransfersOut],tblDaily[EntryDate],DATE(2026,11,4),tblDaily[WardCode],"FAE")=0,"",SUMIFS(tblDaily[TransfersOut],tblDaily[EntryDate],DATE(2026,11,4),tblDaily[WardCode],"FAE")),"")</f>
        <v/>
      </c>
      <c r="O411" s="39" t="str">
        <f>IFERROR(IF(SUMIFS(tblDaily[Remaining],tblDaily[EntryDate],DATE(2026,11,4),tblDaily[WardCode],"FAE")=0,"",SUMIFS(tblDaily[Remaining],tblDaily[EntryDate],DATE(2026,11,4),tblDaily[WardCode],"FAE")),"")</f>
        <v/>
      </c>
      <c r="P411" s="40" t="str">
        <f t="shared" si="10"/>
        <v/>
      </c>
    </row>
    <row r="412" spans="1:16" x14ac:dyDescent="0.25">
      <c r="A412" s="39">
        <v>5</v>
      </c>
      <c r="B412" s="39" t="str">
        <f>IFERROR(IF(SUMIFS(tblDaily[Admissions],tblDaily[EntryDate],DATE(2026,11,5),tblDaily[WardCode],"MAE")=0,"",SUMIFS(tblDaily[Admissions],tblDaily[EntryDate],DATE(2026,11,5),tblDaily[WardCode],"MAE")),"")</f>
        <v/>
      </c>
      <c r="C412" s="39" t="str">
        <f>IFERROR(IF(SUMIFS(tblDaily[Discharges],tblDaily[EntryDate],DATE(2026,11,5),tblDaily[WardCode],"MAE")=0,"",SUMIFS(tblDaily[Discharges],tblDaily[EntryDate],DATE(2026,11,5),tblDaily[WardCode],"MAE")),"")</f>
        <v/>
      </c>
      <c r="D412" s="39" t="str">
        <f>IFERROR(IF(SUMIFS(tblDaily[Deaths],tblDaily[EntryDate],DATE(2026,11,5),tblDaily[WardCode],"MAE")=0,"",SUMIFS(tblDaily[Deaths],tblDaily[EntryDate],DATE(2026,11,5),tblDaily[WardCode],"MAE")),"")</f>
        <v/>
      </c>
      <c r="E412" s="39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39" t="str">
        <f>IFERROR(IF(SUMIFS(tblDaily[TransfersIn],tblDaily[EntryDate],DATE(2026,11,5),tblDaily[WardCode],"MAE")=0,"",SUMIFS(tblDaily[TransfersIn],tblDaily[EntryDate],DATE(2026,11,5),tblDaily[WardCode],"MAE")),"")</f>
        <v/>
      </c>
      <c r="G412" s="39" t="str">
        <f>IFERROR(IF(SUMIFS(tblDaily[TransfersOut],tblDaily[EntryDate],DATE(2026,11,5),tblDaily[WardCode],"MAE")=0,"",SUMIFS(tblDaily[TransfersOut],tblDaily[EntryDate],DATE(2026,11,5),tblDaily[WardCode],"MAE")),"")</f>
        <v/>
      </c>
      <c r="H412" s="39" t="str">
        <f>IFERROR(IF(SUMIFS(tblDaily[Remaining],tblDaily[EntryDate],DATE(2026,11,5),tblDaily[WardCode],"MAE")=0,"",SUMIFS(tblDaily[Remaining],tblDaily[EntryDate],DATE(2026,11,5),tblDaily[WardCode],"MAE")),"")</f>
        <v/>
      </c>
      <c r="I412" s="39" t="str">
        <f>IFERROR(IF(SUMIFS(tblDaily[Admissions],tblDaily[EntryDate],DATE(2026,11,5),tblDaily[WardCode],"FAE")=0,"",SUMIFS(tblDaily[Admissions],tblDaily[EntryDate],DATE(2026,11,5),tblDaily[WardCode],"FAE")),"")</f>
        <v/>
      </c>
      <c r="J412" s="39" t="str">
        <f>IFERROR(IF(SUMIFS(tblDaily[Discharges],tblDaily[EntryDate],DATE(2026,11,5),tblDaily[WardCode],"FAE")=0,"",SUMIFS(tblDaily[Discharges],tblDaily[EntryDate],DATE(2026,11,5),tblDaily[WardCode],"FAE")),"")</f>
        <v/>
      </c>
      <c r="K412" s="39" t="str">
        <f>IFERROR(IF(SUMIFS(tblDaily[Deaths],tblDaily[EntryDate],DATE(2026,11,5),tblDaily[WardCode],"FAE")=0,"",SUMIFS(tblDaily[Deaths],tblDaily[EntryDate],DATE(2026,11,5),tblDaily[WardCode],"FAE")),"")</f>
        <v/>
      </c>
      <c r="L412" s="39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39" t="str">
        <f>IFERROR(IF(SUMIFS(tblDaily[TransfersIn],tblDaily[EntryDate],DATE(2026,11,5),tblDaily[WardCode],"FAE")=0,"",SUMIFS(tblDaily[TransfersIn],tblDaily[EntryDate],DATE(2026,11,5),tblDaily[WardCode],"FAE")),"")</f>
        <v/>
      </c>
      <c r="N412" s="39" t="str">
        <f>IFERROR(IF(SUMIFS(tblDaily[TransfersOut],tblDaily[EntryDate],DATE(2026,11,5),tblDaily[WardCode],"FAE")=0,"",SUMIFS(tblDaily[TransfersOut],tblDaily[EntryDate],DATE(2026,11,5),tblDaily[WardCode],"FAE")),"")</f>
        <v/>
      </c>
      <c r="O412" s="39" t="str">
        <f>IFERROR(IF(SUMIFS(tblDaily[Remaining],tblDaily[EntryDate],DATE(2026,11,5),tblDaily[WardCode],"FAE")=0,"",SUMIFS(tblDaily[Remaining],tblDaily[EntryDate],DATE(2026,11,5),tblDaily[WardCode],"FAE")),"")</f>
        <v/>
      </c>
      <c r="P412" s="40" t="str">
        <f t="shared" si="10"/>
        <v/>
      </c>
    </row>
    <row r="413" spans="1:16" x14ac:dyDescent="0.25">
      <c r="A413" s="39">
        <v>6</v>
      </c>
      <c r="B413" s="39" t="str">
        <f>IFERROR(IF(SUMIFS(tblDaily[Admissions],tblDaily[EntryDate],DATE(2026,11,6),tblDaily[WardCode],"MAE")=0,"",SUMIFS(tblDaily[Admissions],tblDaily[EntryDate],DATE(2026,11,6),tblDaily[WardCode],"MAE")),"")</f>
        <v/>
      </c>
      <c r="C413" s="39" t="str">
        <f>IFERROR(IF(SUMIFS(tblDaily[Discharges],tblDaily[EntryDate],DATE(2026,11,6),tblDaily[WardCode],"MAE")=0,"",SUMIFS(tblDaily[Discharges],tblDaily[EntryDate],DATE(2026,11,6),tblDaily[WardCode],"MAE")),"")</f>
        <v/>
      </c>
      <c r="D413" s="39" t="str">
        <f>IFERROR(IF(SUMIFS(tblDaily[Deaths],tblDaily[EntryDate],DATE(2026,11,6),tblDaily[WardCode],"MAE")=0,"",SUMIFS(tblDaily[Deaths],tblDaily[EntryDate],DATE(2026,11,6),tblDaily[WardCode],"MAE")),"")</f>
        <v/>
      </c>
      <c r="E413" s="39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39" t="str">
        <f>IFERROR(IF(SUMIFS(tblDaily[TransfersIn],tblDaily[EntryDate],DATE(2026,11,6),tblDaily[WardCode],"MAE")=0,"",SUMIFS(tblDaily[TransfersIn],tblDaily[EntryDate],DATE(2026,11,6),tblDaily[WardCode],"MAE")),"")</f>
        <v/>
      </c>
      <c r="G413" s="39" t="str">
        <f>IFERROR(IF(SUMIFS(tblDaily[TransfersOut],tblDaily[EntryDate],DATE(2026,11,6),tblDaily[WardCode],"MAE")=0,"",SUMIFS(tblDaily[TransfersOut],tblDaily[EntryDate],DATE(2026,11,6),tblDaily[WardCode],"MAE")),"")</f>
        <v/>
      </c>
      <c r="H413" s="39" t="str">
        <f>IFERROR(IF(SUMIFS(tblDaily[Remaining],tblDaily[EntryDate],DATE(2026,11,6),tblDaily[WardCode],"MAE")=0,"",SUMIFS(tblDaily[Remaining],tblDaily[EntryDate],DATE(2026,11,6),tblDaily[WardCode],"MAE")),"")</f>
        <v/>
      </c>
      <c r="I413" s="39" t="str">
        <f>IFERROR(IF(SUMIFS(tblDaily[Admissions],tblDaily[EntryDate],DATE(2026,11,6),tblDaily[WardCode],"FAE")=0,"",SUMIFS(tblDaily[Admissions],tblDaily[EntryDate],DATE(2026,11,6),tblDaily[WardCode],"FAE")),"")</f>
        <v/>
      </c>
      <c r="J413" s="39" t="str">
        <f>IFERROR(IF(SUMIFS(tblDaily[Discharges],tblDaily[EntryDate],DATE(2026,11,6),tblDaily[WardCode],"FAE")=0,"",SUMIFS(tblDaily[Discharges],tblDaily[EntryDate],DATE(2026,11,6),tblDaily[WardCode],"FAE")),"")</f>
        <v/>
      </c>
      <c r="K413" s="39" t="str">
        <f>IFERROR(IF(SUMIFS(tblDaily[Deaths],tblDaily[EntryDate],DATE(2026,11,6),tblDaily[WardCode],"FAE")=0,"",SUMIFS(tblDaily[Deaths],tblDaily[EntryDate],DATE(2026,11,6),tblDaily[WardCode],"FAE")),"")</f>
        <v/>
      </c>
      <c r="L413" s="39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39" t="str">
        <f>IFERROR(IF(SUMIFS(tblDaily[TransfersIn],tblDaily[EntryDate],DATE(2026,11,6),tblDaily[WardCode],"FAE")=0,"",SUMIFS(tblDaily[TransfersIn],tblDaily[EntryDate],DATE(2026,11,6),tblDaily[WardCode],"FAE")),"")</f>
        <v/>
      </c>
      <c r="N413" s="39" t="str">
        <f>IFERROR(IF(SUMIFS(tblDaily[TransfersOut],tblDaily[EntryDate],DATE(2026,11,6),tblDaily[WardCode],"FAE")=0,"",SUMIFS(tblDaily[TransfersOut],tblDaily[EntryDate],DATE(2026,11,6),tblDaily[WardCode],"FAE")),"")</f>
        <v/>
      </c>
      <c r="O413" s="39" t="str">
        <f>IFERROR(IF(SUMIFS(tblDaily[Remaining],tblDaily[EntryDate],DATE(2026,11,6),tblDaily[WardCode],"FAE")=0,"",SUMIFS(tblDaily[Remaining],tblDaily[EntryDate],DATE(2026,11,6),tblDaily[WardCode],"FAE")),"")</f>
        <v/>
      </c>
      <c r="P413" s="40" t="str">
        <f t="shared" si="10"/>
        <v/>
      </c>
    </row>
    <row r="414" spans="1:16" x14ac:dyDescent="0.25">
      <c r="A414" s="39">
        <v>7</v>
      </c>
      <c r="B414" s="39" t="str">
        <f>IFERROR(IF(SUMIFS(tblDaily[Admissions],tblDaily[EntryDate],DATE(2026,11,7),tblDaily[WardCode],"MAE")=0,"",SUMIFS(tblDaily[Admissions],tblDaily[EntryDate],DATE(2026,11,7),tblDaily[WardCode],"MAE")),"")</f>
        <v/>
      </c>
      <c r="C414" s="39" t="str">
        <f>IFERROR(IF(SUMIFS(tblDaily[Discharges],tblDaily[EntryDate],DATE(2026,11,7),tblDaily[WardCode],"MAE")=0,"",SUMIFS(tblDaily[Discharges],tblDaily[EntryDate],DATE(2026,11,7),tblDaily[WardCode],"MAE")),"")</f>
        <v/>
      </c>
      <c r="D414" s="39" t="str">
        <f>IFERROR(IF(SUMIFS(tblDaily[Deaths],tblDaily[EntryDate],DATE(2026,11,7),tblDaily[WardCode],"MAE")=0,"",SUMIFS(tblDaily[Deaths],tblDaily[EntryDate],DATE(2026,11,7),tblDaily[WardCode],"MAE")),"")</f>
        <v/>
      </c>
      <c r="E414" s="39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39" t="str">
        <f>IFERROR(IF(SUMIFS(tblDaily[TransfersIn],tblDaily[EntryDate],DATE(2026,11,7),tblDaily[WardCode],"MAE")=0,"",SUMIFS(tblDaily[TransfersIn],tblDaily[EntryDate],DATE(2026,11,7),tblDaily[WardCode],"MAE")),"")</f>
        <v/>
      </c>
      <c r="G414" s="39" t="str">
        <f>IFERROR(IF(SUMIFS(tblDaily[TransfersOut],tblDaily[EntryDate],DATE(2026,11,7),tblDaily[WardCode],"MAE")=0,"",SUMIFS(tblDaily[TransfersOut],tblDaily[EntryDate],DATE(2026,11,7),tblDaily[WardCode],"MAE")),"")</f>
        <v/>
      </c>
      <c r="H414" s="39" t="str">
        <f>IFERROR(IF(SUMIFS(tblDaily[Remaining],tblDaily[EntryDate],DATE(2026,11,7),tblDaily[WardCode],"MAE")=0,"",SUMIFS(tblDaily[Remaining],tblDaily[EntryDate],DATE(2026,11,7),tblDaily[WardCode],"MAE")),"")</f>
        <v/>
      </c>
      <c r="I414" s="39" t="str">
        <f>IFERROR(IF(SUMIFS(tblDaily[Admissions],tblDaily[EntryDate],DATE(2026,11,7),tblDaily[WardCode],"FAE")=0,"",SUMIFS(tblDaily[Admissions],tblDaily[EntryDate],DATE(2026,11,7),tblDaily[WardCode],"FAE")),"")</f>
        <v/>
      </c>
      <c r="J414" s="39" t="str">
        <f>IFERROR(IF(SUMIFS(tblDaily[Discharges],tblDaily[EntryDate],DATE(2026,11,7),tblDaily[WardCode],"FAE")=0,"",SUMIFS(tblDaily[Discharges],tblDaily[EntryDate],DATE(2026,11,7),tblDaily[WardCode],"FAE")),"")</f>
        <v/>
      </c>
      <c r="K414" s="39" t="str">
        <f>IFERROR(IF(SUMIFS(tblDaily[Deaths],tblDaily[EntryDate],DATE(2026,11,7),tblDaily[WardCode],"FAE")=0,"",SUMIFS(tblDaily[Deaths],tblDaily[EntryDate],DATE(2026,11,7),tblDaily[WardCode],"FAE")),"")</f>
        <v/>
      </c>
      <c r="L414" s="39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39" t="str">
        <f>IFERROR(IF(SUMIFS(tblDaily[TransfersIn],tblDaily[EntryDate],DATE(2026,11,7),tblDaily[WardCode],"FAE")=0,"",SUMIFS(tblDaily[TransfersIn],tblDaily[EntryDate],DATE(2026,11,7),tblDaily[WardCode],"FAE")),"")</f>
        <v/>
      </c>
      <c r="N414" s="39" t="str">
        <f>IFERROR(IF(SUMIFS(tblDaily[TransfersOut],tblDaily[EntryDate],DATE(2026,11,7),tblDaily[WardCode],"FAE")=0,"",SUMIFS(tblDaily[TransfersOut],tblDaily[EntryDate],DATE(2026,11,7),tblDaily[WardCode],"FAE")),"")</f>
        <v/>
      </c>
      <c r="O414" s="39" t="str">
        <f>IFERROR(IF(SUMIFS(tblDaily[Remaining],tblDaily[EntryDate],DATE(2026,11,7),tblDaily[WardCode],"FAE")=0,"",SUMIFS(tblDaily[Remaining],tblDaily[EntryDate],DATE(2026,11,7),tblDaily[WardCode],"FAE")),"")</f>
        <v/>
      </c>
      <c r="P414" s="40" t="str">
        <f t="shared" si="10"/>
        <v/>
      </c>
    </row>
    <row r="415" spans="1:16" x14ac:dyDescent="0.25">
      <c r="A415" s="39">
        <v>8</v>
      </c>
      <c r="B415" s="39" t="str">
        <f>IFERROR(IF(SUMIFS(tblDaily[Admissions],tblDaily[EntryDate],DATE(2026,11,8),tblDaily[WardCode],"MAE")=0,"",SUMIFS(tblDaily[Admissions],tblDaily[EntryDate],DATE(2026,11,8),tblDaily[WardCode],"MAE")),"")</f>
        <v/>
      </c>
      <c r="C415" s="39" t="str">
        <f>IFERROR(IF(SUMIFS(tblDaily[Discharges],tblDaily[EntryDate],DATE(2026,11,8),tblDaily[WardCode],"MAE")=0,"",SUMIFS(tblDaily[Discharges],tblDaily[EntryDate],DATE(2026,11,8),tblDaily[WardCode],"MAE")),"")</f>
        <v/>
      </c>
      <c r="D415" s="39" t="str">
        <f>IFERROR(IF(SUMIFS(tblDaily[Deaths],tblDaily[EntryDate],DATE(2026,11,8),tblDaily[WardCode],"MAE")=0,"",SUMIFS(tblDaily[Deaths],tblDaily[EntryDate],DATE(2026,11,8),tblDaily[WardCode],"MAE")),"")</f>
        <v/>
      </c>
      <c r="E415" s="39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39" t="str">
        <f>IFERROR(IF(SUMIFS(tblDaily[TransfersIn],tblDaily[EntryDate],DATE(2026,11,8),tblDaily[WardCode],"MAE")=0,"",SUMIFS(tblDaily[TransfersIn],tblDaily[EntryDate],DATE(2026,11,8),tblDaily[WardCode],"MAE")),"")</f>
        <v/>
      </c>
      <c r="G415" s="39" t="str">
        <f>IFERROR(IF(SUMIFS(tblDaily[TransfersOut],tblDaily[EntryDate],DATE(2026,11,8),tblDaily[WardCode],"MAE")=0,"",SUMIFS(tblDaily[TransfersOut],tblDaily[EntryDate],DATE(2026,11,8),tblDaily[WardCode],"MAE")),"")</f>
        <v/>
      </c>
      <c r="H415" s="39" t="str">
        <f>IFERROR(IF(SUMIFS(tblDaily[Remaining],tblDaily[EntryDate],DATE(2026,11,8),tblDaily[WardCode],"MAE")=0,"",SUMIFS(tblDaily[Remaining],tblDaily[EntryDate],DATE(2026,11,8),tblDaily[WardCode],"MAE")),"")</f>
        <v/>
      </c>
      <c r="I415" s="39" t="str">
        <f>IFERROR(IF(SUMIFS(tblDaily[Admissions],tblDaily[EntryDate],DATE(2026,11,8),tblDaily[WardCode],"FAE")=0,"",SUMIFS(tblDaily[Admissions],tblDaily[EntryDate],DATE(2026,11,8),tblDaily[WardCode],"FAE")),"")</f>
        <v/>
      </c>
      <c r="J415" s="39" t="str">
        <f>IFERROR(IF(SUMIFS(tblDaily[Discharges],tblDaily[EntryDate],DATE(2026,11,8),tblDaily[WardCode],"FAE")=0,"",SUMIFS(tblDaily[Discharges],tblDaily[EntryDate],DATE(2026,11,8),tblDaily[WardCode],"FAE")),"")</f>
        <v/>
      </c>
      <c r="K415" s="39" t="str">
        <f>IFERROR(IF(SUMIFS(tblDaily[Deaths],tblDaily[EntryDate],DATE(2026,11,8),tblDaily[WardCode],"FAE")=0,"",SUMIFS(tblDaily[Deaths],tblDaily[EntryDate],DATE(2026,11,8),tblDaily[WardCode],"FAE")),"")</f>
        <v/>
      </c>
      <c r="L415" s="39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39" t="str">
        <f>IFERROR(IF(SUMIFS(tblDaily[TransfersIn],tblDaily[EntryDate],DATE(2026,11,8),tblDaily[WardCode],"FAE")=0,"",SUMIFS(tblDaily[TransfersIn],tblDaily[EntryDate],DATE(2026,11,8),tblDaily[WardCode],"FAE")),"")</f>
        <v/>
      </c>
      <c r="N415" s="39" t="str">
        <f>IFERROR(IF(SUMIFS(tblDaily[TransfersOut],tblDaily[EntryDate],DATE(2026,11,8),tblDaily[WardCode],"FAE")=0,"",SUMIFS(tblDaily[TransfersOut],tblDaily[EntryDate],DATE(2026,11,8),tblDaily[WardCode],"FAE")),"")</f>
        <v/>
      </c>
      <c r="O415" s="39" t="str">
        <f>IFERROR(IF(SUMIFS(tblDaily[Remaining],tblDaily[EntryDate],DATE(2026,11,8),tblDaily[WardCode],"FAE")=0,"",SUMIFS(tblDaily[Remaining],tblDaily[EntryDate],DATE(2026,11,8),tblDaily[WardCode],"FAE")),"")</f>
        <v/>
      </c>
      <c r="P415" s="40" t="str">
        <f t="shared" si="10"/>
        <v/>
      </c>
    </row>
    <row r="416" spans="1:16" x14ac:dyDescent="0.25">
      <c r="A416" s="39">
        <v>9</v>
      </c>
      <c r="B416" s="39" t="str">
        <f>IFERROR(IF(SUMIFS(tblDaily[Admissions],tblDaily[EntryDate],DATE(2026,11,9),tblDaily[WardCode],"MAE")=0,"",SUMIFS(tblDaily[Admissions],tblDaily[EntryDate],DATE(2026,11,9),tblDaily[WardCode],"MAE")),"")</f>
        <v/>
      </c>
      <c r="C416" s="39" t="str">
        <f>IFERROR(IF(SUMIFS(tblDaily[Discharges],tblDaily[EntryDate],DATE(2026,11,9),tblDaily[WardCode],"MAE")=0,"",SUMIFS(tblDaily[Discharges],tblDaily[EntryDate],DATE(2026,11,9),tblDaily[WardCode],"MAE")),"")</f>
        <v/>
      </c>
      <c r="D416" s="39" t="str">
        <f>IFERROR(IF(SUMIFS(tblDaily[Deaths],tblDaily[EntryDate],DATE(2026,11,9),tblDaily[WardCode],"MAE")=0,"",SUMIFS(tblDaily[Deaths],tblDaily[EntryDate],DATE(2026,11,9),tblDaily[WardCode],"MAE")),"")</f>
        <v/>
      </c>
      <c r="E416" s="39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39" t="str">
        <f>IFERROR(IF(SUMIFS(tblDaily[TransfersIn],tblDaily[EntryDate],DATE(2026,11,9),tblDaily[WardCode],"MAE")=0,"",SUMIFS(tblDaily[TransfersIn],tblDaily[EntryDate],DATE(2026,11,9),tblDaily[WardCode],"MAE")),"")</f>
        <v/>
      </c>
      <c r="G416" s="39" t="str">
        <f>IFERROR(IF(SUMIFS(tblDaily[TransfersOut],tblDaily[EntryDate],DATE(2026,11,9),tblDaily[WardCode],"MAE")=0,"",SUMIFS(tblDaily[TransfersOut],tblDaily[EntryDate],DATE(2026,11,9),tblDaily[WardCode],"MAE")),"")</f>
        <v/>
      </c>
      <c r="H416" s="39" t="str">
        <f>IFERROR(IF(SUMIFS(tblDaily[Remaining],tblDaily[EntryDate],DATE(2026,11,9),tblDaily[WardCode],"MAE")=0,"",SUMIFS(tblDaily[Remaining],tblDaily[EntryDate],DATE(2026,11,9),tblDaily[WardCode],"MAE")),"")</f>
        <v/>
      </c>
      <c r="I416" s="39" t="str">
        <f>IFERROR(IF(SUMIFS(tblDaily[Admissions],tblDaily[EntryDate],DATE(2026,11,9),tblDaily[WardCode],"FAE")=0,"",SUMIFS(tblDaily[Admissions],tblDaily[EntryDate],DATE(2026,11,9),tblDaily[WardCode],"FAE")),"")</f>
        <v/>
      </c>
      <c r="J416" s="39" t="str">
        <f>IFERROR(IF(SUMIFS(tblDaily[Discharges],tblDaily[EntryDate],DATE(2026,11,9),tblDaily[WardCode],"FAE")=0,"",SUMIFS(tblDaily[Discharges],tblDaily[EntryDate],DATE(2026,11,9),tblDaily[WardCode],"FAE")),"")</f>
        <v/>
      </c>
      <c r="K416" s="39" t="str">
        <f>IFERROR(IF(SUMIFS(tblDaily[Deaths],tblDaily[EntryDate],DATE(2026,11,9),tblDaily[WardCode],"FAE")=0,"",SUMIFS(tblDaily[Deaths],tblDaily[EntryDate],DATE(2026,11,9),tblDaily[WardCode],"FAE")),"")</f>
        <v/>
      </c>
      <c r="L416" s="39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39" t="str">
        <f>IFERROR(IF(SUMIFS(tblDaily[TransfersIn],tblDaily[EntryDate],DATE(2026,11,9),tblDaily[WardCode],"FAE")=0,"",SUMIFS(tblDaily[TransfersIn],tblDaily[EntryDate],DATE(2026,11,9),tblDaily[WardCode],"FAE")),"")</f>
        <v/>
      </c>
      <c r="N416" s="39" t="str">
        <f>IFERROR(IF(SUMIFS(tblDaily[TransfersOut],tblDaily[EntryDate],DATE(2026,11,9),tblDaily[WardCode],"FAE")=0,"",SUMIFS(tblDaily[TransfersOut],tblDaily[EntryDate],DATE(2026,11,9),tblDaily[WardCode],"FAE")),"")</f>
        <v/>
      </c>
      <c r="O416" s="39" t="str">
        <f>IFERROR(IF(SUMIFS(tblDaily[Remaining],tblDaily[EntryDate],DATE(2026,11,9),tblDaily[WardCode],"FAE")=0,"",SUMIFS(tblDaily[Remaining],tblDaily[EntryDate],DATE(2026,11,9),tblDaily[WardCode],"FAE")),"")</f>
        <v/>
      </c>
      <c r="P416" s="40" t="str">
        <f t="shared" si="10"/>
        <v/>
      </c>
    </row>
    <row r="417" spans="1:16" x14ac:dyDescent="0.25">
      <c r="A417" s="39">
        <v>10</v>
      </c>
      <c r="B417" s="39" t="str">
        <f>IFERROR(IF(SUMIFS(tblDaily[Admissions],tblDaily[EntryDate],DATE(2026,11,10),tblDaily[WardCode],"MAE")=0,"",SUMIFS(tblDaily[Admissions],tblDaily[EntryDate],DATE(2026,11,10),tblDaily[WardCode],"MAE")),"")</f>
        <v/>
      </c>
      <c r="C417" s="39" t="str">
        <f>IFERROR(IF(SUMIFS(tblDaily[Discharges],tblDaily[EntryDate],DATE(2026,11,10),tblDaily[WardCode],"MAE")=0,"",SUMIFS(tblDaily[Discharges],tblDaily[EntryDate],DATE(2026,11,10),tblDaily[WardCode],"MAE")),"")</f>
        <v/>
      </c>
      <c r="D417" s="39" t="str">
        <f>IFERROR(IF(SUMIFS(tblDaily[Deaths],tblDaily[EntryDate],DATE(2026,11,10),tblDaily[WardCode],"MAE")=0,"",SUMIFS(tblDaily[Deaths],tblDaily[EntryDate],DATE(2026,11,10),tblDaily[WardCode],"MAE")),"")</f>
        <v/>
      </c>
      <c r="E417" s="3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39" t="str">
        <f>IFERROR(IF(SUMIFS(tblDaily[TransfersIn],tblDaily[EntryDate],DATE(2026,11,10),tblDaily[WardCode],"MAE")=0,"",SUMIFS(tblDaily[TransfersIn],tblDaily[EntryDate],DATE(2026,11,10),tblDaily[WardCode],"MAE")),"")</f>
        <v/>
      </c>
      <c r="G417" s="39" t="str">
        <f>IFERROR(IF(SUMIFS(tblDaily[TransfersOut],tblDaily[EntryDate],DATE(2026,11,10),tblDaily[WardCode],"MAE")=0,"",SUMIFS(tblDaily[TransfersOut],tblDaily[EntryDate],DATE(2026,11,10),tblDaily[WardCode],"MAE")),"")</f>
        <v/>
      </c>
      <c r="H417" s="39" t="str">
        <f>IFERROR(IF(SUMIFS(tblDaily[Remaining],tblDaily[EntryDate],DATE(2026,11,10),tblDaily[WardCode],"MAE")=0,"",SUMIFS(tblDaily[Remaining],tblDaily[EntryDate],DATE(2026,11,10),tblDaily[WardCode],"MAE")),"")</f>
        <v/>
      </c>
      <c r="I417" s="39" t="str">
        <f>IFERROR(IF(SUMIFS(tblDaily[Admissions],tblDaily[EntryDate],DATE(2026,11,10),tblDaily[WardCode],"FAE")=0,"",SUMIFS(tblDaily[Admissions],tblDaily[EntryDate],DATE(2026,11,10),tblDaily[WardCode],"FAE")),"")</f>
        <v/>
      </c>
      <c r="J417" s="39" t="str">
        <f>IFERROR(IF(SUMIFS(tblDaily[Discharges],tblDaily[EntryDate],DATE(2026,11,10),tblDaily[WardCode],"FAE")=0,"",SUMIFS(tblDaily[Discharges],tblDaily[EntryDate],DATE(2026,11,10),tblDaily[WardCode],"FAE")),"")</f>
        <v/>
      </c>
      <c r="K417" s="39" t="str">
        <f>IFERROR(IF(SUMIFS(tblDaily[Deaths],tblDaily[EntryDate],DATE(2026,11,10),tblDaily[WardCode],"FAE")=0,"",SUMIFS(tblDaily[Deaths],tblDaily[EntryDate],DATE(2026,11,10),tblDaily[WardCode],"FAE")),"")</f>
        <v/>
      </c>
      <c r="L417" s="39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39" t="str">
        <f>IFERROR(IF(SUMIFS(tblDaily[TransfersIn],tblDaily[EntryDate],DATE(2026,11,10),tblDaily[WardCode],"FAE")=0,"",SUMIFS(tblDaily[TransfersIn],tblDaily[EntryDate],DATE(2026,11,10),tblDaily[WardCode],"FAE")),"")</f>
        <v/>
      </c>
      <c r="N417" s="39" t="str">
        <f>IFERROR(IF(SUMIFS(tblDaily[TransfersOut],tblDaily[EntryDate],DATE(2026,11,10),tblDaily[WardCode],"FAE")=0,"",SUMIFS(tblDaily[TransfersOut],tblDaily[EntryDate],DATE(2026,11,10),tblDaily[WardCode],"FAE")),"")</f>
        <v/>
      </c>
      <c r="O417" s="39" t="str">
        <f>IFERROR(IF(SUMIFS(tblDaily[Remaining],tblDaily[EntryDate],DATE(2026,11,10),tblDaily[WardCode],"FAE")=0,"",SUMIFS(tblDaily[Remaining],tblDaily[EntryDate],DATE(2026,11,10),tblDaily[WardCode],"FAE")),"")</f>
        <v/>
      </c>
      <c r="P417" s="40" t="str">
        <f t="shared" si="10"/>
        <v/>
      </c>
    </row>
    <row r="418" spans="1:16" x14ac:dyDescent="0.25">
      <c r="A418" s="39">
        <v>11</v>
      </c>
      <c r="B418" s="39" t="str">
        <f>IFERROR(IF(SUMIFS(tblDaily[Admissions],tblDaily[EntryDate],DATE(2026,11,11),tblDaily[WardCode],"MAE")=0,"",SUMIFS(tblDaily[Admissions],tblDaily[EntryDate],DATE(2026,11,11),tblDaily[WardCode],"MAE")),"")</f>
        <v/>
      </c>
      <c r="C418" s="39" t="str">
        <f>IFERROR(IF(SUMIFS(tblDaily[Discharges],tblDaily[EntryDate],DATE(2026,11,11),tblDaily[WardCode],"MAE")=0,"",SUMIFS(tblDaily[Discharges],tblDaily[EntryDate],DATE(2026,11,11),tblDaily[WardCode],"MAE")),"")</f>
        <v/>
      </c>
      <c r="D418" s="39" t="str">
        <f>IFERROR(IF(SUMIFS(tblDaily[Deaths],tblDaily[EntryDate],DATE(2026,11,11),tblDaily[WardCode],"MAE")=0,"",SUMIFS(tblDaily[Deaths],tblDaily[EntryDate],DATE(2026,11,11),tblDaily[WardCode],"MAE")),"")</f>
        <v/>
      </c>
      <c r="E418" s="3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39" t="str">
        <f>IFERROR(IF(SUMIFS(tblDaily[TransfersIn],tblDaily[EntryDate],DATE(2026,11,11),tblDaily[WardCode],"MAE")=0,"",SUMIFS(tblDaily[TransfersIn],tblDaily[EntryDate],DATE(2026,11,11),tblDaily[WardCode],"MAE")),"")</f>
        <v/>
      </c>
      <c r="G418" s="39" t="str">
        <f>IFERROR(IF(SUMIFS(tblDaily[TransfersOut],tblDaily[EntryDate],DATE(2026,11,11),tblDaily[WardCode],"MAE")=0,"",SUMIFS(tblDaily[TransfersOut],tblDaily[EntryDate],DATE(2026,11,11),tblDaily[WardCode],"MAE")),"")</f>
        <v/>
      </c>
      <c r="H418" s="39" t="str">
        <f>IFERROR(IF(SUMIFS(tblDaily[Remaining],tblDaily[EntryDate],DATE(2026,11,11),tblDaily[WardCode],"MAE")=0,"",SUMIFS(tblDaily[Remaining],tblDaily[EntryDate],DATE(2026,11,11),tblDaily[WardCode],"MAE")),"")</f>
        <v/>
      </c>
      <c r="I418" s="39" t="str">
        <f>IFERROR(IF(SUMIFS(tblDaily[Admissions],tblDaily[EntryDate],DATE(2026,11,11),tblDaily[WardCode],"FAE")=0,"",SUMIFS(tblDaily[Admissions],tblDaily[EntryDate],DATE(2026,11,11),tblDaily[WardCode],"FAE")),"")</f>
        <v/>
      </c>
      <c r="J418" s="39" t="str">
        <f>IFERROR(IF(SUMIFS(tblDaily[Discharges],tblDaily[EntryDate],DATE(2026,11,11),tblDaily[WardCode],"FAE")=0,"",SUMIFS(tblDaily[Discharges],tblDaily[EntryDate],DATE(2026,11,11),tblDaily[WardCode],"FAE")),"")</f>
        <v/>
      </c>
      <c r="K418" s="39" t="str">
        <f>IFERROR(IF(SUMIFS(tblDaily[Deaths],tblDaily[EntryDate],DATE(2026,11,11),tblDaily[WardCode],"FAE")=0,"",SUMIFS(tblDaily[Deaths],tblDaily[EntryDate],DATE(2026,11,11),tblDaily[WardCode],"FAE")),"")</f>
        <v/>
      </c>
      <c r="L418" s="39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39" t="str">
        <f>IFERROR(IF(SUMIFS(tblDaily[TransfersIn],tblDaily[EntryDate],DATE(2026,11,11),tblDaily[WardCode],"FAE")=0,"",SUMIFS(tblDaily[TransfersIn],tblDaily[EntryDate],DATE(2026,11,11),tblDaily[WardCode],"FAE")),"")</f>
        <v/>
      </c>
      <c r="N418" s="39" t="str">
        <f>IFERROR(IF(SUMIFS(tblDaily[TransfersOut],tblDaily[EntryDate],DATE(2026,11,11),tblDaily[WardCode],"FAE")=0,"",SUMIFS(tblDaily[TransfersOut],tblDaily[EntryDate],DATE(2026,11,11),tblDaily[WardCode],"FAE")),"")</f>
        <v/>
      </c>
      <c r="O418" s="39" t="str">
        <f>IFERROR(IF(SUMIFS(tblDaily[Remaining],tblDaily[EntryDate],DATE(2026,11,11),tblDaily[WardCode],"FAE")=0,"",SUMIFS(tblDaily[Remaining],tblDaily[EntryDate],DATE(2026,11,11),tblDaily[WardCode],"FAE")),"")</f>
        <v/>
      </c>
      <c r="P418" s="40" t="str">
        <f t="shared" si="10"/>
        <v/>
      </c>
    </row>
    <row r="419" spans="1:16" x14ac:dyDescent="0.25">
      <c r="A419" s="39">
        <v>12</v>
      </c>
      <c r="B419" s="39" t="str">
        <f>IFERROR(IF(SUMIFS(tblDaily[Admissions],tblDaily[EntryDate],DATE(2026,11,12),tblDaily[WardCode],"MAE")=0,"",SUMIFS(tblDaily[Admissions],tblDaily[EntryDate],DATE(2026,11,12),tblDaily[WardCode],"MAE")),"")</f>
        <v/>
      </c>
      <c r="C419" s="39" t="str">
        <f>IFERROR(IF(SUMIFS(tblDaily[Discharges],tblDaily[EntryDate],DATE(2026,11,12),tblDaily[WardCode],"MAE")=0,"",SUMIFS(tblDaily[Discharges],tblDaily[EntryDate],DATE(2026,11,12),tblDaily[WardCode],"MAE")),"")</f>
        <v/>
      </c>
      <c r="D419" s="39" t="str">
        <f>IFERROR(IF(SUMIFS(tblDaily[Deaths],tblDaily[EntryDate],DATE(2026,11,12),tblDaily[WardCode],"MAE")=0,"",SUMIFS(tblDaily[Deaths],tblDaily[EntryDate],DATE(2026,11,12),tblDaily[WardCode],"MAE")),"")</f>
        <v/>
      </c>
      <c r="E419" s="3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39" t="str">
        <f>IFERROR(IF(SUMIFS(tblDaily[TransfersIn],tblDaily[EntryDate],DATE(2026,11,12),tblDaily[WardCode],"MAE")=0,"",SUMIFS(tblDaily[TransfersIn],tblDaily[EntryDate],DATE(2026,11,12),tblDaily[WardCode],"MAE")),"")</f>
        <v/>
      </c>
      <c r="G419" s="39" t="str">
        <f>IFERROR(IF(SUMIFS(tblDaily[TransfersOut],tblDaily[EntryDate],DATE(2026,11,12),tblDaily[WardCode],"MAE")=0,"",SUMIFS(tblDaily[TransfersOut],tblDaily[EntryDate],DATE(2026,11,12),tblDaily[WardCode],"MAE")),"")</f>
        <v/>
      </c>
      <c r="H419" s="39" t="str">
        <f>IFERROR(IF(SUMIFS(tblDaily[Remaining],tblDaily[EntryDate],DATE(2026,11,12),tblDaily[WardCode],"MAE")=0,"",SUMIFS(tblDaily[Remaining],tblDaily[EntryDate],DATE(2026,11,12),tblDaily[WardCode],"MAE")),"")</f>
        <v/>
      </c>
      <c r="I419" s="39" t="str">
        <f>IFERROR(IF(SUMIFS(tblDaily[Admissions],tblDaily[EntryDate],DATE(2026,11,12),tblDaily[WardCode],"FAE")=0,"",SUMIFS(tblDaily[Admissions],tblDaily[EntryDate],DATE(2026,11,12),tblDaily[WardCode],"FAE")),"")</f>
        <v/>
      </c>
      <c r="J419" s="39" t="str">
        <f>IFERROR(IF(SUMIFS(tblDaily[Discharges],tblDaily[EntryDate],DATE(2026,11,12),tblDaily[WardCode],"FAE")=0,"",SUMIFS(tblDaily[Discharges],tblDaily[EntryDate],DATE(2026,11,12),tblDaily[WardCode],"FAE")),"")</f>
        <v/>
      </c>
      <c r="K419" s="39" t="str">
        <f>IFERROR(IF(SUMIFS(tblDaily[Deaths],tblDaily[EntryDate],DATE(2026,11,12),tblDaily[WardCode],"FAE")=0,"",SUMIFS(tblDaily[Deaths],tblDaily[EntryDate],DATE(2026,11,12),tblDaily[WardCode],"FAE")),"")</f>
        <v/>
      </c>
      <c r="L419" s="39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39" t="str">
        <f>IFERROR(IF(SUMIFS(tblDaily[TransfersIn],tblDaily[EntryDate],DATE(2026,11,12),tblDaily[WardCode],"FAE")=0,"",SUMIFS(tblDaily[TransfersIn],tblDaily[EntryDate],DATE(2026,11,12),tblDaily[WardCode],"FAE")),"")</f>
        <v/>
      </c>
      <c r="N419" s="39" t="str">
        <f>IFERROR(IF(SUMIFS(tblDaily[TransfersOut],tblDaily[EntryDate],DATE(2026,11,12),tblDaily[WardCode],"FAE")=0,"",SUMIFS(tblDaily[TransfersOut],tblDaily[EntryDate],DATE(2026,11,12),tblDaily[WardCode],"FAE")),"")</f>
        <v/>
      </c>
      <c r="O419" s="39" t="str">
        <f>IFERROR(IF(SUMIFS(tblDaily[Remaining],tblDaily[EntryDate],DATE(2026,11,12),tblDaily[WardCode],"FAE")=0,"",SUMIFS(tblDaily[Remaining],tblDaily[EntryDate],DATE(2026,11,12),tblDaily[WardCode],"FAE")),"")</f>
        <v/>
      </c>
      <c r="P419" s="40" t="str">
        <f t="shared" si="10"/>
        <v/>
      </c>
    </row>
    <row r="420" spans="1:16" x14ac:dyDescent="0.25">
      <c r="A420" s="39">
        <v>13</v>
      </c>
      <c r="B420" s="39" t="str">
        <f>IFERROR(IF(SUMIFS(tblDaily[Admissions],tblDaily[EntryDate],DATE(2026,11,13),tblDaily[WardCode],"MAE")=0,"",SUMIFS(tblDaily[Admissions],tblDaily[EntryDate],DATE(2026,11,13),tblDaily[WardCode],"MAE")),"")</f>
        <v/>
      </c>
      <c r="C420" s="39" t="str">
        <f>IFERROR(IF(SUMIFS(tblDaily[Discharges],tblDaily[EntryDate],DATE(2026,11,13),tblDaily[WardCode],"MAE")=0,"",SUMIFS(tblDaily[Discharges],tblDaily[EntryDate],DATE(2026,11,13),tblDaily[WardCode],"MAE")),"")</f>
        <v/>
      </c>
      <c r="D420" s="39" t="str">
        <f>IFERROR(IF(SUMIFS(tblDaily[Deaths],tblDaily[EntryDate],DATE(2026,11,13),tblDaily[WardCode],"MAE")=0,"",SUMIFS(tblDaily[Deaths],tblDaily[EntryDate],DATE(2026,11,13),tblDaily[WardCode],"MAE")),"")</f>
        <v/>
      </c>
      <c r="E420" s="3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39" t="str">
        <f>IFERROR(IF(SUMIFS(tblDaily[TransfersIn],tblDaily[EntryDate],DATE(2026,11,13),tblDaily[WardCode],"MAE")=0,"",SUMIFS(tblDaily[TransfersIn],tblDaily[EntryDate],DATE(2026,11,13),tblDaily[WardCode],"MAE")),"")</f>
        <v/>
      </c>
      <c r="G420" s="39" t="str">
        <f>IFERROR(IF(SUMIFS(tblDaily[TransfersOut],tblDaily[EntryDate],DATE(2026,11,13),tblDaily[WardCode],"MAE")=0,"",SUMIFS(tblDaily[TransfersOut],tblDaily[EntryDate],DATE(2026,11,13),tblDaily[WardCode],"MAE")),"")</f>
        <v/>
      </c>
      <c r="H420" s="39" t="str">
        <f>IFERROR(IF(SUMIFS(tblDaily[Remaining],tblDaily[EntryDate],DATE(2026,11,13),tblDaily[WardCode],"MAE")=0,"",SUMIFS(tblDaily[Remaining],tblDaily[EntryDate],DATE(2026,11,13),tblDaily[WardCode],"MAE")),"")</f>
        <v/>
      </c>
      <c r="I420" s="39" t="str">
        <f>IFERROR(IF(SUMIFS(tblDaily[Admissions],tblDaily[EntryDate],DATE(2026,11,13),tblDaily[WardCode],"FAE")=0,"",SUMIFS(tblDaily[Admissions],tblDaily[EntryDate],DATE(2026,11,13),tblDaily[WardCode],"FAE")),"")</f>
        <v/>
      </c>
      <c r="J420" s="39" t="str">
        <f>IFERROR(IF(SUMIFS(tblDaily[Discharges],tblDaily[EntryDate],DATE(2026,11,13),tblDaily[WardCode],"FAE")=0,"",SUMIFS(tblDaily[Discharges],tblDaily[EntryDate],DATE(2026,11,13),tblDaily[WardCode],"FAE")),"")</f>
        <v/>
      </c>
      <c r="K420" s="39" t="str">
        <f>IFERROR(IF(SUMIFS(tblDaily[Deaths],tblDaily[EntryDate],DATE(2026,11,13),tblDaily[WardCode],"FAE")=0,"",SUMIFS(tblDaily[Deaths],tblDaily[EntryDate],DATE(2026,11,13),tblDaily[WardCode],"FAE")),"")</f>
        <v/>
      </c>
      <c r="L420" s="39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39" t="str">
        <f>IFERROR(IF(SUMIFS(tblDaily[TransfersIn],tblDaily[EntryDate],DATE(2026,11,13),tblDaily[WardCode],"FAE")=0,"",SUMIFS(tblDaily[TransfersIn],tblDaily[EntryDate],DATE(2026,11,13),tblDaily[WardCode],"FAE")),"")</f>
        <v/>
      </c>
      <c r="N420" s="39" t="str">
        <f>IFERROR(IF(SUMIFS(tblDaily[TransfersOut],tblDaily[EntryDate],DATE(2026,11,13),tblDaily[WardCode],"FAE")=0,"",SUMIFS(tblDaily[TransfersOut],tblDaily[EntryDate],DATE(2026,11,13),tblDaily[WardCode],"FAE")),"")</f>
        <v/>
      </c>
      <c r="O420" s="39" t="str">
        <f>IFERROR(IF(SUMIFS(tblDaily[Remaining],tblDaily[EntryDate],DATE(2026,11,13),tblDaily[WardCode],"FAE")=0,"",SUMIFS(tblDaily[Remaining],tblDaily[EntryDate],DATE(2026,11,13),tblDaily[WardCode],"FAE")),"")</f>
        <v/>
      </c>
      <c r="P420" s="40" t="str">
        <f t="shared" si="10"/>
        <v/>
      </c>
    </row>
    <row r="421" spans="1:16" x14ac:dyDescent="0.25">
      <c r="A421" s="39">
        <v>14</v>
      </c>
      <c r="B421" s="39" t="str">
        <f>IFERROR(IF(SUMIFS(tblDaily[Admissions],tblDaily[EntryDate],DATE(2026,11,14),tblDaily[WardCode],"MAE")=0,"",SUMIFS(tblDaily[Admissions],tblDaily[EntryDate],DATE(2026,11,14),tblDaily[WardCode],"MAE")),"")</f>
        <v/>
      </c>
      <c r="C421" s="39" t="str">
        <f>IFERROR(IF(SUMIFS(tblDaily[Discharges],tblDaily[EntryDate],DATE(2026,11,14),tblDaily[WardCode],"MAE")=0,"",SUMIFS(tblDaily[Discharges],tblDaily[EntryDate],DATE(2026,11,14),tblDaily[WardCode],"MAE")),"")</f>
        <v/>
      </c>
      <c r="D421" s="39" t="str">
        <f>IFERROR(IF(SUMIFS(tblDaily[Deaths],tblDaily[EntryDate],DATE(2026,11,14),tblDaily[WardCode],"MAE")=0,"",SUMIFS(tblDaily[Deaths],tblDaily[EntryDate],DATE(2026,11,14),tblDaily[WardCode],"MAE")),"")</f>
        <v/>
      </c>
      <c r="E421" s="3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39" t="str">
        <f>IFERROR(IF(SUMIFS(tblDaily[TransfersIn],tblDaily[EntryDate],DATE(2026,11,14),tblDaily[WardCode],"MAE")=0,"",SUMIFS(tblDaily[TransfersIn],tblDaily[EntryDate],DATE(2026,11,14),tblDaily[WardCode],"MAE")),"")</f>
        <v/>
      </c>
      <c r="G421" s="39" t="str">
        <f>IFERROR(IF(SUMIFS(tblDaily[TransfersOut],tblDaily[EntryDate],DATE(2026,11,14),tblDaily[WardCode],"MAE")=0,"",SUMIFS(tblDaily[TransfersOut],tblDaily[EntryDate],DATE(2026,11,14),tblDaily[WardCode],"MAE")),"")</f>
        <v/>
      </c>
      <c r="H421" s="39" t="str">
        <f>IFERROR(IF(SUMIFS(tblDaily[Remaining],tblDaily[EntryDate],DATE(2026,11,14),tblDaily[WardCode],"MAE")=0,"",SUMIFS(tblDaily[Remaining],tblDaily[EntryDate],DATE(2026,11,14),tblDaily[WardCode],"MAE")),"")</f>
        <v/>
      </c>
      <c r="I421" s="39" t="str">
        <f>IFERROR(IF(SUMIFS(tblDaily[Admissions],tblDaily[EntryDate],DATE(2026,11,14),tblDaily[WardCode],"FAE")=0,"",SUMIFS(tblDaily[Admissions],tblDaily[EntryDate],DATE(2026,11,14),tblDaily[WardCode],"FAE")),"")</f>
        <v/>
      </c>
      <c r="J421" s="39" t="str">
        <f>IFERROR(IF(SUMIFS(tblDaily[Discharges],tblDaily[EntryDate],DATE(2026,11,14),tblDaily[WardCode],"FAE")=0,"",SUMIFS(tblDaily[Discharges],tblDaily[EntryDate],DATE(2026,11,14),tblDaily[WardCode],"FAE")),"")</f>
        <v/>
      </c>
      <c r="K421" s="39" t="str">
        <f>IFERROR(IF(SUMIFS(tblDaily[Deaths],tblDaily[EntryDate],DATE(2026,11,14),tblDaily[WardCode],"FAE")=0,"",SUMIFS(tblDaily[Deaths],tblDaily[EntryDate],DATE(2026,11,14),tblDaily[WardCode],"FAE")),"")</f>
        <v/>
      </c>
      <c r="L421" s="39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39" t="str">
        <f>IFERROR(IF(SUMIFS(tblDaily[TransfersIn],tblDaily[EntryDate],DATE(2026,11,14),tblDaily[WardCode],"FAE")=0,"",SUMIFS(tblDaily[TransfersIn],tblDaily[EntryDate],DATE(2026,11,14),tblDaily[WardCode],"FAE")),"")</f>
        <v/>
      </c>
      <c r="N421" s="39" t="str">
        <f>IFERROR(IF(SUMIFS(tblDaily[TransfersOut],tblDaily[EntryDate],DATE(2026,11,14),tblDaily[WardCode],"FAE")=0,"",SUMIFS(tblDaily[TransfersOut],tblDaily[EntryDate],DATE(2026,11,14),tblDaily[WardCode],"FAE")),"")</f>
        <v/>
      </c>
      <c r="O421" s="39" t="str">
        <f>IFERROR(IF(SUMIFS(tblDaily[Remaining],tblDaily[EntryDate],DATE(2026,11,14),tblDaily[WardCode],"FAE")=0,"",SUMIFS(tblDaily[Remaining],tblDaily[EntryDate],DATE(2026,11,14),tblDaily[WardCode],"FAE")),"")</f>
        <v/>
      </c>
      <c r="P421" s="40" t="str">
        <f t="shared" si="10"/>
        <v/>
      </c>
    </row>
    <row r="422" spans="1:16" x14ac:dyDescent="0.25">
      <c r="A422" s="39">
        <v>15</v>
      </c>
      <c r="B422" s="39" t="str">
        <f>IFERROR(IF(SUMIFS(tblDaily[Admissions],tblDaily[EntryDate],DATE(2026,11,15),tblDaily[WardCode],"MAE")=0,"",SUMIFS(tblDaily[Admissions],tblDaily[EntryDate],DATE(2026,11,15),tblDaily[WardCode],"MAE")),"")</f>
        <v/>
      </c>
      <c r="C422" s="39" t="str">
        <f>IFERROR(IF(SUMIFS(tblDaily[Discharges],tblDaily[EntryDate],DATE(2026,11,15),tblDaily[WardCode],"MAE")=0,"",SUMIFS(tblDaily[Discharges],tblDaily[EntryDate],DATE(2026,11,15),tblDaily[WardCode],"MAE")),"")</f>
        <v/>
      </c>
      <c r="D422" s="39" t="str">
        <f>IFERROR(IF(SUMIFS(tblDaily[Deaths],tblDaily[EntryDate],DATE(2026,11,15),tblDaily[WardCode],"MAE")=0,"",SUMIFS(tblDaily[Deaths],tblDaily[EntryDate],DATE(2026,11,15),tblDaily[WardCode],"MAE")),"")</f>
        <v/>
      </c>
      <c r="E422" s="3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39" t="str">
        <f>IFERROR(IF(SUMIFS(tblDaily[TransfersIn],tblDaily[EntryDate],DATE(2026,11,15),tblDaily[WardCode],"MAE")=0,"",SUMIFS(tblDaily[TransfersIn],tblDaily[EntryDate],DATE(2026,11,15),tblDaily[WardCode],"MAE")),"")</f>
        <v/>
      </c>
      <c r="G422" s="39" t="str">
        <f>IFERROR(IF(SUMIFS(tblDaily[TransfersOut],tblDaily[EntryDate],DATE(2026,11,15),tblDaily[WardCode],"MAE")=0,"",SUMIFS(tblDaily[TransfersOut],tblDaily[EntryDate],DATE(2026,11,15),tblDaily[WardCode],"MAE")),"")</f>
        <v/>
      </c>
      <c r="H422" s="39" t="str">
        <f>IFERROR(IF(SUMIFS(tblDaily[Remaining],tblDaily[EntryDate],DATE(2026,11,15),tblDaily[WardCode],"MAE")=0,"",SUMIFS(tblDaily[Remaining],tblDaily[EntryDate],DATE(2026,11,15),tblDaily[WardCode],"MAE")),"")</f>
        <v/>
      </c>
      <c r="I422" s="39" t="str">
        <f>IFERROR(IF(SUMIFS(tblDaily[Admissions],tblDaily[EntryDate],DATE(2026,11,15),tblDaily[WardCode],"FAE")=0,"",SUMIFS(tblDaily[Admissions],tblDaily[EntryDate],DATE(2026,11,15),tblDaily[WardCode],"FAE")),"")</f>
        <v/>
      </c>
      <c r="J422" s="39" t="str">
        <f>IFERROR(IF(SUMIFS(tblDaily[Discharges],tblDaily[EntryDate],DATE(2026,11,15),tblDaily[WardCode],"FAE")=0,"",SUMIFS(tblDaily[Discharges],tblDaily[EntryDate],DATE(2026,11,15),tblDaily[WardCode],"FAE")),"")</f>
        <v/>
      </c>
      <c r="K422" s="39" t="str">
        <f>IFERROR(IF(SUMIFS(tblDaily[Deaths],tblDaily[EntryDate],DATE(2026,11,15),tblDaily[WardCode],"FAE")=0,"",SUMIFS(tblDaily[Deaths],tblDaily[EntryDate],DATE(2026,11,15),tblDaily[WardCode],"FAE")),"")</f>
        <v/>
      </c>
      <c r="L422" s="39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39" t="str">
        <f>IFERROR(IF(SUMIFS(tblDaily[TransfersIn],tblDaily[EntryDate],DATE(2026,11,15),tblDaily[WardCode],"FAE")=0,"",SUMIFS(tblDaily[TransfersIn],tblDaily[EntryDate],DATE(2026,11,15),tblDaily[WardCode],"FAE")),"")</f>
        <v/>
      </c>
      <c r="N422" s="39" t="str">
        <f>IFERROR(IF(SUMIFS(tblDaily[TransfersOut],tblDaily[EntryDate],DATE(2026,11,15),tblDaily[WardCode],"FAE")=0,"",SUMIFS(tblDaily[TransfersOut],tblDaily[EntryDate],DATE(2026,11,15),tblDaily[WardCode],"FAE")),"")</f>
        <v/>
      </c>
      <c r="O422" s="39" t="str">
        <f>IFERROR(IF(SUMIFS(tblDaily[Remaining],tblDaily[EntryDate],DATE(2026,11,15),tblDaily[WardCode],"FAE")=0,"",SUMIFS(tblDaily[Remaining],tblDaily[EntryDate],DATE(2026,11,15),tblDaily[WardCode],"FAE")),"")</f>
        <v/>
      </c>
      <c r="P422" s="40" t="str">
        <f t="shared" si="10"/>
        <v/>
      </c>
    </row>
    <row r="423" spans="1:16" x14ac:dyDescent="0.25">
      <c r="A423" s="39">
        <v>16</v>
      </c>
      <c r="B423" s="39" t="str">
        <f>IFERROR(IF(SUMIFS(tblDaily[Admissions],tblDaily[EntryDate],DATE(2026,11,16),tblDaily[WardCode],"MAE")=0,"",SUMIFS(tblDaily[Admissions],tblDaily[EntryDate],DATE(2026,11,16),tblDaily[WardCode],"MAE")),"")</f>
        <v/>
      </c>
      <c r="C423" s="39" t="str">
        <f>IFERROR(IF(SUMIFS(tblDaily[Discharges],tblDaily[EntryDate],DATE(2026,11,16),tblDaily[WardCode],"MAE")=0,"",SUMIFS(tblDaily[Discharges],tblDaily[EntryDate],DATE(2026,11,16),tblDaily[WardCode],"MAE")),"")</f>
        <v/>
      </c>
      <c r="D423" s="39" t="str">
        <f>IFERROR(IF(SUMIFS(tblDaily[Deaths],tblDaily[EntryDate],DATE(2026,11,16),tblDaily[WardCode],"MAE")=0,"",SUMIFS(tblDaily[Deaths],tblDaily[EntryDate],DATE(2026,11,16),tblDaily[WardCode],"MAE")),"")</f>
        <v/>
      </c>
      <c r="E423" s="3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39" t="str">
        <f>IFERROR(IF(SUMIFS(tblDaily[TransfersIn],tblDaily[EntryDate],DATE(2026,11,16),tblDaily[WardCode],"MAE")=0,"",SUMIFS(tblDaily[TransfersIn],tblDaily[EntryDate],DATE(2026,11,16),tblDaily[WardCode],"MAE")),"")</f>
        <v/>
      </c>
      <c r="G423" s="39" t="str">
        <f>IFERROR(IF(SUMIFS(tblDaily[TransfersOut],tblDaily[EntryDate],DATE(2026,11,16),tblDaily[WardCode],"MAE")=0,"",SUMIFS(tblDaily[TransfersOut],tblDaily[EntryDate],DATE(2026,11,16),tblDaily[WardCode],"MAE")),"")</f>
        <v/>
      </c>
      <c r="H423" s="39" t="str">
        <f>IFERROR(IF(SUMIFS(tblDaily[Remaining],tblDaily[EntryDate],DATE(2026,11,16),tblDaily[WardCode],"MAE")=0,"",SUMIFS(tblDaily[Remaining],tblDaily[EntryDate],DATE(2026,11,16),tblDaily[WardCode],"MAE")),"")</f>
        <v/>
      </c>
      <c r="I423" s="39" t="str">
        <f>IFERROR(IF(SUMIFS(tblDaily[Admissions],tblDaily[EntryDate],DATE(2026,11,16),tblDaily[WardCode],"FAE")=0,"",SUMIFS(tblDaily[Admissions],tblDaily[EntryDate],DATE(2026,11,16),tblDaily[WardCode],"FAE")),"")</f>
        <v/>
      </c>
      <c r="J423" s="39" t="str">
        <f>IFERROR(IF(SUMIFS(tblDaily[Discharges],tblDaily[EntryDate],DATE(2026,11,16),tblDaily[WardCode],"FAE")=0,"",SUMIFS(tblDaily[Discharges],tblDaily[EntryDate],DATE(2026,11,16),tblDaily[WardCode],"FAE")),"")</f>
        <v/>
      </c>
      <c r="K423" s="39" t="str">
        <f>IFERROR(IF(SUMIFS(tblDaily[Deaths],tblDaily[EntryDate],DATE(2026,11,16),tblDaily[WardCode],"FAE")=0,"",SUMIFS(tblDaily[Deaths],tblDaily[EntryDate],DATE(2026,11,16),tblDaily[WardCode],"FAE")),"")</f>
        <v/>
      </c>
      <c r="L423" s="39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39" t="str">
        <f>IFERROR(IF(SUMIFS(tblDaily[TransfersIn],tblDaily[EntryDate],DATE(2026,11,16),tblDaily[WardCode],"FAE")=0,"",SUMIFS(tblDaily[TransfersIn],tblDaily[EntryDate],DATE(2026,11,16),tblDaily[WardCode],"FAE")),"")</f>
        <v/>
      </c>
      <c r="N423" s="39" t="str">
        <f>IFERROR(IF(SUMIFS(tblDaily[TransfersOut],tblDaily[EntryDate],DATE(2026,11,16),tblDaily[WardCode],"FAE")=0,"",SUMIFS(tblDaily[TransfersOut],tblDaily[EntryDate],DATE(2026,11,16),tblDaily[WardCode],"FAE")),"")</f>
        <v/>
      </c>
      <c r="O423" s="39" t="str">
        <f>IFERROR(IF(SUMIFS(tblDaily[Remaining],tblDaily[EntryDate],DATE(2026,11,16),tblDaily[WardCode],"FAE")=0,"",SUMIFS(tblDaily[Remaining],tblDaily[EntryDate],DATE(2026,11,16),tblDaily[WardCode],"FAE")),"")</f>
        <v/>
      </c>
      <c r="P423" s="40" t="str">
        <f t="shared" si="10"/>
        <v/>
      </c>
    </row>
    <row r="424" spans="1:16" x14ac:dyDescent="0.25">
      <c r="A424" s="39">
        <v>17</v>
      </c>
      <c r="B424" s="39" t="str">
        <f>IFERROR(IF(SUMIFS(tblDaily[Admissions],tblDaily[EntryDate],DATE(2026,11,17),tblDaily[WardCode],"MAE")=0,"",SUMIFS(tblDaily[Admissions],tblDaily[EntryDate],DATE(2026,11,17),tblDaily[WardCode],"MAE")),"")</f>
        <v/>
      </c>
      <c r="C424" s="39" t="str">
        <f>IFERROR(IF(SUMIFS(tblDaily[Discharges],tblDaily[EntryDate],DATE(2026,11,17),tblDaily[WardCode],"MAE")=0,"",SUMIFS(tblDaily[Discharges],tblDaily[EntryDate],DATE(2026,11,17),tblDaily[WardCode],"MAE")),"")</f>
        <v/>
      </c>
      <c r="D424" s="39" t="str">
        <f>IFERROR(IF(SUMIFS(tblDaily[Deaths],tblDaily[EntryDate],DATE(2026,11,17),tblDaily[WardCode],"MAE")=0,"",SUMIFS(tblDaily[Deaths],tblDaily[EntryDate],DATE(2026,11,17),tblDaily[WardCode],"MAE")),"")</f>
        <v/>
      </c>
      <c r="E424" s="3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39" t="str">
        <f>IFERROR(IF(SUMIFS(tblDaily[TransfersIn],tblDaily[EntryDate],DATE(2026,11,17),tblDaily[WardCode],"MAE")=0,"",SUMIFS(tblDaily[TransfersIn],tblDaily[EntryDate],DATE(2026,11,17),tblDaily[WardCode],"MAE")),"")</f>
        <v/>
      </c>
      <c r="G424" s="39" t="str">
        <f>IFERROR(IF(SUMIFS(tblDaily[TransfersOut],tblDaily[EntryDate],DATE(2026,11,17),tblDaily[WardCode],"MAE")=0,"",SUMIFS(tblDaily[TransfersOut],tblDaily[EntryDate],DATE(2026,11,17),tblDaily[WardCode],"MAE")),"")</f>
        <v/>
      </c>
      <c r="H424" s="39" t="str">
        <f>IFERROR(IF(SUMIFS(tblDaily[Remaining],tblDaily[EntryDate],DATE(2026,11,17),tblDaily[WardCode],"MAE")=0,"",SUMIFS(tblDaily[Remaining],tblDaily[EntryDate],DATE(2026,11,17),tblDaily[WardCode],"MAE")),"")</f>
        <v/>
      </c>
      <c r="I424" s="39" t="str">
        <f>IFERROR(IF(SUMIFS(tblDaily[Admissions],tblDaily[EntryDate],DATE(2026,11,17),tblDaily[WardCode],"FAE")=0,"",SUMIFS(tblDaily[Admissions],tblDaily[EntryDate],DATE(2026,11,17),tblDaily[WardCode],"FAE")),"")</f>
        <v/>
      </c>
      <c r="J424" s="39" t="str">
        <f>IFERROR(IF(SUMIFS(tblDaily[Discharges],tblDaily[EntryDate],DATE(2026,11,17),tblDaily[WardCode],"FAE")=0,"",SUMIFS(tblDaily[Discharges],tblDaily[EntryDate],DATE(2026,11,17),tblDaily[WardCode],"FAE")),"")</f>
        <v/>
      </c>
      <c r="K424" s="39" t="str">
        <f>IFERROR(IF(SUMIFS(tblDaily[Deaths],tblDaily[EntryDate],DATE(2026,11,17),tblDaily[WardCode],"FAE")=0,"",SUMIFS(tblDaily[Deaths],tblDaily[EntryDate],DATE(2026,11,17),tblDaily[WardCode],"FAE")),"")</f>
        <v/>
      </c>
      <c r="L424" s="39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39" t="str">
        <f>IFERROR(IF(SUMIFS(tblDaily[TransfersIn],tblDaily[EntryDate],DATE(2026,11,17),tblDaily[WardCode],"FAE")=0,"",SUMIFS(tblDaily[TransfersIn],tblDaily[EntryDate],DATE(2026,11,17),tblDaily[WardCode],"FAE")),"")</f>
        <v/>
      </c>
      <c r="N424" s="39" t="str">
        <f>IFERROR(IF(SUMIFS(tblDaily[TransfersOut],tblDaily[EntryDate],DATE(2026,11,17),tblDaily[WardCode],"FAE")=0,"",SUMIFS(tblDaily[TransfersOut],tblDaily[EntryDate],DATE(2026,11,17),tblDaily[WardCode],"FAE")),"")</f>
        <v/>
      </c>
      <c r="O424" s="39" t="str">
        <f>IFERROR(IF(SUMIFS(tblDaily[Remaining],tblDaily[EntryDate],DATE(2026,11,17),tblDaily[WardCode],"FAE")=0,"",SUMIFS(tblDaily[Remaining],tblDaily[EntryDate],DATE(2026,11,17),tblDaily[WardCode],"FAE")),"")</f>
        <v/>
      </c>
      <c r="P424" s="40" t="str">
        <f t="shared" si="10"/>
        <v/>
      </c>
    </row>
    <row r="425" spans="1:16" x14ac:dyDescent="0.25">
      <c r="A425" s="39">
        <v>18</v>
      </c>
      <c r="B425" s="39" t="str">
        <f>IFERROR(IF(SUMIFS(tblDaily[Admissions],tblDaily[EntryDate],DATE(2026,11,18),tblDaily[WardCode],"MAE")=0,"",SUMIFS(tblDaily[Admissions],tblDaily[EntryDate],DATE(2026,11,18),tblDaily[WardCode],"MAE")),"")</f>
        <v/>
      </c>
      <c r="C425" s="39" t="str">
        <f>IFERROR(IF(SUMIFS(tblDaily[Discharges],tblDaily[EntryDate],DATE(2026,11,18),tblDaily[WardCode],"MAE")=0,"",SUMIFS(tblDaily[Discharges],tblDaily[EntryDate],DATE(2026,11,18),tblDaily[WardCode],"MAE")),"")</f>
        <v/>
      </c>
      <c r="D425" s="39" t="str">
        <f>IFERROR(IF(SUMIFS(tblDaily[Deaths],tblDaily[EntryDate],DATE(2026,11,18),tblDaily[WardCode],"MAE")=0,"",SUMIFS(tblDaily[Deaths],tblDaily[EntryDate],DATE(2026,11,18),tblDaily[WardCode],"MAE")),"")</f>
        <v/>
      </c>
      <c r="E425" s="3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39" t="str">
        <f>IFERROR(IF(SUMIFS(tblDaily[TransfersIn],tblDaily[EntryDate],DATE(2026,11,18),tblDaily[WardCode],"MAE")=0,"",SUMIFS(tblDaily[TransfersIn],tblDaily[EntryDate],DATE(2026,11,18),tblDaily[WardCode],"MAE")),"")</f>
        <v/>
      </c>
      <c r="G425" s="39" t="str">
        <f>IFERROR(IF(SUMIFS(tblDaily[TransfersOut],tblDaily[EntryDate],DATE(2026,11,18),tblDaily[WardCode],"MAE")=0,"",SUMIFS(tblDaily[TransfersOut],tblDaily[EntryDate],DATE(2026,11,18),tblDaily[WardCode],"MAE")),"")</f>
        <v/>
      </c>
      <c r="H425" s="39" t="str">
        <f>IFERROR(IF(SUMIFS(tblDaily[Remaining],tblDaily[EntryDate],DATE(2026,11,18),tblDaily[WardCode],"MAE")=0,"",SUMIFS(tblDaily[Remaining],tblDaily[EntryDate],DATE(2026,11,18),tblDaily[WardCode],"MAE")),"")</f>
        <v/>
      </c>
      <c r="I425" s="39" t="str">
        <f>IFERROR(IF(SUMIFS(tblDaily[Admissions],tblDaily[EntryDate],DATE(2026,11,18),tblDaily[WardCode],"FAE")=0,"",SUMIFS(tblDaily[Admissions],tblDaily[EntryDate],DATE(2026,11,18),tblDaily[WardCode],"FAE")),"")</f>
        <v/>
      </c>
      <c r="J425" s="39" t="str">
        <f>IFERROR(IF(SUMIFS(tblDaily[Discharges],tblDaily[EntryDate],DATE(2026,11,18),tblDaily[WardCode],"FAE")=0,"",SUMIFS(tblDaily[Discharges],tblDaily[EntryDate],DATE(2026,11,18),tblDaily[WardCode],"FAE")),"")</f>
        <v/>
      </c>
      <c r="K425" s="39" t="str">
        <f>IFERROR(IF(SUMIFS(tblDaily[Deaths],tblDaily[EntryDate],DATE(2026,11,18),tblDaily[WardCode],"FAE")=0,"",SUMIFS(tblDaily[Deaths],tblDaily[EntryDate],DATE(2026,11,18),tblDaily[WardCode],"FAE")),"")</f>
        <v/>
      </c>
      <c r="L425" s="39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39" t="str">
        <f>IFERROR(IF(SUMIFS(tblDaily[TransfersIn],tblDaily[EntryDate],DATE(2026,11,18),tblDaily[WardCode],"FAE")=0,"",SUMIFS(tblDaily[TransfersIn],tblDaily[EntryDate],DATE(2026,11,18),tblDaily[WardCode],"FAE")),"")</f>
        <v/>
      </c>
      <c r="N425" s="39" t="str">
        <f>IFERROR(IF(SUMIFS(tblDaily[TransfersOut],tblDaily[EntryDate],DATE(2026,11,18),tblDaily[WardCode],"FAE")=0,"",SUMIFS(tblDaily[TransfersOut],tblDaily[EntryDate],DATE(2026,11,18),tblDaily[WardCode],"FAE")),"")</f>
        <v/>
      </c>
      <c r="O425" s="39" t="str">
        <f>IFERROR(IF(SUMIFS(tblDaily[Remaining],tblDaily[EntryDate],DATE(2026,11,18),tblDaily[WardCode],"FAE")=0,"",SUMIFS(tblDaily[Remaining],tblDaily[EntryDate],DATE(2026,11,18),tblDaily[WardCode],"FAE")),"")</f>
        <v/>
      </c>
      <c r="P425" s="40" t="str">
        <f t="shared" si="10"/>
        <v/>
      </c>
    </row>
    <row r="426" spans="1:16" x14ac:dyDescent="0.25">
      <c r="A426" s="39">
        <v>19</v>
      </c>
      <c r="B426" s="39" t="str">
        <f>IFERROR(IF(SUMIFS(tblDaily[Admissions],tblDaily[EntryDate],DATE(2026,11,19),tblDaily[WardCode],"MAE")=0,"",SUMIFS(tblDaily[Admissions],tblDaily[EntryDate],DATE(2026,11,19),tblDaily[WardCode],"MAE")),"")</f>
        <v/>
      </c>
      <c r="C426" s="39" t="str">
        <f>IFERROR(IF(SUMIFS(tblDaily[Discharges],tblDaily[EntryDate],DATE(2026,11,19),tblDaily[WardCode],"MAE")=0,"",SUMIFS(tblDaily[Discharges],tblDaily[EntryDate],DATE(2026,11,19),tblDaily[WardCode],"MAE")),"")</f>
        <v/>
      </c>
      <c r="D426" s="39" t="str">
        <f>IFERROR(IF(SUMIFS(tblDaily[Deaths],tblDaily[EntryDate],DATE(2026,11,19),tblDaily[WardCode],"MAE")=0,"",SUMIFS(tblDaily[Deaths],tblDaily[EntryDate],DATE(2026,11,19),tblDaily[WardCode],"MAE")),"")</f>
        <v/>
      </c>
      <c r="E426" s="3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39" t="str">
        <f>IFERROR(IF(SUMIFS(tblDaily[TransfersIn],tblDaily[EntryDate],DATE(2026,11,19),tblDaily[WardCode],"MAE")=0,"",SUMIFS(tblDaily[TransfersIn],tblDaily[EntryDate],DATE(2026,11,19),tblDaily[WardCode],"MAE")),"")</f>
        <v/>
      </c>
      <c r="G426" s="39" t="str">
        <f>IFERROR(IF(SUMIFS(tblDaily[TransfersOut],tblDaily[EntryDate],DATE(2026,11,19),tblDaily[WardCode],"MAE")=0,"",SUMIFS(tblDaily[TransfersOut],tblDaily[EntryDate],DATE(2026,11,19),tblDaily[WardCode],"MAE")),"")</f>
        <v/>
      </c>
      <c r="H426" s="39" t="str">
        <f>IFERROR(IF(SUMIFS(tblDaily[Remaining],tblDaily[EntryDate],DATE(2026,11,19),tblDaily[WardCode],"MAE")=0,"",SUMIFS(tblDaily[Remaining],tblDaily[EntryDate],DATE(2026,11,19),tblDaily[WardCode],"MAE")),"")</f>
        <v/>
      </c>
      <c r="I426" s="39" t="str">
        <f>IFERROR(IF(SUMIFS(tblDaily[Admissions],tblDaily[EntryDate],DATE(2026,11,19),tblDaily[WardCode],"FAE")=0,"",SUMIFS(tblDaily[Admissions],tblDaily[EntryDate],DATE(2026,11,19),tblDaily[WardCode],"FAE")),"")</f>
        <v/>
      </c>
      <c r="J426" s="39" t="str">
        <f>IFERROR(IF(SUMIFS(tblDaily[Discharges],tblDaily[EntryDate],DATE(2026,11,19),tblDaily[WardCode],"FAE")=0,"",SUMIFS(tblDaily[Discharges],tblDaily[EntryDate],DATE(2026,11,19),tblDaily[WardCode],"FAE")),"")</f>
        <v/>
      </c>
      <c r="K426" s="39" t="str">
        <f>IFERROR(IF(SUMIFS(tblDaily[Deaths],tblDaily[EntryDate],DATE(2026,11,19),tblDaily[WardCode],"FAE")=0,"",SUMIFS(tblDaily[Deaths],tblDaily[EntryDate],DATE(2026,11,19),tblDaily[WardCode],"FAE")),"")</f>
        <v/>
      </c>
      <c r="L426" s="39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39" t="str">
        <f>IFERROR(IF(SUMIFS(tblDaily[TransfersIn],tblDaily[EntryDate],DATE(2026,11,19),tblDaily[WardCode],"FAE")=0,"",SUMIFS(tblDaily[TransfersIn],tblDaily[EntryDate],DATE(2026,11,19),tblDaily[WardCode],"FAE")),"")</f>
        <v/>
      </c>
      <c r="N426" s="39" t="str">
        <f>IFERROR(IF(SUMIFS(tblDaily[TransfersOut],tblDaily[EntryDate],DATE(2026,11,19),tblDaily[WardCode],"FAE")=0,"",SUMIFS(tblDaily[TransfersOut],tblDaily[EntryDate],DATE(2026,11,19),tblDaily[WardCode],"FAE")),"")</f>
        <v/>
      </c>
      <c r="O426" s="39" t="str">
        <f>IFERROR(IF(SUMIFS(tblDaily[Remaining],tblDaily[EntryDate],DATE(2026,11,19),tblDaily[WardCode],"FAE")=0,"",SUMIFS(tblDaily[Remaining],tblDaily[EntryDate],DATE(2026,11,19),tblDaily[WardCode],"FAE")),"")</f>
        <v/>
      </c>
      <c r="P426" s="40" t="str">
        <f t="shared" si="10"/>
        <v/>
      </c>
    </row>
    <row r="427" spans="1:16" x14ac:dyDescent="0.25">
      <c r="A427" s="39">
        <v>20</v>
      </c>
      <c r="B427" s="39" t="str">
        <f>IFERROR(IF(SUMIFS(tblDaily[Admissions],tblDaily[EntryDate],DATE(2026,11,20),tblDaily[WardCode],"MAE")=0,"",SUMIFS(tblDaily[Admissions],tblDaily[EntryDate],DATE(2026,11,20),tblDaily[WardCode],"MAE")),"")</f>
        <v/>
      </c>
      <c r="C427" s="39" t="str">
        <f>IFERROR(IF(SUMIFS(tblDaily[Discharges],tblDaily[EntryDate],DATE(2026,11,20),tblDaily[WardCode],"MAE")=0,"",SUMIFS(tblDaily[Discharges],tblDaily[EntryDate],DATE(2026,11,20),tblDaily[WardCode],"MAE")),"")</f>
        <v/>
      </c>
      <c r="D427" s="39" t="str">
        <f>IFERROR(IF(SUMIFS(tblDaily[Deaths],tblDaily[EntryDate],DATE(2026,11,20),tblDaily[WardCode],"MAE")=0,"",SUMIFS(tblDaily[Deaths],tblDaily[EntryDate],DATE(2026,11,20),tblDaily[WardCode],"MAE")),"")</f>
        <v/>
      </c>
      <c r="E427" s="3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39" t="str">
        <f>IFERROR(IF(SUMIFS(tblDaily[TransfersIn],tblDaily[EntryDate],DATE(2026,11,20),tblDaily[WardCode],"MAE")=0,"",SUMIFS(tblDaily[TransfersIn],tblDaily[EntryDate],DATE(2026,11,20),tblDaily[WardCode],"MAE")),"")</f>
        <v/>
      </c>
      <c r="G427" s="39" t="str">
        <f>IFERROR(IF(SUMIFS(tblDaily[TransfersOut],tblDaily[EntryDate],DATE(2026,11,20),tblDaily[WardCode],"MAE")=0,"",SUMIFS(tblDaily[TransfersOut],tblDaily[EntryDate],DATE(2026,11,20),tblDaily[WardCode],"MAE")),"")</f>
        <v/>
      </c>
      <c r="H427" s="39" t="str">
        <f>IFERROR(IF(SUMIFS(tblDaily[Remaining],tblDaily[EntryDate],DATE(2026,11,20),tblDaily[WardCode],"MAE")=0,"",SUMIFS(tblDaily[Remaining],tblDaily[EntryDate],DATE(2026,11,20),tblDaily[WardCode],"MAE")),"")</f>
        <v/>
      </c>
      <c r="I427" s="39" t="str">
        <f>IFERROR(IF(SUMIFS(tblDaily[Admissions],tblDaily[EntryDate],DATE(2026,11,20),tblDaily[WardCode],"FAE")=0,"",SUMIFS(tblDaily[Admissions],tblDaily[EntryDate],DATE(2026,11,20),tblDaily[WardCode],"FAE")),"")</f>
        <v/>
      </c>
      <c r="J427" s="39" t="str">
        <f>IFERROR(IF(SUMIFS(tblDaily[Discharges],tblDaily[EntryDate],DATE(2026,11,20),tblDaily[WardCode],"FAE")=0,"",SUMIFS(tblDaily[Discharges],tblDaily[EntryDate],DATE(2026,11,20),tblDaily[WardCode],"FAE")),"")</f>
        <v/>
      </c>
      <c r="K427" s="39" t="str">
        <f>IFERROR(IF(SUMIFS(tblDaily[Deaths],tblDaily[EntryDate],DATE(2026,11,20),tblDaily[WardCode],"FAE")=0,"",SUMIFS(tblDaily[Deaths],tblDaily[EntryDate],DATE(2026,11,20),tblDaily[WardCode],"FAE")),"")</f>
        <v/>
      </c>
      <c r="L427" s="39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39" t="str">
        <f>IFERROR(IF(SUMIFS(tblDaily[TransfersIn],tblDaily[EntryDate],DATE(2026,11,20),tblDaily[WardCode],"FAE")=0,"",SUMIFS(tblDaily[TransfersIn],tblDaily[EntryDate],DATE(2026,11,20),tblDaily[WardCode],"FAE")),"")</f>
        <v/>
      </c>
      <c r="N427" s="39" t="str">
        <f>IFERROR(IF(SUMIFS(tblDaily[TransfersOut],tblDaily[EntryDate],DATE(2026,11,20),tblDaily[WardCode],"FAE")=0,"",SUMIFS(tblDaily[TransfersOut],tblDaily[EntryDate],DATE(2026,11,20),tblDaily[WardCode],"FAE")),"")</f>
        <v/>
      </c>
      <c r="O427" s="39" t="str">
        <f>IFERROR(IF(SUMIFS(tblDaily[Remaining],tblDaily[EntryDate],DATE(2026,11,20),tblDaily[WardCode],"FAE")=0,"",SUMIFS(tblDaily[Remaining],tblDaily[EntryDate],DATE(2026,11,20),tblDaily[WardCode],"FAE")),"")</f>
        <v/>
      </c>
      <c r="P427" s="40" t="str">
        <f t="shared" si="10"/>
        <v/>
      </c>
    </row>
    <row r="428" spans="1:16" x14ac:dyDescent="0.25">
      <c r="A428" s="39">
        <v>21</v>
      </c>
      <c r="B428" s="39" t="str">
        <f>IFERROR(IF(SUMIFS(tblDaily[Admissions],tblDaily[EntryDate],DATE(2026,11,21),tblDaily[WardCode],"MAE")=0,"",SUMIFS(tblDaily[Admissions],tblDaily[EntryDate],DATE(2026,11,21),tblDaily[WardCode],"MAE")),"")</f>
        <v/>
      </c>
      <c r="C428" s="39" t="str">
        <f>IFERROR(IF(SUMIFS(tblDaily[Discharges],tblDaily[EntryDate],DATE(2026,11,21),tblDaily[WardCode],"MAE")=0,"",SUMIFS(tblDaily[Discharges],tblDaily[EntryDate],DATE(2026,11,21),tblDaily[WardCode],"MAE")),"")</f>
        <v/>
      </c>
      <c r="D428" s="39" t="str">
        <f>IFERROR(IF(SUMIFS(tblDaily[Deaths],tblDaily[EntryDate],DATE(2026,11,21),tblDaily[WardCode],"MAE")=0,"",SUMIFS(tblDaily[Deaths],tblDaily[EntryDate],DATE(2026,11,21),tblDaily[WardCode],"MAE")),"")</f>
        <v/>
      </c>
      <c r="E428" s="3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39" t="str">
        <f>IFERROR(IF(SUMIFS(tblDaily[TransfersIn],tblDaily[EntryDate],DATE(2026,11,21),tblDaily[WardCode],"MAE")=0,"",SUMIFS(tblDaily[TransfersIn],tblDaily[EntryDate],DATE(2026,11,21),tblDaily[WardCode],"MAE")),"")</f>
        <v/>
      </c>
      <c r="G428" s="39" t="str">
        <f>IFERROR(IF(SUMIFS(tblDaily[TransfersOut],tblDaily[EntryDate],DATE(2026,11,21),tblDaily[WardCode],"MAE")=0,"",SUMIFS(tblDaily[TransfersOut],tblDaily[EntryDate],DATE(2026,11,21),tblDaily[WardCode],"MAE")),"")</f>
        <v/>
      </c>
      <c r="H428" s="39" t="str">
        <f>IFERROR(IF(SUMIFS(tblDaily[Remaining],tblDaily[EntryDate],DATE(2026,11,21),tblDaily[WardCode],"MAE")=0,"",SUMIFS(tblDaily[Remaining],tblDaily[EntryDate],DATE(2026,11,21),tblDaily[WardCode],"MAE")),"")</f>
        <v/>
      </c>
      <c r="I428" s="39" t="str">
        <f>IFERROR(IF(SUMIFS(tblDaily[Admissions],tblDaily[EntryDate],DATE(2026,11,21),tblDaily[WardCode],"FAE")=0,"",SUMIFS(tblDaily[Admissions],tblDaily[EntryDate],DATE(2026,11,21),tblDaily[WardCode],"FAE")),"")</f>
        <v/>
      </c>
      <c r="J428" s="39" t="str">
        <f>IFERROR(IF(SUMIFS(tblDaily[Discharges],tblDaily[EntryDate],DATE(2026,11,21),tblDaily[WardCode],"FAE")=0,"",SUMIFS(tblDaily[Discharges],tblDaily[EntryDate],DATE(2026,11,21),tblDaily[WardCode],"FAE")),"")</f>
        <v/>
      </c>
      <c r="K428" s="39" t="str">
        <f>IFERROR(IF(SUMIFS(tblDaily[Deaths],tblDaily[EntryDate],DATE(2026,11,21),tblDaily[WardCode],"FAE")=0,"",SUMIFS(tblDaily[Deaths],tblDaily[EntryDate],DATE(2026,11,21),tblDaily[WardCode],"FAE")),"")</f>
        <v/>
      </c>
      <c r="L428" s="39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39" t="str">
        <f>IFERROR(IF(SUMIFS(tblDaily[TransfersIn],tblDaily[EntryDate],DATE(2026,11,21),tblDaily[WardCode],"FAE")=0,"",SUMIFS(tblDaily[TransfersIn],tblDaily[EntryDate],DATE(2026,11,21),tblDaily[WardCode],"FAE")),"")</f>
        <v/>
      </c>
      <c r="N428" s="39" t="str">
        <f>IFERROR(IF(SUMIFS(tblDaily[TransfersOut],tblDaily[EntryDate],DATE(2026,11,21),tblDaily[WardCode],"FAE")=0,"",SUMIFS(tblDaily[TransfersOut],tblDaily[EntryDate],DATE(2026,11,21),tblDaily[WardCode],"FAE")),"")</f>
        <v/>
      </c>
      <c r="O428" s="39" t="str">
        <f>IFERROR(IF(SUMIFS(tblDaily[Remaining],tblDaily[EntryDate],DATE(2026,11,21),tblDaily[WardCode],"FAE")=0,"",SUMIFS(tblDaily[Remaining],tblDaily[EntryDate],DATE(2026,11,21),tblDaily[WardCode],"FAE")),"")</f>
        <v/>
      </c>
      <c r="P428" s="40" t="str">
        <f t="shared" si="10"/>
        <v/>
      </c>
    </row>
    <row r="429" spans="1:16" x14ac:dyDescent="0.25">
      <c r="A429" s="39">
        <v>22</v>
      </c>
      <c r="B429" s="39" t="str">
        <f>IFERROR(IF(SUMIFS(tblDaily[Admissions],tblDaily[EntryDate],DATE(2026,11,22),tblDaily[WardCode],"MAE")=0,"",SUMIFS(tblDaily[Admissions],tblDaily[EntryDate],DATE(2026,11,22),tblDaily[WardCode],"MAE")),"")</f>
        <v/>
      </c>
      <c r="C429" s="39" t="str">
        <f>IFERROR(IF(SUMIFS(tblDaily[Discharges],tblDaily[EntryDate],DATE(2026,11,22),tblDaily[WardCode],"MAE")=0,"",SUMIFS(tblDaily[Discharges],tblDaily[EntryDate],DATE(2026,11,22),tblDaily[WardCode],"MAE")),"")</f>
        <v/>
      </c>
      <c r="D429" s="39" t="str">
        <f>IFERROR(IF(SUMIFS(tblDaily[Deaths],tblDaily[EntryDate],DATE(2026,11,22),tblDaily[WardCode],"MAE")=0,"",SUMIFS(tblDaily[Deaths],tblDaily[EntryDate],DATE(2026,11,22),tblDaily[WardCode],"MAE")),"")</f>
        <v/>
      </c>
      <c r="E429" s="3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39" t="str">
        <f>IFERROR(IF(SUMIFS(tblDaily[TransfersIn],tblDaily[EntryDate],DATE(2026,11,22),tblDaily[WardCode],"MAE")=0,"",SUMIFS(tblDaily[TransfersIn],tblDaily[EntryDate],DATE(2026,11,22),tblDaily[WardCode],"MAE")),"")</f>
        <v/>
      </c>
      <c r="G429" s="39" t="str">
        <f>IFERROR(IF(SUMIFS(tblDaily[TransfersOut],tblDaily[EntryDate],DATE(2026,11,22),tblDaily[WardCode],"MAE")=0,"",SUMIFS(tblDaily[TransfersOut],tblDaily[EntryDate],DATE(2026,11,22),tblDaily[WardCode],"MAE")),"")</f>
        <v/>
      </c>
      <c r="H429" s="39" t="str">
        <f>IFERROR(IF(SUMIFS(tblDaily[Remaining],tblDaily[EntryDate],DATE(2026,11,22),tblDaily[WardCode],"MAE")=0,"",SUMIFS(tblDaily[Remaining],tblDaily[EntryDate],DATE(2026,11,22),tblDaily[WardCode],"MAE")),"")</f>
        <v/>
      </c>
      <c r="I429" s="39" t="str">
        <f>IFERROR(IF(SUMIFS(tblDaily[Admissions],tblDaily[EntryDate],DATE(2026,11,22),tblDaily[WardCode],"FAE")=0,"",SUMIFS(tblDaily[Admissions],tblDaily[EntryDate],DATE(2026,11,22),tblDaily[WardCode],"FAE")),"")</f>
        <v/>
      </c>
      <c r="J429" s="39" t="str">
        <f>IFERROR(IF(SUMIFS(tblDaily[Discharges],tblDaily[EntryDate],DATE(2026,11,22),tblDaily[WardCode],"FAE")=0,"",SUMIFS(tblDaily[Discharges],tblDaily[EntryDate],DATE(2026,11,22),tblDaily[WardCode],"FAE")),"")</f>
        <v/>
      </c>
      <c r="K429" s="39" t="str">
        <f>IFERROR(IF(SUMIFS(tblDaily[Deaths],tblDaily[EntryDate],DATE(2026,11,22),tblDaily[WardCode],"FAE")=0,"",SUMIFS(tblDaily[Deaths],tblDaily[EntryDate],DATE(2026,11,22),tblDaily[WardCode],"FAE")),"")</f>
        <v/>
      </c>
      <c r="L429" s="39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39" t="str">
        <f>IFERROR(IF(SUMIFS(tblDaily[TransfersIn],tblDaily[EntryDate],DATE(2026,11,22),tblDaily[WardCode],"FAE")=0,"",SUMIFS(tblDaily[TransfersIn],tblDaily[EntryDate],DATE(2026,11,22),tblDaily[WardCode],"FAE")),"")</f>
        <v/>
      </c>
      <c r="N429" s="39" t="str">
        <f>IFERROR(IF(SUMIFS(tblDaily[TransfersOut],tblDaily[EntryDate],DATE(2026,11,22),tblDaily[WardCode],"FAE")=0,"",SUMIFS(tblDaily[TransfersOut],tblDaily[EntryDate],DATE(2026,11,22),tblDaily[WardCode],"FAE")),"")</f>
        <v/>
      </c>
      <c r="O429" s="39" t="str">
        <f>IFERROR(IF(SUMIFS(tblDaily[Remaining],tblDaily[EntryDate],DATE(2026,11,22),tblDaily[WardCode],"FAE")=0,"",SUMIFS(tblDaily[Remaining],tblDaily[EntryDate],DATE(2026,11,22),tblDaily[WardCode],"FAE")),"")</f>
        <v/>
      </c>
      <c r="P429" s="40" t="str">
        <f t="shared" si="10"/>
        <v/>
      </c>
    </row>
    <row r="430" spans="1:16" x14ac:dyDescent="0.25">
      <c r="A430" s="39">
        <v>23</v>
      </c>
      <c r="B430" s="39" t="str">
        <f>IFERROR(IF(SUMIFS(tblDaily[Admissions],tblDaily[EntryDate],DATE(2026,11,23),tblDaily[WardCode],"MAE")=0,"",SUMIFS(tblDaily[Admissions],tblDaily[EntryDate],DATE(2026,11,23),tblDaily[WardCode],"MAE")),"")</f>
        <v/>
      </c>
      <c r="C430" s="39" t="str">
        <f>IFERROR(IF(SUMIFS(tblDaily[Discharges],tblDaily[EntryDate],DATE(2026,11,23),tblDaily[WardCode],"MAE")=0,"",SUMIFS(tblDaily[Discharges],tblDaily[EntryDate],DATE(2026,11,23),tblDaily[WardCode],"MAE")),"")</f>
        <v/>
      </c>
      <c r="D430" s="39" t="str">
        <f>IFERROR(IF(SUMIFS(tblDaily[Deaths],tblDaily[EntryDate],DATE(2026,11,23),tblDaily[WardCode],"MAE")=0,"",SUMIFS(tblDaily[Deaths],tblDaily[EntryDate],DATE(2026,11,23),tblDaily[WardCode],"MAE")),"")</f>
        <v/>
      </c>
      <c r="E430" s="3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39" t="str">
        <f>IFERROR(IF(SUMIFS(tblDaily[TransfersIn],tblDaily[EntryDate],DATE(2026,11,23),tblDaily[WardCode],"MAE")=0,"",SUMIFS(tblDaily[TransfersIn],tblDaily[EntryDate],DATE(2026,11,23),tblDaily[WardCode],"MAE")),"")</f>
        <v/>
      </c>
      <c r="G430" s="39" t="str">
        <f>IFERROR(IF(SUMIFS(tblDaily[TransfersOut],tblDaily[EntryDate],DATE(2026,11,23),tblDaily[WardCode],"MAE")=0,"",SUMIFS(tblDaily[TransfersOut],tblDaily[EntryDate],DATE(2026,11,23),tblDaily[WardCode],"MAE")),"")</f>
        <v/>
      </c>
      <c r="H430" s="39" t="str">
        <f>IFERROR(IF(SUMIFS(tblDaily[Remaining],tblDaily[EntryDate],DATE(2026,11,23),tblDaily[WardCode],"MAE")=0,"",SUMIFS(tblDaily[Remaining],tblDaily[EntryDate],DATE(2026,11,23),tblDaily[WardCode],"MAE")),"")</f>
        <v/>
      </c>
      <c r="I430" s="39" t="str">
        <f>IFERROR(IF(SUMIFS(tblDaily[Admissions],tblDaily[EntryDate],DATE(2026,11,23),tblDaily[WardCode],"FAE")=0,"",SUMIFS(tblDaily[Admissions],tblDaily[EntryDate],DATE(2026,11,23),tblDaily[WardCode],"FAE")),"")</f>
        <v/>
      </c>
      <c r="J430" s="39" t="str">
        <f>IFERROR(IF(SUMIFS(tblDaily[Discharges],tblDaily[EntryDate],DATE(2026,11,23),tblDaily[WardCode],"FAE")=0,"",SUMIFS(tblDaily[Discharges],tblDaily[EntryDate],DATE(2026,11,23),tblDaily[WardCode],"FAE")),"")</f>
        <v/>
      </c>
      <c r="K430" s="39" t="str">
        <f>IFERROR(IF(SUMIFS(tblDaily[Deaths],tblDaily[EntryDate],DATE(2026,11,23),tblDaily[WardCode],"FAE")=0,"",SUMIFS(tblDaily[Deaths],tblDaily[EntryDate],DATE(2026,11,23),tblDaily[WardCode],"FAE")),"")</f>
        <v/>
      </c>
      <c r="L430" s="39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39" t="str">
        <f>IFERROR(IF(SUMIFS(tblDaily[TransfersIn],tblDaily[EntryDate],DATE(2026,11,23),tblDaily[WardCode],"FAE")=0,"",SUMIFS(tblDaily[TransfersIn],tblDaily[EntryDate],DATE(2026,11,23),tblDaily[WardCode],"FAE")),"")</f>
        <v/>
      </c>
      <c r="N430" s="39" t="str">
        <f>IFERROR(IF(SUMIFS(tblDaily[TransfersOut],tblDaily[EntryDate],DATE(2026,11,23),tblDaily[WardCode],"FAE")=0,"",SUMIFS(tblDaily[TransfersOut],tblDaily[EntryDate],DATE(2026,11,23),tblDaily[WardCode],"FAE")),"")</f>
        <v/>
      </c>
      <c r="O430" s="39" t="str">
        <f>IFERROR(IF(SUMIFS(tblDaily[Remaining],tblDaily[EntryDate],DATE(2026,11,23),tblDaily[WardCode],"FAE")=0,"",SUMIFS(tblDaily[Remaining],tblDaily[EntryDate],DATE(2026,11,23),tblDaily[WardCode],"FAE")),"")</f>
        <v/>
      </c>
      <c r="P430" s="40" t="str">
        <f t="shared" si="10"/>
        <v/>
      </c>
    </row>
    <row r="431" spans="1:16" x14ac:dyDescent="0.25">
      <c r="A431" s="39">
        <v>24</v>
      </c>
      <c r="B431" s="39" t="str">
        <f>IFERROR(IF(SUMIFS(tblDaily[Admissions],tblDaily[EntryDate],DATE(2026,11,24),tblDaily[WardCode],"MAE")=0,"",SUMIFS(tblDaily[Admissions],tblDaily[EntryDate],DATE(2026,11,24),tblDaily[WardCode],"MAE")),"")</f>
        <v/>
      </c>
      <c r="C431" s="39" t="str">
        <f>IFERROR(IF(SUMIFS(tblDaily[Discharges],tblDaily[EntryDate],DATE(2026,11,24),tblDaily[WardCode],"MAE")=0,"",SUMIFS(tblDaily[Discharges],tblDaily[EntryDate],DATE(2026,11,24),tblDaily[WardCode],"MAE")),"")</f>
        <v/>
      </c>
      <c r="D431" s="39" t="str">
        <f>IFERROR(IF(SUMIFS(tblDaily[Deaths],tblDaily[EntryDate],DATE(2026,11,24),tblDaily[WardCode],"MAE")=0,"",SUMIFS(tblDaily[Deaths],tblDaily[EntryDate],DATE(2026,11,24),tblDaily[WardCode],"MAE")),"")</f>
        <v/>
      </c>
      <c r="E431" s="3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39" t="str">
        <f>IFERROR(IF(SUMIFS(tblDaily[TransfersIn],tblDaily[EntryDate],DATE(2026,11,24),tblDaily[WardCode],"MAE")=0,"",SUMIFS(tblDaily[TransfersIn],tblDaily[EntryDate],DATE(2026,11,24),tblDaily[WardCode],"MAE")),"")</f>
        <v/>
      </c>
      <c r="G431" s="39" t="str">
        <f>IFERROR(IF(SUMIFS(tblDaily[TransfersOut],tblDaily[EntryDate],DATE(2026,11,24),tblDaily[WardCode],"MAE")=0,"",SUMIFS(tblDaily[TransfersOut],tblDaily[EntryDate],DATE(2026,11,24),tblDaily[WardCode],"MAE")),"")</f>
        <v/>
      </c>
      <c r="H431" s="39" t="str">
        <f>IFERROR(IF(SUMIFS(tblDaily[Remaining],tblDaily[EntryDate],DATE(2026,11,24),tblDaily[WardCode],"MAE")=0,"",SUMIFS(tblDaily[Remaining],tblDaily[EntryDate],DATE(2026,11,24),tblDaily[WardCode],"MAE")),"")</f>
        <v/>
      </c>
      <c r="I431" s="39" t="str">
        <f>IFERROR(IF(SUMIFS(tblDaily[Admissions],tblDaily[EntryDate],DATE(2026,11,24),tblDaily[WardCode],"FAE")=0,"",SUMIFS(tblDaily[Admissions],tblDaily[EntryDate],DATE(2026,11,24),tblDaily[WardCode],"FAE")),"")</f>
        <v/>
      </c>
      <c r="J431" s="39" t="str">
        <f>IFERROR(IF(SUMIFS(tblDaily[Discharges],tblDaily[EntryDate],DATE(2026,11,24),tblDaily[WardCode],"FAE")=0,"",SUMIFS(tblDaily[Discharges],tblDaily[EntryDate],DATE(2026,11,24),tblDaily[WardCode],"FAE")),"")</f>
        <v/>
      </c>
      <c r="K431" s="39" t="str">
        <f>IFERROR(IF(SUMIFS(tblDaily[Deaths],tblDaily[EntryDate],DATE(2026,11,24),tblDaily[WardCode],"FAE")=0,"",SUMIFS(tblDaily[Deaths],tblDaily[EntryDate],DATE(2026,11,24),tblDaily[WardCode],"FAE")),"")</f>
        <v/>
      </c>
      <c r="L431" s="39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39" t="str">
        <f>IFERROR(IF(SUMIFS(tblDaily[TransfersIn],tblDaily[EntryDate],DATE(2026,11,24),tblDaily[WardCode],"FAE")=0,"",SUMIFS(tblDaily[TransfersIn],tblDaily[EntryDate],DATE(2026,11,24),tblDaily[WardCode],"FAE")),"")</f>
        <v/>
      </c>
      <c r="N431" s="39" t="str">
        <f>IFERROR(IF(SUMIFS(tblDaily[TransfersOut],tblDaily[EntryDate],DATE(2026,11,24),tblDaily[WardCode],"FAE")=0,"",SUMIFS(tblDaily[TransfersOut],tblDaily[EntryDate],DATE(2026,11,24),tblDaily[WardCode],"FAE")),"")</f>
        <v/>
      </c>
      <c r="O431" s="39" t="str">
        <f>IFERROR(IF(SUMIFS(tblDaily[Remaining],tblDaily[EntryDate],DATE(2026,11,24),tblDaily[WardCode],"FAE")=0,"",SUMIFS(tblDaily[Remaining],tblDaily[EntryDate],DATE(2026,11,24),tblDaily[WardCode],"FAE")),"")</f>
        <v/>
      </c>
      <c r="P431" s="40" t="str">
        <f t="shared" si="10"/>
        <v/>
      </c>
    </row>
    <row r="432" spans="1:16" x14ac:dyDescent="0.25">
      <c r="A432" s="39">
        <v>25</v>
      </c>
      <c r="B432" s="39" t="str">
        <f>IFERROR(IF(SUMIFS(tblDaily[Admissions],tblDaily[EntryDate],DATE(2026,11,25),tblDaily[WardCode],"MAE")=0,"",SUMIFS(tblDaily[Admissions],tblDaily[EntryDate],DATE(2026,11,25),tblDaily[WardCode],"MAE")),"")</f>
        <v/>
      </c>
      <c r="C432" s="39" t="str">
        <f>IFERROR(IF(SUMIFS(tblDaily[Discharges],tblDaily[EntryDate],DATE(2026,11,25),tblDaily[WardCode],"MAE")=0,"",SUMIFS(tblDaily[Discharges],tblDaily[EntryDate],DATE(2026,11,25),tblDaily[WardCode],"MAE")),"")</f>
        <v/>
      </c>
      <c r="D432" s="39" t="str">
        <f>IFERROR(IF(SUMIFS(tblDaily[Deaths],tblDaily[EntryDate],DATE(2026,11,25),tblDaily[WardCode],"MAE")=0,"",SUMIFS(tblDaily[Deaths],tblDaily[EntryDate],DATE(2026,11,25),tblDaily[WardCode],"MAE")),"")</f>
        <v/>
      </c>
      <c r="E432" s="3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39" t="str">
        <f>IFERROR(IF(SUMIFS(tblDaily[TransfersIn],tblDaily[EntryDate],DATE(2026,11,25),tblDaily[WardCode],"MAE")=0,"",SUMIFS(tblDaily[TransfersIn],tblDaily[EntryDate],DATE(2026,11,25),tblDaily[WardCode],"MAE")),"")</f>
        <v/>
      </c>
      <c r="G432" s="39" t="str">
        <f>IFERROR(IF(SUMIFS(tblDaily[TransfersOut],tblDaily[EntryDate],DATE(2026,11,25),tblDaily[WardCode],"MAE")=0,"",SUMIFS(tblDaily[TransfersOut],tblDaily[EntryDate],DATE(2026,11,25),tblDaily[WardCode],"MAE")),"")</f>
        <v/>
      </c>
      <c r="H432" s="39" t="str">
        <f>IFERROR(IF(SUMIFS(tblDaily[Remaining],tblDaily[EntryDate],DATE(2026,11,25),tblDaily[WardCode],"MAE")=0,"",SUMIFS(tblDaily[Remaining],tblDaily[EntryDate],DATE(2026,11,25),tblDaily[WardCode],"MAE")),"")</f>
        <v/>
      </c>
      <c r="I432" s="39" t="str">
        <f>IFERROR(IF(SUMIFS(tblDaily[Admissions],tblDaily[EntryDate],DATE(2026,11,25),tblDaily[WardCode],"FAE")=0,"",SUMIFS(tblDaily[Admissions],tblDaily[EntryDate],DATE(2026,11,25),tblDaily[WardCode],"FAE")),"")</f>
        <v/>
      </c>
      <c r="J432" s="39" t="str">
        <f>IFERROR(IF(SUMIFS(tblDaily[Discharges],tblDaily[EntryDate],DATE(2026,11,25),tblDaily[WardCode],"FAE")=0,"",SUMIFS(tblDaily[Discharges],tblDaily[EntryDate],DATE(2026,11,25),tblDaily[WardCode],"FAE")),"")</f>
        <v/>
      </c>
      <c r="K432" s="39" t="str">
        <f>IFERROR(IF(SUMIFS(tblDaily[Deaths],tblDaily[EntryDate],DATE(2026,11,25),tblDaily[WardCode],"FAE")=0,"",SUMIFS(tblDaily[Deaths],tblDaily[EntryDate],DATE(2026,11,25),tblDaily[WardCode],"FAE")),"")</f>
        <v/>
      </c>
      <c r="L432" s="39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39" t="str">
        <f>IFERROR(IF(SUMIFS(tblDaily[TransfersIn],tblDaily[EntryDate],DATE(2026,11,25),tblDaily[WardCode],"FAE")=0,"",SUMIFS(tblDaily[TransfersIn],tblDaily[EntryDate],DATE(2026,11,25),tblDaily[WardCode],"FAE")),"")</f>
        <v/>
      </c>
      <c r="N432" s="39" t="str">
        <f>IFERROR(IF(SUMIFS(tblDaily[TransfersOut],tblDaily[EntryDate],DATE(2026,11,25),tblDaily[WardCode],"FAE")=0,"",SUMIFS(tblDaily[TransfersOut],tblDaily[EntryDate],DATE(2026,11,25),tblDaily[WardCode],"FAE")),"")</f>
        <v/>
      </c>
      <c r="O432" s="39" t="str">
        <f>IFERROR(IF(SUMIFS(tblDaily[Remaining],tblDaily[EntryDate],DATE(2026,11,25),tblDaily[WardCode],"FAE")=0,"",SUMIFS(tblDaily[Remaining],tblDaily[EntryDate],DATE(2026,11,25),tblDaily[WardCode],"FAE")),"")</f>
        <v/>
      </c>
      <c r="P432" s="40" t="str">
        <f t="shared" si="10"/>
        <v/>
      </c>
    </row>
    <row r="433" spans="1:16" x14ac:dyDescent="0.25">
      <c r="A433" s="39">
        <v>26</v>
      </c>
      <c r="B433" s="39" t="str">
        <f>IFERROR(IF(SUMIFS(tblDaily[Admissions],tblDaily[EntryDate],DATE(2026,11,26),tblDaily[WardCode],"MAE")=0,"",SUMIFS(tblDaily[Admissions],tblDaily[EntryDate],DATE(2026,11,26),tblDaily[WardCode],"MAE")),"")</f>
        <v/>
      </c>
      <c r="C433" s="39" t="str">
        <f>IFERROR(IF(SUMIFS(tblDaily[Discharges],tblDaily[EntryDate],DATE(2026,11,26),tblDaily[WardCode],"MAE")=0,"",SUMIFS(tblDaily[Discharges],tblDaily[EntryDate],DATE(2026,11,26),tblDaily[WardCode],"MAE")),"")</f>
        <v/>
      </c>
      <c r="D433" s="39" t="str">
        <f>IFERROR(IF(SUMIFS(tblDaily[Deaths],tblDaily[EntryDate],DATE(2026,11,26),tblDaily[WardCode],"MAE")=0,"",SUMIFS(tblDaily[Deaths],tblDaily[EntryDate],DATE(2026,11,26),tblDaily[WardCode],"MAE")),"")</f>
        <v/>
      </c>
      <c r="E433" s="3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39" t="str">
        <f>IFERROR(IF(SUMIFS(tblDaily[TransfersIn],tblDaily[EntryDate],DATE(2026,11,26),tblDaily[WardCode],"MAE")=0,"",SUMIFS(tblDaily[TransfersIn],tblDaily[EntryDate],DATE(2026,11,26),tblDaily[WardCode],"MAE")),"")</f>
        <v/>
      </c>
      <c r="G433" s="39" t="str">
        <f>IFERROR(IF(SUMIFS(tblDaily[TransfersOut],tblDaily[EntryDate],DATE(2026,11,26),tblDaily[WardCode],"MAE")=0,"",SUMIFS(tblDaily[TransfersOut],tblDaily[EntryDate],DATE(2026,11,26),tblDaily[WardCode],"MAE")),"")</f>
        <v/>
      </c>
      <c r="H433" s="39" t="str">
        <f>IFERROR(IF(SUMIFS(tblDaily[Remaining],tblDaily[EntryDate],DATE(2026,11,26),tblDaily[WardCode],"MAE")=0,"",SUMIFS(tblDaily[Remaining],tblDaily[EntryDate],DATE(2026,11,26),tblDaily[WardCode],"MAE")),"")</f>
        <v/>
      </c>
      <c r="I433" s="39" t="str">
        <f>IFERROR(IF(SUMIFS(tblDaily[Admissions],tblDaily[EntryDate],DATE(2026,11,26),tblDaily[WardCode],"FAE")=0,"",SUMIFS(tblDaily[Admissions],tblDaily[EntryDate],DATE(2026,11,26),tblDaily[WardCode],"FAE")),"")</f>
        <v/>
      </c>
      <c r="J433" s="39" t="str">
        <f>IFERROR(IF(SUMIFS(tblDaily[Discharges],tblDaily[EntryDate],DATE(2026,11,26),tblDaily[WardCode],"FAE")=0,"",SUMIFS(tblDaily[Discharges],tblDaily[EntryDate],DATE(2026,11,26),tblDaily[WardCode],"FAE")),"")</f>
        <v/>
      </c>
      <c r="K433" s="39" t="str">
        <f>IFERROR(IF(SUMIFS(tblDaily[Deaths],tblDaily[EntryDate],DATE(2026,11,26),tblDaily[WardCode],"FAE")=0,"",SUMIFS(tblDaily[Deaths],tblDaily[EntryDate],DATE(2026,11,26),tblDaily[WardCode],"FAE")),"")</f>
        <v/>
      </c>
      <c r="L433" s="39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39" t="str">
        <f>IFERROR(IF(SUMIFS(tblDaily[TransfersIn],tblDaily[EntryDate],DATE(2026,11,26),tblDaily[WardCode],"FAE")=0,"",SUMIFS(tblDaily[TransfersIn],tblDaily[EntryDate],DATE(2026,11,26),tblDaily[WardCode],"FAE")),"")</f>
        <v/>
      </c>
      <c r="N433" s="39" t="str">
        <f>IFERROR(IF(SUMIFS(tblDaily[TransfersOut],tblDaily[EntryDate],DATE(2026,11,26),tblDaily[WardCode],"FAE")=0,"",SUMIFS(tblDaily[TransfersOut],tblDaily[EntryDate],DATE(2026,11,26),tblDaily[WardCode],"FAE")),"")</f>
        <v/>
      </c>
      <c r="O433" s="39" t="str">
        <f>IFERROR(IF(SUMIFS(tblDaily[Remaining],tblDaily[EntryDate],DATE(2026,11,26),tblDaily[WardCode],"FAE")=0,"",SUMIFS(tblDaily[Remaining],tblDaily[EntryDate],DATE(2026,11,26),tblDaily[WardCode],"FAE")),"")</f>
        <v/>
      </c>
      <c r="P433" s="40" t="str">
        <f t="shared" si="10"/>
        <v/>
      </c>
    </row>
    <row r="434" spans="1:16" x14ac:dyDescent="0.25">
      <c r="A434" s="39">
        <v>27</v>
      </c>
      <c r="B434" s="39" t="str">
        <f>IFERROR(IF(SUMIFS(tblDaily[Admissions],tblDaily[EntryDate],DATE(2026,11,27),tblDaily[WardCode],"MAE")=0,"",SUMIFS(tblDaily[Admissions],tblDaily[EntryDate],DATE(2026,11,27),tblDaily[WardCode],"MAE")),"")</f>
        <v/>
      </c>
      <c r="C434" s="39" t="str">
        <f>IFERROR(IF(SUMIFS(tblDaily[Discharges],tblDaily[EntryDate],DATE(2026,11,27),tblDaily[WardCode],"MAE")=0,"",SUMIFS(tblDaily[Discharges],tblDaily[EntryDate],DATE(2026,11,27),tblDaily[WardCode],"MAE")),"")</f>
        <v/>
      </c>
      <c r="D434" s="39" t="str">
        <f>IFERROR(IF(SUMIFS(tblDaily[Deaths],tblDaily[EntryDate],DATE(2026,11,27),tblDaily[WardCode],"MAE")=0,"",SUMIFS(tblDaily[Deaths],tblDaily[EntryDate],DATE(2026,11,27),tblDaily[WardCode],"MAE")),"")</f>
        <v/>
      </c>
      <c r="E434" s="3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39" t="str">
        <f>IFERROR(IF(SUMIFS(tblDaily[TransfersIn],tblDaily[EntryDate],DATE(2026,11,27),tblDaily[WardCode],"MAE")=0,"",SUMIFS(tblDaily[TransfersIn],tblDaily[EntryDate],DATE(2026,11,27),tblDaily[WardCode],"MAE")),"")</f>
        <v/>
      </c>
      <c r="G434" s="39" t="str">
        <f>IFERROR(IF(SUMIFS(tblDaily[TransfersOut],tblDaily[EntryDate],DATE(2026,11,27),tblDaily[WardCode],"MAE")=0,"",SUMIFS(tblDaily[TransfersOut],tblDaily[EntryDate],DATE(2026,11,27),tblDaily[WardCode],"MAE")),"")</f>
        <v/>
      </c>
      <c r="H434" s="39" t="str">
        <f>IFERROR(IF(SUMIFS(tblDaily[Remaining],tblDaily[EntryDate],DATE(2026,11,27),tblDaily[WardCode],"MAE")=0,"",SUMIFS(tblDaily[Remaining],tblDaily[EntryDate],DATE(2026,11,27),tblDaily[WardCode],"MAE")),"")</f>
        <v/>
      </c>
      <c r="I434" s="39" t="str">
        <f>IFERROR(IF(SUMIFS(tblDaily[Admissions],tblDaily[EntryDate],DATE(2026,11,27),tblDaily[WardCode],"FAE")=0,"",SUMIFS(tblDaily[Admissions],tblDaily[EntryDate],DATE(2026,11,27),tblDaily[WardCode],"FAE")),"")</f>
        <v/>
      </c>
      <c r="J434" s="39" t="str">
        <f>IFERROR(IF(SUMIFS(tblDaily[Discharges],tblDaily[EntryDate],DATE(2026,11,27),tblDaily[WardCode],"FAE")=0,"",SUMIFS(tblDaily[Discharges],tblDaily[EntryDate],DATE(2026,11,27),tblDaily[WardCode],"FAE")),"")</f>
        <v/>
      </c>
      <c r="K434" s="39" t="str">
        <f>IFERROR(IF(SUMIFS(tblDaily[Deaths],tblDaily[EntryDate],DATE(2026,11,27),tblDaily[WardCode],"FAE")=0,"",SUMIFS(tblDaily[Deaths],tblDaily[EntryDate],DATE(2026,11,27),tblDaily[WardCode],"FAE")),"")</f>
        <v/>
      </c>
      <c r="L434" s="39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39" t="str">
        <f>IFERROR(IF(SUMIFS(tblDaily[TransfersIn],tblDaily[EntryDate],DATE(2026,11,27),tblDaily[WardCode],"FAE")=0,"",SUMIFS(tblDaily[TransfersIn],tblDaily[EntryDate],DATE(2026,11,27),tblDaily[WardCode],"FAE")),"")</f>
        <v/>
      </c>
      <c r="N434" s="39" t="str">
        <f>IFERROR(IF(SUMIFS(tblDaily[TransfersOut],tblDaily[EntryDate],DATE(2026,11,27),tblDaily[WardCode],"FAE")=0,"",SUMIFS(tblDaily[TransfersOut],tblDaily[EntryDate],DATE(2026,11,27),tblDaily[WardCode],"FAE")),"")</f>
        <v/>
      </c>
      <c r="O434" s="39" t="str">
        <f>IFERROR(IF(SUMIFS(tblDaily[Remaining],tblDaily[EntryDate],DATE(2026,11,27),tblDaily[WardCode],"FAE")=0,"",SUMIFS(tblDaily[Remaining],tblDaily[EntryDate],DATE(2026,11,27),tblDaily[WardCode],"FAE")),"")</f>
        <v/>
      </c>
      <c r="P434" s="40" t="str">
        <f t="shared" si="10"/>
        <v/>
      </c>
    </row>
    <row r="435" spans="1:16" x14ac:dyDescent="0.25">
      <c r="A435" s="39">
        <v>28</v>
      </c>
      <c r="B435" s="39" t="str">
        <f>IFERROR(IF(SUMIFS(tblDaily[Admissions],tblDaily[EntryDate],DATE(2026,11,28),tblDaily[WardCode],"MAE")=0,"",SUMIFS(tblDaily[Admissions],tblDaily[EntryDate],DATE(2026,11,28),tblDaily[WardCode],"MAE")),"")</f>
        <v/>
      </c>
      <c r="C435" s="39" t="str">
        <f>IFERROR(IF(SUMIFS(tblDaily[Discharges],tblDaily[EntryDate],DATE(2026,11,28),tblDaily[WardCode],"MAE")=0,"",SUMIFS(tblDaily[Discharges],tblDaily[EntryDate],DATE(2026,11,28),tblDaily[WardCode],"MAE")),"")</f>
        <v/>
      </c>
      <c r="D435" s="39" t="str">
        <f>IFERROR(IF(SUMIFS(tblDaily[Deaths],tblDaily[EntryDate],DATE(2026,11,28),tblDaily[WardCode],"MAE")=0,"",SUMIFS(tblDaily[Deaths],tblDaily[EntryDate],DATE(2026,11,28),tblDaily[WardCode],"MAE")),"")</f>
        <v/>
      </c>
      <c r="E435" s="3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39" t="str">
        <f>IFERROR(IF(SUMIFS(tblDaily[TransfersIn],tblDaily[EntryDate],DATE(2026,11,28),tblDaily[WardCode],"MAE")=0,"",SUMIFS(tblDaily[TransfersIn],tblDaily[EntryDate],DATE(2026,11,28),tblDaily[WardCode],"MAE")),"")</f>
        <v/>
      </c>
      <c r="G435" s="39" t="str">
        <f>IFERROR(IF(SUMIFS(tblDaily[TransfersOut],tblDaily[EntryDate],DATE(2026,11,28),tblDaily[WardCode],"MAE")=0,"",SUMIFS(tblDaily[TransfersOut],tblDaily[EntryDate],DATE(2026,11,28),tblDaily[WardCode],"MAE")),"")</f>
        <v/>
      </c>
      <c r="H435" s="39" t="str">
        <f>IFERROR(IF(SUMIFS(tblDaily[Remaining],tblDaily[EntryDate],DATE(2026,11,28),tblDaily[WardCode],"MAE")=0,"",SUMIFS(tblDaily[Remaining],tblDaily[EntryDate],DATE(2026,11,28),tblDaily[WardCode],"MAE")),"")</f>
        <v/>
      </c>
      <c r="I435" s="39" t="str">
        <f>IFERROR(IF(SUMIFS(tblDaily[Admissions],tblDaily[EntryDate],DATE(2026,11,28),tblDaily[WardCode],"FAE")=0,"",SUMIFS(tblDaily[Admissions],tblDaily[EntryDate],DATE(2026,11,28),tblDaily[WardCode],"FAE")),"")</f>
        <v/>
      </c>
      <c r="J435" s="39" t="str">
        <f>IFERROR(IF(SUMIFS(tblDaily[Discharges],tblDaily[EntryDate],DATE(2026,11,28),tblDaily[WardCode],"FAE")=0,"",SUMIFS(tblDaily[Discharges],tblDaily[EntryDate],DATE(2026,11,28),tblDaily[WardCode],"FAE")),"")</f>
        <v/>
      </c>
      <c r="K435" s="39" t="str">
        <f>IFERROR(IF(SUMIFS(tblDaily[Deaths],tblDaily[EntryDate],DATE(2026,11,28),tblDaily[WardCode],"FAE")=0,"",SUMIFS(tblDaily[Deaths],tblDaily[EntryDate],DATE(2026,11,28),tblDaily[WardCode],"FAE")),"")</f>
        <v/>
      </c>
      <c r="L435" s="39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39" t="str">
        <f>IFERROR(IF(SUMIFS(tblDaily[TransfersIn],tblDaily[EntryDate],DATE(2026,11,28),tblDaily[WardCode],"FAE")=0,"",SUMIFS(tblDaily[TransfersIn],tblDaily[EntryDate],DATE(2026,11,28),tblDaily[WardCode],"FAE")),"")</f>
        <v/>
      </c>
      <c r="N435" s="39" t="str">
        <f>IFERROR(IF(SUMIFS(tblDaily[TransfersOut],tblDaily[EntryDate],DATE(2026,11,28),tblDaily[WardCode],"FAE")=0,"",SUMIFS(tblDaily[TransfersOut],tblDaily[EntryDate],DATE(2026,11,28),tblDaily[WardCode],"FAE")),"")</f>
        <v/>
      </c>
      <c r="O435" s="39" t="str">
        <f>IFERROR(IF(SUMIFS(tblDaily[Remaining],tblDaily[EntryDate],DATE(2026,11,28),tblDaily[WardCode],"FAE")=0,"",SUMIFS(tblDaily[Remaining],tblDaily[EntryDate],DATE(2026,11,28),tblDaily[WardCode],"FAE")),"")</f>
        <v/>
      </c>
      <c r="P435" s="40" t="str">
        <f t="shared" si="10"/>
        <v/>
      </c>
    </row>
    <row r="436" spans="1:16" x14ac:dyDescent="0.25">
      <c r="A436" s="39">
        <v>29</v>
      </c>
      <c r="B436" s="39" t="str">
        <f>IFERROR(IF(SUMIFS(tblDaily[Admissions],tblDaily[EntryDate],DATE(2026,11,29),tblDaily[WardCode],"MAE")=0,"",SUMIFS(tblDaily[Admissions],tblDaily[EntryDate],DATE(2026,11,29),tblDaily[WardCode],"MAE")),"")</f>
        <v/>
      </c>
      <c r="C436" s="39" t="str">
        <f>IFERROR(IF(SUMIFS(tblDaily[Discharges],tblDaily[EntryDate],DATE(2026,11,29),tblDaily[WardCode],"MAE")=0,"",SUMIFS(tblDaily[Discharges],tblDaily[EntryDate],DATE(2026,11,29),tblDaily[WardCode],"MAE")),"")</f>
        <v/>
      </c>
      <c r="D436" s="39" t="str">
        <f>IFERROR(IF(SUMIFS(tblDaily[Deaths],tblDaily[EntryDate],DATE(2026,11,29),tblDaily[WardCode],"MAE")=0,"",SUMIFS(tblDaily[Deaths],tblDaily[EntryDate],DATE(2026,11,29),tblDaily[WardCode],"MAE")),"")</f>
        <v/>
      </c>
      <c r="E436" s="3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39" t="str">
        <f>IFERROR(IF(SUMIFS(tblDaily[TransfersIn],tblDaily[EntryDate],DATE(2026,11,29),tblDaily[WardCode],"MAE")=0,"",SUMIFS(tblDaily[TransfersIn],tblDaily[EntryDate],DATE(2026,11,29),tblDaily[WardCode],"MAE")),"")</f>
        <v/>
      </c>
      <c r="G436" s="39" t="str">
        <f>IFERROR(IF(SUMIFS(tblDaily[TransfersOut],tblDaily[EntryDate],DATE(2026,11,29),tblDaily[WardCode],"MAE")=0,"",SUMIFS(tblDaily[TransfersOut],tblDaily[EntryDate],DATE(2026,11,29),tblDaily[WardCode],"MAE")),"")</f>
        <v/>
      </c>
      <c r="H436" s="39" t="str">
        <f>IFERROR(IF(SUMIFS(tblDaily[Remaining],tblDaily[EntryDate],DATE(2026,11,29),tblDaily[WardCode],"MAE")=0,"",SUMIFS(tblDaily[Remaining],tblDaily[EntryDate],DATE(2026,11,29),tblDaily[WardCode],"MAE")),"")</f>
        <v/>
      </c>
      <c r="I436" s="39" t="str">
        <f>IFERROR(IF(SUMIFS(tblDaily[Admissions],tblDaily[EntryDate],DATE(2026,11,29),tblDaily[WardCode],"FAE")=0,"",SUMIFS(tblDaily[Admissions],tblDaily[EntryDate],DATE(2026,11,29),tblDaily[WardCode],"FAE")),"")</f>
        <v/>
      </c>
      <c r="J436" s="39" t="str">
        <f>IFERROR(IF(SUMIFS(tblDaily[Discharges],tblDaily[EntryDate],DATE(2026,11,29),tblDaily[WardCode],"FAE")=0,"",SUMIFS(tblDaily[Discharges],tblDaily[EntryDate],DATE(2026,11,29),tblDaily[WardCode],"FAE")),"")</f>
        <v/>
      </c>
      <c r="K436" s="39" t="str">
        <f>IFERROR(IF(SUMIFS(tblDaily[Deaths],tblDaily[EntryDate],DATE(2026,11,29),tblDaily[WardCode],"FAE")=0,"",SUMIFS(tblDaily[Deaths],tblDaily[EntryDate],DATE(2026,11,29),tblDaily[WardCode],"FAE")),"")</f>
        <v/>
      </c>
      <c r="L436" s="39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39" t="str">
        <f>IFERROR(IF(SUMIFS(tblDaily[TransfersIn],tblDaily[EntryDate],DATE(2026,11,29),tblDaily[WardCode],"FAE")=0,"",SUMIFS(tblDaily[TransfersIn],tblDaily[EntryDate],DATE(2026,11,29),tblDaily[WardCode],"FAE")),"")</f>
        <v/>
      </c>
      <c r="N436" s="39" t="str">
        <f>IFERROR(IF(SUMIFS(tblDaily[TransfersOut],tblDaily[EntryDate],DATE(2026,11,29),tblDaily[WardCode],"FAE")=0,"",SUMIFS(tblDaily[TransfersOut],tblDaily[EntryDate],DATE(2026,11,29),tblDaily[WardCode],"FAE")),"")</f>
        <v/>
      </c>
      <c r="O436" s="39" t="str">
        <f>IFERROR(IF(SUMIFS(tblDaily[Remaining],tblDaily[EntryDate],DATE(2026,11,29),tblDaily[WardCode],"FAE")=0,"",SUMIFS(tblDaily[Remaining],tblDaily[EntryDate],DATE(2026,11,29),tblDaily[WardCode],"FAE")),"")</f>
        <v/>
      </c>
      <c r="P436" s="40" t="str">
        <f t="shared" si="10"/>
        <v/>
      </c>
    </row>
    <row r="437" spans="1:16" x14ac:dyDescent="0.25">
      <c r="A437" s="39">
        <v>30</v>
      </c>
      <c r="B437" s="39" t="str">
        <f>IFERROR(IF(SUMIFS(tblDaily[Admissions],tblDaily[EntryDate],DATE(2026,11,30),tblDaily[WardCode],"MAE")=0,"",SUMIFS(tblDaily[Admissions],tblDaily[EntryDate],DATE(2026,11,30),tblDaily[WardCode],"MAE")),"")</f>
        <v/>
      </c>
      <c r="C437" s="39" t="str">
        <f>IFERROR(IF(SUMIFS(tblDaily[Discharges],tblDaily[EntryDate],DATE(2026,11,30),tblDaily[WardCode],"MAE")=0,"",SUMIFS(tblDaily[Discharges],tblDaily[EntryDate],DATE(2026,11,30),tblDaily[WardCode],"MAE")),"")</f>
        <v/>
      </c>
      <c r="D437" s="39" t="str">
        <f>IFERROR(IF(SUMIFS(tblDaily[Deaths],tblDaily[EntryDate],DATE(2026,11,30),tblDaily[WardCode],"MAE")=0,"",SUMIFS(tblDaily[Deaths],tblDaily[EntryDate],DATE(2026,11,30),tblDaily[WardCode],"MAE")),"")</f>
        <v/>
      </c>
      <c r="E437" s="3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39" t="str">
        <f>IFERROR(IF(SUMIFS(tblDaily[TransfersIn],tblDaily[EntryDate],DATE(2026,11,30),tblDaily[WardCode],"MAE")=0,"",SUMIFS(tblDaily[TransfersIn],tblDaily[EntryDate],DATE(2026,11,30),tblDaily[WardCode],"MAE")),"")</f>
        <v/>
      </c>
      <c r="G437" s="39" t="str">
        <f>IFERROR(IF(SUMIFS(tblDaily[TransfersOut],tblDaily[EntryDate],DATE(2026,11,30),tblDaily[WardCode],"MAE")=0,"",SUMIFS(tblDaily[TransfersOut],tblDaily[EntryDate],DATE(2026,11,30),tblDaily[WardCode],"MAE")),"")</f>
        <v/>
      </c>
      <c r="H437" s="39" t="str">
        <f>IFERROR(IF(SUMIFS(tblDaily[Remaining],tblDaily[EntryDate],DATE(2026,11,30),tblDaily[WardCode],"MAE")=0,"",SUMIFS(tblDaily[Remaining],tblDaily[EntryDate],DATE(2026,11,30),tblDaily[WardCode],"MAE")),"")</f>
        <v/>
      </c>
      <c r="I437" s="39" t="str">
        <f>IFERROR(IF(SUMIFS(tblDaily[Admissions],tblDaily[EntryDate],DATE(2026,11,30),tblDaily[WardCode],"FAE")=0,"",SUMIFS(tblDaily[Admissions],tblDaily[EntryDate],DATE(2026,11,30),tblDaily[WardCode],"FAE")),"")</f>
        <v/>
      </c>
      <c r="J437" s="39" t="str">
        <f>IFERROR(IF(SUMIFS(tblDaily[Discharges],tblDaily[EntryDate],DATE(2026,11,30),tblDaily[WardCode],"FAE")=0,"",SUMIFS(tblDaily[Discharges],tblDaily[EntryDate],DATE(2026,11,30),tblDaily[WardCode],"FAE")),"")</f>
        <v/>
      </c>
      <c r="K437" s="39" t="str">
        <f>IFERROR(IF(SUMIFS(tblDaily[Deaths],tblDaily[EntryDate],DATE(2026,11,30),tblDaily[WardCode],"FAE")=0,"",SUMIFS(tblDaily[Deaths],tblDaily[EntryDate],DATE(2026,11,30),tblDaily[WardCode],"FAE")),"")</f>
        <v/>
      </c>
      <c r="L437" s="39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39" t="str">
        <f>IFERROR(IF(SUMIFS(tblDaily[TransfersIn],tblDaily[EntryDate],DATE(2026,11,30),tblDaily[WardCode],"FAE")=0,"",SUMIFS(tblDaily[TransfersIn],tblDaily[EntryDate],DATE(2026,11,30),tblDaily[WardCode],"FAE")),"")</f>
        <v/>
      </c>
      <c r="N437" s="39" t="str">
        <f>IFERROR(IF(SUMIFS(tblDaily[TransfersOut],tblDaily[EntryDate],DATE(2026,11,30),tblDaily[WardCode],"FAE")=0,"",SUMIFS(tblDaily[TransfersOut],tblDaily[EntryDate],DATE(2026,11,30),tblDaily[WardCode],"FAE")),"")</f>
        <v/>
      </c>
      <c r="O437" s="39" t="str">
        <f>IFERROR(IF(SUMIFS(tblDaily[Remaining],tblDaily[EntryDate],DATE(2026,11,30),tblDaily[WardCode],"FAE")=0,"",SUMIFS(tblDaily[Remaining],tblDaily[EntryDate],DATE(2026,11,30),tblDaily[WardCode],"FAE")),"")</f>
        <v/>
      </c>
      <c r="P437" s="40" t="str">
        <f t="shared" si="10"/>
        <v/>
      </c>
    </row>
    <row r="438" spans="1:16" x14ac:dyDescent="0.25">
      <c r="A438" s="39">
        <v>31</v>
      </c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</row>
    <row r="439" spans="1:16" x14ac:dyDescent="0.25">
      <c r="A439" s="30" t="s">
        <v>115</v>
      </c>
      <c r="B439" s="30">
        <f>SUMIFS(tblDaily[Admissions],tblDaily[Month],11,tblDaily[WardCode],"MAE") - SUMIFS(tblDaily[DeathsUnder24Hrs],tblDaily[Month],11,tblDaily[WardCode],"MAE")</f>
        <v>0</v>
      </c>
      <c r="C439" s="30">
        <f>SUMIFS(tblDaily[Discharges],tblDaily[Month],11,tblDaily[WardCode],"MAE")</f>
        <v>0</v>
      </c>
      <c r="D439" s="30">
        <f>SUMIFS(tblDaily[Deaths],tblDaily[Month],11,tblDaily[WardCode],"MAE")</f>
        <v>0</v>
      </c>
      <c r="E439" s="30">
        <f>SUMIFS(tblDaily[DeathsUnder24Hrs],tblDaily[Month],11,tblDaily[WardCode],"MAE")</f>
        <v>0</v>
      </c>
      <c r="F439" s="30">
        <f>SUMIFS(tblDaily[TransfersIn],tblDaily[Month],11,tblDaily[WardCode],"MAE")</f>
        <v>0</v>
      </c>
      <c r="G439" s="30">
        <f>SUMIFS(tblDaily[TransfersOut],tblDaily[Month],11,tblDaily[WardCode],"MAE")</f>
        <v>0</v>
      </c>
      <c r="H439" s="30">
        <f>SUMIFS(tblDaily[Remaining],tblDaily[Month],11,tblDaily[WardCode],"MAE")</f>
        <v>0</v>
      </c>
      <c r="I439" s="30">
        <f>SUMIFS(tblDaily[Admissions],tblDaily[Month],11,tblDaily[WardCode],"FAE") - SUMIFS(tblDaily[DeathsUnder24Hrs],tblDaily[Month],11,tblDaily[WardCode],"FAE")</f>
        <v>0</v>
      </c>
      <c r="J439" s="30">
        <f>SUMIFS(tblDaily[Discharges],tblDaily[Month],11,tblDaily[WardCode],"FAE")</f>
        <v>0</v>
      </c>
      <c r="K439" s="30">
        <f>SUMIFS(tblDaily[Deaths],tblDaily[Month],11,tblDaily[WardCode],"FAE")</f>
        <v>0</v>
      </c>
      <c r="L439" s="30">
        <f>SUMIFS(tblDaily[DeathsUnder24Hrs],tblDaily[Month],11,tblDaily[WardCode],"FAE")</f>
        <v>0</v>
      </c>
      <c r="M439" s="30">
        <f>SUMIFS(tblDaily[TransfersIn],tblDaily[Month],11,tblDaily[WardCode],"FAE")</f>
        <v>0</v>
      </c>
      <c r="N439" s="30">
        <f>SUMIFS(tblDaily[TransfersOut],tblDaily[Month],11,tblDaily[WardCode],"FAE")</f>
        <v>0</v>
      </c>
      <c r="O439" s="30">
        <f>SUMIFS(tblDaily[Remaining],tblDaily[Month],11,tblDaily[WardCode],"FAE")</f>
        <v>0</v>
      </c>
      <c r="P439" s="30">
        <f>H439 + O439</f>
        <v>0</v>
      </c>
    </row>
    <row r="441" spans="1:16" ht="18.75" x14ac:dyDescent="0.25">
      <c r="A441" s="32" t="s">
        <v>0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6" ht="15.75" x14ac:dyDescent="0.25">
      <c r="A442" s="23" t="s">
        <v>104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</row>
    <row r="443" spans="1:16" x14ac:dyDescent="0.25">
      <c r="A443" s="24" t="s">
        <v>4</v>
      </c>
      <c r="B443" s="25" t="s">
        <v>2</v>
      </c>
      <c r="E443" s="24" t="s">
        <v>105</v>
      </c>
      <c r="F443" s="24" t="s">
        <v>125</v>
      </c>
      <c r="M443" s="24" t="s">
        <v>107</v>
      </c>
      <c r="N443" s="24" t="s">
        <v>74</v>
      </c>
    </row>
    <row r="444" spans="1:16" x14ac:dyDescent="0.25">
      <c r="A444" s="24" t="s">
        <v>108</v>
      </c>
      <c r="B444" s="33">
        <f>IFERROR(SUMIFS(tblDaily[Remaining],tblDaily[EntryDate],DATE(2026,11,30),tblDaily[WardCode],"MAE"),0)</f>
        <v>0</v>
      </c>
      <c r="I444" s="33">
        <f>IFERROR(SUMIFS(tblDaily[Remaining],tblDaily[EntryDate],DATE(2026,11,30),tblDaily[WardCode],"FAE"),0)</f>
        <v>0</v>
      </c>
    </row>
    <row r="445" spans="1:16" x14ac:dyDescent="0.25">
      <c r="A445" s="24" t="s">
        <v>109</v>
      </c>
      <c r="B445" s="33">
        <f>IFERROR(INDEX(tblWardConfig[BedComplement],MATCH("MAE",tblWardConfig[WardCode],0)),0)</f>
        <v>10</v>
      </c>
      <c r="I445" s="33">
        <f>IFERROR(INDEX(tblWardConfig[BedComplement],MATCH("FAE",tblWardConfig[WardCode],0)),0)</f>
        <v>10</v>
      </c>
      <c r="O445" s="34">
        <f>B445+I445</f>
        <v>20</v>
      </c>
    </row>
    <row r="446" spans="1:16" x14ac:dyDescent="0.25">
      <c r="A446" s="35" t="s">
        <v>126</v>
      </c>
      <c r="B446" s="36" t="s">
        <v>122</v>
      </c>
      <c r="C446" s="22"/>
      <c r="D446" s="22"/>
      <c r="E446" s="22"/>
      <c r="F446" s="22"/>
      <c r="G446" s="22"/>
      <c r="H446" s="22"/>
      <c r="I446" s="37" t="s">
        <v>123</v>
      </c>
      <c r="J446" s="22"/>
      <c r="K446" s="22"/>
      <c r="L446" s="22"/>
      <c r="M446" s="22"/>
      <c r="N446" s="22"/>
      <c r="O446" s="22"/>
      <c r="P446" s="38" t="s">
        <v>115</v>
      </c>
    </row>
    <row r="447" spans="1:16" x14ac:dyDescent="0.25">
      <c r="A447" s="35" t="s">
        <v>126</v>
      </c>
      <c r="B447" s="35" t="s">
        <v>127</v>
      </c>
      <c r="C447" s="35" t="s">
        <v>128</v>
      </c>
      <c r="D447" s="35" t="s">
        <v>129</v>
      </c>
      <c r="E447" s="35" t="s">
        <v>130</v>
      </c>
      <c r="F447" s="35" t="s">
        <v>131</v>
      </c>
      <c r="G447" s="35" t="s">
        <v>132</v>
      </c>
      <c r="H447" s="35" t="s">
        <v>133</v>
      </c>
      <c r="I447" s="35" t="s">
        <v>127</v>
      </c>
      <c r="J447" s="35" t="s">
        <v>128</v>
      </c>
      <c r="K447" s="35" t="s">
        <v>129</v>
      </c>
      <c r="L447" s="35" t="s">
        <v>130</v>
      </c>
      <c r="M447" s="35" t="s">
        <v>131</v>
      </c>
      <c r="N447" s="35" t="s">
        <v>132</v>
      </c>
      <c r="O447" s="35" t="s">
        <v>133</v>
      </c>
      <c r="P447" s="35" t="s">
        <v>134</v>
      </c>
    </row>
    <row r="448" spans="1:16" x14ac:dyDescent="0.25">
      <c r="A448" s="39">
        <v>1</v>
      </c>
      <c r="B448" s="39" t="str">
        <f>IFERROR(IF(SUMIFS(tblDaily[Admissions],tblDaily[EntryDate],DATE(2026,12,1),tblDaily[WardCode],"MAE")=0,"",SUMIFS(tblDaily[Admissions],tblDaily[EntryDate],DATE(2026,12,1),tblDaily[WardCode],"MAE")),"")</f>
        <v/>
      </c>
      <c r="C448" s="39" t="str">
        <f>IFERROR(IF(SUMIFS(tblDaily[Discharges],tblDaily[EntryDate],DATE(2026,12,1),tblDaily[WardCode],"MAE")=0,"",SUMIFS(tblDaily[Discharges],tblDaily[EntryDate],DATE(2026,12,1),tblDaily[WardCode],"MAE")),"")</f>
        <v/>
      </c>
      <c r="D448" s="39" t="str">
        <f>IFERROR(IF(SUMIFS(tblDaily[Deaths],tblDaily[EntryDate],DATE(2026,12,1),tblDaily[WardCode],"MAE")=0,"",SUMIFS(tblDaily[Deaths],tblDaily[EntryDate],DATE(2026,12,1),tblDaily[WardCode],"MAE")),"")</f>
        <v/>
      </c>
      <c r="E448" s="39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39" t="str">
        <f>IFERROR(IF(SUMIFS(tblDaily[TransfersIn],tblDaily[EntryDate],DATE(2026,12,1),tblDaily[WardCode],"MAE")=0,"",SUMIFS(tblDaily[TransfersIn],tblDaily[EntryDate],DATE(2026,12,1),tblDaily[WardCode],"MAE")),"")</f>
        <v/>
      </c>
      <c r="G448" s="39" t="str">
        <f>IFERROR(IF(SUMIFS(tblDaily[TransfersOut],tblDaily[EntryDate],DATE(2026,12,1),tblDaily[WardCode],"MAE")=0,"",SUMIFS(tblDaily[TransfersOut],tblDaily[EntryDate],DATE(2026,12,1),tblDaily[WardCode],"MAE")),"")</f>
        <v/>
      </c>
      <c r="H448" s="39" t="str">
        <f>IFERROR(IF(SUMIFS(tblDaily[Remaining],tblDaily[EntryDate],DATE(2026,12,1),tblDaily[WardCode],"MAE")=0,"",SUMIFS(tblDaily[Remaining],tblDaily[EntryDate],DATE(2026,12,1),tblDaily[WardCode],"MAE")),"")</f>
        <v/>
      </c>
      <c r="I448" s="39" t="str">
        <f>IFERROR(IF(SUMIFS(tblDaily[Admissions],tblDaily[EntryDate],DATE(2026,12,1),tblDaily[WardCode],"FAE")=0,"",SUMIFS(tblDaily[Admissions],tblDaily[EntryDate],DATE(2026,12,1),tblDaily[WardCode],"FAE")),"")</f>
        <v/>
      </c>
      <c r="J448" s="39" t="str">
        <f>IFERROR(IF(SUMIFS(tblDaily[Discharges],tblDaily[EntryDate],DATE(2026,12,1),tblDaily[WardCode],"FAE")=0,"",SUMIFS(tblDaily[Discharges],tblDaily[EntryDate],DATE(2026,12,1),tblDaily[WardCode],"FAE")),"")</f>
        <v/>
      </c>
      <c r="K448" s="39" t="str">
        <f>IFERROR(IF(SUMIFS(tblDaily[Deaths],tblDaily[EntryDate],DATE(2026,12,1),tblDaily[WardCode],"FAE")=0,"",SUMIFS(tblDaily[Deaths],tblDaily[EntryDate],DATE(2026,12,1),tblDaily[WardCode],"FAE")),"")</f>
        <v/>
      </c>
      <c r="L448" s="39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39" t="str">
        <f>IFERROR(IF(SUMIFS(tblDaily[TransfersIn],tblDaily[EntryDate],DATE(2026,12,1),tblDaily[WardCode],"FAE")=0,"",SUMIFS(tblDaily[TransfersIn],tblDaily[EntryDate],DATE(2026,12,1),tblDaily[WardCode],"FAE")),"")</f>
        <v/>
      </c>
      <c r="N448" s="39" t="str">
        <f>IFERROR(IF(SUMIFS(tblDaily[TransfersOut],tblDaily[EntryDate],DATE(2026,12,1),tblDaily[WardCode],"FAE")=0,"",SUMIFS(tblDaily[TransfersOut],tblDaily[EntryDate],DATE(2026,12,1),tblDaily[WardCode],"FAE")),"")</f>
        <v/>
      </c>
      <c r="O448" s="39" t="str">
        <f>IFERROR(IF(SUMIFS(tblDaily[Remaining],tblDaily[EntryDate],DATE(2026,12,1),tblDaily[WardCode],"FAE")=0,"",SUMIFS(tblDaily[Remaining],tblDaily[EntryDate],DATE(2026,12,1),tblDaily[WardCode],"FAE")),"")</f>
        <v/>
      </c>
      <c r="P448" s="40" t="str">
        <f t="shared" ref="P448:P478" si="11">IF(AND(H448="", O448=""), "", N(H448) + N(O448))</f>
        <v/>
      </c>
    </row>
    <row r="449" spans="1:16" x14ac:dyDescent="0.25">
      <c r="A449" s="39">
        <v>2</v>
      </c>
      <c r="B449" s="39" t="str">
        <f>IFERROR(IF(SUMIFS(tblDaily[Admissions],tblDaily[EntryDate],DATE(2026,12,2),tblDaily[WardCode],"MAE")=0,"",SUMIFS(tblDaily[Admissions],tblDaily[EntryDate],DATE(2026,12,2),tblDaily[WardCode],"MAE")),"")</f>
        <v/>
      </c>
      <c r="C449" s="39" t="str">
        <f>IFERROR(IF(SUMIFS(tblDaily[Discharges],tblDaily[EntryDate],DATE(2026,12,2),tblDaily[WardCode],"MAE")=0,"",SUMIFS(tblDaily[Discharges],tblDaily[EntryDate],DATE(2026,12,2),tblDaily[WardCode],"MAE")),"")</f>
        <v/>
      </c>
      <c r="D449" s="39" t="str">
        <f>IFERROR(IF(SUMIFS(tblDaily[Deaths],tblDaily[EntryDate],DATE(2026,12,2),tblDaily[WardCode],"MAE")=0,"",SUMIFS(tblDaily[Deaths],tblDaily[EntryDate],DATE(2026,12,2),tblDaily[WardCode],"MAE")),"")</f>
        <v/>
      </c>
      <c r="E449" s="39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39" t="str">
        <f>IFERROR(IF(SUMIFS(tblDaily[TransfersIn],tblDaily[EntryDate],DATE(2026,12,2),tblDaily[WardCode],"MAE")=0,"",SUMIFS(tblDaily[TransfersIn],tblDaily[EntryDate],DATE(2026,12,2),tblDaily[WardCode],"MAE")),"")</f>
        <v/>
      </c>
      <c r="G449" s="39" t="str">
        <f>IFERROR(IF(SUMIFS(tblDaily[TransfersOut],tblDaily[EntryDate],DATE(2026,12,2),tblDaily[WardCode],"MAE")=0,"",SUMIFS(tblDaily[TransfersOut],tblDaily[EntryDate],DATE(2026,12,2),tblDaily[WardCode],"MAE")),"")</f>
        <v/>
      </c>
      <c r="H449" s="39" t="str">
        <f>IFERROR(IF(SUMIFS(tblDaily[Remaining],tblDaily[EntryDate],DATE(2026,12,2),tblDaily[WardCode],"MAE")=0,"",SUMIFS(tblDaily[Remaining],tblDaily[EntryDate],DATE(2026,12,2),tblDaily[WardCode],"MAE")),"")</f>
        <v/>
      </c>
      <c r="I449" s="39" t="str">
        <f>IFERROR(IF(SUMIFS(tblDaily[Admissions],tblDaily[EntryDate],DATE(2026,12,2),tblDaily[WardCode],"FAE")=0,"",SUMIFS(tblDaily[Admissions],tblDaily[EntryDate],DATE(2026,12,2),tblDaily[WardCode],"FAE")),"")</f>
        <v/>
      </c>
      <c r="J449" s="39" t="str">
        <f>IFERROR(IF(SUMIFS(tblDaily[Discharges],tblDaily[EntryDate],DATE(2026,12,2),tblDaily[WardCode],"FAE")=0,"",SUMIFS(tblDaily[Discharges],tblDaily[EntryDate],DATE(2026,12,2),tblDaily[WardCode],"FAE")),"")</f>
        <v/>
      </c>
      <c r="K449" s="39" t="str">
        <f>IFERROR(IF(SUMIFS(tblDaily[Deaths],tblDaily[EntryDate],DATE(2026,12,2),tblDaily[WardCode],"FAE")=0,"",SUMIFS(tblDaily[Deaths],tblDaily[EntryDate],DATE(2026,12,2),tblDaily[WardCode],"FAE")),"")</f>
        <v/>
      </c>
      <c r="L449" s="39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39" t="str">
        <f>IFERROR(IF(SUMIFS(tblDaily[TransfersIn],tblDaily[EntryDate],DATE(2026,12,2),tblDaily[WardCode],"FAE")=0,"",SUMIFS(tblDaily[TransfersIn],tblDaily[EntryDate],DATE(2026,12,2),tblDaily[WardCode],"FAE")),"")</f>
        <v/>
      </c>
      <c r="N449" s="39" t="str">
        <f>IFERROR(IF(SUMIFS(tblDaily[TransfersOut],tblDaily[EntryDate],DATE(2026,12,2),tblDaily[WardCode],"FAE")=0,"",SUMIFS(tblDaily[TransfersOut],tblDaily[EntryDate],DATE(2026,12,2),tblDaily[WardCode],"FAE")),"")</f>
        <v/>
      </c>
      <c r="O449" s="39" t="str">
        <f>IFERROR(IF(SUMIFS(tblDaily[Remaining],tblDaily[EntryDate],DATE(2026,12,2),tblDaily[WardCode],"FAE")=0,"",SUMIFS(tblDaily[Remaining],tblDaily[EntryDate],DATE(2026,12,2),tblDaily[WardCode],"FAE")),"")</f>
        <v/>
      </c>
      <c r="P449" s="40" t="str">
        <f t="shared" si="11"/>
        <v/>
      </c>
    </row>
    <row r="450" spans="1:16" x14ac:dyDescent="0.25">
      <c r="A450" s="39">
        <v>3</v>
      </c>
      <c r="B450" s="39" t="str">
        <f>IFERROR(IF(SUMIFS(tblDaily[Admissions],tblDaily[EntryDate],DATE(2026,12,3),tblDaily[WardCode],"MAE")=0,"",SUMIFS(tblDaily[Admissions],tblDaily[EntryDate],DATE(2026,12,3),tblDaily[WardCode],"MAE")),"")</f>
        <v/>
      </c>
      <c r="C450" s="39" t="str">
        <f>IFERROR(IF(SUMIFS(tblDaily[Discharges],tblDaily[EntryDate],DATE(2026,12,3),tblDaily[WardCode],"MAE")=0,"",SUMIFS(tblDaily[Discharges],tblDaily[EntryDate],DATE(2026,12,3),tblDaily[WardCode],"MAE")),"")</f>
        <v/>
      </c>
      <c r="D450" s="39" t="str">
        <f>IFERROR(IF(SUMIFS(tblDaily[Deaths],tblDaily[EntryDate],DATE(2026,12,3),tblDaily[WardCode],"MAE")=0,"",SUMIFS(tblDaily[Deaths],tblDaily[EntryDate],DATE(2026,12,3),tblDaily[WardCode],"MAE")),"")</f>
        <v/>
      </c>
      <c r="E450" s="39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39" t="str">
        <f>IFERROR(IF(SUMIFS(tblDaily[TransfersIn],tblDaily[EntryDate],DATE(2026,12,3),tblDaily[WardCode],"MAE")=0,"",SUMIFS(tblDaily[TransfersIn],tblDaily[EntryDate],DATE(2026,12,3),tblDaily[WardCode],"MAE")),"")</f>
        <v/>
      </c>
      <c r="G450" s="39" t="str">
        <f>IFERROR(IF(SUMIFS(tblDaily[TransfersOut],tblDaily[EntryDate],DATE(2026,12,3),tblDaily[WardCode],"MAE")=0,"",SUMIFS(tblDaily[TransfersOut],tblDaily[EntryDate],DATE(2026,12,3),tblDaily[WardCode],"MAE")),"")</f>
        <v/>
      </c>
      <c r="H450" s="39" t="str">
        <f>IFERROR(IF(SUMIFS(tblDaily[Remaining],tblDaily[EntryDate],DATE(2026,12,3),tblDaily[WardCode],"MAE")=0,"",SUMIFS(tblDaily[Remaining],tblDaily[EntryDate],DATE(2026,12,3),tblDaily[WardCode],"MAE")),"")</f>
        <v/>
      </c>
      <c r="I450" s="39" t="str">
        <f>IFERROR(IF(SUMIFS(tblDaily[Admissions],tblDaily[EntryDate],DATE(2026,12,3),tblDaily[WardCode],"FAE")=0,"",SUMIFS(tblDaily[Admissions],tblDaily[EntryDate],DATE(2026,12,3),tblDaily[WardCode],"FAE")),"")</f>
        <v/>
      </c>
      <c r="J450" s="39" t="str">
        <f>IFERROR(IF(SUMIFS(tblDaily[Discharges],tblDaily[EntryDate],DATE(2026,12,3),tblDaily[WardCode],"FAE")=0,"",SUMIFS(tblDaily[Discharges],tblDaily[EntryDate],DATE(2026,12,3),tblDaily[WardCode],"FAE")),"")</f>
        <v/>
      </c>
      <c r="K450" s="39" t="str">
        <f>IFERROR(IF(SUMIFS(tblDaily[Deaths],tblDaily[EntryDate],DATE(2026,12,3),tblDaily[WardCode],"FAE")=0,"",SUMIFS(tblDaily[Deaths],tblDaily[EntryDate],DATE(2026,12,3),tblDaily[WardCode],"FAE")),"")</f>
        <v/>
      </c>
      <c r="L450" s="39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39" t="str">
        <f>IFERROR(IF(SUMIFS(tblDaily[TransfersIn],tblDaily[EntryDate],DATE(2026,12,3),tblDaily[WardCode],"FAE")=0,"",SUMIFS(tblDaily[TransfersIn],tblDaily[EntryDate],DATE(2026,12,3),tblDaily[WardCode],"FAE")),"")</f>
        <v/>
      </c>
      <c r="N450" s="39" t="str">
        <f>IFERROR(IF(SUMIFS(tblDaily[TransfersOut],tblDaily[EntryDate],DATE(2026,12,3),tblDaily[WardCode],"FAE")=0,"",SUMIFS(tblDaily[TransfersOut],tblDaily[EntryDate],DATE(2026,12,3),tblDaily[WardCode],"FAE")),"")</f>
        <v/>
      </c>
      <c r="O450" s="39" t="str">
        <f>IFERROR(IF(SUMIFS(tblDaily[Remaining],tblDaily[EntryDate],DATE(2026,12,3),tblDaily[WardCode],"FAE")=0,"",SUMIFS(tblDaily[Remaining],tblDaily[EntryDate],DATE(2026,12,3),tblDaily[WardCode],"FAE")),"")</f>
        <v/>
      </c>
      <c r="P450" s="40" t="str">
        <f t="shared" si="11"/>
        <v/>
      </c>
    </row>
    <row r="451" spans="1:16" x14ac:dyDescent="0.25">
      <c r="A451" s="39">
        <v>4</v>
      </c>
      <c r="B451" s="39" t="str">
        <f>IFERROR(IF(SUMIFS(tblDaily[Admissions],tblDaily[EntryDate],DATE(2026,12,4),tblDaily[WardCode],"MAE")=0,"",SUMIFS(tblDaily[Admissions],tblDaily[EntryDate],DATE(2026,12,4),tblDaily[WardCode],"MAE")),"")</f>
        <v/>
      </c>
      <c r="C451" s="39" t="str">
        <f>IFERROR(IF(SUMIFS(tblDaily[Discharges],tblDaily[EntryDate],DATE(2026,12,4),tblDaily[WardCode],"MAE")=0,"",SUMIFS(tblDaily[Discharges],tblDaily[EntryDate],DATE(2026,12,4),tblDaily[WardCode],"MAE")),"")</f>
        <v/>
      </c>
      <c r="D451" s="39" t="str">
        <f>IFERROR(IF(SUMIFS(tblDaily[Deaths],tblDaily[EntryDate],DATE(2026,12,4),tblDaily[WardCode],"MAE")=0,"",SUMIFS(tblDaily[Deaths],tblDaily[EntryDate],DATE(2026,12,4),tblDaily[WardCode],"MAE")),"")</f>
        <v/>
      </c>
      <c r="E451" s="39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39" t="str">
        <f>IFERROR(IF(SUMIFS(tblDaily[TransfersIn],tblDaily[EntryDate],DATE(2026,12,4),tblDaily[WardCode],"MAE")=0,"",SUMIFS(tblDaily[TransfersIn],tblDaily[EntryDate],DATE(2026,12,4),tblDaily[WardCode],"MAE")),"")</f>
        <v/>
      </c>
      <c r="G451" s="39" t="str">
        <f>IFERROR(IF(SUMIFS(tblDaily[TransfersOut],tblDaily[EntryDate],DATE(2026,12,4),tblDaily[WardCode],"MAE")=0,"",SUMIFS(tblDaily[TransfersOut],tblDaily[EntryDate],DATE(2026,12,4),tblDaily[WardCode],"MAE")),"")</f>
        <v/>
      </c>
      <c r="H451" s="39" t="str">
        <f>IFERROR(IF(SUMIFS(tblDaily[Remaining],tblDaily[EntryDate],DATE(2026,12,4),tblDaily[WardCode],"MAE")=0,"",SUMIFS(tblDaily[Remaining],tblDaily[EntryDate],DATE(2026,12,4),tblDaily[WardCode],"MAE")),"")</f>
        <v/>
      </c>
      <c r="I451" s="39" t="str">
        <f>IFERROR(IF(SUMIFS(tblDaily[Admissions],tblDaily[EntryDate],DATE(2026,12,4),tblDaily[WardCode],"FAE")=0,"",SUMIFS(tblDaily[Admissions],tblDaily[EntryDate],DATE(2026,12,4),tblDaily[WardCode],"FAE")),"")</f>
        <v/>
      </c>
      <c r="J451" s="39" t="str">
        <f>IFERROR(IF(SUMIFS(tblDaily[Discharges],tblDaily[EntryDate],DATE(2026,12,4),tblDaily[WardCode],"FAE")=0,"",SUMIFS(tblDaily[Discharges],tblDaily[EntryDate],DATE(2026,12,4),tblDaily[WardCode],"FAE")),"")</f>
        <v/>
      </c>
      <c r="K451" s="39" t="str">
        <f>IFERROR(IF(SUMIFS(tblDaily[Deaths],tblDaily[EntryDate],DATE(2026,12,4),tblDaily[WardCode],"FAE")=0,"",SUMIFS(tblDaily[Deaths],tblDaily[EntryDate],DATE(2026,12,4),tblDaily[WardCode],"FAE")),"")</f>
        <v/>
      </c>
      <c r="L451" s="39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39" t="str">
        <f>IFERROR(IF(SUMIFS(tblDaily[TransfersIn],tblDaily[EntryDate],DATE(2026,12,4),tblDaily[WardCode],"FAE")=0,"",SUMIFS(tblDaily[TransfersIn],tblDaily[EntryDate],DATE(2026,12,4),tblDaily[WardCode],"FAE")),"")</f>
        <v/>
      </c>
      <c r="N451" s="39" t="str">
        <f>IFERROR(IF(SUMIFS(tblDaily[TransfersOut],tblDaily[EntryDate],DATE(2026,12,4),tblDaily[WardCode],"FAE")=0,"",SUMIFS(tblDaily[TransfersOut],tblDaily[EntryDate],DATE(2026,12,4),tblDaily[WardCode],"FAE")),"")</f>
        <v/>
      </c>
      <c r="O451" s="39" t="str">
        <f>IFERROR(IF(SUMIFS(tblDaily[Remaining],tblDaily[EntryDate],DATE(2026,12,4),tblDaily[WardCode],"FAE")=0,"",SUMIFS(tblDaily[Remaining],tblDaily[EntryDate],DATE(2026,12,4),tblDaily[WardCode],"FAE")),"")</f>
        <v/>
      </c>
      <c r="P451" s="40" t="str">
        <f t="shared" si="11"/>
        <v/>
      </c>
    </row>
    <row r="452" spans="1:16" x14ac:dyDescent="0.25">
      <c r="A452" s="39">
        <v>5</v>
      </c>
      <c r="B452" s="39" t="str">
        <f>IFERROR(IF(SUMIFS(tblDaily[Admissions],tblDaily[EntryDate],DATE(2026,12,5),tblDaily[WardCode],"MAE")=0,"",SUMIFS(tblDaily[Admissions],tblDaily[EntryDate],DATE(2026,12,5),tblDaily[WardCode],"MAE")),"")</f>
        <v/>
      </c>
      <c r="C452" s="39" t="str">
        <f>IFERROR(IF(SUMIFS(tblDaily[Discharges],tblDaily[EntryDate],DATE(2026,12,5),tblDaily[WardCode],"MAE")=0,"",SUMIFS(tblDaily[Discharges],tblDaily[EntryDate],DATE(2026,12,5),tblDaily[WardCode],"MAE")),"")</f>
        <v/>
      </c>
      <c r="D452" s="39" t="str">
        <f>IFERROR(IF(SUMIFS(tblDaily[Deaths],tblDaily[EntryDate],DATE(2026,12,5),tblDaily[WardCode],"MAE")=0,"",SUMIFS(tblDaily[Deaths],tblDaily[EntryDate],DATE(2026,12,5),tblDaily[WardCode],"MAE")),"")</f>
        <v/>
      </c>
      <c r="E452" s="39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39" t="str">
        <f>IFERROR(IF(SUMIFS(tblDaily[TransfersIn],tblDaily[EntryDate],DATE(2026,12,5),tblDaily[WardCode],"MAE")=0,"",SUMIFS(tblDaily[TransfersIn],tblDaily[EntryDate],DATE(2026,12,5),tblDaily[WardCode],"MAE")),"")</f>
        <v/>
      </c>
      <c r="G452" s="39" t="str">
        <f>IFERROR(IF(SUMIFS(tblDaily[TransfersOut],tblDaily[EntryDate],DATE(2026,12,5),tblDaily[WardCode],"MAE")=0,"",SUMIFS(tblDaily[TransfersOut],tblDaily[EntryDate],DATE(2026,12,5),tblDaily[WardCode],"MAE")),"")</f>
        <v/>
      </c>
      <c r="H452" s="39" t="str">
        <f>IFERROR(IF(SUMIFS(tblDaily[Remaining],tblDaily[EntryDate],DATE(2026,12,5),tblDaily[WardCode],"MAE")=0,"",SUMIFS(tblDaily[Remaining],tblDaily[EntryDate],DATE(2026,12,5),tblDaily[WardCode],"MAE")),"")</f>
        <v/>
      </c>
      <c r="I452" s="39" t="str">
        <f>IFERROR(IF(SUMIFS(tblDaily[Admissions],tblDaily[EntryDate],DATE(2026,12,5),tblDaily[WardCode],"FAE")=0,"",SUMIFS(tblDaily[Admissions],tblDaily[EntryDate],DATE(2026,12,5),tblDaily[WardCode],"FAE")),"")</f>
        <v/>
      </c>
      <c r="J452" s="39" t="str">
        <f>IFERROR(IF(SUMIFS(tblDaily[Discharges],tblDaily[EntryDate],DATE(2026,12,5),tblDaily[WardCode],"FAE")=0,"",SUMIFS(tblDaily[Discharges],tblDaily[EntryDate],DATE(2026,12,5),tblDaily[WardCode],"FAE")),"")</f>
        <v/>
      </c>
      <c r="K452" s="39" t="str">
        <f>IFERROR(IF(SUMIFS(tblDaily[Deaths],tblDaily[EntryDate],DATE(2026,12,5),tblDaily[WardCode],"FAE")=0,"",SUMIFS(tblDaily[Deaths],tblDaily[EntryDate],DATE(2026,12,5),tblDaily[WardCode],"FAE")),"")</f>
        <v/>
      </c>
      <c r="L452" s="39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39" t="str">
        <f>IFERROR(IF(SUMIFS(tblDaily[TransfersIn],tblDaily[EntryDate],DATE(2026,12,5),tblDaily[WardCode],"FAE")=0,"",SUMIFS(tblDaily[TransfersIn],tblDaily[EntryDate],DATE(2026,12,5),tblDaily[WardCode],"FAE")),"")</f>
        <v/>
      </c>
      <c r="N452" s="39" t="str">
        <f>IFERROR(IF(SUMIFS(tblDaily[TransfersOut],tblDaily[EntryDate],DATE(2026,12,5),tblDaily[WardCode],"FAE")=0,"",SUMIFS(tblDaily[TransfersOut],tblDaily[EntryDate],DATE(2026,12,5),tblDaily[WardCode],"FAE")),"")</f>
        <v/>
      </c>
      <c r="O452" s="39" t="str">
        <f>IFERROR(IF(SUMIFS(tblDaily[Remaining],tblDaily[EntryDate],DATE(2026,12,5),tblDaily[WardCode],"FAE")=0,"",SUMIFS(tblDaily[Remaining],tblDaily[EntryDate],DATE(2026,12,5),tblDaily[WardCode],"FAE")),"")</f>
        <v/>
      </c>
      <c r="P452" s="40" t="str">
        <f t="shared" si="11"/>
        <v/>
      </c>
    </row>
    <row r="453" spans="1:16" x14ac:dyDescent="0.25">
      <c r="A453" s="39">
        <v>6</v>
      </c>
      <c r="B453" s="39" t="str">
        <f>IFERROR(IF(SUMIFS(tblDaily[Admissions],tblDaily[EntryDate],DATE(2026,12,6),tblDaily[WardCode],"MAE")=0,"",SUMIFS(tblDaily[Admissions],tblDaily[EntryDate],DATE(2026,12,6),tblDaily[WardCode],"MAE")),"")</f>
        <v/>
      </c>
      <c r="C453" s="39" t="str">
        <f>IFERROR(IF(SUMIFS(tblDaily[Discharges],tblDaily[EntryDate],DATE(2026,12,6),tblDaily[WardCode],"MAE")=0,"",SUMIFS(tblDaily[Discharges],tblDaily[EntryDate],DATE(2026,12,6),tblDaily[WardCode],"MAE")),"")</f>
        <v/>
      </c>
      <c r="D453" s="39" t="str">
        <f>IFERROR(IF(SUMIFS(tblDaily[Deaths],tblDaily[EntryDate],DATE(2026,12,6),tblDaily[WardCode],"MAE")=0,"",SUMIFS(tblDaily[Deaths],tblDaily[EntryDate],DATE(2026,12,6),tblDaily[WardCode],"MAE")),"")</f>
        <v/>
      </c>
      <c r="E453" s="39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39" t="str">
        <f>IFERROR(IF(SUMIFS(tblDaily[TransfersIn],tblDaily[EntryDate],DATE(2026,12,6),tblDaily[WardCode],"MAE")=0,"",SUMIFS(tblDaily[TransfersIn],tblDaily[EntryDate],DATE(2026,12,6),tblDaily[WardCode],"MAE")),"")</f>
        <v/>
      </c>
      <c r="G453" s="39" t="str">
        <f>IFERROR(IF(SUMIFS(tblDaily[TransfersOut],tblDaily[EntryDate],DATE(2026,12,6),tblDaily[WardCode],"MAE")=0,"",SUMIFS(tblDaily[TransfersOut],tblDaily[EntryDate],DATE(2026,12,6),tblDaily[WardCode],"MAE")),"")</f>
        <v/>
      </c>
      <c r="H453" s="39" t="str">
        <f>IFERROR(IF(SUMIFS(tblDaily[Remaining],tblDaily[EntryDate],DATE(2026,12,6),tblDaily[WardCode],"MAE")=0,"",SUMIFS(tblDaily[Remaining],tblDaily[EntryDate],DATE(2026,12,6),tblDaily[WardCode],"MAE")),"")</f>
        <v/>
      </c>
      <c r="I453" s="39" t="str">
        <f>IFERROR(IF(SUMIFS(tblDaily[Admissions],tblDaily[EntryDate],DATE(2026,12,6),tblDaily[WardCode],"FAE")=0,"",SUMIFS(tblDaily[Admissions],tblDaily[EntryDate],DATE(2026,12,6),tblDaily[WardCode],"FAE")),"")</f>
        <v/>
      </c>
      <c r="J453" s="39" t="str">
        <f>IFERROR(IF(SUMIFS(tblDaily[Discharges],tblDaily[EntryDate],DATE(2026,12,6),tblDaily[WardCode],"FAE")=0,"",SUMIFS(tblDaily[Discharges],tblDaily[EntryDate],DATE(2026,12,6),tblDaily[WardCode],"FAE")),"")</f>
        <v/>
      </c>
      <c r="K453" s="39" t="str">
        <f>IFERROR(IF(SUMIFS(tblDaily[Deaths],tblDaily[EntryDate],DATE(2026,12,6),tblDaily[WardCode],"FAE")=0,"",SUMIFS(tblDaily[Deaths],tblDaily[EntryDate],DATE(2026,12,6),tblDaily[WardCode],"FAE")),"")</f>
        <v/>
      </c>
      <c r="L453" s="39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39" t="str">
        <f>IFERROR(IF(SUMIFS(tblDaily[TransfersIn],tblDaily[EntryDate],DATE(2026,12,6),tblDaily[WardCode],"FAE")=0,"",SUMIFS(tblDaily[TransfersIn],tblDaily[EntryDate],DATE(2026,12,6),tblDaily[WardCode],"FAE")),"")</f>
        <v/>
      </c>
      <c r="N453" s="39" t="str">
        <f>IFERROR(IF(SUMIFS(tblDaily[TransfersOut],tblDaily[EntryDate],DATE(2026,12,6),tblDaily[WardCode],"FAE")=0,"",SUMIFS(tblDaily[TransfersOut],tblDaily[EntryDate],DATE(2026,12,6),tblDaily[WardCode],"FAE")),"")</f>
        <v/>
      </c>
      <c r="O453" s="39" t="str">
        <f>IFERROR(IF(SUMIFS(tblDaily[Remaining],tblDaily[EntryDate],DATE(2026,12,6),tblDaily[WardCode],"FAE")=0,"",SUMIFS(tblDaily[Remaining],tblDaily[EntryDate],DATE(2026,12,6),tblDaily[WardCode],"FAE")),"")</f>
        <v/>
      </c>
      <c r="P453" s="40" t="str">
        <f t="shared" si="11"/>
        <v/>
      </c>
    </row>
    <row r="454" spans="1:16" x14ac:dyDescent="0.25">
      <c r="A454" s="39">
        <v>7</v>
      </c>
      <c r="B454" s="39" t="str">
        <f>IFERROR(IF(SUMIFS(tblDaily[Admissions],tblDaily[EntryDate],DATE(2026,12,7),tblDaily[WardCode],"MAE")=0,"",SUMIFS(tblDaily[Admissions],tblDaily[EntryDate],DATE(2026,12,7),tblDaily[WardCode],"MAE")),"")</f>
        <v/>
      </c>
      <c r="C454" s="39" t="str">
        <f>IFERROR(IF(SUMIFS(tblDaily[Discharges],tblDaily[EntryDate],DATE(2026,12,7),tblDaily[WardCode],"MAE")=0,"",SUMIFS(tblDaily[Discharges],tblDaily[EntryDate],DATE(2026,12,7),tblDaily[WardCode],"MAE")),"")</f>
        <v/>
      </c>
      <c r="D454" s="39" t="str">
        <f>IFERROR(IF(SUMIFS(tblDaily[Deaths],tblDaily[EntryDate],DATE(2026,12,7),tblDaily[WardCode],"MAE")=0,"",SUMIFS(tblDaily[Deaths],tblDaily[EntryDate],DATE(2026,12,7),tblDaily[WardCode],"MAE")),"")</f>
        <v/>
      </c>
      <c r="E454" s="39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39" t="str">
        <f>IFERROR(IF(SUMIFS(tblDaily[TransfersIn],tblDaily[EntryDate],DATE(2026,12,7),tblDaily[WardCode],"MAE")=0,"",SUMIFS(tblDaily[TransfersIn],tblDaily[EntryDate],DATE(2026,12,7),tblDaily[WardCode],"MAE")),"")</f>
        <v/>
      </c>
      <c r="G454" s="39" t="str">
        <f>IFERROR(IF(SUMIFS(tblDaily[TransfersOut],tblDaily[EntryDate],DATE(2026,12,7),tblDaily[WardCode],"MAE")=0,"",SUMIFS(tblDaily[TransfersOut],tblDaily[EntryDate],DATE(2026,12,7),tblDaily[WardCode],"MAE")),"")</f>
        <v/>
      </c>
      <c r="H454" s="39" t="str">
        <f>IFERROR(IF(SUMIFS(tblDaily[Remaining],tblDaily[EntryDate],DATE(2026,12,7),tblDaily[WardCode],"MAE")=0,"",SUMIFS(tblDaily[Remaining],tblDaily[EntryDate],DATE(2026,12,7),tblDaily[WardCode],"MAE")),"")</f>
        <v/>
      </c>
      <c r="I454" s="39" t="str">
        <f>IFERROR(IF(SUMIFS(tblDaily[Admissions],tblDaily[EntryDate],DATE(2026,12,7),tblDaily[WardCode],"FAE")=0,"",SUMIFS(tblDaily[Admissions],tblDaily[EntryDate],DATE(2026,12,7),tblDaily[WardCode],"FAE")),"")</f>
        <v/>
      </c>
      <c r="J454" s="39" t="str">
        <f>IFERROR(IF(SUMIFS(tblDaily[Discharges],tblDaily[EntryDate],DATE(2026,12,7),tblDaily[WardCode],"FAE")=0,"",SUMIFS(tblDaily[Discharges],tblDaily[EntryDate],DATE(2026,12,7),tblDaily[WardCode],"FAE")),"")</f>
        <v/>
      </c>
      <c r="K454" s="39" t="str">
        <f>IFERROR(IF(SUMIFS(tblDaily[Deaths],tblDaily[EntryDate],DATE(2026,12,7),tblDaily[WardCode],"FAE")=0,"",SUMIFS(tblDaily[Deaths],tblDaily[EntryDate],DATE(2026,12,7),tblDaily[WardCode],"FAE")),"")</f>
        <v/>
      </c>
      <c r="L454" s="39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39" t="str">
        <f>IFERROR(IF(SUMIFS(tblDaily[TransfersIn],tblDaily[EntryDate],DATE(2026,12,7),tblDaily[WardCode],"FAE")=0,"",SUMIFS(tblDaily[TransfersIn],tblDaily[EntryDate],DATE(2026,12,7),tblDaily[WardCode],"FAE")),"")</f>
        <v/>
      </c>
      <c r="N454" s="39" t="str">
        <f>IFERROR(IF(SUMIFS(tblDaily[TransfersOut],tblDaily[EntryDate],DATE(2026,12,7),tblDaily[WardCode],"FAE")=0,"",SUMIFS(tblDaily[TransfersOut],tblDaily[EntryDate],DATE(2026,12,7),tblDaily[WardCode],"FAE")),"")</f>
        <v/>
      </c>
      <c r="O454" s="39" t="str">
        <f>IFERROR(IF(SUMIFS(tblDaily[Remaining],tblDaily[EntryDate],DATE(2026,12,7),tblDaily[WardCode],"FAE")=0,"",SUMIFS(tblDaily[Remaining],tblDaily[EntryDate],DATE(2026,12,7),tblDaily[WardCode],"FAE")),"")</f>
        <v/>
      </c>
      <c r="P454" s="40" t="str">
        <f t="shared" si="11"/>
        <v/>
      </c>
    </row>
    <row r="455" spans="1:16" x14ac:dyDescent="0.25">
      <c r="A455" s="39">
        <v>8</v>
      </c>
      <c r="B455" s="39" t="str">
        <f>IFERROR(IF(SUMIFS(tblDaily[Admissions],tblDaily[EntryDate],DATE(2026,12,8),tblDaily[WardCode],"MAE")=0,"",SUMIFS(tblDaily[Admissions],tblDaily[EntryDate],DATE(2026,12,8),tblDaily[WardCode],"MAE")),"")</f>
        <v/>
      </c>
      <c r="C455" s="39" t="str">
        <f>IFERROR(IF(SUMIFS(tblDaily[Discharges],tblDaily[EntryDate],DATE(2026,12,8),tblDaily[WardCode],"MAE")=0,"",SUMIFS(tblDaily[Discharges],tblDaily[EntryDate],DATE(2026,12,8),tblDaily[WardCode],"MAE")),"")</f>
        <v/>
      </c>
      <c r="D455" s="39" t="str">
        <f>IFERROR(IF(SUMIFS(tblDaily[Deaths],tblDaily[EntryDate],DATE(2026,12,8),tblDaily[WardCode],"MAE")=0,"",SUMIFS(tblDaily[Deaths],tblDaily[EntryDate],DATE(2026,12,8),tblDaily[WardCode],"MAE")),"")</f>
        <v/>
      </c>
      <c r="E455" s="39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39" t="str">
        <f>IFERROR(IF(SUMIFS(tblDaily[TransfersIn],tblDaily[EntryDate],DATE(2026,12,8),tblDaily[WardCode],"MAE")=0,"",SUMIFS(tblDaily[TransfersIn],tblDaily[EntryDate],DATE(2026,12,8),tblDaily[WardCode],"MAE")),"")</f>
        <v/>
      </c>
      <c r="G455" s="39" t="str">
        <f>IFERROR(IF(SUMIFS(tblDaily[TransfersOut],tblDaily[EntryDate],DATE(2026,12,8),tblDaily[WardCode],"MAE")=0,"",SUMIFS(tblDaily[TransfersOut],tblDaily[EntryDate],DATE(2026,12,8),tblDaily[WardCode],"MAE")),"")</f>
        <v/>
      </c>
      <c r="H455" s="39" t="str">
        <f>IFERROR(IF(SUMIFS(tblDaily[Remaining],tblDaily[EntryDate],DATE(2026,12,8),tblDaily[WardCode],"MAE")=0,"",SUMIFS(tblDaily[Remaining],tblDaily[EntryDate],DATE(2026,12,8),tblDaily[WardCode],"MAE")),"")</f>
        <v/>
      </c>
      <c r="I455" s="39" t="str">
        <f>IFERROR(IF(SUMIFS(tblDaily[Admissions],tblDaily[EntryDate],DATE(2026,12,8),tblDaily[WardCode],"FAE")=0,"",SUMIFS(tblDaily[Admissions],tblDaily[EntryDate],DATE(2026,12,8),tblDaily[WardCode],"FAE")),"")</f>
        <v/>
      </c>
      <c r="J455" s="39" t="str">
        <f>IFERROR(IF(SUMIFS(tblDaily[Discharges],tblDaily[EntryDate],DATE(2026,12,8),tblDaily[WardCode],"FAE")=0,"",SUMIFS(tblDaily[Discharges],tblDaily[EntryDate],DATE(2026,12,8),tblDaily[WardCode],"FAE")),"")</f>
        <v/>
      </c>
      <c r="K455" s="39" t="str">
        <f>IFERROR(IF(SUMIFS(tblDaily[Deaths],tblDaily[EntryDate],DATE(2026,12,8),tblDaily[WardCode],"FAE")=0,"",SUMIFS(tblDaily[Deaths],tblDaily[EntryDate],DATE(2026,12,8),tblDaily[WardCode],"FAE")),"")</f>
        <v/>
      </c>
      <c r="L455" s="39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39" t="str">
        <f>IFERROR(IF(SUMIFS(tblDaily[TransfersIn],tblDaily[EntryDate],DATE(2026,12,8),tblDaily[WardCode],"FAE")=0,"",SUMIFS(tblDaily[TransfersIn],tblDaily[EntryDate],DATE(2026,12,8),tblDaily[WardCode],"FAE")),"")</f>
        <v/>
      </c>
      <c r="N455" s="39" t="str">
        <f>IFERROR(IF(SUMIFS(tblDaily[TransfersOut],tblDaily[EntryDate],DATE(2026,12,8),tblDaily[WardCode],"FAE")=0,"",SUMIFS(tblDaily[TransfersOut],tblDaily[EntryDate],DATE(2026,12,8),tblDaily[WardCode],"FAE")),"")</f>
        <v/>
      </c>
      <c r="O455" s="39" t="str">
        <f>IFERROR(IF(SUMIFS(tblDaily[Remaining],tblDaily[EntryDate],DATE(2026,12,8),tblDaily[WardCode],"FAE")=0,"",SUMIFS(tblDaily[Remaining],tblDaily[EntryDate],DATE(2026,12,8),tblDaily[WardCode],"FAE")),"")</f>
        <v/>
      </c>
      <c r="P455" s="40" t="str">
        <f t="shared" si="11"/>
        <v/>
      </c>
    </row>
    <row r="456" spans="1:16" x14ac:dyDescent="0.25">
      <c r="A456" s="39">
        <v>9</v>
      </c>
      <c r="B456" s="39" t="str">
        <f>IFERROR(IF(SUMIFS(tblDaily[Admissions],tblDaily[EntryDate],DATE(2026,12,9),tblDaily[WardCode],"MAE")=0,"",SUMIFS(tblDaily[Admissions],tblDaily[EntryDate],DATE(2026,12,9),tblDaily[WardCode],"MAE")),"")</f>
        <v/>
      </c>
      <c r="C456" s="39" t="str">
        <f>IFERROR(IF(SUMIFS(tblDaily[Discharges],tblDaily[EntryDate],DATE(2026,12,9),tblDaily[WardCode],"MAE")=0,"",SUMIFS(tblDaily[Discharges],tblDaily[EntryDate],DATE(2026,12,9),tblDaily[WardCode],"MAE")),"")</f>
        <v/>
      </c>
      <c r="D456" s="39" t="str">
        <f>IFERROR(IF(SUMIFS(tblDaily[Deaths],tblDaily[EntryDate],DATE(2026,12,9),tblDaily[WardCode],"MAE")=0,"",SUMIFS(tblDaily[Deaths],tblDaily[EntryDate],DATE(2026,12,9),tblDaily[WardCode],"MAE")),"")</f>
        <v/>
      </c>
      <c r="E456" s="39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39" t="str">
        <f>IFERROR(IF(SUMIFS(tblDaily[TransfersIn],tblDaily[EntryDate],DATE(2026,12,9),tblDaily[WardCode],"MAE")=0,"",SUMIFS(tblDaily[TransfersIn],tblDaily[EntryDate],DATE(2026,12,9),tblDaily[WardCode],"MAE")),"")</f>
        <v/>
      </c>
      <c r="G456" s="39" t="str">
        <f>IFERROR(IF(SUMIFS(tblDaily[TransfersOut],tblDaily[EntryDate],DATE(2026,12,9),tblDaily[WardCode],"MAE")=0,"",SUMIFS(tblDaily[TransfersOut],tblDaily[EntryDate],DATE(2026,12,9),tblDaily[WardCode],"MAE")),"")</f>
        <v/>
      </c>
      <c r="H456" s="39" t="str">
        <f>IFERROR(IF(SUMIFS(tblDaily[Remaining],tblDaily[EntryDate],DATE(2026,12,9),tblDaily[WardCode],"MAE")=0,"",SUMIFS(tblDaily[Remaining],tblDaily[EntryDate],DATE(2026,12,9),tblDaily[WardCode],"MAE")),"")</f>
        <v/>
      </c>
      <c r="I456" s="39" t="str">
        <f>IFERROR(IF(SUMIFS(tblDaily[Admissions],tblDaily[EntryDate],DATE(2026,12,9),tblDaily[WardCode],"FAE")=0,"",SUMIFS(tblDaily[Admissions],tblDaily[EntryDate],DATE(2026,12,9),tblDaily[WardCode],"FAE")),"")</f>
        <v/>
      </c>
      <c r="J456" s="39" t="str">
        <f>IFERROR(IF(SUMIFS(tblDaily[Discharges],tblDaily[EntryDate],DATE(2026,12,9),tblDaily[WardCode],"FAE")=0,"",SUMIFS(tblDaily[Discharges],tblDaily[EntryDate],DATE(2026,12,9),tblDaily[WardCode],"FAE")),"")</f>
        <v/>
      </c>
      <c r="K456" s="39" t="str">
        <f>IFERROR(IF(SUMIFS(tblDaily[Deaths],tblDaily[EntryDate],DATE(2026,12,9),tblDaily[WardCode],"FAE")=0,"",SUMIFS(tblDaily[Deaths],tblDaily[EntryDate],DATE(2026,12,9),tblDaily[WardCode],"FAE")),"")</f>
        <v/>
      </c>
      <c r="L456" s="39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39" t="str">
        <f>IFERROR(IF(SUMIFS(tblDaily[TransfersIn],tblDaily[EntryDate],DATE(2026,12,9),tblDaily[WardCode],"FAE")=0,"",SUMIFS(tblDaily[TransfersIn],tblDaily[EntryDate],DATE(2026,12,9),tblDaily[WardCode],"FAE")),"")</f>
        <v/>
      </c>
      <c r="N456" s="39" t="str">
        <f>IFERROR(IF(SUMIFS(tblDaily[TransfersOut],tblDaily[EntryDate],DATE(2026,12,9),tblDaily[WardCode],"FAE")=0,"",SUMIFS(tblDaily[TransfersOut],tblDaily[EntryDate],DATE(2026,12,9),tblDaily[WardCode],"FAE")),"")</f>
        <v/>
      </c>
      <c r="O456" s="39" t="str">
        <f>IFERROR(IF(SUMIFS(tblDaily[Remaining],tblDaily[EntryDate],DATE(2026,12,9),tblDaily[WardCode],"FAE")=0,"",SUMIFS(tblDaily[Remaining],tblDaily[EntryDate],DATE(2026,12,9),tblDaily[WardCode],"FAE")),"")</f>
        <v/>
      </c>
      <c r="P456" s="40" t="str">
        <f t="shared" si="11"/>
        <v/>
      </c>
    </row>
    <row r="457" spans="1:16" x14ac:dyDescent="0.25">
      <c r="A457" s="39">
        <v>10</v>
      </c>
      <c r="B457" s="39" t="str">
        <f>IFERROR(IF(SUMIFS(tblDaily[Admissions],tblDaily[EntryDate],DATE(2026,12,10),tblDaily[WardCode],"MAE")=0,"",SUMIFS(tblDaily[Admissions],tblDaily[EntryDate],DATE(2026,12,10),tblDaily[WardCode],"MAE")),"")</f>
        <v/>
      </c>
      <c r="C457" s="39" t="str">
        <f>IFERROR(IF(SUMIFS(tblDaily[Discharges],tblDaily[EntryDate],DATE(2026,12,10),tblDaily[WardCode],"MAE")=0,"",SUMIFS(tblDaily[Discharges],tblDaily[EntryDate],DATE(2026,12,10),tblDaily[WardCode],"MAE")),"")</f>
        <v/>
      </c>
      <c r="D457" s="39" t="str">
        <f>IFERROR(IF(SUMIFS(tblDaily[Deaths],tblDaily[EntryDate],DATE(2026,12,10),tblDaily[WardCode],"MAE")=0,"",SUMIFS(tblDaily[Deaths],tblDaily[EntryDate],DATE(2026,12,10),tblDaily[WardCode],"MAE")),"")</f>
        <v/>
      </c>
      <c r="E457" s="3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39" t="str">
        <f>IFERROR(IF(SUMIFS(tblDaily[TransfersIn],tblDaily[EntryDate],DATE(2026,12,10),tblDaily[WardCode],"MAE")=0,"",SUMIFS(tblDaily[TransfersIn],tblDaily[EntryDate],DATE(2026,12,10),tblDaily[WardCode],"MAE")),"")</f>
        <v/>
      </c>
      <c r="G457" s="39" t="str">
        <f>IFERROR(IF(SUMIFS(tblDaily[TransfersOut],tblDaily[EntryDate],DATE(2026,12,10),tblDaily[WardCode],"MAE")=0,"",SUMIFS(tblDaily[TransfersOut],tblDaily[EntryDate],DATE(2026,12,10),tblDaily[WardCode],"MAE")),"")</f>
        <v/>
      </c>
      <c r="H457" s="39" t="str">
        <f>IFERROR(IF(SUMIFS(tblDaily[Remaining],tblDaily[EntryDate],DATE(2026,12,10),tblDaily[WardCode],"MAE")=0,"",SUMIFS(tblDaily[Remaining],tblDaily[EntryDate],DATE(2026,12,10),tblDaily[WardCode],"MAE")),"")</f>
        <v/>
      </c>
      <c r="I457" s="39" t="str">
        <f>IFERROR(IF(SUMIFS(tblDaily[Admissions],tblDaily[EntryDate],DATE(2026,12,10),tblDaily[WardCode],"FAE")=0,"",SUMIFS(tblDaily[Admissions],tblDaily[EntryDate],DATE(2026,12,10),tblDaily[WardCode],"FAE")),"")</f>
        <v/>
      </c>
      <c r="J457" s="39" t="str">
        <f>IFERROR(IF(SUMIFS(tblDaily[Discharges],tblDaily[EntryDate],DATE(2026,12,10),tblDaily[WardCode],"FAE")=0,"",SUMIFS(tblDaily[Discharges],tblDaily[EntryDate],DATE(2026,12,10),tblDaily[WardCode],"FAE")),"")</f>
        <v/>
      </c>
      <c r="K457" s="39" t="str">
        <f>IFERROR(IF(SUMIFS(tblDaily[Deaths],tblDaily[EntryDate],DATE(2026,12,10),tblDaily[WardCode],"FAE")=0,"",SUMIFS(tblDaily[Deaths],tblDaily[EntryDate],DATE(2026,12,10),tblDaily[WardCode],"FAE")),"")</f>
        <v/>
      </c>
      <c r="L457" s="39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39" t="str">
        <f>IFERROR(IF(SUMIFS(tblDaily[TransfersIn],tblDaily[EntryDate],DATE(2026,12,10),tblDaily[WardCode],"FAE")=0,"",SUMIFS(tblDaily[TransfersIn],tblDaily[EntryDate],DATE(2026,12,10),tblDaily[WardCode],"FAE")),"")</f>
        <v/>
      </c>
      <c r="N457" s="39" t="str">
        <f>IFERROR(IF(SUMIFS(tblDaily[TransfersOut],tblDaily[EntryDate],DATE(2026,12,10),tblDaily[WardCode],"FAE")=0,"",SUMIFS(tblDaily[TransfersOut],tblDaily[EntryDate],DATE(2026,12,10),tblDaily[WardCode],"FAE")),"")</f>
        <v/>
      </c>
      <c r="O457" s="39" t="str">
        <f>IFERROR(IF(SUMIFS(tblDaily[Remaining],tblDaily[EntryDate],DATE(2026,12,10),tblDaily[WardCode],"FAE")=0,"",SUMIFS(tblDaily[Remaining],tblDaily[EntryDate],DATE(2026,12,10),tblDaily[WardCode],"FAE")),"")</f>
        <v/>
      </c>
      <c r="P457" s="40" t="str">
        <f t="shared" si="11"/>
        <v/>
      </c>
    </row>
    <row r="458" spans="1:16" x14ac:dyDescent="0.25">
      <c r="A458" s="39">
        <v>11</v>
      </c>
      <c r="B458" s="39" t="str">
        <f>IFERROR(IF(SUMIFS(tblDaily[Admissions],tblDaily[EntryDate],DATE(2026,12,11),tblDaily[WardCode],"MAE")=0,"",SUMIFS(tblDaily[Admissions],tblDaily[EntryDate],DATE(2026,12,11),tblDaily[WardCode],"MAE")),"")</f>
        <v/>
      </c>
      <c r="C458" s="39" t="str">
        <f>IFERROR(IF(SUMIFS(tblDaily[Discharges],tblDaily[EntryDate],DATE(2026,12,11),tblDaily[WardCode],"MAE")=0,"",SUMIFS(tblDaily[Discharges],tblDaily[EntryDate],DATE(2026,12,11),tblDaily[WardCode],"MAE")),"")</f>
        <v/>
      </c>
      <c r="D458" s="39" t="str">
        <f>IFERROR(IF(SUMIFS(tblDaily[Deaths],tblDaily[EntryDate],DATE(2026,12,11),tblDaily[WardCode],"MAE")=0,"",SUMIFS(tblDaily[Deaths],tblDaily[EntryDate],DATE(2026,12,11),tblDaily[WardCode],"MAE")),"")</f>
        <v/>
      </c>
      <c r="E458" s="3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39" t="str">
        <f>IFERROR(IF(SUMIFS(tblDaily[TransfersIn],tblDaily[EntryDate],DATE(2026,12,11),tblDaily[WardCode],"MAE")=0,"",SUMIFS(tblDaily[TransfersIn],tblDaily[EntryDate],DATE(2026,12,11),tblDaily[WardCode],"MAE")),"")</f>
        <v/>
      </c>
      <c r="G458" s="39" t="str">
        <f>IFERROR(IF(SUMIFS(tblDaily[TransfersOut],tblDaily[EntryDate],DATE(2026,12,11),tblDaily[WardCode],"MAE")=0,"",SUMIFS(tblDaily[TransfersOut],tblDaily[EntryDate],DATE(2026,12,11),tblDaily[WardCode],"MAE")),"")</f>
        <v/>
      </c>
      <c r="H458" s="39" t="str">
        <f>IFERROR(IF(SUMIFS(tblDaily[Remaining],tblDaily[EntryDate],DATE(2026,12,11),tblDaily[WardCode],"MAE")=0,"",SUMIFS(tblDaily[Remaining],tblDaily[EntryDate],DATE(2026,12,11),tblDaily[WardCode],"MAE")),"")</f>
        <v/>
      </c>
      <c r="I458" s="39" t="str">
        <f>IFERROR(IF(SUMIFS(tblDaily[Admissions],tblDaily[EntryDate],DATE(2026,12,11),tblDaily[WardCode],"FAE")=0,"",SUMIFS(tblDaily[Admissions],tblDaily[EntryDate],DATE(2026,12,11),tblDaily[WardCode],"FAE")),"")</f>
        <v/>
      </c>
      <c r="J458" s="39" t="str">
        <f>IFERROR(IF(SUMIFS(tblDaily[Discharges],tblDaily[EntryDate],DATE(2026,12,11),tblDaily[WardCode],"FAE")=0,"",SUMIFS(tblDaily[Discharges],tblDaily[EntryDate],DATE(2026,12,11),tblDaily[WardCode],"FAE")),"")</f>
        <v/>
      </c>
      <c r="K458" s="39" t="str">
        <f>IFERROR(IF(SUMIFS(tblDaily[Deaths],tblDaily[EntryDate],DATE(2026,12,11),tblDaily[WardCode],"FAE")=0,"",SUMIFS(tblDaily[Deaths],tblDaily[EntryDate],DATE(2026,12,11),tblDaily[WardCode],"FAE")),"")</f>
        <v/>
      </c>
      <c r="L458" s="39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39" t="str">
        <f>IFERROR(IF(SUMIFS(tblDaily[TransfersIn],tblDaily[EntryDate],DATE(2026,12,11),tblDaily[WardCode],"FAE")=0,"",SUMIFS(tblDaily[TransfersIn],tblDaily[EntryDate],DATE(2026,12,11),tblDaily[WardCode],"FAE")),"")</f>
        <v/>
      </c>
      <c r="N458" s="39" t="str">
        <f>IFERROR(IF(SUMIFS(tblDaily[TransfersOut],tblDaily[EntryDate],DATE(2026,12,11),tblDaily[WardCode],"FAE")=0,"",SUMIFS(tblDaily[TransfersOut],tblDaily[EntryDate],DATE(2026,12,11),tblDaily[WardCode],"FAE")),"")</f>
        <v/>
      </c>
      <c r="O458" s="39" t="str">
        <f>IFERROR(IF(SUMIFS(tblDaily[Remaining],tblDaily[EntryDate],DATE(2026,12,11),tblDaily[WardCode],"FAE")=0,"",SUMIFS(tblDaily[Remaining],tblDaily[EntryDate],DATE(2026,12,11),tblDaily[WardCode],"FAE")),"")</f>
        <v/>
      </c>
      <c r="P458" s="40" t="str">
        <f t="shared" si="11"/>
        <v/>
      </c>
    </row>
    <row r="459" spans="1:16" x14ac:dyDescent="0.25">
      <c r="A459" s="39">
        <v>12</v>
      </c>
      <c r="B459" s="39" t="str">
        <f>IFERROR(IF(SUMIFS(tblDaily[Admissions],tblDaily[EntryDate],DATE(2026,12,12),tblDaily[WardCode],"MAE")=0,"",SUMIFS(tblDaily[Admissions],tblDaily[EntryDate],DATE(2026,12,12),tblDaily[WardCode],"MAE")),"")</f>
        <v/>
      </c>
      <c r="C459" s="39" t="str">
        <f>IFERROR(IF(SUMIFS(tblDaily[Discharges],tblDaily[EntryDate],DATE(2026,12,12),tblDaily[WardCode],"MAE")=0,"",SUMIFS(tblDaily[Discharges],tblDaily[EntryDate],DATE(2026,12,12),tblDaily[WardCode],"MAE")),"")</f>
        <v/>
      </c>
      <c r="D459" s="39" t="str">
        <f>IFERROR(IF(SUMIFS(tblDaily[Deaths],tblDaily[EntryDate],DATE(2026,12,12),tblDaily[WardCode],"MAE")=0,"",SUMIFS(tblDaily[Deaths],tblDaily[EntryDate],DATE(2026,12,12),tblDaily[WardCode],"MAE")),"")</f>
        <v/>
      </c>
      <c r="E459" s="3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39" t="str">
        <f>IFERROR(IF(SUMIFS(tblDaily[TransfersIn],tblDaily[EntryDate],DATE(2026,12,12),tblDaily[WardCode],"MAE")=0,"",SUMIFS(tblDaily[TransfersIn],tblDaily[EntryDate],DATE(2026,12,12),tblDaily[WardCode],"MAE")),"")</f>
        <v/>
      </c>
      <c r="G459" s="39" t="str">
        <f>IFERROR(IF(SUMIFS(tblDaily[TransfersOut],tblDaily[EntryDate],DATE(2026,12,12),tblDaily[WardCode],"MAE")=0,"",SUMIFS(tblDaily[TransfersOut],tblDaily[EntryDate],DATE(2026,12,12),tblDaily[WardCode],"MAE")),"")</f>
        <v/>
      </c>
      <c r="H459" s="39" t="str">
        <f>IFERROR(IF(SUMIFS(tblDaily[Remaining],tblDaily[EntryDate],DATE(2026,12,12),tblDaily[WardCode],"MAE")=0,"",SUMIFS(tblDaily[Remaining],tblDaily[EntryDate],DATE(2026,12,12),tblDaily[WardCode],"MAE")),"")</f>
        <v/>
      </c>
      <c r="I459" s="39" t="str">
        <f>IFERROR(IF(SUMIFS(tblDaily[Admissions],tblDaily[EntryDate],DATE(2026,12,12),tblDaily[WardCode],"FAE")=0,"",SUMIFS(tblDaily[Admissions],tblDaily[EntryDate],DATE(2026,12,12),tblDaily[WardCode],"FAE")),"")</f>
        <v/>
      </c>
      <c r="J459" s="39" t="str">
        <f>IFERROR(IF(SUMIFS(tblDaily[Discharges],tblDaily[EntryDate],DATE(2026,12,12),tblDaily[WardCode],"FAE")=0,"",SUMIFS(tblDaily[Discharges],tblDaily[EntryDate],DATE(2026,12,12),tblDaily[WardCode],"FAE")),"")</f>
        <v/>
      </c>
      <c r="K459" s="39" t="str">
        <f>IFERROR(IF(SUMIFS(tblDaily[Deaths],tblDaily[EntryDate],DATE(2026,12,12),tblDaily[WardCode],"FAE")=0,"",SUMIFS(tblDaily[Deaths],tblDaily[EntryDate],DATE(2026,12,12),tblDaily[WardCode],"FAE")),"")</f>
        <v/>
      </c>
      <c r="L459" s="39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39" t="str">
        <f>IFERROR(IF(SUMIFS(tblDaily[TransfersIn],tblDaily[EntryDate],DATE(2026,12,12),tblDaily[WardCode],"FAE")=0,"",SUMIFS(tblDaily[TransfersIn],tblDaily[EntryDate],DATE(2026,12,12),tblDaily[WardCode],"FAE")),"")</f>
        <v/>
      </c>
      <c r="N459" s="39" t="str">
        <f>IFERROR(IF(SUMIFS(tblDaily[TransfersOut],tblDaily[EntryDate],DATE(2026,12,12),tblDaily[WardCode],"FAE")=0,"",SUMIFS(tblDaily[TransfersOut],tblDaily[EntryDate],DATE(2026,12,12),tblDaily[WardCode],"FAE")),"")</f>
        <v/>
      </c>
      <c r="O459" s="39" t="str">
        <f>IFERROR(IF(SUMIFS(tblDaily[Remaining],tblDaily[EntryDate],DATE(2026,12,12),tblDaily[WardCode],"FAE")=0,"",SUMIFS(tblDaily[Remaining],tblDaily[EntryDate],DATE(2026,12,12),tblDaily[WardCode],"FAE")),"")</f>
        <v/>
      </c>
      <c r="P459" s="40" t="str">
        <f t="shared" si="11"/>
        <v/>
      </c>
    </row>
    <row r="460" spans="1:16" x14ac:dyDescent="0.25">
      <c r="A460" s="39">
        <v>13</v>
      </c>
      <c r="B460" s="39" t="str">
        <f>IFERROR(IF(SUMIFS(tblDaily[Admissions],tblDaily[EntryDate],DATE(2026,12,13),tblDaily[WardCode],"MAE")=0,"",SUMIFS(tblDaily[Admissions],tblDaily[EntryDate],DATE(2026,12,13),tblDaily[WardCode],"MAE")),"")</f>
        <v/>
      </c>
      <c r="C460" s="39" t="str">
        <f>IFERROR(IF(SUMIFS(tblDaily[Discharges],tblDaily[EntryDate],DATE(2026,12,13),tblDaily[WardCode],"MAE")=0,"",SUMIFS(tblDaily[Discharges],tblDaily[EntryDate],DATE(2026,12,13),tblDaily[WardCode],"MAE")),"")</f>
        <v/>
      </c>
      <c r="D460" s="39" t="str">
        <f>IFERROR(IF(SUMIFS(tblDaily[Deaths],tblDaily[EntryDate],DATE(2026,12,13),tblDaily[WardCode],"MAE")=0,"",SUMIFS(tblDaily[Deaths],tblDaily[EntryDate],DATE(2026,12,13),tblDaily[WardCode],"MAE")),"")</f>
        <v/>
      </c>
      <c r="E460" s="3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39" t="str">
        <f>IFERROR(IF(SUMIFS(tblDaily[TransfersIn],tblDaily[EntryDate],DATE(2026,12,13),tblDaily[WardCode],"MAE")=0,"",SUMIFS(tblDaily[TransfersIn],tblDaily[EntryDate],DATE(2026,12,13),tblDaily[WardCode],"MAE")),"")</f>
        <v/>
      </c>
      <c r="G460" s="39" t="str">
        <f>IFERROR(IF(SUMIFS(tblDaily[TransfersOut],tblDaily[EntryDate],DATE(2026,12,13),tblDaily[WardCode],"MAE")=0,"",SUMIFS(tblDaily[TransfersOut],tblDaily[EntryDate],DATE(2026,12,13),tblDaily[WardCode],"MAE")),"")</f>
        <v/>
      </c>
      <c r="H460" s="39" t="str">
        <f>IFERROR(IF(SUMIFS(tblDaily[Remaining],tblDaily[EntryDate],DATE(2026,12,13),tblDaily[WardCode],"MAE")=0,"",SUMIFS(tblDaily[Remaining],tblDaily[EntryDate],DATE(2026,12,13),tblDaily[WardCode],"MAE")),"")</f>
        <v/>
      </c>
      <c r="I460" s="39" t="str">
        <f>IFERROR(IF(SUMIFS(tblDaily[Admissions],tblDaily[EntryDate],DATE(2026,12,13),tblDaily[WardCode],"FAE")=0,"",SUMIFS(tblDaily[Admissions],tblDaily[EntryDate],DATE(2026,12,13),tblDaily[WardCode],"FAE")),"")</f>
        <v/>
      </c>
      <c r="J460" s="39" t="str">
        <f>IFERROR(IF(SUMIFS(tblDaily[Discharges],tblDaily[EntryDate],DATE(2026,12,13),tblDaily[WardCode],"FAE")=0,"",SUMIFS(tblDaily[Discharges],tblDaily[EntryDate],DATE(2026,12,13),tblDaily[WardCode],"FAE")),"")</f>
        <v/>
      </c>
      <c r="K460" s="39" t="str">
        <f>IFERROR(IF(SUMIFS(tblDaily[Deaths],tblDaily[EntryDate],DATE(2026,12,13),tblDaily[WardCode],"FAE")=0,"",SUMIFS(tblDaily[Deaths],tblDaily[EntryDate],DATE(2026,12,13),tblDaily[WardCode],"FAE")),"")</f>
        <v/>
      </c>
      <c r="L460" s="39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39" t="str">
        <f>IFERROR(IF(SUMIFS(tblDaily[TransfersIn],tblDaily[EntryDate],DATE(2026,12,13),tblDaily[WardCode],"FAE")=0,"",SUMIFS(tblDaily[TransfersIn],tblDaily[EntryDate],DATE(2026,12,13),tblDaily[WardCode],"FAE")),"")</f>
        <v/>
      </c>
      <c r="N460" s="39" t="str">
        <f>IFERROR(IF(SUMIFS(tblDaily[TransfersOut],tblDaily[EntryDate],DATE(2026,12,13),tblDaily[WardCode],"FAE")=0,"",SUMIFS(tblDaily[TransfersOut],tblDaily[EntryDate],DATE(2026,12,13),tblDaily[WardCode],"FAE")),"")</f>
        <v/>
      </c>
      <c r="O460" s="39" t="str">
        <f>IFERROR(IF(SUMIFS(tblDaily[Remaining],tblDaily[EntryDate],DATE(2026,12,13),tblDaily[WardCode],"FAE")=0,"",SUMIFS(tblDaily[Remaining],tblDaily[EntryDate],DATE(2026,12,13),tblDaily[WardCode],"FAE")),"")</f>
        <v/>
      </c>
      <c r="P460" s="40" t="str">
        <f t="shared" si="11"/>
        <v/>
      </c>
    </row>
    <row r="461" spans="1:16" x14ac:dyDescent="0.25">
      <c r="A461" s="39">
        <v>14</v>
      </c>
      <c r="B461" s="39" t="str">
        <f>IFERROR(IF(SUMIFS(tblDaily[Admissions],tblDaily[EntryDate],DATE(2026,12,14),tblDaily[WardCode],"MAE")=0,"",SUMIFS(tblDaily[Admissions],tblDaily[EntryDate],DATE(2026,12,14),tblDaily[WardCode],"MAE")),"")</f>
        <v/>
      </c>
      <c r="C461" s="39" t="str">
        <f>IFERROR(IF(SUMIFS(tblDaily[Discharges],tblDaily[EntryDate],DATE(2026,12,14),tblDaily[WardCode],"MAE")=0,"",SUMIFS(tblDaily[Discharges],tblDaily[EntryDate],DATE(2026,12,14),tblDaily[WardCode],"MAE")),"")</f>
        <v/>
      </c>
      <c r="D461" s="39" t="str">
        <f>IFERROR(IF(SUMIFS(tblDaily[Deaths],tblDaily[EntryDate],DATE(2026,12,14),tblDaily[WardCode],"MAE")=0,"",SUMIFS(tblDaily[Deaths],tblDaily[EntryDate],DATE(2026,12,14),tblDaily[WardCode],"MAE")),"")</f>
        <v/>
      </c>
      <c r="E461" s="3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39" t="str">
        <f>IFERROR(IF(SUMIFS(tblDaily[TransfersIn],tblDaily[EntryDate],DATE(2026,12,14),tblDaily[WardCode],"MAE")=0,"",SUMIFS(tblDaily[TransfersIn],tblDaily[EntryDate],DATE(2026,12,14),tblDaily[WardCode],"MAE")),"")</f>
        <v/>
      </c>
      <c r="G461" s="39" t="str">
        <f>IFERROR(IF(SUMIFS(tblDaily[TransfersOut],tblDaily[EntryDate],DATE(2026,12,14),tblDaily[WardCode],"MAE")=0,"",SUMIFS(tblDaily[TransfersOut],tblDaily[EntryDate],DATE(2026,12,14),tblDaily[WardCode],"MAE")),"")</f>
        <v/>
      </c>
      <c r="H461" s="39" t="str">
        <f>IFERROR(IF(SUMIFS(tblDaily[Remaining],tblDaily[EntryDate],DATE(2026,12,14),tblDaily[WardCode],"MAE")=0,"",SUMIFS(tblDaily[Remaining],tblDaily[EntryDate],DATE(2026,12,14),tblDaily[WardCode],"MAE")),"")</f>
        <v/>
      </c>
      <c r="I461" s="39" t="str">
        <f>IFERROR(IF(SUMIFS(tblDaily[Admissions],tblDaily[EntryDate],DATE(2026,12,14),tblDaily[WardCode],"FAE")=0,"",SUMIFS(tblDaily[Admissions],tblDaily[EntryDate],DATE(2026,12,14),tblDaily[WardCode],"FAE")),"")</f>
        <v/>
      </c>
      <c r="J461" s="39" t="str">
        <f>IFERROR(IF(SUMIFS(tblDaily[Discharges],tblDaily[EntryDate],DATE(2026,12,14),tblDaily[WardCode],"FAE")=0,"",SUMIFS(tblDaily[Discharges],tblDaily[EntryDate],DATE(2026,12,14),tblDaily[WardCode],"FAE")),"")</f>
        <v/>
      </c>
      <c r="K461" s="39" t="str">
        <f>IFERROR(IF(SUMIFS(tblDaily[Deaths],tblDaily[EntryDate],DATE(2026,12,14),tblDaily[WardCode],"FAE")=0,"",SUMIFS(tblDaily[Deaths],tblDaily[EntryDate],DATE(2026,12,14),tblDaily[WardCode],"FAE")),"")</f>
        <v/>
      </c>
      <c r="L461" s="39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39" t="str">
        <f>IFERROR(IF(SUMIFS(tblDaily[TransfersIn],tblDaily[EntryDate],DATE(2026,12,14),tblDaily[WardCode],"FAE")=0,"",SUMIFS(tblDaily[TransfersIn],tblDaily[EntryDate],DATE(2026,12,14),tblDaily[WardCode],"FAE")),"")</f>
        <v/>
      </c>
      <c r="N461" s="39" t="str">
        <f>IFERROR(IF(SUMIFS(tblDaily[TransfersOut],tblDaily[EntryDate],DATE(2026,12,14),tblDaily[WardCode],"FAE")=0,"",SUMIFS(tblDaily[TransfersOut],tblDaily[EntryDate],DATE(2026,12,14),tblDaily[WardCode],"FAE")),"")</f>
        <v/>
      </c>
      <c r="O461" s="39" t="str">
        <f>IFERROR(IF(SUMIFS(tblDaily[Remaining],tblDaily[EntryDate],DATE(2026,12,14),tblDaily[WardCode],"FAE")=0,"",SUMIFS(tblDaily[Remaining],tblDaily[EntryDate],DATE(2026,12,14),tblDaily[WardCode],"FAE")),"")</f>
        <v/>
      </c>
      <c r="P461" s="40" t="str">
        <f t="shared" si="11"/>
        <v/>
      </c>
    </row>
    <row r="462" spans="1:16" x14ac:dyDescent="0.25">
      <c r="A462" s="39">
        <v>15</v>
      </c>
      <c r="B462" s="39" t="str">
        <f>IFERROR(IF(SUMIFS(tblDaily[Admissions],tblDaily[EntryDate],DATE(2026,12,15),tblDaily[WardCode],"MAE")=0,"",SUMIFS(tblDaily[Admissions],tblDaily[EntryDate],DATE(2026,12,15),tblDaily[WardCode],"MAE")),"")</f>
        <v/>
      </c>
      <c r="C462" s="39" t="str">
        <f>IFERROR(IF(SUMIFS(tblDaily[Discharges],tblDaily[EntryDate],DATE(2026,12,15),tblDaily[WardCode],"MAE")=0,"",SUMIFS(tblDaily[Discharges],tblDaily[EntryDate],DATE(2026,12,15),tblDaily[WardCode],"MAE")),"")</f>
        <v/>
      </c>
      <c r="D462" s="39" t="str">
        <f>IFERROR(IF(SUMIFS(tblDaily[Deaths],tblDaily[EntryDate],DATE(2026,12,15),tblDaily[WardCode],"MAE")=0,"",SUMIFS(tblDaily[Deaths],tblDaily[EntryDate],DATE(2026,12,15),tblDaily[WardCode],"MAE")),"")</f>
        <v/>
      </c>
      <c r="E462" s="3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39" t="str">
        <f>IFERROR(IF(SUMIFS(tblDaily[TransfersIn],tblDaily[EntryDate],DATE(2026,12,15),tblDaily[WardCode],"MAE")=0,"",SUMIFS(tblDaily[TransfersIn],tblDaily[EntryDate],DATE(2026,12,15),tblDaily[WardCode],"MAE")),"")</f>
        <v/>
      </c>
      <c r="G462" s="39" t="str">
        <f>IFERROR(IF(SUMIFS(tblDaily[TransfersOut],tblDaily[EntryDate],DATE(2026,12,15),tblDaily[WardCode],"MAE")=0,"",SUMIFS(tblDaily[TransfersOut],tblDaily[EntryDate],DATE(2026,12,15),tblDaily[WardCode],"MAE")),"")</f>
        <v/>
      </c>
      <c r="H462" s="39" t="str">
        <f>IFERROR(IF(SUMIFS(tblDaily[Remaining],tblDaily[EntryDate],DATE(2026,12,15),tblDaily[WardCode],"MAE")=0,"",SUMIFS(tblDaily[Remaining],tblDaily[EntryDate],DATE(2026,12,15),tblDaily[WardCode],"MAE")),"")</f>
        <v/>
      </c>
      <c r="I462" s="39" t="str">
        <f>IFERROR(IF(SUMIFS(tblDaily[Admissions],tblDaily[EntryDate],DATE(2026,12,15),tblDaily[WardCode],"FAE")=0,"",SUMIFS(tblDaily[Admissions],tblDaily[EntryDate],DATE(2026,12,15),tblDaily[WardCode],"FAE")),"")</f>
        <v/>
      </c>
      <c r="J462" s="39" t="str">
        <f>IFERROR(IF(SUMIFS(tblDaily[Discharges],tblDaily[EntryDate],DATE(2026,12,15),tblDaily[WardCode],"FAE")=0,"",SUMIFS(tblDaily[Discharges],tblDaily[EntryDate],DATE(2026,12,15),tblDaily[WardCode],"FAE")),"")</f>
        <v/>
      </c>
      <c r="K462" s="39" t="str">
        <f>IFERROR(IF(SUMIFS(tblDaily[Deaths],tblDaily[EntryDate],DATE(2026,12,15),tblDaily[WardCode],"FAE")=0,"",SUMIFS(tblDaily[Deaths],tblDaily[EntryDate],DATE(2026,12,15),tblDaily[WardCode],"FAE")),"")</f>
        <v/>
      </c>
      <c r="L462" s="39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39" t="str">
        <f>IFERROR(IF(SUMIFS(tblDaily[TransfersIn],tblDaily[EntryDate],DATE(2026,12,15),tblDaily[WardCode],"FAE")=0,"",SUMIFS(tblDaily[TransfersIn],tblDaily[EntryDate],DATE(2026,12,15),tblDaily[WardCode],"FAE")),"")</f>
        <v/>
      </c>
      <c r="N462" s="39" t="str">
        <f>IFERROR(IF(SUMIFS(tblDaily[TransfersOut],tblDaily[EntryDate],DATE(2026,12,15),tblDaily[WardCode],"FAE")=0,"",SUMIFS(tblDaily[TransfersOut],tblDaily[EntryDate],DATE(2026,12,15),tblDaily[WardCode],"FAE")),"")</f>
        <v/>
      </c>
      <c r="O462" s="39" t="str">
        <f>IFERROR(IF(SUMIFS(tblDaily[Remaining],tblDaily[EntryDate],DATE(2026,12,15),tblDaily[WardCode],"FAE")=0,"",SUMIFS(tblDaily[Remaining],tblDaily[EntryDate],DATE(2026,12,15),tblDaily[WardCode],"FAE")),"")</f>
        <v/>
      </c>
      <c r="P462" s="40" t="str">
        <f t="shared" si="11"/>
        <v/>
      </c>
    </row>
    <row r="463" spans="1:16" x14ac:dyDescent="0.25">
      <c r="A463" s="39">
        <v>16</v>
      </c>
      <c r="B463" s="39" t="str">
        <f>IFERROR(IF(SUMIFS(tblDaily[Admissions],tblDaily[EntryDate],DATE(2026,12,16),tblDaily[WardCode],"MAE")=0,"",SUMIFS(tblDaily[Admissions],tblDaily[EntryDate],DATE(2026,12,16),tblDaily[WardCode],"MAE")),"")</f>
        <v/>
      </c>
      <c r="C463" s="39" t="str">
        <f>IFERROR(IF(SUMIFS(tblDaily[Discharges],tblDaily[EntryDate],DATE(2026,12,16),tblDaily[WardCode],"MAE")=0,"",SUMIFS(tblDaily[Discharges],tblDaily[EntryDate],DATE(2026,12,16),tblDaily[WardCode],"MAE")),"")</f>
        <v/>
      </c>
      <c r="D463" s="39" t="str">
        <f>IFERROR(IF(SUMIFS(tblDaily[Deaths],tblDaily[EntryDate],DATE(2026,12,16),tblDaily[WardCode],"MAE")=0,"",SUMIFS(tblDaily[Deaths],tblDaily[EntryDate],DATE(2026,12,16),tblDaily[WardCode],"MAE")),"")</f>
        <v/>
      </c>
      <c r="E463" s="3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39" t="str">
        <f>IFERROR(IF(SUMIFS(tblDaily[TransfersIn],tblDaily[EntryDate],DATE(2026,12,16),tblDaily[WardCode],"MAE")=0,"",SUMIFS(tblDaily[TransfersIn],tblDaily[EntryDate],DATE(2026,12,16),tblDaily[WardCode],"MAE")),"")</f>
        <v/>
      </c>
      <c r="G463" s="39" t="str">
        <f>IFERROR(IF(SUMIFS(tblDaily[TransfersOut],tblDaily[EntryDate],DATE(2026,12,16),tblDaily[WardCode],"MAE")=0,"",SUMIFS(tblDaily[TransfersOut],tblDaily[EntryDate],DATE(2026,12,16),tblDaily[WardCode],"MAE")),"")</f>
        <v/>
      </c>
      <c r="H463" s="39" t="str">
        <f>IFERROR(IF(SUMIFS(tblDaily[Remaining],tblDaily[EntryDate],DATE(2026,12,16),tblDaily[WardCode],"MAE")=0,"",SUMIFS(tblDaily[Remaining],tblDaily[EntryDate],DATE(2026,12,16),tblDaily[WardCode],"MAE")),"")</f>
        <v/>
      </c>
      <c r="I463" s="39" t="str">
        <f>IFERROR(IF(SUMIFS(tblDaily[Admissions],tblDaily[EntryDate],DATE(2026,12,16),tblDaily[WardCode],"FAE")=0,"",SUMIFS(tblDaily[Admissions],tblDaily[EntryDate],DATE(2026,12,16),tblDaily[WardCode],"FAE")),"")</f>
        <v/>
      </c>
      <c r="J463" s="39" t="str">
        <f>IFERROR(IF(SUMIFS(tblDaily[Discharges],tblDaily[EntryDate],DATE(2026,12,16),tblDaily[WardCode],"FAE")=0,"",SUMIFS(tblDaily[Discharges],tblDaily[EntryDate],DATE(2026,12,16),tblDaily[WardCode],"FAE")),"")</f>
        <v/>
      </c>
      <c r="K463" s="39" t="str">
        <f>IFERROR(IF(SUMIFS(tblDaily[Deaths],tblDaily[EntryDate],DATE(2026,12,16),tblDaily[WardCode],"FAE")=0,"",SUMIFS(tblDaily[Deaths],tblDaily[EntryDate],DATE(2026,12,16),tblDaily[WardCode],"FAE")),"")</f>
        <v/>
      </c>
      <c r="L463" s="39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39" t="str">
        <f>IFERROR(IF(SUMIFS(tblDaily[TransfersIn],tblDaily[EntryDate],DATE(2026,12,16),tblDaily[WardCode],"FAE")=0,"",SUMIFS(tblDaily[TransfersIn],tblDaily[EntryDate],DATE(2026,12,16),tblDaily[WardCode],"FAE")),"")</f>
        <v/>
      </c>
      <c r="N463" s="39" t="str">
        <f>IFERROR(IF(SUMIFS(tblDaily[TransfersOut],tblDaily[EntryDate],DATE(2026,12,16),tblDaily[WardCode],"FAE")=0,"",SUMIFS(tblDaily[TransfersOut],tblDaily[EntryDate],DATE(2026,12,16),tblDaily[WardCode],"FAE")),"")</f>
        <v/>
      </c>
      <c r="O463" s="39" t="str">
        <f>IFERROR(IF(SUMIFS(tblDaily[Remaining],tblDaily[EntryDate],DATE(2026,12,16),tblDaily[WardCode],"FAE")=0,"",SUMIFS(tblDaily[Remaining],tblDaily[EntryDate],DATE(2026,12,16),tblDaily[WardCode],"FAE")),"")</f>
        <v/>
      </c>
      <c r="P463" s="40" t="str">
        <f t="shared" si="11"/>
        <v/>
      </c>
    </row>
    <row r="464" spans="1:16" x14ac:dyDescent="0.25">
      <c r="A464" s="39">
        <v>17</v>
      </c>
      <c r="B464" s="39" t="str">
        <f>IFERROR(IF(SUMIFS(tblDaily[Admissions],tblDaily[EntryDate],DATE(2026,12,17),tblDaily[WardCode],"MAE")=0,"",SUMIFS(tblDaily[Admissions],tblDaily[EntryDate],DATE(2026,12,17),tblDaily[WardCode],"MAE")),"")</f>
        <v/>
      </c>
      <c r="C464" s="39" t="str">
        <f>IFERROR(IF(SUMIFS(tblDaily[Discharges],tblDaily[EntryDate],DATE(2026,12,17),tblDaily[WardCode],"MAE")=0,"",SUMIFS(tblDaily[Discharges],tblDaily[EntryDate],DATE(2026,12,17),tblDaily[WardCode],"MAE")),"")</f>
        <v/>
      </c>
      <c r="D464" s="39" t="str">
        <f>IFERROR(IF(SUMIFS(tblDaily[Deaths],tblDaily[EntryDate],DATE(2026,12,17),tblDaily[WardCode],"MAE")=0,"",SUMIFS(tblDaily[Deaths],tblDaily[EntryDate],DATE(2026,12,17),tblDaily[WardCode],"MAE")),"")</f>
        <v/>
      </c>
      <c r="E464" s="3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39" t="str">
        <f>IFERROR(IF(SUMIFS(tblDaily[TransfersIn],tblDaily[EntryDate],DATE(2026,12,17),tblDaily[WardCode],"MAE")=0,"",SUMIFS(tblDaily[TransfersIn],tblDaily[EntryDate],DATE(2026,12,17),tblDaily[WardCode],"MAE")),"")</f>
        <v/>
      </c>
      <c r="G464" s="39" t="str">
        <f>IFERROR(IF(SUMIFS(tblDaily[TransfersOut],tblDaily[EntryDate],DATE(2026,12,17),tblDaily[WardCode],"MAE")=0,"",SUMIFS(tblDaily[TransfersOut],tblDaily[EntryDate],DATE(2026,12,17),tblDaily[WardCode],"MAE")),"")</f>
        <v/>
      </c>
      <c r="H464" s="39" t="str">
        <f>IFERROR(IF(SUMIFS(tblDaily[Remaining],tblDaily[EntryDate],DATE(2026,12,17),tblDaily[WardCode],"MAE")=0,"",SUMIFS(tblDaily[Remaining],tblDaily[EntryDate],DATE(2026,12,17),tblDaily[WardCode],"MAE")),"")</f>
        <v/>
      </c>
      <c r="I464" s="39" t="str">
        <f>IFERROR(IF(SUMIFS(tblDaily[Admissions],tblDaily[EntryDate],DATE(2026,12,17),tblDaily[WardCode],"FAE")=0,"",SUMIFS(tblDaily[Admissions],tblDaily[EntryDate],DATE(2026,12,17),tblDaily[WardCode],"FAE")),"")</f>
        <v/>
      </c>
      <c r="J464" s="39" t="str">
        <f>IFERROR(IF(SUMIFS(tblDaily[Discharges],tblDaily[EntryDate],DATE(2026,12,17),tblDaily[WardCode],"FAE")=0,"",SUMIFS(tblDaily[Discharges],tblDaily[EntryDate],DATE(2026,12,17),tblDaily[WardCode],"FAE")),"")</f>
        <v/>
      </c>
      <c r="K464" s="39" t="str">
        <f>IFERROR(IF(SUMIFS(tblDaily[Deaths],tblDaily[EntryDate],DATE(2026,12,17),tblDaily[WardCode],"FAE")=0,"",SUMIFS(tblDaily[Deaths],tblDaily[EntryDate],DATE(2026,12,17),tblDaily[WardCode],"FAE")),"")</f>
        <v/>
      </c>
      <c r="L464" s="39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39" t="str">
        <f>IFERROR(IF(SUMIFS(tblDaily[TransfersIn],tblDaily[EntryDate],DATE(2026,12,17),tblDaily[WardCode],"FAE")=0,"",SUMIFS(tblDaily[TransfersIn],tblDaily[EntryDate],DATE(2026,12,17),tblDaily[WardCode],"FAE")),"")</f>
        <v/>
      </c>
      <c r="N464" s="39" t="str">
        <f>IFERROR(IF(SUMIFS(tblDaily[TransfersOut],tblDaily[EntryDate],DATE(2026,12,17),tblDaily[WardCode],"FAE")=0,"",SUMIFS(tblDaily[TransfersOut],tblDaily[EntryDate],DATE(2026,12,17),tblDaily[WardCode],"FAE")),"")</f>
        <v/>
      </c>
      <c r="O464" s="39" t="str">
        <f>IFERROR(IF(SUMIFS(tblDaily[Remaining],tblDaily[EntryDate],DATE(2026,12,17),tblDaily[WardCode],"FAE")=0,"",SUMIFS(tblDaily[Remaining],tblDaily[EntryDate],DATE(2026,12,17),tblDaily[WardCode],"FAE")),"")</f>
        <v/>
      </c>
      <c r="P464" s="40" t="str">
        <f t="shared" si="11"/>
        <v/>
      </c>
    </row>
    <row r="465" spans="1:16" x14ac:dyDescent="0.25">
      <c r="A465" s="39">
        <v>18</v>
      </c>
      <c r="B465" s="39" t="str">
        <f>IFERROR(IF(SUMIFS(tblDaily[Admissions],tblDaily[EntryDate],DATE(2026,12,18),tblDaily[WardCode],"MAE")=0,"",SUMIFS(tblDaily[Admissions],tblDaily[EntryDate],DATE(2026,12,18),tblDaily[WardCode],"MAE")),"")</f>
        <v/>
      </c>
      <c r="C465" s="39" t="str">
        <f>IFERROR(IF(SUMIFS(tblDaily[Discharges],tblDaily[EntryDate],DATE(2026,12,18),tblDaily[WardCode],"MAE")=0,"",SUMIFS(tblDaily[Discharges],tblDaily[EntryDate],DATE(2026,12,18),tblDaily[WardCode],"MAE")),"")</f>
        <v/>
      </c>
      <c r="D465" s="39" t="str">
        <f>IFERROR(IF(SUMIFS(tblDaily[Deaths],tblDaily[EntryDate],DATE(2026,12,18),tblDaily[WardCode],"MAE")=0,"",SUMIFS(tblDaily[Deaths],tblDaily[EntryDate],DATE(2026,12,18),tblDaily[WardCode],"MAE")),"")</f>
        <v/>
      </c>
      <c r="E465" s="3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39" t="str">
        <f>IFERROR(IF(SUMIFS(tblDaily[TransfersIn],tblDaily[EntryDate],DATE(2026,12,18),tblDaily[WardCode],"MAE")=0,"",SUMIFS(tblDaily[TransfersIn],tblDaily[EntryDate],DATE(2026,12,18),tblDaily[WardCode],"MAE")),"")</f>
        <v/>
      </c>
      <c r="G465" s="39" t="str">
        <f>IFERROR(IF(SUMIFS(tblDaily[TransfersOut],tblDaily[EntryDate],DATE(2026,12,18),tblDaily[WardCode],"MAE")=0,"",SUMIFS(tblDaily[TransfersOut],tblDaily[EntryDate],DATE(2026,12,18),tblDaily[WardCode],"MAE")),"")</f>
        <v/>
      </c>
      <c r="H465" s="39" t="str">
        <f>IFERROR(IF(SUMIFS(tblDaily[Remaining],tblDaily[EntryDate],DATE(2026,12,18),tblDaily[WardCode],"MAE")=0,"",SUMIFS(tblDaily[Remaining],tblDaily[EntryDate],DATE(2026,12,18),tblDaily[WardCode],"MAE")),"")</f>
        <v/>
      </c>
      <c r="I465" s="39" t="str">
        <f>IFERROR(IF(SUMIFS(tblDaily[Admissions],tblDaily[EntryDate],DATE(2026,12,18),tblDaily[WardCode],"FAE")=0,"",SUMIFS(tblDaily[Admissions],tblDaily[EntryDate],DATE(2026,12,18),tblDaily[WardCode],"FAE")),"")</f>
        <v/>
      </c>
      <c r="J465" s="39" t="str">
        <f>IFERROR(IF(SUMIFS(tblDaily[Discharges],tblDaily[EntryDate],DATE(2026,12,18),tblDaily[WardCode],"FAE")=0,"",SUMIFS(tblDaily[Discharges],tblDaily[EntryDate],DATE(2026,12,18),tblDaily[WardCode],"FAE")),"")</f>
        <v/>
      </c>
      <c r="K465" s="39" t="str">
        <f>IFERROR(IF(SUMIFS(tblDaily[Deaths],tblDaily[EntryDate],DATE(2026,12,18),tblDaily[WardCode],"FAE")=0,"",SUMIFS(tblDaily[Deaths],tblDaily[EntryDate],DATE(2026,12,18),tblDaily[WardCode],"FAE")),"")</f>
        <v/>
      </c>
      <c r="L465" s="39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39" t="str">
        <f>IFERROR(IF(SUMIFS(tblDaily[TransfersIn],tblDaily[EntryDate],DATE(2026,12,18),tblDaily[WardCode],"FAE")=0,"",SUMIFS(tblDaily[TransfersIn],tblDaily[EntryDate],DATE(2026,12,18),tblDaily[WardCode],"FAE")),"")</f>
        <v/>
      </c>
      <c r="N465" s="39" t="str">
        <f>IFERROR(IF(SUMIFS(tblDaily[TransfersOut],tblDaily[EntryDate],DATE(2026,12,18),tblDaily[WardCode],"FAE")=0,"",SUMIFS(tblDaily[TransfersOut],tblDaily[EntryDate],DATE(2026,12,18),tblDaily[WardCode],"FAE")),"")</f>
        <v/>
      </c>
      <c r="O465" s="39" t="str">
        <f>IFERROR(IF(SUMIFS(tblDaily[Remaining],tblDaily[EntryDate],DATE(2026,12,18),tblDaily[WardCode],"FAE")=0,"",SUMIFS(tblDaily[Remaining],tblDaily[EntryDate],DATE(2026,12,18),tblDaily[WardCode],"FAE")),"")</f>
        <v/>
      </c>
      <c r="P465" s="40" t="str">
        <f t="shared" si="11"/>
        <v/>
      </c>
    </row>
    <row r="466" spans="1:16" x14ac:dyDescent="0.25">
      <c r="A466" s="39">
        <v>19</v>
      </c>
      <c r="B466" s="39" t="str">
        <f>IFERROR(IF(SUMIFS(tblDaily[Admissions],tblDaily[EntryDate],DATE(2026,12,19),tblDaily[WardCode],"MAE")=0,"",SUMIFS(tblDaily[Admissions],tblDaily[EntryDate],DATE(2026,12,19),tblDaily[WardCode],"MAE")),"")</f>
        <v/>
      </c>
      <c r="C466" s="39" t="str">
        <f>IFERROR(IF(SUMIFS(tblDaily[Discharges],tblDaily[EntryDate],DATE(2026,12,19),tblDaily[WardCode],"MAE")=0,"",SUMIFS(tblDaily[Discharges],tblDaily[EntryDate],DATE(2026,12,19),tblDaily[WardCode],"MAE")),"")</f>
        <v/>
      </c>
      <c r="D466" s="39" t="str">
        <f>IFERROR(IF(SUMIFS(tblDaily[Deaths],tblDaily[EntryDate],DATE(2026,12,19),tblDaily[WardCode],"MAE")=0,"",SUMIFS(tblDaily[Deaths],tblDaily[EntryDate],DATE(2026,12,19),tblDaily[WardCode],"MAE")),"")</f>
        <v/>
      </c>
      <c r="E466" s="3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39" t="str">
        <f>IFERROR(IF(SUMIFS(tblDaily[TransfersIn],tblDaily[EntryDate],DATE(2026,12,19),tblDaily[WardCode],"MAE")=0,"",SUMIFS(tblDaily[TransfersIn],tblDaily[EntryDate],DATE(2026,12,19),tblDaily[WardCode],"MAE")),"")</f>
        <v/>
      </c>
      <c r="G466" s="39" t="str">
        <f>IFERROR(IF(SUMIFS(tblDaily[TransfersOut],tblDaily[EntryDate],DATE(2026,12,19),tblDaily[WardCode],"MAE")=0,"",SUMIFS(tblDaily[TransfersOut],tblDaily[EntryDate],DATE(2026,12,19),tblDaily[WardCode],"MAE")),"")</f>
        <v/>
      </c>
      <c r="H466" s="39" t="str">
        <f>IFERROR(IF(SUMIFS(tblDaily[Remaining],tblDaily[EntryDate],DATE(2026,12,19),tblDaily[WardCode],"MAE")=0,"",SUMIFS(tblDaily[Remaining],tblDaily[EntryDate],DATE(2026,12,19),tblDaily[WardCode],"MAE")),"")</f>
        <v/>
      </c>
      <c r="I466" s="39" t="str">
        <f>IFERROR(IF(SUMIFS(tblDaily[Admissions],tblDaily[EntryDate],DATE(2026,12,19),tblDaily[WardCode],"FAE")=0,"",SUMIFS(tblDaily[Admissions],tblDaily[EntryDate],DATE(2026,12,19),tblDaily[WardCode],"FAE")),"")</f>
        <v/>
      </c>
      <c r="J466" s="39" t="str">
        <f>IFERROR(IF(SUMIFS(tblDaily[Discharges],tblDaily[EntryDate],DATE(2026,12,19),tblDaily[WardCode],"FAE")=0,"",SUMIFS(tblDaily[Discharges],tblDaily[EntryDate],DATE(2026,12,19),tblDaily[WardCode],"FAE")),"")</f>
        <v/>
      </c>
      <c r="K466" s="39" t="str">
        <f>IFERROR(IF(SUMIFS(tblDaily[Deaths],tblDaily[EntryDate],DATE(2026,12,19),tblDaily[WardCode],"FAE")=0,"",SUMIFS(tblDaily[Deaths],tblDaily[EntryDate],DATE(2026,12,19),tblDaily[WardCode],"FAE")),"")</f>
        <v/>
      </c>
      <c r="L466" s="39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39" t="str">
        <f>IFERROR(IF(SUMIFS(tblDaily[TransfersIn],tblDaily[EntryDate],DATE(2026,12,19),tblDaily[WardCode],"FAE")=0,"",SUMIFS(tblDaily[TransfersIn],tblDaily[EntryDate],DATE(2026,12,19),tblDaily[WardCode],"FAE")),"")</f>
        <v/>
      </c>
      <c r="N466" s="39" t="str">
        <f>IFERROR(IF(SUMIFS(tblDaily[TransfersOut],tblDaily[EntryDate],DATE(2026,12,19),tblDaily[WardCode],"FAE")=0,"",SUMIFS(tblDaily[TransfersOut],tblDaily[EntryDate],DATE(2026,12,19),tblDaily[WardCode],"FAE")),"")</f>
        <v/>
      </c>
      <c r="O466" s="39" t="str">
        <f>IFERROR(IF(SUMIFS(tblDaily[Remaining],tblDaily[EntryDate],DATE(2026,12,19),tblDaily[WardCode],"FAE")=0,"",SUMIFS(tblDaily[Remaining],tblDaily[EntryDate],DATE(2026,12,19),tblDaily[WardCode],"FAE")),"")</f>
        <v/>
      </c>
      <c r="P466" s="40" t="str">
        <f t="shared" si="11"/>
        <v/>
      </c>
    </row>
    <row r="467" spans="1:16" x14ac:dyDescent="0.25">
      <c r="A467" s="39">
        <v>20</v>
      </c>
      <c r="B467" s="39" t="str">
        <f>IFERROR(IF(SUMIFS(tblDaily[Admissions],tblDaily[EntryDate],DATE(2026,12,20),tblDaily[WardCode],"MAE")=0,"",SUMIFS(tblDaily[Admissions],tblDaily[EntryDate],DATE(2026,12,20),tblDaily[WardCode],"MAE")),"")</f>
        <v/>
      </c>
      <c r="C467" s="39" t="str">
        <f>IFERROR(IF(SUMIFS(tblDaily[Discharges],tblDaily[EntryDate],DATE(2026,12,20),tblDaily[WardCode],"MAE")=0,"",SUMIFS(tblDaily[Discharges],tblDaily[EntryDate],DATE(2026,12,20),tblDaily[WardCode],"MAE")),"")</f>
        <v/>
      </c>
      <c r="D467" s="39" t="str">
        <f>IFERROR(IF(SUMIFS(tblDaily[Deaths],tblDaily[EntryDate],DATE(2026,12,20),tblDaily[WardCode],"MAE")=0,"",SUMIFS(tblDaily[Deaths],tblDaily[EntryDate],DATE(2026,12,20),tblDaily[WardCode],"MAE")),"")</f>
        <v/>
      </c>
      <c r="E467" s="3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39" t="str">
        <f>IFERROR(IF(SUMIFS(tblDaily[TransfersIn],tblDaily[EntryDate],DATE(2026,12,20),tblDaily[WardCode],"MAE")=0,"",SUMIFS(tblDaily[TransfersIn],tblDaily[EntryDate],DATE(2026,12,20),tblDaily[WardCode],"MAE")),"")</f>
        <v/>
      </c>
      <c r="G467" s="39" t="str">
        <f>IFERROR(IF(SUMIFS(tblDaily[TransfersOut],tblDaily[EntryDate],DATE(2026,12,20),tblDaily[WardCode],"MAE")=0,"",SUMIFS(tblDaily[TransfersOut],tblDaily[EntryDate],DATE(2026,12,20),tblDaily[WardCode],"MAE")),"")</f>
        <v/>
      </c>
      <c r="H467" s="39" t="str">
        <f>IFERROR(IF(SUMIFS(tblDaily[Remaining],tblDaily[EntryDate],DATE(2026,12,20),tblDaily[WardCode],"MAE")=0,"",SUMIFS(tblDaily[Remaining],tblDaily[EntryDate],DATE(2026,12,20),tblDaily[WardCode],"MAE")),"")</f>
        <v/>
      </c>
      <c r="I467" s="39" t="str">
        <f>IFERROR(IF(SUMIFS(tblDaily[Admissions],tblDaily[EntryDate],DATE(2026,12,20),tblDaily[WardCode],"FAE")=0,"",SUMIFS(tblDaily[Admissions],tblDaily[EntryDate],DATE(2026,12,20),tblDaily[WardCode],"FAE")),"")</f>
        <v/>
      </c>
      <c r="J467" s="39" t="str">
        <f>IFERROR(IF(SUMIFS(tblDaily[Discharges],tblDaily[EntryDate],DATE(2026,12,20),tblDaily[WardCode],"FAE")=0,"",SUMIFS(tblDaily[Discharges],tblDaily[EntryDate],DATE(2026,12,20),tblDaily[WardCode],"FAE")),"")</f>
        <v/>
      </c>
      <c r="K467" s="39" t="str">
        <f>IFERROR(IF(SUMIFS(tblDaily[Deaths],tblDaily[EntryDate],DATE(2026,12,20),tblDaily[WardCode],"FAE")=0,"",SUMIFS(tblDaily[Deaths],tblDaily[EntryDate],DATE(2026,12,20),tblDaily[WardCode],"FAE")),"")</f>
        <v/>
      </c>
      <c r="L467" s="39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39" t="str">
        <f>IFERROR(IF(SUMIFS(tblDaily[TransfersIn],tblDaily[EntryDate],DATE(2026,12,20),tblDaily[WardCode],"FAE")=0,"",SUMIFS(tblDaily[TransfersIn],tblDaily[EntryDate],DATE(2026,12,20),tblDaily[WardCode],"FAE")),"")</f>
        <v/>
      </c>
      <c r="N467" s="39" t="str">
        <f>IFERROR(IF(SUMIFS(tblDaily[TransfersOut],tblDaily[EntryDate],DATE(2026,12,20),tblDaily[WardCode],"FAE")=0,"",SUMIFS(tblDaily[TransfersOut],tblDaily[EntryDate],DATE(2026,12,20),tblDaily[WardCode],"FAE")),"")</f>
        <v/>
      </c>
      <c r="O467" s="39" t="str">
        <f>IFERROR(IF(SUMIFS(tblDaily[Remaining],tblDaily[EntryDate],DATE(2026,12,20),tblDaily[WardCode],"FAE")=0,"",SUMIFS(tblDaily[Remaining],tblDaily[EntryDate],DATE(2026,12,20),tblDaily[WardCode],"FAE")),"")</f>
        <v/>
      </c>
      <c r="P467" s="40" t="str">
        <f t="shared" si="11"/>
        <v/>
      </c>
    </row>
    <row r="468" spans="1:16" x14ac:dyDescent="0.25">
      <c r="A468" s="39">
        <v>21</v>
      </c>
      <c r="B468" s="39" t="str">
        <f>IFERROR(IF(SUMIFS(tblDaily[Admissions],tblDaily[EntryDate],DATE(2026,12,21),tblDaily[WardCode],"MAE")=0,"",SUMIFS(tblDaily[Admissions],tblDaily[EntryDate],DATE(2026,12,21),tblDaily[WardCode],"MAE")),"")</f>
        <v/>
      </c>
      <c r="C468" s="39" t="str">
        <f>IFERROR(IF(SUMIFS(tblDaily[Discharges],tblDaily[EntryDate],DATE(2026,12,21),tblDaily[WardCode],"MAE")=0,"",SUMIFS(tblDaily[Discharges],tblDaily[EntryDate],DATE(2026,12,21),tblDaily[WardCode],"MAE")),"")</f>
        <v/>
      </c>
      <c r="D468" s="39" t="str">
        <f>IFERROR(IF(SUMIFS(tblDaily[Deaths],tblDaily[EntryDate],DATE(2026,12,21),tblDaily[WardCode],"MAE")=0,"",SUMIFS(tblDaily[Deaths],tblDaily[EntryDate],DATE(2026,12,21),tblDaily[WardCode],"MAE")),"")</f>
        <v/>
      </c>
      <c r="E468" s="3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39" t="str">
        <f>IFERROR(IF(SUMIFS(tblDaily[TransfersIn],tblDaily[EntryDate],DATE(2026,12,21),tblDaily[WardCode],"MAE")=0,"",SUMIFS(tblDaily[TransfersIn],tblDaily[EntryDate],DATE(2026,12,21),tblDaily[WardCode],"MAE")),"")</f>
        <v/>
      </c>
      <c r="G468" s="39" t="str">
        <f>IFERROR(IF(SUMIFS(tblDaily[TransfersOut],tblDaily[EntryDate],DATE(2026,12,21),tblDaily[WardCode],"MAE")=0,"",SUMIFS(tblDaily[TransfersOut],tblDaily[EntryDate],DATE(2026,12,21),tblDaily[WardCode],"MAE")),"")</f>
        <v/>
      </c>
      <c r="H468" s="39" t="str">
        <f>IFERROR(IF(SUMIFS(tblDaily[Remaining],tblDaily[EntryDate],DATE(2026,12,21),tblDaily[WardCode],"MAE")=0,"",SUMIFS(tblDaily[Remaining],tblDaily[EntryDate],DATE(2026,12,21),tblDaily[WardCode],"MAE")),"")</f>
        <v/>
      </c>
      <c r="I468" s="39" t="str">
        <f>IFERROR(IF(SUMIFS(tblDaily[Admissions],tblDaily[EntryDate],DATE(2026,12,21),tblDaily[WardCode],"FAE")=0,"",SUMIFS(tblDaily[Admissions],tblDaily[EntryDate],DATE(2026,12,21),tblDaily[WardCode],"FAE")),"")</f>
        <v/>
      </c>
      <c r="J468" s="39" t="str">
        <f>IFERROR(IF(SUMIFS(tblDaily[Discharges],tblDaily[EntryDate],DATE(2026,12,21),tblDaily[WardCode],"FAE")=0,"",SUMIFS(tblDaily[Discharges],tblDaily[EntryDate],DATE(2026,12,21),tblDaily[WardCode],"FAE")),"")</f>
        <v/>
      </c>
      <c r="K468" s="39" t="str">
        <f>IFERROR(IF(SUMIFS(tblDaily[Deaths],tblDaily[EntryDate],DATE(2026,12,21),tblDaily[WardCode],"FAE")=0,"",SUMIFS(tblDaily[Deaths],tblDaily[EntryDate],DATE(2026,12,21),tblDaily[WardCode],"FAE")),"")</f>
        <v/>
      </c>
      <c r="L468" s="39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39" t="str">
        <f>IFERROR(IF(SUMIFS(tblDaily[TransfersIn],tblDaily[EntryDate],DATE(2026,12,21),tblDaily[WardCode],"FAE")=0,"",SUMIFS(tblDaily[TransfersIn],tblDaily[EntryDate],DATE(2026,12,21),tblDaily[WardCode],"FAE")),"")</f>
        <v/>
      </c>
      <c r="N468" s="39" t="str">
        <f>IFERROR(IF(SUMIFS(tblDaily[TransfersOut],tblDaily[EntryDate],DATE(2026,12,21),tblDaily[WardCode],"FAE")=0,"",SUMIFS(tblDaily[TransfersOut],tblDaily[EntryDate],DATE(2026,12,21),tblDaily[WardCode],"FAE")),"")</f>
        <v/>
      </c>
      <c r="O468" s="39" t="str">
        <f>IFERROR(IF(SUMIFS(tblDaily[Remaining],tblDaily[EntryDate],DATE(2026,12,21),tblDaily[WardCode],"FAE")=0,"",SUMIFS(tblDaily[Remaining],tblDaily[EntryDate],DATE(2026,12,21),tblDaily[WardCode],"FAE")),"")</f>
        <v/>
      </c>
      <c r="P468" s="40" t="str">
        <f t="shared" si="11"/>
        <v/>
      </c>
    </row>
    <row r="469" spans="1:16" x14ac:dyDescent="0.25">
      <c r="A469" s="39">
        <v>22</v>
      </c>
      <c r="B469" s="39" t="str">
        <f>IFERROR(IF(SUMIFS(tblDaily[Admissions],tblDaily[EntryDate],DATE(2026,12,22),tblDaily[WardCode],"MAE")=0,"",SUMIFS(tblDaily[Admissions],tblDaily[EntryDate],DATE(2026,12,22),tblDaily[WardCode],"MAE")),"")</f>
        <v/>
      </c>
      <c r="C469" s="39" t="str">
        <f>IFERROR(IF(SUMIFS(tblDaily[Discharges],tblDaily[EntryDate],DATE(2026,12,22),tblDaily[WardCode],"MAE")=0,"",SUMIFS(tblDaily[Discharges],tblDaily[EntryDate],DATE(2026,12,22),tblDaily[WardCode],"MAE")),"")</f>
        <v/>
      </c>
      <c r="D469" s="39" t="str">
        <f>IFERROR(IF(SUMIFS(tblDaily[Deaths],tblDaily[EntryDate],DATE(2026,12,22),tblDaily[WardCode],"MAE")=0,"",SUMIFS(tblDaily[Deaths],tblDaily[EntryDate],DATE(2026,12,22),tblDaily[WardCode],"MAE")),"")</f>
        <v/>
      </c>
      <c r="E469" s="3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39" t="str">
        <f>IFERROR(IF(SUMIFS(tblDaily[TransfersIn],tblDaily[EntryDate],DATE(2026,12,22),tblDaily[WardCode],"MAE")=0,"",SUMIFS(tblDaily[TransfersIn],tblDaily[EntryDate],DATE(2026,12,22),tblDaily[WardCode],"MAE")),"")</f>
        <v/>
      </c>
      <c r="G469" s="39" t="str">
        <f>IFERROR(IF(SUMIFS(tblDaily[TransfersOut],tblDaily[EntryDate],DATE(2026,12,22),tblDaily[WardCode],"MAE")=0,"",SUMIFS(tblDaily[TransfersOut],tblDaily[EntryDate],DATE(2026,12,22),tblDaily[WardCode],"MAE")),"")</f>
        <v/>
      </c>
      <c r="H469" s="39" t="str">
        <f>IFERROR(IF(SUMIFS(tblDaily[Remaining],tblDaily[EntryDate],DATE(2026,12,22),tblDaily[WardCode],"MAE")=0,"",SUMIFS(tblDaily[Remaining],tblDaily[EntryDate],DATE(2026,12,22),tblDaily[WardCode],"MAE")),"")</f>
        <v/>
      </c>
      <c r="I469" s="39" t="str">
        <f>IFERROR(IF(SUMIFS(tblDaily[Admissions],tblDaily[EntryDate],DATE(2026,12,22),tblDaily[WardCode],"FAE")=0,"",SUMIFS(tblDaily[Admissions],tblDaily[EntryDate],DATE(2026,12,22),tblDaily[WardCode],"FAE")),"")</f>
        <v/>
      </c>
      <c r="J469" s="39" t="str">
        <f>IFERROR(IF(SUMIFS(tblDaily[Discharges],tblDaily[EntryDate],DATE(2026,12,22),tblDaily[WardCode],"FAE")=0,"",SUMIFS(tblDaily[Discharges],tblDaily[EntryDate],DATE(2026,12,22),tblDaily[WardCode],"FAE")),"")</f>
        <v/>
      </c>
      <c r="K469" s="39" t="str">
        <f>IFERROR(IF(SUMIFS(tblDaily[Deaths],tblDaily[EntryDate],DATE(2026,12,22),tblDaily[WardCode],"FAE")=0,"",SUMIFS(tblDaily[Deaths],tblDaily[EntryDate],DATE(2026,12,22),tblDaily[WardCode],"FAE")),"")</f>
        <v/>
      </c>
      <c r="L469" s="39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39" t="str">
        <f>IFERROR(IF(SUMIFS(tblDaily[TransfersIn],tblDaily[EntryDate],DATE(2026,12,22),tblDaily[WardCode],"FAE")=0,"",SUMIFS(tblDaily[TransfersIn],tblDaily[EntryDate],DATE(2026,12,22),tblDaily[WardCode],"FAE")),"")</f>
        <v/>
      </c>
      <c r="N469" s="39" t="str">
        <f>IFERROR(IF(SUMIFS(tblDaily[TransfersOut],tblDaily[EntryDate],DATE(2026,12,22),tblDaily[WardCode],"FAE")=0,"",SUMIFS(tblDaily[TransfersOut],tblDaily[EntryDate],DATE(2026,12,22),tblDaily[WardCode],"FAE")),"")</f>
        <v/>
      </c>
      <c r="O469" s="39" t="str">
        <f>IFERROR(IF(SUMIFS(tblDaily[Remaining],tblDaily[EntryDate],DATE(2026,12,22),tblDaily[WardCode],"FAE")=0,"",SUMIFS(tblDaily[Remaining],tblDaily[EntryDate],DATE(2026,12,22),tblDaily[WardCode],"FAE")),"")</f>
        <v/>
      </c>
      <c r="P469" s="40" t="str">
        <f t="shared" si="11"/>
        <v/>
      </c>
    </row>
    <row r="470" spans="1:16" x14ac:dyDescent="0.25">
      <c r="A470" s="39">
        <v>23</v>
      </c>
      <c r="B470" s="39" t="str">
        <f>IFERROR(IF(SUMIFS(tblDaily[Admissions],tblDaily[EntryDate],DATE(2026,12,23),tblDaily[WardCode],"MAE")=0,"",SUMIFS(tblDaily[Admissions],tblDaily[EntryDate],DATE(2026,12,23),tblDaily[WardCode],"MAE")),"")</f>
        <v/>
      </c>
      <c r="C470" s="39" t="str">
        <f>IFERROR(IF(SUMIFS(tblDaily[Discharges],tblDaily[EntryDate],DATE(2026,12,23),tblDaily[WardCode],"MAE")=0,"",SUMIFS(tblDaily[Discharges],tblDaily[EntryDate],DATE(2026,12,23),tblDaily[WardCode],"MAE")),"")</f>
        <v/>
      </c>
      <c r="D470" s="39" t="str">
        <f>IFERROR(IF(SUMIFS(tblDaily[Deaths],tblDaily[EntryDate],DATE(2026,12,23),tblDaily[WardCode],"MAE")=0,"",SUMIFS(tblDaily[Deaths],tblDaily[EntryDate],DATE(2026,12,23),tblDaily[WardCode],"MAE")),"")</f>
        <v/>
      </c>
      <c r="E470" s="3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39" t="str">
        <f>IFERROR(IF(SUMIFS(tblDaily[TransfersIn],tblDaily[EntryDate],DATE(2026,12,23),tblDaily[WardCode],"MAE")=0,"",SUMIFS(tblDaily[TransfersIn],tblDaily[EntryDate],DATE(2026,12,23),tblDaily[WardCode],"MAE")),"")</f>
        <v/>
      </c>
      <c r="G470" s="39" t="str">
        <f>IFERROR(IF(SUMIFS(tblDaily[TransfersOut],tblDaily[EntryDate],DATE(2026,12,23),tblDaily[WardCode],"MAE")=0,"",SUMIFS(tblDaily[TransfersOut],tblDaily[EntryDate],DATE(2026,12,23),tblDaily[WardCode],"MAE")),"")</f>
        <v/>
      </c>
      <c r="H470" s="39" t="str">
        <f>IFERROR(IF(SUMIFS(tblDaily[Remaining],tblDaily[EntryDate],DATE(2026,12,23),tblDaily[WardCode],"MAE")=0,"",SUMIFS(tblDaily[Remaining],tblDaily[EntryDate],DATE(2026,12,23),tblDaily[WardCode],"MAE")),"")</f>
        <v/>
      </c>
      <c r="I470" s="39" t="str">
        <f>IFERROR(IF(SUMIFS(tblDaily[Admissions],tblDaily[EntryDate],DATE(2026,12,23),tblDaily[WardCode],"FAE")=0,"",SUMIFS(tblDaily[Admissions],tblDaily[EntryDate],DATE(2026,12,23),tblDaily[WardCode],"FAE")),"")</f>
        <v/>
      </c>
      <c r="J470" s="39" t="str">
        <f>IFERROR(IF(SUMIFS(tblDaily[Discharges],tblDaily[EntryDate],DATE(2026,12,23),tblDaily[WardCode],"FAE")=0,"",SUMIFS(tblDaily[Discharges],tblDaily[EntryDate],DATE(2026,12,23),tblDaily[WardCode],"FAE")),"")</f>
        <v/>
      </c>
      <c r="K470" s="39" t="str">
        <f>IFERROR(IF(SUMIFS(tblDaily[Deaths],tblDaily[EntryDate],DATE(2026,12,23),tblDaily[WardCode],"FAE")=0,"",SUMIFS(tblDaily[Deaths],tblDaily[EntryDate],DATE(2026,12,23),tblDaily[WardCode],"FAE")),"")</f>
        <v/>
      </c>
      <c r="L470" s="39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39" t="str">
        <f>IFERROR(IF(SUMIFS(tblDaily[TransfersIn],tblDaily[EntryDate],DATE(2026,12,23),tblDaily[WardCode],"FAE")=0,"",SUMIFS(tblDaily[TransfersIn],tblDaily[EntryDate],DATE(2026,12,23),tblDaily[WardCode],"FAE")),"")</f>
        <v/>
      </c>
      <c r="N470" s="39" t="str">
        <f>IFERROR(IF(SUMIFS(tblDaily[TransfersOut],tblDaily[EntryDate],DATE(2026,12,23),tblDaily[WardCode],"FAE")=0,"",SUMIFS(tblDaily[TransfersOut],tblDaily[EntryDate],DATE(2026,12,23),tblDaily[WardCode],"FAE")),"")</f>
        <v/>
      </c>
      <c r="O470" s="39" t="str">
        <f>IFERROR(IF(SUMIFS(tblDaily[Remaining],tblDaily[EntryDate],DATE(2026,12,23),tblDaily[WardCode],"FAE")=0,"",SUMIFS(tblDaily[Remaining],tblDaily[EntryDate],DATE(2026,12,23),tblDaily[WardCode],"FAE")),"")</f>
        <v/>
      </c>
      <c r="P470" s="40" t="str">
        <f t="shared" si="11"/>
        <v/>
      </c>
    </row>
    <row r="471" spans="1:16" x14ac:dyDescent="0.25">
      <c r="A471" s="39">
        <v>24</v>
      </c>
      <c r="B471" s="39" t="str">
        <f>IFERROR(IF(SUMIFS(tblDaily[Admissions],tblDaily[EntryDate],DATE(2026,12,24),tblDaily[WardCode],"MAE")=0,"",SUMIFS(tblDaily[Admissions],tblDaily[EntryDate],DATE(2026,12,24),tblDaily[WardCode],"MAE")),"")</f>
        <v/>
      </c>
      <c r="C471" s="39" t="str">
        <f>IFERROR(IF(SUMIFS(tblDaily[Discharges],tblDaily[EntryDate],DATE(2026,12,24),tblDaily[WardCode],"MAE")=0,"",SUMIFS(tblDaily[Discharges],tblDaily[EntryDate],DATE(2026,12,24),tblDaily[WardCode],"MAE")),"")</f>
        <v/>
      </c>
      <c r="D471" s="39" t="str">
        <f>IFERROR(IF(SUMIFS(tblDaily[Deaths],tblDaily[EntryDate],DATE(2026,12,24),tblDaily[WardCode],"MAE")=0,"",SUMIFS(tblDaily[Deaths],tblDaily[EntryDate],DATE(2026,12,24),tblDaily[WardCode],"MAE")),"")</f>
        <v/>
      </c>
      <c r="E471" s="3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39" t="str">
        <f>IFERROR(IF(SUMIFS(tblDaily[TransfersIn],tblDaily[EntryDate],DATE(2026,12,24),tblDaily[WardCode],"MAE")=0,"",SUMIFS(tblDaily[TransfersIn],tblDaily[EntryDate],DATE(2026,12,24),tblDaily[WardCode],"MAE")),"")</f>
        <v/>
      </c>
      <c r="G471" s="39" t="str">
        <f>IFERROR(IF(SUMIFS(tblDaily[TransfersOut],tblDaily[EntryDate],DATE(2026,12,24),tblDaily[WardCode],"MAE")=0,"",SUMIFS(tblDaily[TransfersOut],tblDaily[EntryDate],DATE(2026,12,24),tblDaily[WardCode],"MAE")),"")</f>
        <v/>
      </c>
      <c r="H471" s="39" t="str">
        <f>IFERROR(IF(SUMIFS(tblDaily[Remaining],tblDaily[EntryDate],DATE(2026,12,24),tblDaily[WardCode],"MAE")=0,"",SUMIFS(tblDaily[Remaining],tblDaily[EntryDate],DATE(2026,12,24),tblDaily[WardCode],"MAE")),"")</f>
        <v/>
      </c>
      <c r="I471" s="39" t="str">
        <f>IFERROR(IF(SUMIFS(tblDaily[Admissions],tblDaily[EntryDate],DATE(2026,12,24),tblDaily[WardCode],"FAE")=0,"",SUMIFS(tblDaily[Admissions],tblDaily[EntryDate],DATE(2026,12,24),tblDaily[WardCode],"FAE")),"")</f>
        <v/>
      </c>
      <c r="J471" s="39" t="str">
        <f>IFERROR(IF(SUMIFS(tblDaily[Discharges],tblDaily[EntryDate],DATE(2026,12,24),tblDaily[WardCode],"FAE")=0,"",SUMIFS(tblDaily[Discharges],tblDaily[EntryDate],DATE(2026,12,24),tblDaily[WardCode],"FAE")),"")</f>
        <v/>
      </c>
      <c r="K471" s="39" t="str">
        <f>IFERROR(IF(SUMIFS(tblDaily[Deaths],tblDaily[EntryDate],DATE(2026,12,24),tblDaily[WardCode],"FAE")=0,"",SUMIFS(tblDaily[Deaths],tblDaily[EntryDate],DATE(2026,12,24),tblDaily[WardCode],"FAE")),"")</f>
        <v/>
      </c>
      <c r="L471" s="39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39" t="str">
        <f>IFERROR(IF(SUMIFS(tblDaily[TransfersIn],tblDaily[EntryDate],DATE(2026,12,24),tblDaily[WardCode],"FAE")=0,"",SUMIFS(tblDaily[TransfersIn],tblDaily[EntryDate],DATE(2026,12,24),tblDaily[WardCode],"FAE")),"")</f>
        <v/>
      </c>
      <c r="N471" s="39" t="str">
        <f>IFERROR(IF(SUMIFS(tblDaily[TransfersOut],tblDaily[EntryDate],DATE(2026,12,24),tblDaily[WardCode],"FAE")=0,"",SUMIFS(tblDaily[TransfersOut],tblDaily[EntryDate],DATE(2026,12,24),tblDaily[WardCode],"FAE")),"")</f>
        <v/>
      </c>
      <c r="O471" s="39" t="str">
        <f>IFERROR(IF(SUMIFS(tblDaily[Remaining],tblDaily[EntryDate],DATE(2026,12,24),tblDaily[WardCode],"FAE")=0,"",SUMIFS(tblDaily[Remaining],tblDaily[EntryDate],DATE(2026,12,24),tblDaily[WardCode],"FAE")),"")</f>
        <v/>
      </c>
      <c r="P471" s="40" t="str">
        <f t="shared" si="11"/>
        <v/>
      </c>
    </row>
    <row r="472" spans="1:16" x14ac:dyDescent="0.25">
      <c r="A472" s="39">
        <v>25</v>
      </c>
      <c r="B472" s="39" t="str">
        <f>IFERROR(IF(SUMIFS(tblDaily[Admissions],tblDaily[EntryDate],DATE(2026,12,25),tblDaily[WardCode],"MAE")=0,"",SUMIFS(tblDaily[Admissions],tblDaily[EntryDate],DATE(2026,12,25),tblDaily[WardCode],"MAE")),"")</f>
        <v/>
      </c>
      <c r="C472" s="39" t="str">
        <f>IFERROR(IF(SUMIFS(tblDaily[Discharges],tblDaily[EntryDate],DATE(2026,12,25),tblDaily[WardCode],"MAE")=0,"",SUMIFS(tblDaily[Discharges],tblDaily[EntryDate],DATE(2026,12,25),tblDaily[WardCode],"MAE")),"")</f>
        <v/>
      </c>
      <c r="D472" s="39" t="str">
        <f>IFERROR(IF(SUMIFS(tblDaily[Deaths],tblDaily[EntryDate],DATE(2026,12,25),tblDaily[WardCode],"MAE")=0,"",SUMIFS(tblDaily[Deaths],tblDaily[EntryDate],DATE(2026,12,25),tblDaily[WardCode],"MAE")),"")</f>
        <v/>
      </c>
      <c r="E472" s="3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39" t="str">
        <f>IFERROR(IF(SUMIFS(tblDaily[TransfersIn],tblDaily[EntryDate],DATE(2026,12,25),tblDaily[WardCode],"MAE")=0,"",SUMIFS(tblDaily[TransfersIn],tblDaily[EntryDate],DATE(2026,12,25),tblDaily[WardCode],"MAE")),"")</f>
        <v/>
      </c>
      <c r="G472" s="39" t="str">
        <f>IFERROR(IF(SUMIFS(tblDaily[TransfersOut],tblDaily[EntryDate],DATE(2026,12,25),tblDaily[WardCode],"MAE")=0,"",SUMIFS(tblDaily[TransfersOut],tblDaily[EntryDate],DATE(2026,12,25),tblDaily[WardCode],"MAE")),"")</f>
        <v/>
      </c>
      <c r="H472" s="39" t="str">
        <f>IFERROR(IF(SUMIFS(tblDaily[Remaining],tblDaily[EntryDate],DATE(2026,12,25),tblDaily[WardCode],"MAE")=0,"",SUMIFS(tblDaily[Remaining],tblDaily[EntryDate],DATE(2026,12,25),tblDaily[WardCode],"MAE")),"")</f>
        <v/>
      </c>
      <c r="I472" s="39" t="str">
        <f>IFERROR(IF(SUMIFS(tblDaily[Admissions],tblDaily[EntryDate],DATE(2026,12,25),tblDaily[WardCode],"FAE")=0,"",SUMIFS(tblDaily[Admissions],tblDaily[EntryDate],DATE(2026,12,25),tblDaily[WardCode],"FAE")),"")</f>
        <v/>
      </c>
      <c r="J472" s="39" t="str">
        <f>IFERROR(IF(SUMIFS(tblDaily[Discharges],tblDaily[EntryDate],DATE(2026,12,25),tblDaily[WardCode],"FAE")=0,"",SUMIFS(tblDaily[Discharges],tblDaily[EntryDate],DATE(2026,12,25),tblDaily[WardCode],"FAE")),"")</f>
        <v/>
      </c>
      <c r="K472" s="39" t="str">
        <f>IFERROR(IF(SUMIFS(tblDaily[Deaths],tblDaily[EntryDate],DATE(2026,12,25),tblDaily[WardCode],"FAE")=0,"",SUMIFS(tblDaily[Deaths],tblDaily[EntryDate],DATE(2026,12,25),tblDaily[WardCode],"FAE")),"")</f>
        <v/>
      </c>
      <c r="L472" s="39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39" t="str">
        <f>IFERROR(IF(SUMIFS(tblDaily[TransfersIn],tblDaily[EntryDate],DATE(2026,12,25),tblDaily[WardCode],"FAE")=0,"",SUMIFS(tblDaily[TransfersIn],tblDaily[EntryDate],DATE(2026,12,25),tblDaily[WardCode],"FAE")),"")</f>
        <v/>
      </c>
      <c r="N472" s="39" t="str">
        <f>IFERROR(IF(SUMIFS(tblDaily[TransfersOut],tblDaily[EntryDate],DATE(2026,12,25),tblDaily[WardCode],"FAE")=0,"",SUMIFS(tblDaily[TransfersOut],tblDaily[EntryDate],DATE(2026,12,25),tblDaily[WardCode],"FAE")),"")</f>
        <v/>
      </c>
      <c r="O472" s="39" t="str">
        <f>IFERROR(IF(SUMIFS(tblDaily[Remaining],tblDaily[EntryDate],DATE(2026,12,25),tblDaily[WardCode],"FAE")=0,"",SUMIFS(tblDaily[Remaining],tblDaily[EntryDate],DATE(2026,12,25),tblDaily[WardCode],"FAE")),"")</f>
        <v/>
      </c>
      <c r="P472" s="40" t="str">
        <f t="shared" si="11"/>
        <v/>
      </c>
    </row>
    <row r="473" spans="1:16" x14ac:dyDescent="0.25">
      <c r="A473" s="39">
        <v>26</v>
      </c>
      <c r="B473" s="39" t="str">
        <f>IFERROR(IF(SUMIFS(tblDaily[Admissions],tblDaily[EntryDate],DATE(2026,12,26),tblDaily[WardCode],"MAE")=0,"",SUMIFS(tblDaily[Admissions],tblDaily[EntryDate],DATE(2026,12,26),tblDaily[WardCode],"MAE")),"")</f>
        <v/>
      </c>
      <c r="C473" s="39" t="str">
        <f>IFERROR(IF(SUMIFS(tblDaily[Discharges],tblDaily[EntryDate],DATE(2026,12,26),tblDaily[WardCode],"MAE")=0,"",SUMIFS(tblDaily[Discharges],tblDaily[EntryDate],DATE(2026,12,26),tblDaily[WardCode],"MAE")),"")</f>
        <v/>
      </c>
      <c r="D473" s="39" t="str">
        <f>IFERROR(IF(SUMIFS(tblDaily[Deaths],tblDaily[EntryDate],DATE(2026,12,26),tblDaily[WardCode],"MAE")=0,"",SUMIFS(tblDaily[Deaths],tblDaily[EntryDate],DATE(2026,12,26),tblDaily[WardCode],"MAE")),"")</f>
        <v/>
      </c>
      <c r="E473" s="3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39" t="str">
        <f>IFERROR(IF(SUMIFS(tblDaily[TransfersIn],tblDaily[EntryDate],DATE(2026,12,26),tblDaily[WardCode],"MAE")=0,"",SUMIFS(tblDaily[TransfersIn],tblDaily[EntryDate],DATE(2026,12,26),tblDaily[WardCode],"MAE")),"")</f>
        <v/>
      </c>
      <c r="G473" s="39" t="str">
        <f>IFERROR(IF(SUMIFS(tblDaily[TransfersOut],tblDaily[EntryDate],DATE(2026,12,26),tblDaily[WardCode],"MAE")=0,"",SUMIFS(tblDaily[TransfersOut],tblDaily[EntryDate],DATE(2026,12,26),tblDaily[WardCode],"MAE")),"")</f>
        <v/>
      </c>
      <c r="H473" s="39" t="str">
        <f>IFERROR(IF(SUMIFS(tblDaily[Remaining],tblDaily[EntryDate],DATE(2026,12,26),tblDaily[WardCode],"MAE")=0,"",SUMIFS(tblDaily[Remaining],tblDaily[EntryDate],DATE(2026,12,26),tblDaily[WardCode],"MAE")),"")</f>
        <v/>
      </c>
      <c r="I473" s="39" t="str">
        <f>IFERROR(IF(SUMIFS(tblDaily[Admissions],tblDaily[EntryDate],DATE(2026,12,26),tblDaily[WardCode],"FAE")=0,"",SUMIFS(tblDaily[Admissions],tblDaily[EntryDate],DATE(2026,12,26),tblDaily[WardCode],"FAE")),"")</f>
        <v/>
      </c>
      <c r="J473" s="39" t="str">
        <f>IFERROR(IF(SUMIFS(tblDaily[Discharges],tblDaily[EntryDate],DATE(2026,12,26),tblDaily[WardCode],"FAE")=0,"",SUMIFS(tblDaily[Discharges],tblDaily[EntryDate],DATE(2026,12,26),tblDaily[WardCode],"FAE")),"")</f>
        <v/>
      </c>
      <c r="K473" s="39" t="str">
        <f>IFERROR(IF(SUMIFS(tblDaily[Deaths],tblDaily[EntryDate],DATE(2026,12,26),tblDaily[WardCode],"FAE")=0,"",SUMIFS(tblDaily[Deaths],tblDaily[EntryDate],DATE(2026,12,26),tblDaily[WardCode],"FAE")),"")</f>
        <v/>
      </c>
      <c r="L473" s="39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39" t="str">
        <f>IFERROR(IF(SUMIFS(tblDaily[TransfersIn],tblDaily[EntryDate],DATE(2026,12,26),tblDaily[WardCode],"FAE")=0,"",SUMIFS(tblDaily[TransfersIn],tblDaily[EntryDate],DATE(2026,12,26),tblDaily[WardCode],"FAE")),"")</f>
        <v/>
      </c>
      <c r="N473" s="39" t="str">
        <f>IFERROR(IF(SUMIFS(tblDaily[TransfersOut],tblDaily[EntryDate],DATE(2026,12,26),tblDaily[WardCode],"FAE")=0,"",SUMIFS(tblDaily[TransfersOut],tblDaily[EntryDate],DATE(2026,12,26),tblDaily[WardCode],"FAE")),"")</f>
        <v/>
      </c>
      <c r="O473" s="39" t="str">
        <f>IFERROR(IF(SUMIFS(tblDaily[Remaining],tblDaily[EntryDate],DATE(2026,12,26),tblDaily[WardCode],"FAE")=0,"",SUMIFS(tblDaily[Remaining],tblDaily[EntryDate],DATE(2026,12,26),tblDaily[WardCode],"FAE")),"")</f>
        <v/>
      </c>
      <c r="P473" s="40" t="str">
        <f t="shared" si="11"/>
        <v/>
      </c>
    </row>
    <row r="474" spans="1:16" x14ac:dyDescent="0.25">
      <c r="A474" s="39">
        <v>27</v>
      </c>
      <c r="B474" s="39" t="str">
        <f>IFERROR(IF(SUMIFS(tblDaily[Admissions],tblDaily[EntryDate],DATE(2026,12,27),tblDaily[WardCode],"MAE")=0,"",SUMIFS(tblDaily[Admissions],tblDaily[EntryDate],DATE(2026,12,27),tblDaily[WardCode],"MAE")),"")</f>
        <v/>
      </c>
      <c r="C474" s="39" t="str">
        <f>IFERROR(IF(SUMIFS(tblDaily[Discharges],tblDaily[EntryDate],DATE(2026,12,27),tblDaily[WardCode],"MAE")=0,"",SUMIFS(tblDaily[Discharges],tblDaily[EntryDate],DATE(2026,12,27),tblDaily[WardCode],"MAE")),"")</f>
        <v/>
      </c>
      <c r="D474" s="39" t="str">
        <f>IFERROR(IF(SUMIFS(tblDaily[Deaths],tblDaily[EntryDate],DATE(2026,12,27),tblDaily[WardCode],"MAE")=0,"",SUMIFS(tblDaily[Deaths],tblDaily[EntryDate],DATE(2026,12,27),tblDaily[WardCode],"MAE")),"")</f>
        <v/>
      </c>
      <c r="E474" s="3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39" t="str">
        <f>IFERROR(IF(SUMIFS(tblDaily[TransfersIn],tblDaily[EntryDate],DATE(2026,12,27),tblDaily[WardCode],"MAE")=0,"",SUMIFS(tblDaily[TransfersIn],tblDaily[EntryDate],DATE(2026,12,27),tblDaily[WardCode],"MAE")),"")</f>
        <v/>
      </c>
      <c r="G474" s="39" t="str">
        <f>IFERROR(IF(SUMIFS(tblDaily[TransfersOut],tblDaily[EntryDate],DATE(2026,12,27),tblDaily[WardCode],"MAE")=0,"",SUMIFS(tblDaily[TransfersOut],tblDaily[EntryDate],DATE(2026,12,27),tblDaily[WardCode],"MAE")),"")</f>
        <v/>
      </c>
      <c r="H474" s="39" t="str">
        <f>IFERROR(IF(SUMIFS(tblDaily[Remaining],tblDaily[EntryDate],DATE(2026,12,27),tblDaily[WardCode],"MAE")=0,"",SUMIFS(tblDaily[Remaining],tblDaily[EntryDate],DATE(2026,12,27),tblDaily[WardCode],"MAE")),"")</f>
        <v/>
      </c>
      <c r="I474" s="39" t="str">
        <f>IFERROR(IF(SUMIFS(tblDaily[Admissions],tblDaily[EntryDate],DATE(2026,12,27),tblDaily[WardCode],"FAE")=0,"",SUMIFS(tblDaily[Admissions],tblDaily[EntryDate],DATE(2026,12,27),tblDaily[WardCode],"FAE")),"")</f>
        <v/>
      </c>
      <c r="J474" s="39" t="str">
        <f>IFERROR(IF(SUMIFS(tblDaily[Discharges],tblDaily[EntryDate],DATE(2026,12,27),tblDaily[WardCode],"FAE")=0,"",SUMIFS(tblDaily[Discharges],tblDaily[EntryDate],DATE(2026,12,27),tblDaily[WardCode],"FAE")),"")</f>
        <v/>
      </c>
      <c r="K474" s="39" t="str">
        <f>IFERROR(IF(SUMIFS(tblDaily[Deaths],tblDaily[EntryDate],DATE(2026,12,27),tblDaily[WardCode],"FAE")=0,"",SUMIFS(tblDaily[Deaths],tblDaily[EntryDate],DATE(2026,12,27),tblDaily[WardCode],"FAE")),"")</f>
        <v/>
      </c>
      <c r="L474" s="39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39" t="str">
        <f>IFERROR(IF(SUMIFS(tblDaily[TransfersIn],tblDaily[EntryDate],DATE(2026,12,27),tblDaily[WardCode],"FAE")=0,"",SUMIFS(tblDaily[TransfersIn],tblDaily[EntryDate],DATE(2026,12,27),tblDaily[WardCode],"FAE")),"")</f>
        <v/>
      </c>
      <c r="N474" s="39" t="str">
        <f>IFERROR(IF(SUMIFS(tblDaily[TransfersOut],tblDaily[EntryDate],DATE(2026,12,27),tblDaily[WardCode],"FAE")=0,"",SUMIFS(tblDaily[TransfersOut],tblDaily[EntryDate],DATE(2026,12,27),tblDaily[WardCode],"FAE")),"")</f>
        <v/>
      </c>
      <c r="O474" s="39" t="str">
        <f>IFERROR(IF(SUMIFS(tblDaily[Remaining],tblDaily[EntryDate],DATE(2026,12,27),tblDaily[WardCode],"FAE")=0,"",SUMIFS(tblDaily[Remaining],tblDaily[EntryDate],DATE(2026,12,27),tblDaily[WardCode],"FAE")),"")</f>
        <v/>
      </c>
      <c r="P474" s="40" t="str">
        <f t="shared" si="11"/>
        <v/>
      </c>
    </row>
    <row r="475" spans="1:16" x14ac:dyDescent="0.25">
      <c r="A475" s="39">
        <v>28</v>
      </c>
      <c r="B475" s="39" t="str">
        <f>IFERROR(IF(SUMIFS(tblDaily[Admissions],tblDaily[EntryDate],DATE(2026,12,28),tblDaily[WardCode],"MAE")=0,"",SUMIFS(tblDaily[Admissions],tblDaily[EntryDate],DATE(2026,12,28),tblDaily[WardCode],"MAE")),"")</f>
        <v/>
      </c>
      <c r="C475" s="39" t="str">
        <f>IFERROR(IF(SUMIFS(tblDaily[Discharges],tblDaily[EntryDate],DATE(2026,12,28),tblDaily[WardCode],"MAE")=0,"",SUMIFS(tblDaily[Discharges],tblDaily[EntryDate],DATE(2026,12,28),tblDaily[WardCode],"MAE")),"")</f>
        <v/>
      </c>
      <c r="D475" s="39" t="str">
        <f>IFERROR(IF(SUMIFS(tblDaily[Deaths],tblDaily[EntryDate],DATE(2026,12,28),tblDaily[WardCode],"MAE")=0,"",SUMIFS(tblDaily[Deaths],tblDaily[EntryDate],DATE(2026,12,28),tblDaily[WardCode],"MAE")),"")</f>
        <v/>
      </c>
      <c r="E475" s="3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39" t="str">
        <f>IFERROR(IF(SUMIFS(tblDaily[TransfersIn],tblDaily[EntryDate],DATE(2026,12,28),tblDaily[WardCode],"MAE")=0,"",SUMIFS(tblDaily[TransfersIn],tblDaily[EntryDate],DATE(2026,12,28),tblDaily[WardCode],"MAE")),"")</f>
        <v/>
      </c>
      <c r="G475" s="39" t="str">
        <f>IFERROR(IF(SUMIFS(tblDaily[TransfersOut],tblDaily[EntryDate],DATE(2026,12,28),tblDaily[WardCode],"MAE")=0,"",SUMIFS(tblDaily[TransfersOut],tblDaily[EntryDate],DATE(2026,12,28),tblDaily[WardCode],"MAE")),"")</f>
        <v/>
      </c>
      <c r="H475" s="39" t="str">
        <f>IFERROR(IF(SUMIFS(tblDaily[Remaining],tblDaily[EntryDate],DATE(2026,12,28),tblDaily[WardCode],"MAE")=0,"",SUMIFS(tblDaily[Remaining],tblDaily[EntryDate],DATE(2026,12,28),tblDaily[WardCode],"MAE")),"")</f>
        <v/>
      </c>
      <c r="I475" s="39" t="str">
        <f>IFERROR(IF(SUMIFS(tblDaily[Admissions],tblDaily[EntryDate],DATE(2026,12,28),tblDaily[WardCode],"FAE")=0,"",SUMIFS(tblDaily[Admissions],tblDaily[EntryDate],DATE(2026,12,28),tblDaily[WardCode],"FAE")),"")</f>
        <v/>
      </c>
      <c r="J475" s="39" t="str">
        <f>IFERROR(IF(SUMIFS(tblDaily[Discharges],tblDaily[EntryDate],DATE(2026,12,28),tblDaily[WardCode],"FAE")=0,"",SUMIFS(tblDaily[Discharges],tblDaily[EntryDate],DATE(2026,12,28),tblDaily[WardCode],"FAE")),"")</f>
        <v/>
      </c>
      <c r="K475" s="39" t="str">
        <f>IFERROR(IF(SUMIFS(tblDaily[Deaths],tblDaily[EntryDate],DATE(2026,12,28),tblDaily[WardCode],"FAE")=0,"",SUMIFS(tblDaily[Deaths],tblDaily[EntryDate],DATE(2026,12,28),tblDaily[WardCode],"FAE")),"")</f>
        <v/>
      </c>
      <c r="L475" s="39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39" t="str">
        <f>IFERROR(IF(SUMIFS(tblDaily[TransfersIn],tblDaily[EntryDate],DATE(2026,12,28),tblDaily[WardCode],"FAE")=0,"",SUMIFS(tblDaily[TransfersIn],tblDaily[EntryDate],DATE(2026,12,28),tblDaily[WardCode],"FAE")),"")</f>
        <v/>
      </c>
      <c r="N475" s="39" t="str">
        <f>IFERROR(IF(SUMIFS(tblDaily[TransfersOut],tblDaily[EntryDate],DATE(2026,12,28),tblDaily[WardCode],"FAE")=0,"",SUMIFS(tblDaily[TransfersOut],tblDaily[EntryDate],DATE(2026,12,28),tblDaily[WardCode],"FAE")),"")</f>
        <v/>
      </c>
      <c r="O475" s="39" t="str">
        <f>IFERROR(IF(SUMIFS(tblDaily[Remaining],tblDaily[EntryDate],DATE(2026,12,28),tblDaily[WardCode],"FAE")=0,"",SUMIFS(tblDaily[Remaining],tblDaily[EntryDate],DATE(2026,12,28),tblDaily[WardCode],"FAE")),"")</f>
        <v/>
      </c>
      <c r="P475" s="40" t="str">
        <f t="shared" si="11"/>
        <v/>
      </c>
    </row>
    <row r="476" spans="1:16" x14ac:dyDescent="0.25">
      <c r="A476" s="39">
        <v>29</v>
      </c>
      <c r="B476" s="39" t="str">
        <f>IFERROR(IF(SUMIFS(tblDaily[Admissions],tblDaily[EntryDate],DATE(2026,12,29),tblDaily[WardCode],"MAE")=0,"",SUMIFS(tblDaily[Admissions],tblDaily[EntryDate],DATE(2026,12,29),tblDaily[WardCode],"MAE")),"")</f>
        <v/>
      </c>
      <c r="C476" s="39" t="str">
        <f>IFERROR(IF(SUMIFS(tblDaily[Discharges],tblDaily[EntryDate],DATE(2026,12,29),tblDaily[WardCode],"MAE")=0,"",SUMIFS(tblDaily[Discharges],tblDaily[EntryDate],DATE(2026,12,29),tblDaily[WardCode],"MAE")),"")</f>
        <v/>
      </c>
      <c r="D476" s="39" t="str">
        <f>IFERROR(IF(SUMIFS(tblDaily[Deaths],tblDaily[EntryDate],DATE(2026,12,29),tblDaily[WardCode],"MAE")=0,"",SUMIFS(tblDaily[Deaths],tblDaily[EntryDate],DATE(2026,12,29),tblDaily[WardCode],"MAE")),"")</f>
        <v/>
      </c>
      <c r="E476" s="3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39" t="str">
        <f>IFERROR(IF(SUMIFS(tblDaily[TransfersIn],tblDaily[EntryDate],DATE(2026,12,29),tblDaily[WardCode],"MAE")=0,"",SUMIFS(tblDaily[TransfersIn],tblDaily[EntryDate],DATE(2026,12,29),tblDaily[WardCode],"MAE")),"")</f>
        <v/>
      </c>
      <c r="G476" s="39" t="str">
        <f>IFERROR(IF(SUMIFS(tblDaily[TransfersOut],tblDaily[EntryDate],DATE(2026,12,29),tblDaily[WardCode],"MAE")=0,"",SUMIFS(tblDaily[TransfersOut],tblDaily[EntryDate],DATE(2026,12,29),tblDaily[WardCode],"MAE")),"")</f>
        <v/>
      </c>
      <c r="H476" s="39" t="str">
        <f>IFERROR(IF(SUMIFS(tblDaily[Remaining],tblDaily[EntryDate],DATE(2026,12,29),tblDaily[WardCode],"MAE")=0,"",SUMIFS(tblDaily[Remaining],tblDaily[EntryDate],DATE(2026,12,29),tblDaily[WardCode],"MAE")),"")</f>
        <v/>
      </c>
      <c r="I476" s="39" t="str">
        <f>IFERROR(IF(SUMIFS(tblDaily[Admissions],tblDaily[EntryDate],DATE(2026,12,29),tblDaily[WardCode],"FAE")=0,"",SUMIFS(tblDaily[Admissions],tblDaily[EntryDate],DATE(2026,12,29),tblDaily[WardCode],"FAE")),"")</f>
        <v/>
      </c>
      <c r="J476" s="39" t="str">
        <f>IFERROR(IF(SUMIFS(tblDaily[Discharges],tblDaily[EntryDate],DATE(2026,12,29),tblDaily[WardCode],"FAE")=0,"",SUMIFS(tblDaily[Discharges],tblDaily[EntryDate],DATE(2026,12,29),tblDaily[WardCode],"FAE")),"")</f>
        <v/>
      </c>
      <c r="K476" s="39" t="str">
        <f>IFERROR(IF(SUMIFS(tblDaily[Deaths],tblDaily[EntryDate],DATE(2026,12,29),tblDaily[WardCode],"FAE")=0,"",SUMIFS(tblDaily[Deaths],tblDaily[EntryDate],DATE(2026,12,29),tblDaily[WardCode],"FAE")),"")</f>
        <v/>
      </c>
      <c r="L476" s="39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39" t="str">
        <f>IFERROR(IF(SUMIFS(tblDaily[TransfersIn],tblDaily[EntryDate],DATE(2026,12,29),tblDaily[WardCode],"FAE")=0,"",SUMIFS(tblDaily[TransfersIn],tblDaily[EntryDate],DATE(2026,12,29),tblDaily[WardCode],"FAE")),"")</f>
        <v/>
      </c>
      <c r="N476" s="39" t="str">
        <f>IFERROR(IF(SUMIFS(tblDaily[TransfersOut],tblDaily[EntryDate],DATE(2026,12,29),tblDaily[WardCode],"FAE")=0,"",SUMIFS(tblDaily[TransfersOut],tblDaily[EntryDate],DATE(2026,12,29),tblDaily[WardCode],"FAE")),"")</f>
        <v/>
      </c>
      <c r="O476" s="39" t="str">
        <f>IFERROR(IF(SUMIFS(tblDaily[Remaining],tblDaily[EntryDate],DATE(2026,12,29),tblDaily[WardCode],"FAE")=0,"",SUMIFS(tblDaily[Remaining],tblDaily[EntryDate],DATE(2026,12,29),tblDaily[WardCode],"FAE")),"")</f>
        <v/>
      </c>
      <c r="P476" s="40" t="str">
        <f t="shared" si="11"/>
        <v/>
      </c>
    </row>
    <row r="477" spans="1:16" x14ac:dyDescent="0.25">
      <c r="A477" s="39">
        <v>30</v>
      </c>
      <c r="B477" s="39" t="str">
        <f>IFERROR(IF(SUMIFS(tblDaily[Admissions],tblDaily[EntryDate],DATE(2026,12,30),tblDaily[WardCode],"MAE")=0,"",SUMIFS(tblDaily[Admissions],tblDaily[EntryDate],DATE(2026,12,30),tblDaily[WardCode],"MAE")),"")</f>
        <v/>
      </c>
      <c r="C477" s="39" t="str">
        <f>IFERROR(IF(SUMIFS(tblDaily[Discharges],tblDaily[EntryDate],DATE(2026,12,30),tblDaily[WardCode],"MAE")=0,"",SUMIFS(tblDaily[Discharges],tblDaily[EntryDate],DATE(2026,12,30),tblDaily[WardCode],"MAE")),"")</f>
        <v/>
      </c>
      <c r="D477" s="39" t="str">
        <f>IFERROR(IF(SUMIFS(tblDaily[Deaths],tblDaily[EntryDate],DATE(2026,12,30),tblDaily[WardCode],"MAE")=0,"",SUMIFS(tblDaily[Deaths],tblDaily[EntryDate],DATE(2026,12,30),tblDaily[WardCode],"MAE")),"")</f>
        <v/>
      </c>
      <c r="E477" s="3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39" t="str">
        <f>IFERROR(IF(SUMIFS(tblDaily[TransfersIn],tblDaily[EntryDate],DATE(2026,12,30),tblDaily[WardCode],"MAE")=0,"",SUMIFS(tblDaily[TransfersIn],tblDaily[EntryDate],DATE(2026,12,30),tblDaily[WardCode],"MAE")),"")</f>
        <v/>
      </c>
      <c r="G477" s="39" t="str">
        <f>IFERROR(IF(SUMIFS(tblDaily[TransfersOut],tblDaily[EntryDate],DATE(2026,12,30),tblDaily[WardCode],"MAE")=0,"",SUMIFS(tblDaily[TransfersOut],tblDaily[EntryDate],DATE(2026,12,30),tblDaily[WardCode],"MAE")),"")</f>
        <v/>
      </c>
      <c r="H477" s="39" t="str">
        <f>IFERROR(IF(SUMIFS(tblDaily[Remaining],tblDaily[EntryDate],DATE(2026,12,30),tblDaily[WardCode],"MAE")=0,"",SUMIFS(tblDaily[Remaining],tblDaily[EntryDate],DATE(2026,12,30),tblDaily[WardCode],"MAE")),"")</f>
        <v/>
      </c>
      <c r="I477" s="39" t="str">
        <f>IFERROR(IF(SUMIFS(tblDaily[Admissions],tblDaily[EntryDate],DATE(2026,12,30),tblDaily[WardCode],"FAE")=0,"",SUMIFS(tblDaily[Admissions],tblDaily[EntryDate],DATE(2026,12,30),tblDaily[WardCode],"FAE")),"")</f>
        <v/>
      </c>
      <c r="J477" s="39" t="str">
        <f>IFERROR(IF(SUMIFS(tblDaily[Discharges],tblDaily[EntryDate],DATE(2026,12,30),tblDaily[WardCode],"FAE")=0,"",SUMIFS(tblDaily[Discharges],tblDaily[EntryDate],DATE(2026,12,30),tblDaily[WardCode],"FAE")),"")</f>
        <v/>
      </c>
      <c r="K477" s="39" t="str">
        <f>IFERROR(IF(SUMIFS(tblDaily[Deaths],tblDaily[EntryDate],DATE(2026,12,30),tblDaily[WardCode],"FAE")=0,"",SUMIFS(tblDaily[Deaths],tblDaily[EntryDate],DATE(2026,12,30),tblDaily[WardCode],"FAE")),"")</f>
        <v/>
      </c>
      <c r="L477" s="39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39" t="str">
        <f>IFERROR(IF(SUMIFS(tblDaily[TransfersIn],tblDaily[EntryDate],DATE(2026,12,30),tblDaily[WardCode],"FAE")=0,"",SUMIFS(tblDaily[TransfersIn],tblDaily[EntryDate],DATE(2026,12,30),tblDaily[WardCode],"FAE")),"")</f>
        <v/>
      </c>
      <c r="N477" s="39" t="str">
        <f>IFERROR(IF(SUMIFS(tblDaily[TransfersOut],tblDaily[EntryDate],DATE(2026,12,30),tblDaily[WardCode],"FAE")=0,"",SUMIFS(tblDaily[TransfersOut],tblDaily[EntryDate],DATE(2026,12,30),tblDaily[WardCode],"FAE")),"")</f>
        <v/>
      </c>
      <c r="O477" s="39" t="str">
        <f>IFERROR(IF(SUMIFS(tblDaily[Remaining],tblDaily[EntryDate],DATE(2026,12,30),tblDaily[WardCode],"FAE")=0,"",SUMIFS(tblDaily[Remaining],tblDaily[EntryDate],DATE(2026,12,30),tblDaily[WardCode],"FAE")),"")</f>
        <v/>
      </c>
      <c r="P477" s="40" t="str">
        <f t="shared" si="11"/>
        <v/>
      </c>
    </row>
    <row r="478" spans="1:16" x14ac:dyDescent="0.25">
      <c r="A478" s="39">
        <v>31</v>
      </c>
      <c r="B478" s="39" t="str">
        <f>IFERROR(IF(SUMIFS(tblDaily[Admissions],tblDaily[EntryDate],DATE(2026,12,31),tblDaily[WardCode],"MAE")=0,"",SUMIFS(tblDaily[Admissions],tblDaily[EntryDate],DATE(2026,12,31),tblDaily[WardCode],"MAE")),"")</f>
        <v/>
      </c>
      <c r="C478" s="39" t="str">
        <f>IFERROR(IF(SUMIFS(tblDaily[Discharges],tblDaily[EntryDate],DATE(2026,12,31),tblDaily[WardCode],"MAE")=0,"",SUMIFS(tblDaily[Discharges],tblDaily[EntryDate],DATE(2026,12,31),tblDaily[WardCode],"MAE")),"")</f>
        <v/>
      </c>
      <c r="D478" s="39" t="str">
        <f>IFERROR(IF(SUMIFS(tblDaily[Deaths],tblDaily[EntryDate],DATE(2026,12,31),tblDaily[WardCode],"MAE")=0,"",SUMIFS(tblDaily[Deaths],tblDaily[EntryDate],DATE(2026,12,31),tblDaily[WardCode],"MAE")),"")</f>
        <v/>
      </c>
      <c r="E478" s="3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39" t="str">
        <f>IFERROR(IF(SUMIFS(tblDaily[TransfersIn],tblDaily[EntryDate],DATE(2026,12,31),tblDaily[WardCode],"MAE")=0,"",SUMIFS(tblDaily[TransfersIn],tblDaily[EntryDate],DATE(2026,12,31),tblDaily[WardCode],"MAE")),"")</f>
        <v/>
      </c>
      <c r="G478" s="39" t="str">
        <f>IFERROR(IF(SUMIFS(tblDaily[TransfersOut],tblDaily[EntryDate],DATE(2026,12,31),tblDaily[WardCode],"MAE")=0,"",SUMIFS(tblDaily[TransfersOut],tblDaily[EntryDate],DATE(2026,12,31),tblDaily[WardCode],"MAE")),"")</f>
        <v/>
      </c>
      <c r="H478" s="39" t="str">
        <f>IFERROR(IF(SUMIFS(tblDaily[Remaining],tblDaily[EntryDate],DATE(2026,12,31),tblDaily[WardCode],"MAE")=0,"",SUMIFS(tblDaily[Remaining],tblDaily[EntryDate],DATE(2026,12,31),tblDaily[WardCode],"MAE")),"")</f>
        <v/>
      </c>
      <c r="I478" s="39" t="str">
        <f>IFERROR(IF(SUMIFS(tblDaily[Admissions],tblDaily[EntryDate],DATE(2026,12,31),tblDaily[WardCode],"FAE")=0,"",SUMIFS(tblDaily[Admissions],tblDaily[EntryDate],DATE(2026,12,31),tblDaily[WardCode],"FAE")),"")</f>
        <v/>
      </c>
      <c r="J478" s="39" t="str">
        <f>IFERROR(IF(SUMIFS(tblDaily[Discharges],tblDaily[EntryDate],DATE(2026,12,31),tblDaily[WardCode],"FAE")=0,"",SUMIFS(tblDaily[Discharges],tblDaily[EntryDate],DATE(2026,12,31),tblDaily[WardCode],"FAE")),"")</f>
        <v/>
      </c>
      <c r="K478" s="39" t="str">
        <f>IFERROR(IF(SUMIFS(tblDaily[Deaths],tblDaily[EntryDate],DATE(2026,12,31),tblDaily[WardCode],"FAE")=0,"",SUMIFS(tblDaily[Deaths],tblDaily[EntryDate],DATE(2026,12,31),tblDaily[WardCode],"FAE")),"")</f>
        <v/>
      </c>
      <c r="L478" s="39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39" t="str">
        <f>IFERROR(IF(SUMIFS(tblDaily[TransfersIn],tblDaily[EntryDate],DATE(2026,12,31),tblDaily[WardCode],"FAE")=0,"",SUMIFS(tblDaily[TransfersIn],tblDaily[EntryDate],DATE(2026,12,31),tblDaily[WardCode],"FAE")),"")</f>
        <v/>
      </c>
      <c r="N478" s="39" t="str">
        <f>IFERROR(IF(SUMIFS(tblDaily[TransfersOut],tblDaily[EntryDate],DATE(2026,12,31),tblDaily[WardCode],"FAE")=0,"",SUMIFS(tblDaily[TransfersOut],tblDaily[EntryDate],DATE(2026,12,31),tblDaily[WardCode],"FAE")),"")</f>
        <v/>
      </c>
      <c r="O478" s="39" t="str">
        <f>IFERROR(IF(SUMIFS(tblDaily[Remaining],tblDaily[EntryDate],DATE(2026,12,31),tblDaily[WardCode],"FAE")=0,"",SUMIFS(tblDaily[Remaining],tblDaily[EntryDate],DATE(2026,12,31),tblDaily[WardCode],"FAE")),"")</f>
        <v/>
      </c>
      <c r="P478" s="40" t="str">
        <f t="shared" si="11"/>
        <v/>
      </c>
    </row>
    <row r="479" spans="1:16" x14ac:dyDescent="0.25">
      <c r="A479" s="30" t="s">
        <v>115</v>
      </c>
      <c r="B479" s="30">
        <f>SUMIFS(tblDaily[Admissions],tblDaily[Month],12,tblDaily[WardCode],"MAE") - SUMIFS(tblDaily[DeathsUnder24Hrs],tblDaily[Month],12,tblDaily[WardCode],"MAE")</f>
        <v>0</v>
      </c>
      <c r="C479" s="30">
        <f>SUMIFS(tblDaily[Discharges],tblDaily[Month],12,tblDaily[WardCode],"MAE")</f>
        <v>0</v>
      </c>
      <c r="D479" s="30">
        <f>SUMIFS(tblDaily[Deaths],tblDaily[Month],12,tblDaily[WardCode],"MAE")</f>
        <v>0</v>
      </c>
      <c r="E479" s="30">
        <f>SUMIFS(tblDaily[DeathsUnder24Hrs],tblDaily[Month],12,tblDaily[WardCode],"MAE")</f>
        <v>0</v>
      </c>
      <c r="F479" s="30">
        <f>SUMIFS(tblDaily[TransfersIn],tblDaily[Month],12,tblDaily[WardCode],"MAE")</f>
        <v>0</v>
      </c>
      <c r="G479" s="30">
        <f>SUMIFS(tblDaily[TransfersOut],tblDaily[Month],12,tblDaily[WardCode],"MAE")</f>
        <v>0</v>
      </c>
      <c r="H479" s="30">
        <f>SUMIFS(tblDaily[Remaining],tblDaily[Month],12,tblDaily[WardCode],"MAE")</f>
        <v>0</v>
      </c>
      <c r="I479" s="30">
        <f>SUMIFS(tblDaily[Admissions],tblDaily[Month],12,tblDaily[WardCode],"FAE") - SUMIFS(tblDaily[DeathsUnder24Hrs],tblDaily[Month],12,tblDaily[WardCode],"FAE")</f>
        <v>0</v>
      </c>
      <c r="J479" s="30">
        <f>SUMIFS(tblDaily[Discharges],tblDaily[Month],12,tblDaily[WardCode],"FAE")</f>
        <v>0</v>
      </c>
      <c r="K479" s="30">
        <f>SUMIFS(tblDaily[Deaths],tblDaily[Month],12,tblDaily[WardCode],"FAE")</f>
        <v>0</v>
      </c>
      <c r="L479" s="30">
        <f>SUMIFS(tblDaily[DeathsUnder24Hrs],tblDaily[Month],12,tblDaily[WardCode],"FAE")</f>
        <v>0</v>
      </c>
      <c r="M479" s="30">
        <f>SUMIFS(tblDaily[TransfersIn],tblDaily[Month],12,tblDaily[WardCode],"FAE")</f>
        <v>0</v>
      </c>
      <c r="N479" s="30">
        <f>SUMIFS(tblDaily[TransfersOut],tblDaily[Month],12,tblDaily[WardCode],"FAE")</f>
        <v>0</v>
      </c>
      <c r="O479" s="30">
        <f>SUMIFS(tblDaily[Remaining],tblDaily[Month],12,tblDaily[WardCode],"FAE")</f>
        <v>0</v>
      </c>
      <c r="P479" s="30">
        <f>H479 + O479</f>
        <v>0</v>
      </c>
    </row>
  </sheetData>
  <sheetProtection sheet="1"/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1F4E79"/>
    <pageSetUpPr fitToPage="1"/>
  </sheetPr>
  <dimension ref="A1:P191"/>
  <sheetViews>
    <sheetView workbookViewId="0">
      <selection sqref="A1:P1"/>
    </sheetView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135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136</v>
      </c>
      <c r="B3" s="28" t="s">
        <v>137</v>
      </c>
      <c r="C3" s="28" t="s">
        <v>138</v>
      </c>
      <c r="D3" s="28" t="s">
        <v>77</v>
      </c>
      <c r="E3" s="28" t="s">
        <v>78</v>
      </c>
      <c r="F3" s="28" t="s">
        <v>79</v>
      </c>
      <c r="G3" s="28" t="s">
        <v>111</v>
      </c>
      <c r="H3" s="28" t="s">
        <v>139</v>
      </c>
      <c r="I3" s="28" t="s">
        <v>140</v>
      </c>
      <c r="J3" s="28" t="s">
        <v>141</v>
      </c>
      <c r="K3" s="28" t="s">
        <v>142</v>
      </c>
      <c r="L3" s="28" t="s">
        <v>143</v>
      </c>
      <c r="M3" s="28" t="s">
        <v>144</v>
      </c>
      <c r="N3" s="28" t="s">
        <v>145</v>
      </c>
      <c r="O3" s="28" t="s">
        <v>146</v>
      </c>
      <c r="P3" s="28" t="s">
        <v>147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SUMIFS(tblDaily[Admissions],tblDaily[Month],1,tblDaily[WardCode],"MW") - SUMIFS(tblDaily[DeathsUnder24Hrs],tblDaily[Month],1,tblDaily[WardCode],"MW")</f>
        <v>65</v>
      </c>
      <c r="E4" s="29">
        <f>SUMIFS(tblDaily[Discharges],tblDaily[Month],1,tblDaily[WardCode],"MW")</f>
        <v>103</v>
      </c>
      <c r="F4" s="29">
        <f>SUMIFS(tblDaily[Deaths],tblDaily[Month],1,tblDaily[WardCode],"MW")</f>
        <v>11</v>
      </c>
      <c r="G4" s="29">
        <f>SUMIFS(tblDaily[DeathsUnder24Hrs],tblDaily[Month],1,tblDaily[WardCode],"MW")</f>
        <v>0</v>
      </c>
      <c r="H4" s="29">
        <f>SUMIFS(tblDaily[Remaining],tblDaily[Month],1,tblDaily[WardCode],"MW")</f>
        <v>653</v>
      </c>
      <c r="I4" s="29">
        <f>SUMIFS(tblDaily[TransfersIn],tblDaily[Month],1,tblDaily[WardCode],"MW")</f>
        <v>43</v>
      </c>
      <c r="J4" s="29">
        <f>SUMIFS(tblDaily[TransfersOut],tblDaily[Month],1,tblDaily[WardCode],"MW")</f>
        <v>0</v>
      </c>
      <c r="K4" s="41">
        <f t="shared" ref="K4:K15" si="0">IFERROR(H4/31,0)</f>
        <v>21.06451612903226</v>
      </c>
      <c r="L4" s="41">
        <f t="shared" ref="L4:L15" si="1">IFERROR(H4/(E4+F4),0)</f>
        <v>5.7280701754385968</v>
      </c>
      <c r="M4" s="41">
        <f t="shared" ref="M4:M15" si="2">IFERROR((C4*31-H4)/(E4+F4),0)</f>
        <v>2.9736842105263159</v>
      </c>
      <c r="N4" s="41">
        <f t="shared" ref="N4:N15" si="3">IFERROR((E4+F4)/C4,0)</f>
        <v>3.5625</v>
      </c>
      <c r="O4" s="41">
        <f t="shared" ref="O4:O15" si="4">IFERROR((H4/(C4*31))*100,0)</f>
        <v>65.826612903225808</v>
      </c>
      <c r="P4" s="41">
        <f t="shared" ref="P4:P15" si="5">IFERROR((F4/(D4+B4))*100,0)</f>
        <v>12.222222222222221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SUMIFS(tblDaily[Admissions],tblDaily[Month],1,tblDaily[WardCode],"FW") - SUMIFS(tblDaily[DeathsUnder24Hrs],tblDaily[Month],1,tblDaily[WardCode],"FW")</f>
        <v>79</v>
      </c>
      <c r="E5" s="29">
        <f>SUMIFS(tblDaily[Discharges],tblDaily[Month],1,tblDaily[WardCode],"FW")</f>
        <v>100</v>
      </c>
      <c r="F5" s="29">
        <f>SUMIFS(tblDaily[Deaths],tblDaily[Month],1,tblDaily[WardCode],"FW")</f>
        <v>10</v>
      </c>
      <c r="G5" s="29">
        <f>SUMIFS(tblDaily[DeathsUnder24Hrs],tblDaily[Month],1,tblDaily[WardCode],"FW")</f>
        <v>0</v>
      </c>
      <c r="H5" s="29">
        <f>SUMIFS(tblDaily[Remaining],tblDaily[Month],1,tblDaily[WardCode],"FW")</f>
        <v>525</v>
      </c>
      <c r="I5" s="29">
        <f>SUMIFS(tblDaily[TransfersIn],tblDaily[Month],1,tblDaily[WardCode],"FW")</f>
        <v>27</v>
      </c>
      <c r="J5" s="29">
        <f>SUMIFS(tblDaily[TransfersOut],tblDaily[Month],1,tblDaily[WardCode],"FW")</f>
        <v>0</v>
      </c>
      <c r="K5" s="41">
        <f t="shared" si="0"/>
        <v>16.93548387096774</v>
      </c>
      <c r="L5" s="41">
        <f t="shared" si="1"/>
        <v>4.7727272727272725</v>
      </c>
      <c r="M5" s="41">
        <f t="shared" si="2"/>
        <v>3.1181818181818182</v>
      </c>
      <c r="N5" s="41">
        <f t="shared" si="3"/>
        <v>3.9285714285714284</v>
      </c>
      <c r="O5" s="41">
        <f t="shared" si="4"/>
        <v>60.483870967741936</v>
      </c>
      <c r="P5" s="41">
        <f t="shared" si="5"/>
        <v>10.526315789473683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SUMIFS(tblDaily[Admissions],tblDaily[Month],1,tblDaily[WardCode],"CW") - SUMIFS(tblDaily[DeathsUnder24Hrs],tblDaily[Month],1,tblDaily[WardCode],"CW")</f>
        <v>78</v>
      </c>
      <c r="E6" s="29">
        <f>SUMIFS(tblDaily[Discharges],tblDaily[Month],1,tblDaily[WardCode],"CW")</f>
        <v>78</v>
      </c>
      <c r="F6" s="29">
        <f>SUMIFS(tblDaily[Deaths],tblDaily[Month],1,tblDaily[WardCode],"CW")</f>
        <v>0</v>
      </c>
      <c r="G6" s="29">
        <f>SUMIFS(tblDaily[DeathsUnder24Hrs],tblDaily[Month],1,tblDaily[WardCode],"CW")</f>
        <v>0</v>
      </c>
      <c r="H6" s="29">
        <f>SUMIFS(tblDaily[Remaining],tblDaily[Month],1,tblDaily[WardCode],"CW")</f>
        <v>297</v>
      </c>
      <c r="I6" s="29">
        <f>SUMIFS(tblDaily[TransfersIn],tblDaily[Month],1,tblDaily[WardCode],"CW")</f>
        <v>5</v>
      </c>
      <c r="J6" s="29">
        <f>SUMIFS(tblDaily[TransfersOut],tblDaily[Month],1,tblDaily[WardCode],"CW")</f>
        <v>0</v>
      </c>
      <c r="K6" s="41">
        <f t="shared" si="0"/>
        <v>9.5806451612903221</v>
      </c>
      <c r="L6" s="41">
        <f t="shared" si="1"/>
        <v>3.8076923076923075</v>
      </c>
      <c r="M6" s="41">
        <f t="shared" si="2"/>
        <v>6.9230769230769234</v>
      </c>
      <c r="N6" s="41">
        <f t="shared" si="3"/>
        <v>2.8888888888888888</v>
      </c>
      <c r="O6" s="41">
        <f t="shared" si="4"/>
        <v>35.483870967741936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SUMIFS(tblDaily[Admissions],tblDaily[Month],1,tblDaily[WardCode],"BF") - SUMIFS(tblDaily[DeathsUnder24Hrs],tblDaily[Month],1,tblDaily[WardCode],"BF")</f>
        <v>62</v>
      </c>
      <c r="E7" s="29">
        <f>SUMIFS(tblDaily[Discharges],tblDaily[Month],1,tblDaily[WardCode],"BF")</f>
        <v>65</v>
      </c>
      <c r="F7" s="29">
        <f>SUMIFS(tblDaily[Deaths],tblDaily[Month],1,tblDaily[WardCode],"BF")</f>
        <v>0</v>
      </c>
      <c r="G7" s="29">
        <f>SUMIFS(tblDaily[DeathsUnder24Hrs],tblDaily[Month],1,tblDaily[WardCode],"BF")</f>
        <v>0</v>
      </c>
      <c r="H7" s="29">
        <f>SUMIFS(tblDaily[Remaining],tblDaily[Month],1,tblDaily[WardCode],"BF")</f>
        <v>201</v>
      </c>
      <c r="I7" s="29">
        <f>SUMIFS(tblDaily[TransfersIn],tblDaily[Month],1,tblDaily[WardCode],"BF")</f>
        <v>1</v>
      </c>
      <c r="J7" s="29">
        <f>SUMIFS(tblDaily[TransfersOut],tblDaily[Month],1,tblDaily[WardCode],"BF")</f>
        <v>1</v>
      </c>
      <c r="K7" s="41">
        <f t="shared" si="0"/>
        <v>6.4838709677419351</v>
      </c>
      <c r="L7" s="41">
        <f t="shared" si="1"/>
        <v>3.0923076923076924</v>
      </c>
      <c r="M7" s="41">
        <f t="shared" si="2"/>
        <v>6.4461538461538463</v>
      </c>
      <c r="N7" s="41">
        <f t="shared" si="3"/>
        <v>3.25</v>
      </c>
      <c r="O7" s="41">
        <f t="shared" si="4"/>
        <v>32.41935483870968</v>
      </c>
      <c r="P7" s="41">
        <f t="shared" si="5"/>
        <v>0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SUMIFS(tblDaily[Admissions],tblDaily[Month],1,tblDaily[WardCode],"BG") - SUMIFS(tblDaily[DeathsUnder24Hrs],tblDaily[Month],1,tblDaily[WardCode],"BG")</f>
        <v>125</v>
      </c>
      <c r="E8" s="29">
        <f>SUMIFS(tblDaily[Discharges],tblDaily[Month],1,tblDaily[WardCode],"BG")</f>
        <v>122</v>
      </c>
      <c r="F8" s="29">
        <f>SUMIFS(tblDaily[Deaths],tblDaily[Month],1,tblDaily[WardCode],"BG")</f>
        <v>0</v>
      </c>
      <c r="G8" s="29">
        <f>SUMIFS(tblDaily[DeathsUnder24Hrs],tblDaily[Month],1,tblDaily[WardCode],"BG")</f>
        <v>0</v>
      </c>
      <c r="H8" s="29">
        <f>SUMIFS(tblDaily[Remaining],tblDaily[Month],1,tblDaily[WardCode],"BG")</f>
        <v>342</v>
      </c>
      <c r="I8" s="29">
        <f>SUMIFS(tblDaily[TransfersIn],tblDaily[Month],1,tblDaily[WardCode],"BG")</f>
        <v>27</v>
      </c>
      <c r="J8" s="29">
        <f>SUMIFS(tblDaily[TransfersOut],tblDaily[Month],1,tblDaily[WardCode],"BG")</f>
        <v>27</v>
      </c>
      <c r="K8" s="41">
        <f t="shared" si="0"/>
        <v>11.03225806451613</v>
      </c>
      <c r="L8" s="41">
        <f t="shared" si="1"/>
        <v>2.8032786885245899</v>
      </c>
      <c r="M8" s="41">
        <f t="shared" si="2"/>
        <v>0.75409836065573765</v>
      </c>
      <c r="N8" s="41">
        <f t="shared" si="3"/>
        <v>8.7142857142857135</v>
      </c>
      <c r="O8" s="41">
        <f t="shared" si="4"/>
        <v>78.801843317972356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SUMIFS(tblDaily[Admissions],tblDaily[Month],1,tblDaily[WardCode],"BH") - SUMIFS(tblDaily[DeathsUnder24Hrs],tblDaily[Month],1,tblDaily[WardCode],"BH")</f>
        <v>74</v>
      </c>
      <c r="E9" s="29">
        <f>SUMIFS(tblDaily[Discharges],tblDaily[Month],1,tblDaily[WardCode],"BH")</f>
        <v>81</v>
      </c>
      <c r="F9" s="29">
        <f>SUMIFS(tblDaily[Deaths],tblDaily[Month],1,tblDaily[WardCode],"BH")</f>
        <v>0</v>
      </c>
      <c r="G9" s="29">
        <f>SUMIFS(tblDaily[DeathsUnder24Hrs],tblDaily[Month],1,tblDaily[WardCode],"BH")</f>
        <v>0</v>
      </c>
      <c r="H9" s="29">
        <f>SUMIFS(tblDaily[Remaining],tblDaily[Month],1,tblDaily[WardCode],"BH")</f>
        <v>369</v>
      </c>
      <c r="I9" s="29">
        <f>SUMIFS(tblDaily[TransfersIn],tblDaily[Month],1,tblDaily[WardCode],"BH")</f>
        <v>28</v>
      </c>
      <c r="J9" s="29">
        <f>SUMIFS(tblDaily[TransfersOut],tblDaily[Month],1,tblDaily[WardCode],"BH")</f>
        <v>26</v>
      </c>
      <c r="K9" s="41">
        <f t="shared" si="0"/>
        <v>11.903225806451612</v>
      </c>
      <c r="L9" s="41">
        <f t="shared" si="1"/>
        <v>4.5555555555555554</v>
      </c>
      <c r="M9" s="41">
        <f t="shared" si="2"/>
        <v>3.8641975308641974</v>
      </c>
      <c r="N9" s="41">
        <f t="shared" si="3"/>
        <v>3.6818181818181817</v>
      </c>
      <c r="O9" s="41">
        <f t="shared" si="4"/>
        <v>54.105571847507328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SUMIFS(tblDaily[Admissions],tblDaily[Month],1,tblDaily[WardCode],"NICU") - SUMIFS(tblDaily[DeathsUnder24Hrs],tblDaily[Month],1,tblDaily[WardCode],"NICU")</f>
        <v>47</v>
      </c>
      <c r="E10" s="29">
        <f>SUMIFS(tblDaily[Discharges],tblDaily[Month],1,tblDaily[WardCode],"NICU")</f>
        <v>46</v>
      </c>
      <c r="F10" s="29">
        <f>SUMIFS(tblDaily[Deaths],tblDaily[Month],1,tblDaily[WardCode],"NICU")</f>
        <v>8</v>
      </c>
      <c r="G10" s="29">
        <f>SUMIFS(tblDaily[DeathsUnder24Hrs],tblDaily[Month],1,tblDaily[WardCode],"NICU")</f>
        <v>0</v>
      </c>
      <c r="H10" s="29">
        <f>SUMIFS(tblDaily[Remaining],tblDaily[Month],1,tblDaily[WardCode],"NICU")</f>
        <v>410</v>
      </c>
      <c r="I10" s="29">
        <f>SUMIFS(tblDaily[TransfersIn],tblDaily[Month],1,tblDaily[WardCode],"NICU")</f>
        <v>0</v>
      </c>
      <c r="J10" s="29">
        <f>SUMIFS(tblDaily[TransfersOut],tblDaily[Month],1,tblDaily[WardCode],"NICU")</f>
        <v>0</v>
      </c>
      <c r="K10" s="41">
        <f t="shared" si="0"/>
        <v>13.225806451612904</v>
      </c>
      <c r="L10" s="41">
        <f t="shared" si="1"/>
        <v>7.5925925925925926</v>
      </c>
      <c r="M10" s="41">
        <f t="shared" si="2"/>
        <v>1.0185185185185186</v>
      </c>
      <c r="N10" s="41">
        <f t="shared" si="3"/>
        <v>3.6</v>
      </c>
      <c r="O10" s="41">
        <f t="shared" si="4"/>
        <v>88.172043010752688</v>
      </c>
      <c r="P10" s="41">
        <f t="shared" si="5"/>
        <v>13.114754098360656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SUMIFS(tblDaily[Admissions],tblDaily[Month],1,tblDaily[WardCode],"MAE") - SUMIFS(tblDaily[DeathsUnder24Hrs],tblDaily[Month],1,tblDaily[WardCode],"MAE")</f>
        <v>86</v>
      </c>
      <c r="E11" s="29">
        <f>SUMIFS(tblDaily[Discharges],tblDaily[Month],1,tblDaily[WardCode],"MAE")</f>
        <v>43</v>
      </c>
      <c r="F11" s="29">
        <f>SUMIFS(tblDaily[Deaths],tblDaily[Month],1,tblDaily[WardCode],"MAE")</f>
        <v>4</v>
      </c>
      <c r="G11" s="29">
        <f>SUMIFS(tblDaily[DeathsUnder24Hrs],tblDaily[Month],1,tblDaily[WardCode],"MAE")</f>
        <v>5</v>
      </c>
      <c r="H11" s="29">
        <f>SUMIFS(tblDaily[Remaining],tblDaily[Month],1,tblDaily[WardCode],"MAE")</f>
        <v>148</v>
      </c>
      <c r="I11" s="29">
        <f>SUMIFS(tblDaily[TransfersIn],tblDaily[Month],1,tblDaily[WardCode],"MAE")</f>
        <v>0</v>
      </c>
      <c r="J11" s="29">
        <f>SUMIFS(tblDaily[TransfersOut],tblDaily[Month],1,tblDaily[WardCode],"MAE")</f>
        <v>47</v>
      </c>
      <c r="K11" s="41">
        <f t="shared" si="0"/>
        <v>4.774193548387097</v>
      </c>
      <c r="L11" s="41">
        <f t="shared" si="1"/>
        <v>3.1489361702127661</v>
      </c>
      <c r="M11" s="41">
        <f t="shared" si="2"/>
        <v>3.4468085106382977</v>
      </c>
      <c r="N11" s="41">
        <f t="shared" si="3"/>
        <v>4.7</v>
      </c>
      <c r="O11" s="41">
        <f t="shared" si="4"/>
        <v>47.741935483870968</v>
      </c>
      <c r="P11" s="41">
        <f t="shared" si="5"/>
        <v>4.2105263157894735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SUMIFS(tblDaily[Admissions],tblDaily[Month],1,tblDaily[WardCode],"FAE") - SUMIFS(tblDaily[DeathsUnder24Hrs],tblDaily[Month],1,tblDaily[WardCode],"FAE")</f>
        <v>46</v>
      </c>
      <c r="E12" s="29">
        <f>SUMIFS(tblDaily[Discharges],tblDaily[Month],1,tblDaily[WardCode],"FAE")</f>
        <v>13</v>
      </c>
      <c r="F12" s="29">
        <f>SUMIFS(tblDaily[Deaths],tblDaily[Month],1,tblDaily[WardCode],"FAE")</f>
        <v>0</v>
      </c>
      <c r="G12" s="29">
        <f>SUMIFS(tblDaily[DeathsUnder24Hrs],tblDaily[Month],1,tblDaily[WardCode],"FAE")</f>
        <v>1</v>
      </c>
      <c r="H12" s="29">
        <f>SUMIFS(tblDaily[Remaining],tblDaily[Month],1,tblDaily[WardCode],"FAE")</f>
        <v>55</v>
      </c>
      <c r="I12" s="29">
        <f>SUMIFS(tblDaily[TransfersIn],tblDaily[Month],1,tblDaily[WardCode],"FAE")</f>
        <v>0</v>
      </c>
      <c r="J12" s="29">
        <f>SUMIFS(tblDaily[TransfersOut],tblDaily[Month],1,tblDaily[WardCode],"FAE")</f>
        <v>30</v>
      </c>
      <c r="K12" s="41">
        <f t="shared" si="0"/>
        <v>1.7741935483870968</v>
      </c>
      <c r="L12" s="41">
        <f t="shared" si="1"/>
        <v>4.2307692307692308</v>
      </c>
      <c r="M12" s="41">
        <f t="shared" si="2"/>
        <v>19.615384615384617</v>
      </c>
      <c r="N12" s="41">
        <f t="shared" si="3"/>
        <v>1.3</v>
      </c>
      <c r="O12" s="41">
        <f t="shared" si="4"/>
        <v>17.741935483870968</v>
      </c>
      <c r="P12" s="41">
        <f t="shared" si="5"/>
        <v>0</v>
      </c>
    </row>
    <row r="13" spans="1:16" x14ac:dyDescent="0.25">
      <c r="A13" s="40" t="s">
        <v>48</v>
      </c>
      <c r="B13" s="29">
        <f>IFERROR(INDEX(tblWardConfig[PrevYearRemaining],MATCH("ICU",tblWardConfig[WardCode],0)),0)</f>
        <v>0</v>
      </c>
      <c r="C13" s="29">
        <f>IFERROR(INDEX(tblWardConfig[BedComplement],MATCH("ICU",tblWardConfig[WardCode],0)),0)</f>
        <v>4</v>
      </c>
      <c r="D13" s="29">
        <f>SUMIFS(tblDaily[Admissions],tblDaily[Month],1,tblDaily[WardCode],"ICU") - SUMIFS(tblDaily[DeathsUnder24Hrs],tblDaily[Month],1,tblDaily[WardCode],"ICU")</f>
        <v>0</v>
      </c>
      <c r="E13" s="29">
        <f>SUMIFS(tblDaily[Discharges],tblDaily[Month],1,tblDaily[WardCode],"ICU")</f>
        <v>0</v>
      </c>
      <c r="F13" s="29">
        <f>SUMIFS(tblDaily[Deaths],tblDaily[Month],1,tblDaily[WardCode],"ICU")</f>
        <v>0</v>
      </c>
      <c r="G13" s="29">
        <f>SUMIFS(tblDaily[DeathsUnder24Hrs],tblDaily[Month],1,tblDaily[WardCode],"ICU")</f>
        <v>0</v>
      </c>
      <c r="H13" s="29">
        <f>SUMIFS(tblDaily[Remaining],tblDaily[Month],1,tblDaily[WardCode],"ICU")</f>
        <v>0</v>
      </c>
      <c r="I13" s="29">
        <f>SUMIFS(tblDaily[TransfersIn],tblDaily[Month],1,tblDaily[WardCode],"ICU")</f>
        <v>0</v>
      </c>
      <c r="J13" s="29">
        <f>SUMIFS(tblDaily[TransfersOut],tblDaily[Month],1,tblDaily[WardCode],"ICU")</f>
        <v>0</v>
      </c>
      <c r="K13" s="41">
        <f t="shared" si="0"/>
        <v>0</v>
      </c>
      <c r="L13" s="41">
        <f t="shared" si="1"/>
        <v>0</v>
      </c>
      <c r="M13" s="41">
        <f t="shared" si="2"/>
        <v>0</v>
      </c>
      <c r="N13" s="41">
        <f t="shared" si="3"/>
        <v>0</v>
      </c>
      <c r="O13" s="41">
        <f t="shared" si="4"/>
        <v>0</v>
      </c>
      <c r="P13" s="41">
        <f t="shared" si="5"/>
        <v>0</v>
      </c>
    </row>
    <row r="14" spans="1:16" x14ac:dyDescent="0.25">
      <c r="A14" s="30" t="s">
        <v>115</v>
      </c>
      <c r="B14" s="30">
        <f t="shared" ref="B14:J14" si="6">SUM(B4:B13)</f>
        <v>102</v>
      </c>
      <c r="C14" s="30">
        <f t="shared" si="6"/>
        <v>182</v>
      </c>
      <c r="D14" s="30">
        <f t="shared" si="6"/>
        <v>662</v>
      </c>
      <c r="E14" s="30">
        <f t="shared" si="6"/>
        <v>651</v>
      </c>
      <c r="F14" s="30">
        <f t="shared" si="6"/>
        <v>33</v>
      </c>
      <c r="G14" s="30">
        <f t="shared" si="6"/>
        <v>6</v>
      </c>
      <c r="H14" s="30">
        <f t="shared" si="6"/>
        <v>3000</v>
      </c>
      <c r="I14" s="30">
        <f t="shared" si="6"/>
        <v>131</v>
      </c>
      <c r="J14" s="30">
        <f t="shared" si="6"/>
        <v>131</v>
      </c>
      <c r="K14" s="42">
        <f t="shared" si="0"/>
        <v>96.774193548387103</v>
      </c>
      <c r="L14" s="42">
        <f t="shared" si="1"/>
        <v>4.3859649122807021</v>
      </c>
      <c r="M14" s="42">
        <f t="shared" si="2"/>
        <v>3.8625730994152048</v>
      </c>
      <c r="N14" s="42">
        <f t="shared" si="3"/>
        <v>3.7582417582417582</v>
      </c>
      <c r="O14" s="42">
        <f t="shared" si="4"/>
        <v>53.172633817795109</v>
      </c>
      <c r="P14" s="42">
        <f t="shared" si="5"/>
        <v>4.3193717277486909</v>
      </c>
    </row>
    <row r="15" spans="1:16" x14ac:dyDescent="0.25">
      <c r="A15" s="43" t="s">
        <v>148</v>
      </c>
      <c r="B15" s="43">
        <f t="shared" ref="B15:J15" si="7">B11+B12</f>
        <v>10</v>
      </c>
      <c r="C15" s="43">
        <f t="shared" si="7"/>
        <v>20</v>
      </c>
      <c r="D15" s="43">
        <f t="shared" si="7"/>
        <v>132</v>
      </c>
      <c r="E15" s="43">
        <f t="shared" si="7"/>
        <v>56</v>
      </c>
      <c r="F15" s="43">
        <f t="shared" si="7"/>
        <v>4</v>
      </c>
      <c r="G15" s="43">
        <f t="shared" si="7"/>
        <v>6</v>
      </c>
      <c r="H15" s="43">
        <f t="shared" si="7"/>
        <v>203</v>
      </c>
      <c r="I15" s="43">
        <f t="shared" si="7"/>
        <v>0</v>
      </c>
      <c r="J15" s="43">
        <f t="shared" si="7"/>
        <v>77</v>
      </c>
      <c r="K15" s="44">
        <f t="shared" si="0"/>
        <v>6.5483870967741939</v>
      </c>
      <c r="L15" s="44">
        <f t="shared" si="1"/>
        <v>3.3833333333333333</v>
      </c>
      <c r="M15" s="44">
        <f t="shared" si="2"/>
        <v>6.95</v>
      </c>
      <c r="N15" s="44">
        <f t="shared" si="3"/>
        <v>3</v>
      </c>
      <c r="O15" s="44">
        <f t="shared" si="4"/>
        <v>32.741935483870968</v>
      </c>
      <c r="P15" s="44">
        <f t="shared" si="5"/>
        <v>2.8169014084507045</v>
      </c>
    </row>
    <row r="17" spans="1:16" ht="18.75" x14ac:dyDescent="0.25">
      <c r="A17" s="21" t="s">
        <v>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15.75" x14ac:dyDescent="0.25">
      <c r="A18" s="23" t="s">
        <v>149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ht="38.25" x14ac:dyDescent="0.25">
      <c r="A19" s="28" t="s">
        <v>136</v>
      </c>
      <c r="B19" s="28" t="s">
        <v>137</v>
      </c>
      <c r="C19" s="28" t="s">
        <v>138</v>
      </c>
      <c r="D19" s="28" t="s">
        <v>77</v>
      </c>
      <c r="E19" s="28" t="s">
        <v>78</v>
      </c>
      <c r="F19" s="28" t="s">
        <v>79</v>
      </c>
      <c r="G19" s="28" t="s">
        <v>111</v>
      </c>
      <c r="H19" s="28" t="s">
        <v>139</v>
      </c>
      <c r="I19" s="28" t="s">
        <v>140</v>
      </c>
      <c r="J19" s="28" t="s">
        <v>141</v>
      </c>
      <c r="K19" s="28" t="s">
        <v>142</v>
      </c>
      <c r="L19" s="28" t="s">
        <v>143</v>
      </c>
      <c r="M19" s="28" t="s">
        <v>144</v>
      </c>
      <c r="N19" s="28" t="s">
        <v>145</v>
      </c>
      <c r="O19" s="28" t="s">
        <v>146</v>
      </c>
      <c r="P19" s="28" t="s">
        <v>147</v>
      </c>
    </row>
    <row r="20" spans="1:16" x14ac:dyDescent="0.25">
      <c r="A20" s="40" t="s">
        <v>30</v>
      </c>
      <c r="B20" s="29">
        <f>IFERROR(SUMIFS(tblDaily[Remaining],tblDaily[EntryDate],DATE(2026,1,31),tblDaily[WardCode],"MW"),0)</f>
        <v>19</v>
      </c>
      <c r="C20" s="29">
        <f>IFERROR(INDEX(tblWardConfig[BedComplement],MATCH("MW",tblWardConfig[WardCode],0)),0)</f>
        <v>32</v>
      </c>
      <c r="D20" s="29">
        <f>SUMIFS(tblDaily[Admissions],tblDaily[Month],2,tblDaily[WardCode],"MW") - SUMIFS(tblDaily[DeathsUnder24Hrs],tblDaily[Month],2,tblDaily[WardCode],"MW")</f>
        <v>71</v>
      </c>
      <c r="E20" s="29">
        <f>SUMIFS(tblDaily[Discharges],tblDaily[Month],2,tblDaily[WardCode],"MW")</f>
        <v>99</v>
      </c>
      <c r="F20" s="29">
        <f>SUMIFS(tblDaily[Deaths],tblDaily[Month],2,tblDaily[WardCode],"MW")</f>
        <v>8</v>
      </c>
      <c r="G20" s="29">
        <f>SUMIFS(tblDaily[DeathsUnder24Hrs],tblDaily[Month],2,tblDaily[WardCode],"MW")</f>
        <v>0</v>
      </c>
      <c r="H20" s="29">
        <f>SUMIFS(tblDaily[Remaining],tblDaily[Month],2,tblDaily[WardCode],"MW")</f>
        <v>521</v>
      </c>
      <c r="I20" s="29">
        <f>SUMIFS(tblDaily[TransfersIn],tblDaily[Month],2,tblDaily[WardCode],"MW")</f>
        <v>31</v>
      </c>
      <c r="J20" s="29">
        <f>SUMIFS(tblDaily[TransfersOut],tblDaily[Month],2,tblDaily[WardCode],"MW")</f>
        <v>0</v>
      </c>
      <c r="K20" s="41">
        <f t="shared" ref="K20:K31" si="8">IFERROR(H20/28,0)</f>
        <v>18.607142857142858</v>
      </c>
      <c r="L20" s="41">
        <f t="shared" ref="L20:L31" si="9">IFERROR(H20/(E20+F20),0)</f>
        <v>4.8691588785046731</v>
      </c>
      <c r="M20" s="41">
        <f t="shared" ref="M20:M31" si="10">IFERROR((C20*28-H20)/(E20+F20),0)</f>
        <v>3.5046728971962615</v>
      </c>
      <c r="N20" s="41">
        <f t="shared" ref="N20:N31" si="11">IFERROR((E20+F20)/C20,0)</f>
        <v>3.34375</v>
      </c>
      <c r="O20" s="41">
        <f t="shared" ref="O20:O31" si="12">IFERROR((H20/(C20*28))*100,0)</f>
        <v>58.147321428571431</v>
      </c>
      <c r="P20" s="41">
        <f t="shared" ref="P20:P31" si="13">IFERROR((F20/(D20+B20))*100,0)</f>
        <v>8.8888888888888893</v>
      </c>
    </row>
    <row r="21" spans="1:16" x14ac:dyDescent="0.25">
      <c r="A21" s="40" t="s">
        <v>32</v>
      </c>
      <c r="B21" s="29">
        <f>IFERROR(SUMIFS(tblDaily[Remaining],tblDaily[EntryDate],DATE(2026,1,31),tblDaily[WardCode],"FW"),0)</f>
        <v>12</v>
      </c>
      <c r="C21" s="29">
        <f>IFERROR(INDEX(tblWardConfig[BedComplement],MATCH("FW",tblWardConfig[WardCode],0)),0)</f>
        <v>28</v>
      </c>
      <c r="D21" s="29">
        <f>SUMIFS(tblDaily[Admissions],tblDaily[Month],2,tblDaily[WardCode],"FW") - SUMIFS(tblDaily[DeathsUnder24Hrs],tblDaily[Month],2,tblDaily[WardCode],"FW")</f>
        <v>53</v>
      </c>
      <c r="E21" s="29">
        <f>SUMIFS(tblDaily[Discharges],tblDaily[Month],2,tblDaily[WardCode],"FW")</f>
        <v>75</v>
      </c>
      <c r="F21" s="29">
        <f>SUMIFS(tblDaily[Deaths],tblDaily[Month],2,tblDaily[WardCode],"FW")</f>
        <v>7</v>
      </c>
      <c r="G21" s="29">
        <f>SUMIFS(tblDaily[DeathsUnder24Hrs],tblDaily[Month],2,tblDaily[WardCode],"FW")</f>
        <v>0</v>
      </c>
      <c r="H21" s="29">
        <f>SUMIFS(tblDaily[Remaining],tblDaily[Month],2,tblDaily[WardCode],"FW")</f>
        <v>507</v>
      </c>
      <c r="I21" s="29">
        <f>SUMIFS(tblDaily[TransfersIn],tblDaily[Month],2,tblDaily[WardCode],"FW")</f>
        <v>31</v>
      </c>
      <c r="J21" s="29">
        <f>SUMIFS(tblDaily[TransfersOut],tblDaily[Month],2,tblDaily[WardCode],"FW")</f>
        <v>0</v>
      </c>
      <c r="K21" s="41">
        <f t="shared" si="8"/>
        <v>18.107142857142858</v>
      </c>
      <c r="L21" s="41">
        <f t="shared" si="9"/>
        <v>6.1829268292682924</v>
      </c>
      <c r="M21" s="41">
        <f t="shared" si="10"/>
        <v>3.3780487804878048</v>
      </c>
      <c r="N21" s="41">
        <f t="shared" si="11"/>
        <v>2.9285714285714284</v>
      </c>
      <c r="O21" s="41">
        <f t="shared" si="12"/>
        <v>64.668367346938766</v>
      </c>
      <c r="P21" s="41">
        <f t="shared" si="13"/>
        <v>10.76923076923077</v>
      </c>
    </row>
    <row r="22" spans="1:16" x14ac:dyDescent="0.25">
      <c r="A22" s="40" t="s">
        <v>34</v>
      </c>
      <c r="B22" s="29">
        <f>IFERROR(SUMIFS(tblDaily[Remaining],tblDaily[EntryDate],DATE(2026,1,31),tblDaily[WardCode],"CW"),0)</f>
        <v>12</v>
      </c>
      <c r="C22" s="29">
        <f>IFERROR(INDEX(tblWardConfig[BedComplement],MATCH("CW",tblWardConfig[WardCode],0)),0)</f>
        <v>27</v>
      </c>
      <c r="D22" s="29">
        <f>SUMIFS(tblDaily[Admissions],tblDaily[Month],2,tblDaily[WardCode],"CW") - SUMIFS(tblDaily[DeathsUnder24Hrs],tblDaily[Month],2,tblDaily[WardCode],"CW")</f>
        <v>83</v>
      </c>
      <c r="E22" s="29">
        <f>SUMIFS(tblDaily[Discharges],tblDaily[Month],2,tblDaily[WardCode],"CW")</f>
        <v>91</v>
      </c>
      <c r="F22" s="29">
        <f>SUMIFS(tblDaily[Deaths],tblDaily[Month],2,tblDaily[WardCode],"CW")</f>
        <v>0</v>
      </c>
      <c r="G22" s="29">
        <f>SUMIFS(tblDaily[DeathsUnder24Hrs],tblDaily[Month],2,tblDaily[WardCode],"CW")</f>
        <v>1</v>
      </c>
      <c r="H22" s="29">
        <f>SUMIFS(tblDaily[Remaining],tblDaily[Month],2,tblDaily[WardCode],"CW")</f>
        <v>250</v>
      </c>
      <c r="I22" s="29">
        <f>SUMIFS(tblDaily[TransfersIn],tblDaily[Month],2,tblDaily[WardCode],"CW")</f>
        <v>5</v>
      </c>
      <c r="J22" s="29">
        <f>SUMIFS(tblDaily[TransfersOut],tblDaily[Month],2,tblDaily[WardCode],"CW")</f>
        <v>0</v>
      </c>
      <c r="K22" s="41">
        <f t="shared" si="8"/>
        <v>8.9285714285714288</v>
      </c>
      <c r="L22" s="41">
        <f t="shared" si="9"/>
        <v>2.7472527472527473</v>
      </c>
      <c r="M22" s="41">
        <f t="shared" si="10"/>
        <v>5.5604395604395602</v>
      </c>
      <c r="N22" s="41">
        <f t="shared" si="11"/>
        <v>3.3703703703703702</v>
      </c>
      <c r="O22" s="41">
        <f t="shared" si="12"/>
        <v>33.06878306878307</v>
      </c>
      <c r="P22" s="41">
        <f t="shared" si="13"/>
        <v>0</v>
      </c>
    </row>
    <row r="23" spans="1:16" x14ac:dyDescent="0.25">
      <c r="A23" s="40" t="s">
        <v>36</v>
      </c>
      <c r="B23" s="29">
        <f>IFERROR(SUMIFS(tblDaily[Remaining],tblDaily[EntryDate],DATE(2026,1,31),tblDaily[WardCode],"BF"),0)</f>
        <v>6</v>
      </c>
      <c r="C23" s="29">
        <f>IFERROR(INDEX(tblWardConfig[BedComplement],MATCH("BF",tblWardConfig[WardCode],0)),0)</f>
        <v>20</v>
      </c>
      <c r="D23" s="29">
        <f>SUMIFS(tblDaily[Admissions],tblDaily[Month],2,tblDaily[WardCode],"BF") - SUMIFS(tblDaily[DeathsUnder24Hrs],tblDaily[Month],2,tblDaily[WardCode],"BF")</f>
        <v>61</v>
      </c>
      <c r="E23" s="29">
        <f>SUMIFS(tblDaily[Discharges],tblDaily[Month],2,tblDaily[WardCode],"BF")</f>
        <v>57</v>
      </c>
      <c r="F23" s="29">
        <f>SUMIFS(tblDaily[Deaths],tblDaily[Month],2,tblDaily[WardCode],"BF")</f>
        <v>0</v>
      </c>
      <c r="G23" s="29">
        <f>SUMIFS(tblDaily[DeathsUnder24Hrs],tblDaily[Month],2,tblDaily[WardCode],"BF")</f>
        <v>0</v>
      </c>
      <c r="H23" s="29">
        <f>SUMIFS(tblDaily[Remaining],tblDaily[Month],2,tblDaily[WardCode],"BF")</f>
        <v>277</v>
      </c>
      <c r="I23" s="29">
        <f>SUMIFS(tblDaily[TransfersIn],tblDaily[Month],2,tblDaily[WardCode],"BF")</f>
        <v>3</v>
      </c>
      <c r="J23" s="29">
        <f>SUMIFS(tblDaily[TransfersOut],tblDaily[Month],2,tblDaily[WardCode],"BF")</f>
        <v>4</v>
      </c>
      <c r="K23" s="41">
        <f t="shared" si="8"/>
        <v>9.8928571428571423</v>
      </c>
      <c r="L23" s="41">
        <f t="shared" si="9"/>
        <v>4.8596491228070171</v>
      </c>
      <c r="M23" s="41">
        <f t="shared" si="10"/>
        <v>4.9649122807017543</v>
      </c>
      <c r="N23" s="41">
        <f t="shared" si="11"/>
        <v>2.85</v>
      </c>
      <c r="O23" s="41">
        <f t="shared" si="12"/>
        <v>49.464285714285715</v>
      </c>
      <c r="P23" s="41">
        <f t="shared" si="13"/>
        <v>0</v>
      </c>
    </row>
    <row r="24" spans="1:16" x14ac:dyDescent="0.25">
      <c r="A24" s="40" t="s">
        <v>38</v>
      </c>
      <c r="B24" s="29">
        <f>IFERROR(SUMIFS(tblDaily[Remaining],tblDaily[EntryDate],DATE(2026,1,31),tblDaily[WardCode],"BG"),0)</f>
        <v>12</v>
      </c>
      <c r="C24" s="29">
        <f>IFERROR(INDEX(tblWardConfig[BedComplement],MATCH("BG",tblWardConfig[WardCode],0)),0)</f>
        <v>14</v>
      </c>
      <c r="D24" s="29">
        <f>SUMIFS(tblDaily[Admissions],tblDaily[Month],2,tblDaily[WardCode],"BG") - SUMIFS(tblDaily[DeathsUnder24Hrs],tblDaily[Month],2,tblDaily[WardCode],"BG")</f>
        <v>121</v>
      </c>
      <c r="E24" s="29">
        <f>SUMIFS(tblDaily[Discharges],tblDaily[Month],2,tblDaily[WardCode],"BG")</f>
        <v>113</v>
      </c>
      <c r="F24" s="29">
        <f>SUMIFS(tblDaily[Deaths],tblDaily[Month],2,tblDaily[WardCode],"BG")</f>
        <v>0</v>
      </c>
      <c r="G24" s="29">
        <f>SUMIFS(tblDaily[DeathsUnder24Hrs],tblDaily[Month],2,tblDaily[WardCode],"BG")</f>
        <v>0</v>
      </c>
      <c r="H24" s="29">
        <f>SUMIFS(tblDaily[Remaining],tblDaily[Month],2,tblDaily[WardCode],"BG")</f>
        <v>358</v>
      </c>
      <c r="I24" s="29">
        <f>SUMIFS(tblDaily[TransfersIn],tblDaily[Month],2,tblDaily[WardCode],"BG")</f>
        <v>32</v>
      </c>
      <c r="J24" s="29">
        <f>SUMIFS(tblDaily[TransfersOut],tblDaily[Month],2,tblDaily[WardCode],"BG")</f>
        <v>44</v>
      </c>
      <c r="K24" s="41">
        <f t="shared" si="8"/>
        <v>12.785714285714286</v>
      </c>
      <c r="L24" s="41">
        <f t="shared" si="9"/>
        <v>3.168141592920354</v>
      </c>
      <c r="M24" s="41">
        <f t="shared" si="10"/>
        <v>0.30088495575221241</v>
      </c>
      <c r="N24" s="41">
        <f t="shared" si="11"/>
        <v>8.0714285714285712</v>
      </c>
      <c r="O24" s="41">
        <f t="shared" si="12"/>
        <v>91.326530612244895</v>
      </c>
      <c r="P24" s="41">
        <f t="shared" si="13"/>
        <v>0</v>
      </c>
    </row>
    <row r="25" spans="1:16" x14ac:dyDescent="0.25">
      <c r="A25" s="40" t="s">
        <v>40</v>
      </c>
      <c r="B25" s="29">
        <f>IFERROR(SUMIFS(tblDaily[Remaining],tblDaily[EntryDate],DATE(2026,1,31),tblDaily[WardCode],"BH"),0)</f>
        <v>7</v>
      </c>
      <c r="C25" s="29">
        <f>IFERROR(INDEX(tblWardConfig[BedComplement],MATCH("BH",tblWardConfig[WardCode],0)),0)</f>
        <v>22</v>
      </c>
      <c r="D25" s="29">
        <f>SUMIFS(tblDaily[Admissions],tblDaily[Month],2,tblDaily[WardCode],"BH") - SUMIFS(tblDaily[DeathsUnder24Hrs],tblDaily[Month],2,tblDaily[WardCode],"BH")</f>
        <v>82</v>
      </c>
      <c r="E25" s="29">
        <f>SUMIFS(tblDaily[Discharges],tblDaily[Month],2,tblDaily[WardCode],"BH")</f>
        <v>87</v>
      </c>
      <c r="F25" s="29">
        <f>SUMIFS(tblDaily[Deaths],tblDaily[Month],2,tblDaily[WardCode],"BH")</f>
        <v>0</v>
      </c>
      <c r="G25" s="29">
        <f>SUMIFS(tblDaily[DeathsUnder24Hrs],tblDaily[Month],2,tblDaily[WardCode],"BH")</f>
        <v>0</v>
      </c>
      <c r="H25" s="29">
        <f>SUMIFS(tblDaily[Remaining],tblDaily[Month],2,tblDaily[WardCode],"BH")</f>
        <v>465</v>
      </c>
      <c r="I25" s="29">
        <f>SUMIFS(tblDaily[TransfersIn],tblDaily[Month],2,tblDaily[WardCode],"BH")</f>
        <v>45</v>
      </c>
      <c r="J25" s="29">
        <f>SUMIFS(tblDaily[TransfersOut],tblDaily[Month],2,tblDaily[WardCode],"BH")</f>
        <v>31</v>
      </c>
      <c r="K25" s="41">
        <f t="shared" si="8"/>
        <v>16.607142857142858</v>
      </c>
      <c r="L25" s="41">
        <f t="shared" si="9"/>
        <v>5.3448275862068968</v>
      </c>
      <c r="M25" s="41">
        <f t="shared" si="10"/>
        <v>1.735632183908046</v>
      </c>
      <c r="N25" s="41">
        <f t="shared" si="11"/>
        <v>3.9545454545454546</v>
      </c>
      <c r="O25" s="41">
        <f t="shared" si="12"/>
        <v>75.487012987012989</v>
      </c>
      <c r="P25" s="41">
        <f t="shared" si="13"/>
        <v>0</v>
      </c>
    </row>
    <row r="26" spans="1:16" x14ac:dyDescent="0.25">
      <c r="A26" s="40" t="s">
        <v>42</v>
      </c>
      <c r="B26" s="29">
        <f>IFERROR(SUMIFS(tblDaily[Remaining],tblDaily[EntryDate],DATE(2026,1,31),tblDaily[WardCode],"NICU"),0)</f>
        <v>7</v>
      </c>
      <c r="C26" s="29">
        <f>IFERROR(INDEX(tblWardConfig[BedComplement],MATCH("NICU",tblWardConfig[WardCode],0)),0)</f>
        <v>15</v>
      </c>
      <c r="D26" s="29">
        <f>SUMIFS(tblDaily[Admissions],tblDaily[Month],2,tblDaily[WardCode],"NICU") - SUMIFS(tblDaily[DeathsUnder24Hrs],tblDaily[Month],2,tblDaily[WardCode],"NICU")</f>
        <v>53</v>
      </c>
      <c r="E26" s="29">
        <f>SUMIFS(tblDaily[Discharges],tblDaily[Month],2,tblDaily[WardCode],"NICU")</f>
        <v>39</v>
      </c>
      <c r="F26" s="29">
        <f>SUMIFS(tblDaily[Deaths],tblDaily[Month],2,tblDaily[WardCode],"NICU")</f>
        <v>3</v>
      </c>
      <c r="G26" s="29">
        <f>SUMIFS(tblDaily[DeathsUnder24Hrs],tblDaily[Month],2,tblDaily[WardCode],"NICU")</f>
        <v>0</v>
      </c>
      <c r="H26" s="29">
        <f>SUMIFS(tblDaily[Remaining],tblDaily[Month],2,tblDaily[WardCode],"NICU")</f>
        <v>368</v>
      </c>
      <c r="I26" s="29">
        <f>SUMIFS(tblDaily[TransfersIn],tblDaily[Month],2,tblDaily[WardCode],"NICU")</f>
        <v>0</v>
      </c>
      <c r="J26" s="29">
        <f>SUMIFS(tblDaily[TransfersOut],tblDaily[Month],2,tblDaily[WardCode],"NICU")</f>
        <v>0</v>
      </c>
      <c r="K26" s="41">
        <f t="shared" si="8"/>
        <v>13.142857142857142</v>
      </c>
      <c r="L26" s="41">
        <f t="shared" si="9"/>
        <v>8.7619047619047628</v>
      </c>
      <c r="M26" s="41">
        <f t="shared" si="10"/>
        <v>1.2380952380952381</v>
      </c>
      <c r="N26" s="41">
        <f t="shared" si="11"/>
        <v>2.8</v>
      </c>
      <c r="O26" s="41">
        <f t="shared" si="12"/>
        <v>87.61904761904762</v>
      </c>
      <c r="P26" s="41">
        <f t="shared" si="13"/>
        <v>5</v>
      </c>
    </row>
    <row r="27" spans="1:16" x14ac:dyDescent="0.25">
      <c r="A27" s="40" t="s">
        <v>44</v>
      </c>
      <c r="B27" s="29">
        <f>IFERROR(SUMIFS(tblDaily[Remaining],tblDaily[EntryDate],DATE(2026,1,31),tblDaily[WardCode],"MAE"),0)</f>
        <v>1</v>
      </c>
      <c r="C27" s="29">
        <f>IFERROR(INDEX(tblWardConfig[BedComplement],MATCH("MAE",tblWardConfig[WardCode],0)),0)</f>
        <v>10</v>
      </c>
      <c r="D27" s="29">
        <f>SUMIFS(tblDaily[Admissions],tblDaily[Month],2,tblDaily[WardCode],"MAE") - SUMIFS(tblDaily[DeathsUnder24Hrs],tblDaily[Month],2,tblDaily[WardCode],"MAE")</f>
        <v>62</v>
      </c>
      <c r="E27" s="29">
        <f>SUMIFS(tblDaily[Discharges],tblDaily[Month],2,tblDaily[WardCode],"MAE")</f>
        <v>24</v>
      </c>
      <c r="F27" s="29">
        <f>SUMIFS(tblDaily[Deaths],tblDaily[Month],2,tblDaily[WardCode],"MAE")</f>
        <v>0</v>
      </c>
      <c r="G27" s="29">
        <f>SUMIFS(tblDaily[DeathsUnder24Hrs],tblDaily[Month],2,tblDaily[WardCode],"MAE")</f>
        <v>6</v>
      </c>
      <c r="H27" s="29">
        <f>SUMIFS(tblDaily[Remaining],tblDaily[Month],2,tblDaily[WardCode],"MAE")</f>
        <v>80</v>
      </c>
      <c r="I27" s="29">
        <f>SUMIFS(tblDaily[TransfersIn],tblDaily[Month],2,tblDaily[WardCode],"MAE")</f>
        <v>0</v>
      </c>
      <c r="J27" s="29">
        <f>SUMIFS(tblDaily[TransfersOut],tblDaily[Month],2,tblDaily[WardCode],"MAE")</f>
        <v>34</v>
      </c>
      <c r="K27" s="41">
        <f t="shared" si="8"/>
        <v>2.8571428571428572</v>
      </c>
      <c r="L27" s="41">
        <f t="shared" si="9"/>
        <v>3.3333333333333335</v>
      </c>
      <c r="M27" s="41">
        <f t="shared" si="10"/>
        <v>8.3333333333333339</v>
      </c>
      <c r="N27" s="41">
        <f t="shared" si="11"/>
        <v>2.4</v>
      </c>
      <c r="O27" s="41">
        <f t="shared" si="12"/>
        <v>28.571428571428569</v>
      </c>
      <c r="P27" s="41">
        <f t="shared" si="13"/>
        <v>0</v>
      </c>
    </row>
    <row r="28" spans="1:16" x14ac:dyDescent="0.25">
      <c r="A28" s="40" t="s">
        <v>46</v>
      </c>
      <c r="B28" s="29">
        <f>IFERROR(SUMIFS(tblDaily[Remaining],tblDaily[EntryDate],DATE(2026,1,31),tblDaily[WardCode],"FAE"),0)</f>
        <v>4</v>
      </c>
      <c r="C28" s="29">
        <f>IFERROR(INDEX(tblWardConfig[BedComplement],MATCH("FAE",tblWardConfig[WardCode],0)),0)</f>
        <v>10</v>
      </c>
      <c r="D28" s="29">
        <f>SUMIFS(tblDaily[Admissions],tblDaily[Month],2,tblDaily[WardCode],"FAE") - SUMIFS(tblDaily[DeathsUnder24Hrs],tblDaily[Month],2,tblDaily[WardCode],"FAE")</f>
        <v>64</v>
      </c>
      <c r="E28" s="29">
        <f>SUMIFS(tblDaily[Discharges],tblDaily[Month],2,tblDaily[WardCode],"FAE")</f>
        <v>29</v>
      </c>
      <c r="F28" s="29">
        <f>SUMIFS(tblDaily[Deaths],tblDaily[Month],2,tblDaily[WardCode],"FAE")</f>
        <v>4</v>
      </c>
      <c r="G28" s="29">
        <f>SUMIFS(tblDaily[DeathsUnder24Hrs],tblDaily[Month],2,tblDaily[WardCode],"FAE")</f>
        <v>3</v>
      </c>
      <c r="H28" s="29">
        <f>SUMIFS(tblDaily[Remaining],tblDaily[Month],2,tblDaily[WardCode],"FAE")</f>
        <v>97</v>
      </c>
      <c r="I28" s="29">
        <f>SUMIFS(tblDaily[TransfersIn],tblDaily[Month],2,tblDaily[WardCode],"FAE")</f>
        <v>0</v>
      </c>
      <c r="J28" s="29">
        <f>SUMIFS(tblDaily[TransfersOut],tblDaily[Month],2,tblDaily[WardCode],"FAE")</f>
        <v>34</v>
      </c>
      <c r="K28" s="41">
        <f t="shared" si="8"/>
        <v>3.4642857142857144</v>
      </c>
      <c r="L28" s="41">
        <f t="shared" si="9"/>
        <v>2.9393939393939394</v>
      </c>
      <c r="M28" s="41">
        <f t="shared" si="10"/>
        <v>5.5454545454545459</v>
      </c>
      <c r="N28" s="41">
        <f t="shared" si="11"/>
        <v>3.3</v>
      </c>
      <c r="O28" s="41">
        <f t="shared" si="12"/>
        <v>34.642857142857139</v>
      </c>
      <c r="P28" s="41">
        <f t="shared" si="13"/>
        <v>5.8823529411764701</v>
      </c>
    </row>
    <row r="29" spans="1:16" x14ac:dyDescent="0.25">
      <c r="A29" s="40" t="s">
        <v>48</v>
      </c>
      <c r="B29" s="29">
        <f>IFERROR(SUMIFS(tblDaily[Remaining],tblDaily[EntryDate],DATE(2026,1,31),tblDaily[WardCode],"ICU"),0)</f>
        <v>0</v>
      </c>
      <c r="C29" s="29">
        <f>IFERROR(INDEX(tblWardConfig[BedComplement],MATCH("ICU",tblWardConfig[WardCode],0)),0)</f>
        <v>4</v>
      </c>
      <c r="D29" s="29">
        <f>SUMIFS(tblDaily[Admissions],tblDaily[Month],2,tblDaily[WardCode],"ICU") - SUMIFS(tblDaily[DeathsUnder24Hrs],tblDaily[Month],2,tblDaily[WardCode],"ICU")</f>
        <v>0</v>
      </c>
      <c r="E29" s="29">
        <f>SUMIFS(tblDaily[Discharges],tblDaily[Month],2,tblDaily[WardCode],"ICU")</f>
        <v>0</v>
      </c>
      <c r="F29" s="29">
        <f>SUMIFS(tblDaily[Deaths],tblDaily[Month],2,tblDaily[WardCode],"ICU")</f>
        <v>0</v>
      </c>
      <c r="G29" s="29">
        <f>SUMIFS(tblDaily[DeathsUnder24Hrs],tblDaily[Month],2,tblDaily[WardCode],"ICU")</f>
        <v>0</v>
      </c>
      <c r="H29" s="29">
        <f>SUMIFS(tblDaily[Remaining],tblDaily[Month],2,tblDaily[WardCode],"ICU")</f>
        <v>0</v>
      </c>
      <c r="I29" s="29">
        <f>SUMIFS(tblDaily[TransfersIn],tblDaily[Month],2,tblDaily[WardCode],"ICU")</f>
        <v>0</v>
      </c>
      <c r="J29" s="29">
        <f>SUMIFS(tblDaily[TransfersOut],tblDaily[Month],2,tblDaily[WardCode],"ICU")</f>
        <v>0</v>
      </c>
      <c r="K29" s="41">
        <f t="shared" si="8"/>
        <v>0</v>
      </c>
      <c r="L29" s="41">
        <f t="shared" si="9"/>
        <v>0</v>
      </c>
      <c r="M29" s="41">
        <f t="shared" si="10"/>
        <v>0</v>
      </c>
      <c r="N29" s="41">
        <f t="shared" si="11"/>
        <v>0</v>
      </c>
      <c r="O29" s="41">
        <f t="shared" si="12"/>
        <v>0</v>
      </c>
      <c r="P29" s="41">
        <f t="shared" si="13"/>
        <v>0</v>
      </c>
    </row>
    <row r="30" spans="1:16" x14ac:dyDescent="0.25">
      <c r="A30" s="30" t="s">
        <v>115</v>
      </c>
      <c r="B30" s="30">
        <f t="shared" ref="B30:J30" si="14">SUM(B20:B29)</f>
        <v>80</v>
      </c>
      <c r="C30" s="30">
        <f t="shared" si="14"/>
        <v>182</v>
      </c>
      <c r="D30" s="30">
        <f t="shared" si="14"/>
        <v>650</v>
      </c>
      <c r="E30" s="30">
        <f t="shared" si="14"/>
        <v>614</v>
      </c>
      <c r="F30" s="30">
        <f t="shared" si="14"/>
        <v>22</v>
      </c>
      <c r="G30" s="30">
        <f t="shared" si="14"/>
        <v>10</v>
      </c>
      <c r="H30" s="30">
        <f t="shared" si="14"/>
        <v>2923</v>
      </c>
      <c r="I30" s="30">
        <f t="shared" si="14"/>
        <v>147</v>
      </c>
      <c r="J30" s="30">
        <f t="shared" si="14"/>
        <v>147</v>
      </c>
      <c r="K30" s="42">
        <f t="shared" si="8"/>
        <v>104.39285714285714</v>
      </c>
      <c r="L30" s="42">
        <f t="shared" si="9"/>
        <v>4.5959119496855347</v>
      </c>
      <c r="M30" s="42">
        <f t="shared" si="10"/>
        <v>3.4166666666666665</v>
      </c>
      <c r="N30" s="42">
        <f t="shared" si="11"/>
        <v>3.4945054945054945</v>
      </c>
      <c r="O30" s="42">
        <f t="shared" si="12"/>
        <v>57.358712715855575</v>
      </c>
      <c r="P30" s="42">
        <f t="shared" si="13"/>
        <v>3.0136986301369864</v>
      </c>
    </row>
    <row r="31" spans="1:16" x14ac:dyDescent="0.25">
      <c r="A31" s="43" t="s">
        <v>148</v>
      </c>
      <c r="B31" s="43">
        <f t="shared" ref="B31:J31" si="15">B27+B28</f>
        <v>5</v>
      </c>
      <c r="C31" s="43">
        <f t="shared" si="15"/>
        <v>20</v>
      </c>
      <c r="D31" s="43">
        <f t="shared" si="15"/>
        <v>126</v>
      </c>
      <c r="E31" s="43">
        <f t="shared" si="15"/>
        <v>53</v>
      </c>
      <c r="F31" s="43">
        <f t="shared" si="15"/>
        <v>4</v>
      </c>
      <c r="G31" s="43">
        <f t="shared" si="15"/>
        <v>9</v>
      </c>
      <c r="H31" s="43">
        <f t="shared" si="15"/>
        <v>177</v>
      </c>
      <c r="I31" s="43">
        <f t="shared" si="15"/>
        <v>0</v>
      </c>
      <c r="J31" s="43">
        <f t="shared" si="15"/>
        <v>68</v>
      </c>
      <c r="K31" s="44">
        <f t="shared" si="8"/>
        <v>6.3214285714285712</v>
      </c>
      <c r="L31" s="44">
        <f t="shared" si="9"/>
        <v>3.1052631578947367</v>
      </c>
      <c r="M31" s="44">
        <f t="shared" si="10"/>
        <v>6.7192982456140351</v>
      </c>
      <c r="N31" s="44">
        <f t="shared" si="11"/>
        <v>2.85</v>
      </c>
      <c r="O31" s="44">
        <f t="shared" si="12"/>
        <v>31.607142857142854</v>
      </c>
      <c r="P31" s="44">
        <f t="shared" si="13"/>
        <v>3.0534351145038165</v>
      </c>
    </row>
    <row r="33" spans="1:16" ht="18.75" x14ac:dyDescent="0.25">
      <c r="A33" s="21" t="s">
        <v>0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ht="15.75" x14ac:dyDescent="0.25">
      <c r="A34" s="23" t="s">
        <v>150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ht="38.25" x14ac:dyDescent="0.25">
      <c r="A35" s="28" t="s">
        <v>136</v>
      </c>
      <c r="B35" s="28" t="s">
        <v>137</v>
      </c>
      <c r="C35" s="28" t="s">
        <v>138</v>
      </c>
      <c r="D35" s="28" t="s">
        <v>77</v>
      </c>
      <c r="E35" s="28" t="s">
        <v>78</v>
      </c>
      <c r="F35" s="28" t="s">
        <v>79</v>
      </c>
      <c r="G35" s="28" t="s">
        <v>111</v>
      </c>
      <c r="H35" s="28" t="s">
        <v>139</v>
      </c>
      <c r="I35" s="28" t="s">
        <v>140</v>
      </c>
      <c r="J35" s="28" t="s">
        <v>141</v>
      </c>
      <c r="K35" s="28" t="s">
        <v>142</v>
      </c>
      <c r="L35" s="28" t="s">
        <v>143</v>
      </c>
      <c r="M35" s="28" t="s">
        <v>144</v>
      </c>
      <c r="N35" s="28" t="s">
        <v>145</v>
      </c>
      <c r="O35" s="28" t="s">
        <v>146</v>
      </c>
      <c r="P35" s="28" t="s">
        <v>147</v>
      </c>
    </row>
    <row r="36" spans="1:16" x14ac:dyDescent="0.25">
      <c r="A36" s="40" t="s">
        <v>30</v>
      </c>
      <c r="B36" s="29">
        <f>IFERROR(SUMIFS(tblDaily[Remaining],tblDaily[EntryDate],DATE(2026,2,28),tblDaily[WardCode],"MW"),0)</f>
        <v>14</v>
      </c>
      <c r="C36" s="29">
        <f>IFERROR(INDEX(tblWardConfig[BedComplement],MATCH("MW",tblWardConfig[WardCode],0)),0)</f>
        <v>32</v>
      </c>
      <c r="D36" s="29">
        <f>SUMIFS(tblDaily[Admissions],tblDaily[Month],3,tblDaily[WardCode],"MW") - SUMIFS(tblDaily[DeathsUnder24Hrs],tblDaily[Month],3,tblDaily[WardCode],"MW")</f>
        <v>63</v>
      </c>
      <c r="E36" s="29">
        <f>SUMIFS(tblDaily[Discharges],tblDaily[Month],3,tblDaily[WardCode],"MW")</f>
        <v>80</v>
      </c>
      <c r="F36" s="29">
        <f>SUMIFS(tblDaily[Deaths],tblDaily[Month],3,tblDaily[WardCode],"MW")</f>
        <v>8</v>
      </c>
      <c r="G36" s="29">
        <f>SUMIFS(tblDaily[DeathsUnder24Hrs],tblDaily[Month],3,tblDaily[WardCode],"MW")</f>
        <v>0</v>
      </c>
      <c r="H36" s="29">
        <f>SUMIFS(tblDaily[Remaining],tblDaily[Month],3,tblDaily[WardCode],"MW")</f>
        <v>494</v>
      </c>
      <c r="I36" s="29">
        <f>SUMIFS(tblDaily[TransfersIn],tblDaily[Month],3,tblDaily[WardCode],"MW")</f>
        <v>30</v>
      </c>
      <c r="J36" s="29">
        <f>SUMIFS(tblDaily[TransfersOut],tblDaily[Month],3,tblDaily[WardCode],"MW")</f>
        <v>0</v>
      </c>
      <c r="K36" s="41">
        <f t="shared" ref="K36:K47" si="16">IFERROR(H36/31,0)</f>
        <v>15.935483870967742</v>
      </c>
      <c r="L36" s="41">
        <f t="shared" ref="L36:L47" si="17">IFERROR(H36/(E36+F36),0)</f>
        <v>5.6136363636363633</v>
      </c>
      <c r="M36" s="41">
        <f t="shared" ref="M36:M47" si="18">IFERROR((C36*31-H36)/(E36+F36),0)</f>
        <v>5.6590909090909092</v>
      </c>
      <c r="N36" s="41">
        <f t="shared" ref="N36:N47" si="19">IFERROR((E36+F36)/C36,0)</f>
        <v>2.75</v>
      </c>
      <c r="O36" s="41">
        <f t="shared" ref="O36:O47" si="20">IFERROR((H36/(C36*31))*100,0)</f>
        <v>49.798387096774192</v>
      </c>
      <c r="P36" s="41">
        <f t="shared" ref="P36:P47" si="21">IFERROR((F36/(D36+B36))*100,0)</f>
        <v>10.38961038961039</v>
      </c>
    </row>
    <row r="37" spans="1:16" x14ac:dyDescent="0.25">
      <c r="A37" s="40" t="s">
        <v>32</v>
      </c>
      <c r="B37" s="29">
        <f>IFERROR(SUMIFS(tblDaily[Remaining],tblDaily[EntryDate],DATE(2026,2,28),tblDaily[WardCode],"FW"),0)</f>
        <v>14</v>
      </c>
      <c r="C37" s="29">
        <f>IFERROR(INDEX(tblWardConfig[BedComplement],MATCH("FW",tblWardConfig[WardCode],0)),0)</f>
        <v>28</v>
      </c>
      <c r="D37" s="29">
        <f>SUMIFS(tblDaily[Admissions],tblDaily[Month],3,tblDaily[WardCode],"FW") - SUMIFS(tblDaily[DeathsUnder24Hrs],tblDaily[Month],3,tblDaily[WardCode],"FW")</f>
        <v>77</v>
      </c>
      <c r="E37" s="29">
        <f>SUMIFS(tblDaily[Discharges],tblDaily[Month],3,tblDaily[WardCode],"FW")</f>
        <v>95</v>
      </c>
      <c r="F37" s="29">
        <f>SUMIFS(tblDaily[Deaths],tblDaily[Month],3,tblDaily[WardCode],"FW")</f>
        <v>4</v>
      </c>
      <c r="G37" s="29">
        <f>SUMIFS(tblDaily[DeathsUnder24Hrs],tblDaily[Month],3,tblDaily[WardCode],"FW")</f>
        <v>0</v>
      </c>
      <c r="H37" s="29">
        <f>SUMIFS(tblDaily[Remaining],tblDaily[Month],3,tblDaily[WardCode],"FW")</f>
        <v>466</v>
      </c>
      <c r="I37" s="29">
        <f>SUMIFS(tblDaily[TransfersIn],tblDaily[Month],3,tblDaily[WardCode],"FW")</f>
        <v>22</v>
      </c>
      <c r="J37" s="29">
        <f>SUMIFS(tblDaily[TransfersOut],tblDaily[Month],3,tblDaily[WardCode],"FW")</f>
        <v>0</v>
      </c>
      <c r="K37" s="41">
        <f t="shared" si="16"/>
        <v>15.03225806451613</v>
      </c>
      <c r="L37" s="41">
        <f t="shared" si="17"/>
        <v>4.7070707070707067</v>
      </c>
      <c r="M37" s="41">
        <f t="shared" si="18"/>
        <v>4.0606060606060606</v>
      </c>
      <c r="N37" s="41">
        <f t="shared" si="19"/>
        <v>3.5357142857142856</v>
      </c>
      <c r="O37" s="41">
        <f t="shared" si="20"/>
        <v>53.686635944700456</v>
      </c>
      <c r="P37" s="41">
        <f t="shared" si="21"/>
        <v>4.395604395604396</v>
      </c>
    </row>
    <row r="38" spans="1:16" x14ac:dyDescent="0.25">
      <c r="A38" s="40" t="s">
        <v>34</v>
      </c>
      <c r="B38" s="29">
        <f>IFERROR(SUMIFS(tblDaily[Remaining],tblDaily[EntryDate],DATE(2026,2,28),tblDaily[WardCode],"CW"),0)</f>
        <v>9</v>
      </c>
      <c r="C38" s="29">
        <f>IFERROR(INDEX(tblWardConfig[BedComplement],MATCH("CW",tblWardConfig[WardCode],0)),0)</f>
        <v>27</v>
      </c>
      <c r="D38" s="29">
        <f>SUMIFS(tblDaily[Admissions],tblDaily[Month],3,tblDaily[WardCode],"CW") - SUMIFS(tblDaily[DeathsUnder24Hrs],tblDaily[Month],3,tblDaily[WardCode],"CW")</f>
        <v>70</v>
      </c>
      <c r="E38" s="29">
        <f>SUMIFS(tblDaily[Discharges],tblDaily[Month],3,tblDaily[WardCode],"CW")</f>
        <v>76</v>
      </c>
      <c r="F38" s="29">
        <f>SUMIFS(tblDaily[Deaths],tblDaily[Month],3,tblDaily[WardCode],"CW")</f>
        <v>0</v>
      </c>
      <c r="G38" s="29">
        <f>SUMIFS(tblDaily[DeathsUnder24Hrs],tblDaily[Month],3,tblDaily[WardCode],"CW")</f>
        <v>1</v>
      </c>
      <c r="H38" s="29">
        <f>SUMIFS(tblDaily[Remaining],tblDaily[Month],3,tblDaily[WardCode],"CW")</f>
        <v>261</v>
      </c>
      <c r="I38" s="29">
        <f>SUMIFS(tblDaily[TransfersIn],tblDaily[Month],3,tblDaily[WardCode],"CW")</f>
        <v>7</v>
      </c>
      <c r="J38" s="29">
        <f>SUMIFS(tblDaily[TransfersOut],tblDaily[Month],3,tblDaily[WardCode],"CW")</f>
        <v>0</v>
      </c>
      <c r="K38" s="41">
        <f t="shared" si="16"/>
        <v>8.4193548387096779</v>
      </c>
      <c r="L38" s="41">
        <f t="shared" si="17"/>
        <v>3.4342105263157894</v>
      </c>
      <c r="M38" s="41">
        <f t="shared" si="18"/>
        <v>7.5789473684210522</v>
      </c>
      <c r="N38" s="41">
        <f t="shared" si="19"/>
        <v>2.8148148148148149</v>
      </c>
      <c r="O38" s="41">
        <f t="shared" si="20"/>
        <v>31.182795698924732</v>
      </c>
      <c r="P38" s="41">
        <f t="shared" si="21"/>
        <v>0</v>
      </c>
    </row>
    <row r="39" spans="1:16" x14ac:dyDescent="0.25">
      <c r="A39" s="40" t="s">
        <v>36</v>
      </c>
      <c r="B39" s="29">
        <f>IFERROR(SUMIFS(tblDaily[Remaining],tblDaily[EntryDate],DATE(2026,2,28),tblDaily[WardCode],"BF"),0)</f>
        <v>9</v>
      </c>
      <c r="C39" s="29">
        <f>IFERROR(INDEX(tblWardConfig[BedComplement],MATCH("BF",tblWardConfig[WardCode],0)),0)</f>
        <v>20</v>
      </c>
      <c r="D39" s="29">
        <f>SUMIFS(tblDaily[Admissions],tblDaily[Month],3,tblDaily[WardCode],"BF") - SUMIFS(tblDaily[DeathsUnder24Hrs],tblDaily[Month],3,tblDaily[WardCode],"BF")</f>
        <v>65</v>
      </c>
      <c r="E39" s="29">
        <f>SUMIFS(tblDaily[Discharges],tblDaily[Month],3,tblDaily[WardCode],"BF")</f>
        <v>62</v>
      </c>
      <c r="F39" s="29">
        <f>SUMIFS(tblDaily[Deaths],tblDaily[Month],3,tblDaily[WardCode],"BF")</f>
        <v>1</v>
      </c>
      <c r="G39" s="29">
        <f>SUMIFS(tblDaily[DeathsUnder24Hrs],tblDaily[Month],3,tblDaily[WardCode],"BF")</f>
        <v>0</v>
      </c>
      <c r="H39" s="29">
        <f>SUMIFS(tblDaily[Remaining],tblDaily[Month],3,tblDaily[WardCode],"BF")</f>
        <v>293</v>
      </c>
      <c r="I39" s="29">
        <f>SUMIFS(tblDaily[TransfersIn],tblDaily[Month],3,tblDaily[WardCode],"BF")</f>
        <v>1</v>
      </c>
      <c r="J39" s="29">
        <f>SUMIFS(tblDaily[TransfersOut],tblDaily[Month],3,tblDaily[WardCode],"BF")</f>
        <v>3</v>
      </c>
      <c r="K39" s="41">
        <f t="shared" si="16"/>
        <v>9.4516129032258061</v>
      </c>
      <c r="L39" s="41">
        <f t="shared" si="17"/>
        <v>4.6507936507936511</v>
      </c>
      <c r="M39" s="41">
        <f t="shared" si="18"/>
        <v>5.1904761904761907</v>
      </c>
      <c r="N39" s="41">
        <f t="shared" si="19"/>
        <v>3.15</v>
      </c>
      <c r="O39" s="41">
        <f t="shared" si="20"/>
        <v>47.258064516129032</v>
      </c>
      <c r="P39" s="41">
        <f t="shared" si="21"/>
        <v>1.3513513513513513</v>
      </c>
    </row>
    <row r="40" spans="1:16" x14ac:dyDescent="0.25">
      <c r="A40" s="40" t="s">
        <v>38</v>
      </c>
      <c r="B40" s="29">
        <f>IFERROR(SUMIFS(tblDaily[Remaining],tblDaily[EntryDate],DATE(2026,2,28),tblDaily[WardCode],"BG"),0)</f>
        <v>8</v>
      </c>
      <c r="C40" s="29">
        <f>IFERROR(INDEX(tblWardConfig[BedComplement],MATCH("BG",tblWardConfig[WardCode],0)),0)</f>
        <v>14</v>
      </c>
      <c r="D40" s="29">
        <f>SUMIFS(tblDaily[Admissions],tblDaily[Month],3,tblDaily[WardCode],"BG") - SUMIFS(tblDaily[DeathsUnder24Hrs],tblDaily[Month],3,tblDaily[WardCode],"BG")</f>
        <v>146</v>
      </c>
      <c r="E40" s="29">
        <f>SUMIFS(tblDaily[Discharges],tblDaily[Month],3,tblDaily[WardCode],"BG")</f>
        <v>148</v>
      </c>
      <c r="F40" s="29">
        <f>SUMIFS(tblDaily[Deaths],tblDaily[Month],3,tblDaily[WardCode],"BG")</f>
        <v>0</v>
      </c>
      <c r="G40" s="29">
        <f>SUMIFS(tblDaily[DeathsUnder24Hrs],tblDaily[Month],3,tblDaily[WardCode],"BG")</f>
        <v>0</v>
      </c>
      <c r="H40" s="29">
        <f>SUMIFS(tblDaily[Remaining],tblDaily[Month],3,tblDaily[WardCode],"BG")</f>
        <v>424</v>
      </c>
      <c r="I40" s="29">
        <f>SUMIFS(tblDaily[TransfersIn],tblDaily[Month],3,tblDaily[WardCode],"BG")</f>
        <v>51</v>
      </c>
      <c r="J40" s="29">
        <f>SUMIFS(tblDaily[TransfersOut],tblDaily[Month],3,tblDaily[WardCode],"BG")</f>
        <v>39</v>
      </c>
      <c r="K40" s="41">
        <f t="shared" si="16"/>
        <v>13.67741935483871</v>
      </c>
      <c r="L40" s="41">
        <f t="shared" si="17"/>
        <v>2.8648648648648649</v>
      </c>
      <c r="M40" s="41">
        <f t="shared" si="18"/>
        <v>6.7567567567567571E-2</v>
      </c>
      <c r="N40" s="41">
        <f t="shared" si="19"/>
        <v>10.571428571428571</v>
      </c>
      <c r="O40" s="41">
        <f t="shared" si="20"/>
        <v>97.695852534562206</v>
      </c>
      <c r="P40" s="41">
        <f t="shared" si="21"/>
        <v>0</v>
      </c>
    </row>
    <row r="41" spans="1:16" x14ac:dyDescent="0.25">
      <c r="A41" s="40" t="s">
        <v>40</v>
      </c>
      <c r="B41" s="29">
        <f>IFERROR(SUMIFS(tblDaily[Remaining],tblDaily[EntryDate],DATE(2026,2,28),tblDaily[WardCode],"BH"),0)</f>
        <v>16</v>
      </c>
      <c r="C41" s="29">
        <f>IFERROR(INDEX(tblWardConfig[BedComplement],MATCH("BH",tblWardConfig[WardCode],0)),0)</f>
        <v>22</v>
      </c>
      <c r="D41" s="29">
        <f>SUMIFS(tblDaily[Admissions],tblDaily[Month],3,tblDaily[WardCode],"BH") - SUMIFS(tblDaily[DeathsUnder24Hrs],tblDaily[Month],3,tblDaily[WardCode],"BH")</f>
        <v>106</v>
      </c>
      <c r="E41" s="29">
        <f>SUMIFS(tblDaily[Discharges],tblDaily[Month],3,tblDaily[WardCode],"BH")</f>
        <v>85</v>
      </c>
      <c r="F41" s="29">
        <f>SUMIFS(tblDaily[Deaths],tblDaily[Month],3,tblDaily[WardCode],"BH")</f>
        <v>0</v>
      </c>
      <c r="G41" s="29">
        <f>SUMIFS(tblDaily[DeathsUnder24Hrs],tblDaily[Month],3,tblDaily[WardCode],"BH")</f>
        <v>0</v>
      </c>
      <c r="H41" s="29">
        <f>SUMIFS(tblDaily[Remaining],tblDaily[Month],3,tblDaily[WardCode],"BH")</f>
        <v>633</v>
      </c>
      <c r="I41" s="29">
        <f>SUMIFS(tblDaily[TransfersIn],tblDaily[Month],3,tblDaily[WardCode],"BH")</f>
        <v>41</v>
      </c>
      <c r="J41" s="29">
        <f>SUMIFS(tblDaily[TransfersOut],tblDaily[Month],3,tblDaily[WardCode],"BH")</f>
        <v>52</v>
      </c>
      <c r="K41" s="41">
        <f t="shared" si="16"/>
        <v>20.419354838709676</v>
      </c>
      <c r="L41" s="41">
        <f t="shared" si="17"/>
        <v>7.447058823529412</v>
      </c>
      <c r="M41" s="41">
        <f t="shared" si="18"/>
        <v>0.57647058823529407</v>
      </c>
      <c r="N41" s="41">
        <f t="shared" si="19"/>
        <v>3.8636363636363638</v>
      </c>
      <c r="O41" s="41">
        <f t="shared" si="20"/>
        <v>92.815249266862168</v>
      </c>
      <c r="P41" s="41">
        <f t="shared" si="21"/>
        <v>0</v>
      </c>
    </row>
    <row r="42" spans="1:16" x14ac:dyDescent="0.25">
      <c r="A42" s="40" t="s">
        <v>42</v>
      </c>
      <c r="B42" s="29">
        <f>IFERROR(SUMIFS(tblDaily[Remaining],tblDaily[EntryDate],DATE(2026,2,28),tblDaily[WardCode],"NICU"),0)</f>
        <v>18</v>
      </c>
      <c r="C42" s="29">
        <f>IFERROR(INDEX(tblWardConfig[BedComplement],MATCH("NICU",tblWardConfig[WardCode],0)),0)</f>
        <v>15</v>
      </c>
      <c r="D42" s="29">
        <f>SUMIFS(tblDaily[Admissions],tblDaily[Month],3,tblDaily[WardCode],"NICU") - SUMIFS(tblDaily[DeathsUnder24Hrs],tblDaily[Month],3,tblDaily[WardCode],"NICU")</f>
        <v>54</v>
      </c>
      <c r="E42" s="29">
        <f>SUMIFS(tblDaily[Discharges],tblDaily[Month],3,tblDaily[WardCode],"NICU")</f>
        <v>60</v>
      </c>
      <c r="F42" s="29">
        <f>SUMIFS(tblDaily[Deaths],tblDaily[Month],3,tblDaily[WardCode],"NICU")</f>
        <v>4</v>
      </c>
      <c r="G42" s="29">
        <f>SUMIFS(tblDaily[DeathsUnder24Hrs],tblDaily[Month],3,tblDaily[WardCode],"NICU")</f>
        <v>0</v>
      </c>
      <c r="H42" s="29">
        <f>SUMIFS(tblDaily[Remaining],tblDaily[Month],3,tblDaily[WardCode],"NICU")</f>
        <v>446</v>
      </c>
      <c r="I42" s="29">
        <f>SUMIFS(tblDaily[TransfersIn],tblDaily[Month],3,tblDaily[WardCode],"NICU")</f>
        <v>0</v>
      </c>
      <c r="J42" s="29">
        <f>SUMIFS(tblDaily[TransfersOut],tblDaily[Month],3,tblDaily[WardCode],"NICU")</f>
        <v>0</v>
      </c>
      <c r="K42" s="41">
        <f t="shared" si="16"/>
        <v>14.387096774193548</v>
      </c>
      <c r="L42" s="41">
        <f t="shared" si="17"/>
        <v>6.96875</v>
      </c>
      <c r="M42" s="41">
        <f t="shared" si="18"/>
        <v>0.296875</v>
      </c>
      <c r="N42" s="41">
        <f t="shared" si="19"/>
        <v>4.2666666666666666</v>
      </c>
      <c r="O42" s="41">
        <f t="shared" si="20"/>
        <v>95.913978494623649</v>
      </c>
      <c r="P42" s="41">
        <f t="shared" si="21"/>
        <v>5.5555555555555554</v>
      </c>
    </row>
    <row r="43" spans="1:16" x14ac:dyDescent="0.25">
      <c r="A43" s="40" t="s">
        <v>44</v>
      </c>
      <c r="B43" s="29">
        <f>IFERROR(SUMIFS(tblDaily[Remaining],tblDaily[EntryDate],DATE(2026,2,28),tblDaily[WardCode],"MAE"),0)</f>
        <v>5</v>
      </c>
      <c r="C43" s="29">
        <f>IFERROR(INDEX(tblWardConfig[BedComplement],MATCH("MAE",tblWardConfig[WardCode],0)),0)</f>
        <v>10</v>
      </c>
      <c r="D43" s="29">
        <f>SUMIFS(tblDaily[Admissions],tblDaily[Month],3,tblDaily[WardCode],"MAE") - SUMIFS(tblDaily[DeathsUnder24Hrs],tblDaily[Month],3,tblDaily[WardCode],"MAE")</f>
        <v>66</v>
      </c>
      <c r="E43" s="29">
        <f>SUMIFS(tblDaily[Discharges],tblDaily[Month],3,tblDaily[WardCode],"MAE")</f>
        <v>27</v>
      </c>
      <c r="F43" s="29">
        <f>SUMIFS(tblDaily[Deaths],tblDaily[Month],3,tblDaily[WardCode],"MAE")</f>
        <v>8</v>
      </c>
      <c r="G43" s="29">
        <f>SUMIFS(tblDaily[DeathsUnder24Hrs],tblDaily[Month],3,tblDaily[WardCode],"MAE")</f>
        <v>4</v>
      </c>
      <c r="H43" s="29">
        <f>SUMIFS(tblDaily[Remaining],tblDaily[Month],3,tblDaily[WardCode],"MAE")</f>
        <v>73</v>
      </c>
      <c r="I43" s="29">
        <f>SUMIFS(tblDaily[TransfersIn],tblDaily[Month],3,tblDaily[WardCode],"MAE")</f>
        <v>0</v>
      </c>
      <c r="J43" s="29">
        <f>SUMIFS(tblDaily[TransfersOut],tblDaily[Month],3,tblDaily[WardCode],"MAE")</f>
        <v>33</v>
      </c>
      <c r="K43" s="41">
        <f t="shared" si="16"/>
        <v>2.3548387096774195</v>
      </c>
      <c r="L43" s="41">
        <f t="shared" si="17"/>
        <v>2.0857142857142859</v>
      </c>
      <c r="M43" s="41">
        <f t="shared" si="18"/>
        <v>6.7714285714285714</v>
      </c>
      <c r="N43" s="41">
        <f t="shared" si="19"/>
        <v>3.5</v>
      </c>
      <c r="O43" s="41">
        <f t="shared" si="20"/>
        <v>23.548387096774192</v>
      </c>
      <c r="P43" s="41">
        <f t="shared" si="21"/>
        <v>11.267605633802818</v>
      </c>
    </row>
    <row r="44" spans="1:16" x14ac:dyDescent="0.25">
      <c r="A44" s="40" t="s">
        <v>46</v>
      </c>
      <c r="B44" s="29">
        <f>IFERROR(SUMIFS(tblDaily[Remaining],tblDaily[EntryDate],DATE(2026,2,28),tblDaily[WardCode],"FAE"),0)</f>
        <v>1</v>
      </c>
      <c r="C44" s="29">
        <f>IFERROR(INDEX(tblWardConfig[BedComplement],MATCH("FAE",tblWardConfig[WardCode],0)),0)</f>
        <v>10</v>
      </c>
      <c r="D44" s="29">
        <f>SUMIFS(tblDaily[Admissions],tblDaily[Month],3,tblDaily[WardCode],"FAE") - SUMIFS(tblDaily[DeathsUnder24Hrs],tblDaily[Month],3,tblDaily[WardCode],"FAE")</f>
        <v>44</v>
      </c>
      <c r="E44" s="29">
        <f>SUMIFS(tblDaily[Discharges],tblDaily[Month],3,tblDaily[WardCode],"FAE")</f>
        <v>12</v>
      </c>
      <c r="F44" s="29">
        <f>SUMIFS(tblDaily[Deaths],tblDaily[Month],3,tblDaily[WardCode],"FAE")</f>
        <v>5</v>
      </c>
      <c r="G44" s="29">
        <f>SUMIFS(tblDaily[DeathsUnder24Hrs],tblDaily[Month],3,tblDaily[WardCode],"FAE")</f>
        <v>5</v>
      </c>
      <c r="H44" s="29">
        <f>SUMIFS(tblDaily[Remaining],tblDaily[Month],3,tblDaily[WardCode],"FAE")</f>
        <v>88</v>
      </c>
      <c r="I44" s="29">
        <f>SUMIFS(tblDaily[TransfersIn],tblDaily[Month],3,tblDaily[WardCode],"FAE")</f>
        <v>0</v>
      </c>
      <c r="J44" s="29">
        <f>SUMIFS(tblDaily[TransfersOut],tblDaily[Month],3,tblDaily[WardCode],"FAE")</f>
        <v>25</v>
      </c>
      <c r="K44" s="41">
        <f t="shared" si="16"/>
        <v>2.838709677419355</v>
      </c>
      <c r="L44" s="41">
        <f t="shared" si="17"/>
        <v>5.1764705882352944</v>
      </c>
      <c r="M44" s="41">
        <f t="shared" si="18"/>
        <v>13.058823529411764</v>
      </c>
      <c r="N44" s="41">
        <f t="shared" si="19"/>
        <v>1.7</v>
      </c>
      <c r="O44" s="41">
        <f t="shared" si="20"/>
        <v>28.387096774193548</v>
      </c>
      <c r="P44" s="41">
        <f t="shared" si="21"/>
        <v>11.111111111111111</v>
      </c>
    </row>
    <row r="45" spans="1:16" x14ac:dyDescent="0.25">
      <c r="A45" s="40" t="s">
        <v>48</v>
      </c>
      <c r="B45" s="29">
        <f>IFERROR(SUMIFS(tblDaily[Remaining],tblDaily[EntryDate],DATE(2026,2,28),tblDaily[WardCode],"ICU"),0)</f>
        <v>0</v>
      </c>
      <c r="C45" s="29">
        <f>IFERROR(INDEX(tblWardConfig[BedComplement],MATCH("ICU",tblWardConfig[WardCode],0)),0)</f>
        <v>4</v>
      </c>
      <c r="D45" s="29">
        <f>SUMIFS(tblDaily[Admissions],tblDaily[Month],3,tblDaily[WardCode],"ICU") - SUMIFS(tblDaily[DeathsUnder24Hrs],tblDaily[Month],3,tblDaily[WardCode],"ICU")</f>
        <v>0</v>
      </c>
      <c r="E45" s="29">
        <f>SUMIFS(tblDaily[Discharges],tblDaily[Month],3,tblDaily[WardCode],"ICU")</f>
        <v>0</v>
      </c>
      <c r="F45" s="29">
        <f>SUMIFS(tblDaily[Deaths],tblDaily[Month],3,tblDaily[WardCode],"ICU")</f>
        <v>0</v>
      </c>
      <c r="G45" s="29">
        <f>SUMIFS(tblDaily[DeathsUnder24Hrs],tblDaily[Month],3,tblDaily[WardCode],"ICU")</f>
        <v>0</v>
      </c>
      <c r="H45" s="29">
        <f>SUMIFS(tblDaily[Remaining],tblDaily[Month],3,tblDaily[WardCode],"ICU")</f>
        <v>0</v>
      </c>
      <c r="I45" s="29">
        <f>SUMIFS(tblDaily[TransfersIn],tblDaily[Month],3,tblDaily[WardCode],"ICU")</f>
        <v>0</v>
      </c>
      <c r="J45" s="29">
        <f>SUMIFS(tblDaily[TransfersOut],tblDaily[Month],3,tblDaily[WardCode],"ICU")</f>
        <v>0</v>
      </c>
      <c r="K45" s="41">
        <f t="shared" si="16"/>
        <v>0</v>
      </c>
      <c r="L45" s="41">
        <f t="shared" si="17"/>
        <v>0</v>
      </c>
      <c r="M45" s="41">
        <f t="shared" si="18"/>
        <v>0</v>
      </c>
      <c r="N45" s="41">
        <f t="shared" si="19"/>
        <v>0</v>
      </c>
      <c r="O45" s="41">
        <f t="shared" si="20"/>
        <v>0</v>
      </c>
      <c r="P45" s="41">
        <f t="shared" si="21"/>
        <v>0</v>
      </c>
    </row>
    <row r="46" spans="1:16" x14ac:dyDescent="0.25">
      <c r="A46" s="30" t="s">
        <v>115</v>
      </c>
      <c r="B46" s="30">
        <f t="shared" ref="B46:J46" si="22">SUM(B36:B45)</f>
        <v>94</v>
      </c>
      <c r="C46" s="30">
        <f t="shared" si="22"/>
        <v>182</v>
      </c>
      <c r="D46" s="30">
        <f t="shared" si="22"/>
        <v>691</v>
      </c>
      <c r="E46" s="30">
        <f t="shared" si="22"/>
        <v>645</v>
      </c>
      <c r="F46" s="30">
        <f t="shared" si="22"/>
        <v>30</v>
      </c>
      <c r="G46" s="30">
        <f t="shared" si="22"/>
        <v>10</v>
      </c>
      <c r="H46" s="30">
        <f t="shared" si="22"/>
        <v>3178</v>
      </c>
      <c r="I46" s="30">
        <f t="shared" si="22"/>
        <v>152</v>
      </c>
      <c r="J46" s="30">
        <f t="shared" si="22"/>
        <v>152</v>
      </c>
      <c r="K46" s="42">
        <f t="shared" si="16"/>
        <v>102.51612903225806</v>
      </c>
      <c r="L46" s="42">
        <f t="shared" si="17"/>
        <v>4.7081481481481484</v>
      </c>
      <c r="M46" s="42">
        <f t="shared" si="18"/>
        <v>3.6503703703703705</v>
      </c>
      <c r="N46" s="42">
        <f t="shared" si="19"/>
        <v>3.7087912087912089</v>
      </c>
      <c r="O46" s="42">
        <f t="shared" si="20"/>
        <v>56.327543424317618</v>
      </c>
      <c r="P46" s="42">
        <f t="shared" si="21"/>
        <v>3.8216560509554141</v>
      </c>
    </row>
    <row r="47" spans="1:16" x14ac:dyDescent="0.25">
      <c r="A47" s="43" t="s">
        <v>148</v>
      </c>
      <c r="B47" s="43">
        <f t="shared" ref="B47:J47" si="23">B43+B44</f>
        <v>6</v>
      </c>
      <c r="C47" s="43">
        <f t="shared" si="23"/>
        <v>20</v>
      </c>
      <c r="D47" s="43">
        <f t="shared" si="23"/>
        <v>110</v>
      </c>
      <c r="E47" s="43">
        <f t="shared" si="23"/>
        <v>39</v>
      </c>
      <c r="F47" s="43">
        <f t="shared" si="23"/>
        <v>13</v>
      </c>
      <c r="G47" s="43">
        <f t="shared" si="23"/>
        <v>9</v>
      </c>
      <c r="H47" s="43">
        <f t="shared" si="23"/>
        <v>161</v>
      </c>
      <c r="I47" s="43">
        <f t="shared" si="23"/>
        <v>0</v>
      </c>
      <c r="J47" s="43">
        <f t="shared" si="23"/>
        <v>58</v>
      </c>
      <c r="K47" s="44">
        <f t="shared" si="16"/>
        <v>5.193548387096774</v>
      </c>
      <c r="L47" s="44">
        <f t="shared" si="17"/>
        <v>3.0961538461538463</v>
      </c>
      <c r="M47" s="44">
        <f t="shared" si="18"/>
        <v>8.8269230769230766</v>
      </c>
      <c r="N47" s="44">
        <f t="shared" si="19"/>
        <v>2.6</v>
      </c>
      <c r="O47" s="44">
        <f t="shared" si="20"/>
        <v>25.967741935483872</v>
      </c>
      <c r="P47" s="44">
        <f t="shared" si="21"/>
        <v>11.206896551724139</v>
      </c>
    </row>
    <row r="49" spans="1:16" ht="18.75" x14ac:dyDescent="0.25">
      <c r="A49" s="21" t="s">
        <v>0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ht="15.75" x14ac:dyDescent="0.25">
      <c r="A50" s="23" t="s">
        <v>151</v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ht="38.25" x14ac:dyDescent="0.25">
      <c r="A51" s="28" t="s">
        <v>136</v>
      </c>
      <c r="B51" s="28" t="s">
        <v>137</v>
      </c>
      <c r="C51" s="28" t="s">
        <v>138</v>
      </c>
      <c r="D51" s="28" t="s">
        <v>77</v>
      </c>
      <c r="E51" s="28" t="s">
        <v>78</v>
      </c>
      <c r="F51" s="28" t="s">
        <v>79</v>
      </c>
      <c r="G51" s="28" t="s">
        <v>111</v>
      </c>
      <c r="H51" s="28" t="s">
        <v>139</v>
      </c>
      <c r="I51" s="28" t="s">
        <v>140</v>
      </c>
      <c r="J51" s="28" t="s">
        <v>141</v>
      </c>
      <c r="K51" s="28" t="s">
        <v>142</v>
      </c>
      <c r="L51" s="28" t="s">
        <v>143</v>
      </c>
      <c r="M51" s="28" t="s">
        <v>144</v>
      </c>
      <c r="N51" s="28" t="s">
        <v>145</v>
      </c>
      <c r="O51" s="28" t="s">
        <v>146</v>
      </c>
      <c r="P51" s="28" t="s">
        <v>147</v>
      </c>
    </row>
    <row r="52" spans="1:16" x14ac:dyDescent="0.25">
      <c r="A52" s="40" t="s">
        <v>30</v>
      </c>
      <c r="B52" s="29">
        <f>IFERROR(SUMIFS(tblDaily[Remaining],tblDaily[EntryDate],DATE(2026,3,31),tblDaily[WardCode],"MW"),0)</f>
        <v>19</v>
      </c>
      <c r="C52" s="29">
        <f>IFERROR(INDEX(tblWardConfig[BedComplement],MATCH("MW",tblWardConfig[WardCode],0)),0)</f>
        <v>32</v>
      </c>
      <c r="D52" s="29">
        <f>SUMIFS(tblDaily[Admissions],tblDaily[Month],4,tblDaily[WardCode],"MW") - SUMIFS(tblDaily[DeathsUnder24Hrs],tblDaily[Month],4,tblDaily[WardCode],"MW")</f>
        <v>12</v>
      </c>
      <c r="E52" s="29">
        <f>SUMIFS(tblDaily[Discharges],tblDaily[Month],4,tblDaily[WardCode],"MW")</f>
        <v>21</v>
      </c>
      <c r="F52" s="29">
        <f>SUMIFS(tblDaily[Deaths],tblDaily[Month],4,tblDaily[WardCode],"MW")</f>
        <v>1</v>
      </c>
      <c r="G52" s="29">
        <f>SUMIFS(tblDaily[DeathsUnder24Hrs],tblDaily[Month],4,tblDaily[WardCode],"MW")</f>
        <v>0</v>
      </c>
      <c r="H52" s="29">
        <f>SUMIFS(tblDaily[Remaining],tblDaily[Month],4,tblDaily[WardCode],"MW")</f>
        <v>100</v>
      </c>
      <c r="I52" s="29">
        <f>SUMIFS(tblDaily[TransfersIn],tblDaily[Month],4,tblDaily[WardCode],"MW")</f>
        <v>5</v>
      </c>
      <c r="J52" s="29">
        <f>SUMIFS(tblDaily[TransfersOut],tblDaily[Month],4,tblDaily[WardCode],"MW")</f>
        <v>0</v>
      </c>
      <c r="K52" s="41">
        <f t="shared" ref="K52:K63" si="24">IFERROR(H52/30,0)</f>
        <v>3.3333333333333335</v>
      </c>
      <c r="L52" s="41">
        <f t="shared" ref="L52:L63" si="25">IFERROR(H52/(E52+F52),0)</f>
        <v>4.5454545454545459</v>
      </c>
      <c r="M52" s="41">
        <f t="shared" ref="M52:M63" si="26">IFERROR((C52*30-H52)/(E52+F52),0)</f>
        <v>39.090909090909093</v>
      </c>
      <c r="N52" s="41">
        <f t="shared" ref="N52:N63" si="27">IFERROR((E52+F52)/C52,0)</f>
        <v>0.6875</v>
      </c>
      <c r="O52" s="41">
        <f t="shared" ref="O52:O63" si="28">IFERROR((H52/(C52*30))*100,0)</f>
        <v>10.416666666666668</v>
      </c>
      <c r="P52" s="41">
        <f t="shared" ref="P52:P63" si="29">IFERROR((F52/(D52+B52))*100,0)</f>
        <v>3.225806451612903</v>
      </c>
    </row>
    <row r="53" spans="1:16" x14ac:dyDescent="0.25">
      <c r="A53" s="40" t="s">
        <v>32</v>
      </c>
      <c r="B53" s="29">
        <f>IFERROR(SUMIFS(tblDaily[Remaining],tblDaily[EntryDate],DATE(2026,3,31),tblDaily[WardCode],"FW"),0)</f>
        <v>14</v>
      </c>
      <c r="C53" s="29">
        <f>IFERROR(INDEX(tblWardConfig[BedComplement],MATCH("FW",tblWardConfig[WardCode],0)),0)</f>
        <v>28</v>
      </c>
      <c r="D53" s="29">
        <f>SUMIFS(tblDaily[Admissions],tblDaily[Month],4,tblDaily[WardCode],"FW") - SUMIFS(tblDaily[DeathsUnder24Hrs],tblDaily[Month],4,tblDaily[WardCode],"FW")</f>
        <v>19</v>
      </c>
      <c r="E53" s="29">
        <f>SUMIFS(tblDaily[Discharges],tblDaily[Month],4,tblDaily[WardCode],"FW")</f>
        <v>17</v>
      </c>
      <c r="F53" s="29">
        <f>SUMIFS(tblDaily[Deaths],tblDaily[Month],4,tblDaily[WardCode],"FW")</f>
        <v>3</v>
      </c>
      <c r="G53" s="29">
        <f>SUMIFS(tblDaily[DeathsUnder24Hrs],tblDaily[Month],4,tblDaily[WardCode],"FW")</f>
        <v>0</v>
      </c>
      <c r="H53" s="29">
        <f>SUMIFS(tblDaily[Remaining],tblDaily[Month],4,tblDaily[WardCode],"FW")</f>
        <v>111</v>
      </c>
      <c r="I53" s="29">
        <f>SUMIFS(tblDaily[TransfersIn],tblDaily[Month],4,tblDaily[WardCode],"FW")</f>
        <v>3</v>
      </c>
      <c r="J53" s="29">
        <f>SUMIFS(tblDaily[TransfersOut],tblDaily[Month],4,tblDaily[WardCode],"FW")</f>
        <v>0</v>
      </c>
      <c r="K53" s="41">
        <f t="shared" si="24"/>
        <v>3.7</v>
      </c>
      <c r="L53" s="41">
        <f t="shared" si="25"/>
        <v>5.55</v>
      </c>
      <c r="M53" s="41">
        <f t="shared" si="26"/>
        <v>36.450000000000003</v>
      </c>
      <c r="N53" s="41">
        <f t="shared" si="27"/>
        <v>0.7142857142857143</v>
      </c>
      <c r="O53" s="41">
        <f t="shared" si="28"/>
        <v>13.214285714285715</v>
      </c>
      <c r="P53" s="41">
        <f t="shared" si="29"/>
        <v>9.0909090909090917</v>
      </c>
    </row>
    <row r="54" spans="1:16" x14ac:dyDescent="0.25">
      <c r="A54" s="40" t="s">
        <v>34</v>
      </c>
      <c r="B54" s="29">
        <f>IFERROR(SUMIFS(tblDaily[Remaining],tblDaily[EntryDate],DATE(2026,3,31),tblDaily[WardCode],"CW"),0)</f>
        <v>10</v>
      </c>
      <c r="C54" s="29">
        <f>IFERROR(INDEX(tblWardConfig[BedComplement],MATCH("CW",tblWardConfig[WardCode],0)),0)</f>
        <v>27</v>
      </c>
      <c r="D54" s="29">
        <f>SUMIFS(tblDaily[Admissions],tblDaily[Month],4,tblDaily[WardCode],"CW") - SUMIFS(tblDaily[DeathsUnder24Hrs],tblDaily[Month],4,tblDaily[WardCode],"CW")</f>
        <v>16</v>
      </c>
      <c r="E54" s="29">
        <f>SUMIFS(tblDaily[Discharges],tblDaily[Month],4,tblDaily[WardCode],"CW")</f>
        <v>14</v>
      </c>
      <c r="F54" s="29">
        <f>SUMIFS(tblDaily[Deaths],tblDaily[Month],4,tblDaily[WardCode],"CW")</f>
        <v>2</v>
      </c>
      <c r="G54" s="29">
        <f>SUMIFS(tblDaily[DeathsUnder24Hrs],tblDaily[Month],4,tblDaily[WardCode],"CW")</f>
        <v>0</v>
      </c>
      <c r="H54" s="29">
        <f>SUMIFS(tblDaily[Remaining],tblDaily[Month],4,tblDaily[WardCode],"CW")</f>
        <v>58</v>
      </c>
      <c r="I54" s="29">
        <f>SUMIFS(tblDaily[TransfersIn],tblDaily[Month],4,tblDaily[WardCode],"CW")</f>
        <v>1</v>
      </c>
      <c r="J54" s="29">
        <f>SUMIFS(tblDaily[TransfersOut],tblDaily[Month],4,tblDaily[WardCode],"CW")</f>
        <v>0</v>
      </c>
      <c r="K54" s="41">
        <f t="shared" si="24"/>
        <v>1.9333333333333333</v>
      </c>
      <c r="L54" s="41">
        <f t="shared" si="25"/>
        <v>3.625</v>
      </c>
      <c r="M54" s="41">
        <f t="shared" si="26"/>
        <v>47</v>
      </c>
      <c r="N54" s="41">
        <f t="shared" si="27"/>
        <v>0.59259259259259256</v>
      </c>
      <c r="O54" s="41">
        <f t="shared" si="28"/>
        <v>7.1604938271604937</v>
      </c>
      <c r="P54" s="41">
        <f t="shared" si="29"/>
        <v>7.6923076923076925</v>
      </c>
    </row>
    <row r="55" spans="1:16" x14ac:dyDescent="0.25">
      <c r="A55" s="40" t="s">
        <v>36</v>
      </c>
      <c r="B55" s="29">
        <f>IFERROR(SUMIFS(tblDaily[Remaining],tblDaily[EntryDate],DATE(2026,3,31),tblDaily[WardCode],"BF"),0)</f>
        <v>9</v>
      </c>
      <c r="C55" s="29">
        <f>IFERROR(INDEX(tblWardConfig[BedComplement],MATCH("BF",tblWardConfig[WardCode],0)),0)</f>
        <v>20</v>
      </c>
      <c r="D55" s="29">
        <f>SUMIFS(tblDaily[Admissions],tblDaily[Month],4,tblDaily[WardCode],"BF") - SUMIFS(tblDaily[DeathsUnder24Hrs],tblDaily[Month],4,tblDaily[WardCode],"BF")</f>
        <v>9</v>
      </c>
      <c r="E55" s="29">
        <f>SUMIFS(tblDaily[Discharges],tblDaily[Month],4,tblDaily[WardCode],"BF")</f>
        <v>14</v>
      </c>
      <c r="F55" s="29">
        <f>SUMIFS(tblDaily[Deaths],tblDaily[Month],4,tblDaily[WardCode],"BF")</f>
        <v>0</v>
      </c>
      <c r="G55" s="29">
        <f>SUMIFS(tblDaily[DeathsUnder24Hrs],tblDaily[Month],4,tblDaily[WardCode],"BF")</f>
        <v>0</v>
      </c>
      <c r="H55" s="29">
        <f>SUMIFS(tblDaily[Remaining],tblDaily[Month],4,tblDaily[WardCode],"BF")</f>
        <v>42</v>
      </c>
      <c r="I55" s="29">
        <f>SUMIFS(tblDaily[TransfersIn],tblDaily[Month],4,tblDaily[WardCode],"BF")</f>
        <v>1</v>
      </c>
      <c r="J55" s="29">
        <f>SUMIFS(tblDaily[TransfersOut],tblDaily[Month],4,tblDaily[WardCode],"BF")</f>
        <v>0</v>
      </c>
      <c r="K55" s="41">
        <f t="shared" si="24"/>
        <v>1.4</v>
      </c>
      <c r="L55" s="41">
        <f t="shared" si="25"/>
        <v>3</v>
      </c>
      <c r="M55" s="41">
        <f t="shared" si="26"/>
        <v>39.857142857142854</v>
      </c>
      <c r="N55" s="41">
        <f t="shared" si="27"/>
        <v>0.7</v>
      </c>
      <c r="O55" s="41">
        <f t="shared" si="28"/>
        <v>7.0000000000000009</v>
      </c>
      <c r="P55" s="41">
        <f t="shared" si="29"/>
        <v>0</v>
      </c>
    </row>
    <row r="56" spans="1:16" x14ac:dyDescent="0.25">
      <c r="A56" s="40" t="s">
        <v>38</v>
      </c>
      <c r="B56" s="29">
        <f>IFERROR(SUMIFS(tblDaily[Remaining],tblDaily[EntryDate],DATE(2026,3,31),tblDaily[WardCode],"BG"),0)</f>
        <v>18</v>
      </c>
      <c r="C56" s="29">
        <f>IFERROR(INDEX(tblWardConfig[BedComplement],MATCH("BG",tblWardConfig[WardCode],0)),0)</f>
        <v>14</v>
      </c>
      <c r="D56" s="29">
        <f>SUMIFS(tblDaily[Admissions],tblDaily[Month],4,tblDaily[WardCode],"BG") - SUMIFS(tblDaily[DeathsUnder24Hrs],tblDaily[Month],4,tblDaily[WardCode],"BG")</f>
        <v>24</v>
      </c>
      <c r="E56" s="29">
        <f>SUMIFS(tblDaily[Discharges],tblDaily[Month],4,tblDaily[WardCode],"BG")</f>
        <v>29</v>
      </c>
      <c r="F56" s="29">
        <f>SUMIFS(tblDaily[Deaths],tblDaily[Month],4,tblDaily[WardCode],"BG")</f>
        <v>0</v>
      </c>
      <c r="G56" s="29">
        <f>SUMIFS(tblDaily[DeathsUnder24Hrs],tblDaily[Month],4,tblDaily[WardCode],"BG")</f>
        <v>0</v>
      </c>
      <c r="H56" s="29">
        <f>SUMIFS(tblDaily[Remaining],tblDaily[Month],4,tblDaily[WardCode],"BG")</f>
        <v>88</v>
      </c>
      <c r="I56" s="29">
        <f>SUMIFS(tblDaily[TransfersIn],tblDaily[Month],4,tblDaily[WardCode],"BG")</f>
        <v>8</v>
      </c>
      <c r="J56" s="29">
        <f>SUMIFS(tblDaily[TransfersOut],tblDaily[Month],4,tblDaily[WardCode],"BG")</f>
        <v>4</v>
      </c>
      <c r="K56" s="41">
        <f t="shared" si="24"/>
        <v>2.9333333333333331</v>
      </c>
      <c r="L56" s="41">
        <f t="shared" si="25"/>
        <v>3.0344827586206895</v>
      </c>
      <c r="M56" s="41">
        <f t="shared" si="26"/>
        <v>11.448275862068966</v>
      </c>
      <c r="N56" s="41">
        <f t="shared" si="27"/>
        <v>2.0714285714285716</v>
      </c>
      <c r="O56" s="41">
        <f t="shared" si="28"/>
        <v>20.952380952380953</v>
      </c>
      <c r="P56" s="41">
        <f t="shared" si="29"/>
        <v>0</v>
      </c>
    </row>
    <row r="57" spans="1:16" x14ac:dyDescent="0.25">
      <c r="A57" s="40" t="s">
        <v>40</v>
      </c>
      <c r="B57" s="29">
        <f>IFERROR(SUMIFS(tblDaily[Remaining],tblDaily[EntryDate],DATE(2026,3,31),tblDaily[WardCode],"BH"),0)</f>
        <v>26</v>
      </c>
      <c r="C57" s="29">
        <f>IFERROR(INDEX(tblWardConfig[BedComplement],MATCH("BH",tblWardConfig[WardCode],0)),0)</f>
        <v>22</v>
      </c>
      <c r="D57" s="29">
        <f>SUMIFS(tblDaily[Admissions],tblDaily[Month],4,tblDaily[WardCode],"BH") - SUMIFS(tblDaily[DeathsUnder24Hrs],tblDaily[Month],4,tblDaily[WardCode],"BH")</f>
        <v>13</v>
      </c>
      <c r="E57" s="29">
        <f>SUMIFS(tblDaily[Discharges],tblDaily[Month],4,tblDaily[WardCode],"BH")</f>
        <v>22</v>
      </c>
      <c r="F57" s="29">
        <f>SUMIFS(tblDaily[Deaths],tblDaily[Month],4,tblDaily[WardCode],"BH")</f>
        <v>0</v>
      </c>
      <c r="G57" s="29">
        <f>SUMIFS(tblDaily[DeathsUnder24Hrs],tblDaily[Month],4,tblDaily[WardCode],"BH")</f>
        <v>0</v>
      </c>
      <c r="H57" s="29">
        <f>SUMIFS(tblDaily[Remaining],tblDaily[Month],4,tblDaily[WardCode],"BH")</f>
        <v>118</v>
      </c>
      <c r="I57" s="29">
        <f>SUMIFS(tblDaily[TransfersIn],tblDaily[Month],4,tblDaily[WardCode],"BH")</f>
        <v>4</v>
      </c>
      <c r="J57" s="29">
        <f>SUMIFS(tblDaily[TransfersOut],tblDaily[Month],4,tblDaily[WardCode],"BH")</f>
        <v>8</v>
      </c>
      <c r="K57" s="41">
        <f t="shared" si="24"/>
        <v>3.9333333333333331</v>
      </c>
      <c r="L57" s="41">
        <f t="shared" si="25"/>
        <v>5.3636363636363633</v>
      </c>
      <c r="M57" s="41">
        <f t="shared" si="26"/>
        <v>24.636363636363637</v>
      </c>
      <c r="N57" s="41">
        <f t="shared" si="27"/>
        <v>1</v>
      </c>
      <c r="O57" s="41">
        <f t="shared" si="28"/>
        <v>17.878787878787879</v>
      </c>
      <c r="P57" s="41">
        <f t="shared" si="29"/>
        <v>0</v>
      </c>
    </row>
    <row r="58" spans="1:16" x14ac:dyDescent="0.25">
      <c r="A58" s="40" t="s">
        <v>42</v>
      </c>
      <c r="B58" s="29">
        <f>IFERROR(SUMIFS(tblDaily[Remaining],tblDaily[EntryDate],DATE(2026,3,31),tblDaily[WardCode],"NICU"),0)</f>
        <v>8</v>
      </c>
      <c r="C58" s="29">
        <f>IFERROR(INDEX(tblWardConfig[BedComplement],MATCH("NICU",tblWardConfig[WardCode],0)),0)</f>
        <v>15</v>
      </c>
      <c r="D58" s="29">
        <f>SUMIFS(tblDaily[Admissions],tblDaily[Month],4,tblDaily[WardCode],"NICU") - SUMIFS(tblDaily[DeathsUnder24Hrs],tblDaily[Month],4,tblDaily[WardCode],"NICU")</f>
        <v>7</v>
      </c>
      <c r="E58" s="29">
        <f>SUMIFS(tblDaily[Discharges],tblDaily[Month],4,tblDaily[WardCode],"NICU")</f>
        <v>8</v>
      </c>
      <c r="F58" s="29">
        <f>SUMIFS(tblDaily[Deaths],tblDaily[Month],4,tblDaily[WardCode],"NICU")</f>
        <v>0</v>
      </c>
      <c r="G58" s="29">
        <f>SUMIFS(tblDaily[DeathsUnder24Hrs],tblDaily[Month],4,tblDaily[WardCode],"NICU")</f>
        <v>0</v>
      </c>
      <c r="H58" s="29">
        <f>SUMIFS(tblDaily[Remaining],tblDaily[Month],4,tblDaily[WardCode],"NICU")</f>
        <v>39</v>
      </c>
      <c r="I58" s="29">
        <f>SUMIFS(tblDaily[TransfersIn],tblDaily[Month],4,tblDaily[WardCode],"NICU")</f>
        <v>0</v>
      </c>
      <c r="J58" s="29">
        <f>SUMIFS(tblDaily[TransfersOut],tblDaily[Month],4,tblDaily[WardCode],"NICU")</f>
        <v>0</v>
      </c>
      <c r="K58" s="41">
        <f t="shared" si="24"/>
        <v>1.3</v>
      </c>
      <c r="L58" s="41">
        <f t="shared" si="25"/>
        <v>4.875</v>
      </c>
      <c r="M58" s="41">
        <f t="shared" si="26"/>
        <v>51.375</v>
      </c>
      <c r="N58" s="41">
        <f t="shared" si="27"/>
        <v>0.53333333333333333</v>
      </c>
      <c r="O58" s="41">
        <f t="shared" si="28"/>
        <v>8.6666666666666679</v>
      </c>
      <c r="P58" s="41">
        <f t="shared" si="29"/>
        <v>0</v>
      </c>
    </row>
    <row r="59" spans="1:16" x14ac:dyDescent="0.25">
      <c r="A59" s="40" t="s">
        <v>44</v>
      </c>
      <c r="B59" s="29">
        <f>IFERROR(SUMIFS(tblDaily[Remaining],tblDaily[EntryDate],DATE(2026,3,31),tblDaily[WardCode],"MAE"),0)</f>
        <v>3</v>
      </c>
      <c r="C59" s="29">
        <f>IFERROR(INDEX(tblWardConfig[BedComplement],MATCH("MAE",tblWardConfig[WardCode],0)),0)</f>
        <v>10</v>
      </c>
      <c r="D59" s="29">
        <f>SUMIFS(tblDaily[Admissions],tblDaily[Month],4,tblDaily[WardCode],"MAE") - SUMIFS(tblDaily[DeathsUnder24Hrs],tblDaily[Month],4,tblDaily[WardCode],"MAE")</f>
        <v>9</v>
      </c>
      <c r="E59" s="29">
        <f>SUMIFS(tblDaily[Discharges],tblDaily[Month],4,tblDaily[WardCode],"MAE")</f>
        <v>5</v>
      </c>
      <c r="F59" s="29">
        <f>SUMIFS(tblDaily[Deaths],tblDaily[Month],4,tblDaily[WardCode],"MAE")</f>
        <v>1</v>
      </c>
      <c r="G59" s="29">
        <f>SUMIFS(tblDaily[DeathsUnder24Hrs],tblDaily[Month],4,tblDaily[WardCode],"MAE")</f>
        <v>0</v>
      </c>
      <c r="H59" s="29">
        <f>SUMIFS(tblDaily[Remaining],tblDaily[Month],4,tblDaily[WardCode],"MAE")</f>
        <v>18</v>
      </c>
      <c r="I59" s="29">
        <f>SUMIFS(tblDaily[TransfersIn],tblDaily[Month],4,tblDaily[WardCode],"MAE")</f>
        <v>0</v>
      </c>
      <c r="J59" s="29">
        <f>SUMIFS(tblDaily[TransfersOut],tblDaily[Month],4,tblDaily[WardCode],"MAE")</f>
        <v>2</v>
      </c>
      <c r="K59" s="41">
        <f t="shared" si="24"/>
        <v>0.6</v>
      </c>
      <c r="L59" s="41">
        <f t="shared" si="25"/>
        <v>3</v>
      </c>
      <c r="M59" s="41">
        <f t="shared" si="26"/>
        <v>47</v>
      </c>
      <c r="N59" s="41">
        <f t="shared" si="27"/>
        <v>0.6</v>
      </c>
      <c r="O59" s="41">
        <f t="shared" si="28"/>
        <v>6</v>
      </c>
      <c r="P59" s="41">
        <f t="shared" si="29"/>
        <v>8.3333333333333321</v>
      </c>
    </row>
    <row r="60" spans="1:16" x14ac:dyDescent="0.25">
      <c r="A60" s="40" t="s">
        <v>46</v>
      </c>
      <c r="B60" s="29">
        <f>IFERROR(SUMIFS(tblDaily[Remaining],tblDaily[EntryDate],DATE(2026,3,31),tblDaily[WardCode],"FAE"),0)</f>
        <v>3</v>
      </c>
      <c r="C60" s="29">
        <f>IFERROR(INDEX(tblWardConfig[BedComplement],MATCH("FAE",tblWardConfig[WardCode],0)),0)</f>
        <v>10</v>
      </c>
      <c r="D60" s="29">
        <f>SUMIFS(tblDaily[Admissions],tblDaily[Month],4,tblDaily[WardCode],"FAE") - SUMIFS(tblDaily[DeathsUnder24Hrs],tblDaily[Month],4,tblDaily[WardCode],"FAE")</f>
        <v>4</v>
      </c>
      <c r="E60" s="29">
        <f>SUMIFS(tblDaily[Discharges],tblDaily[Month],4,tblDaily[WardCode],"FAE")</f>
        <v>3</v>
      </c>
      <c r="F60" s="29">
        <f>SUMIFS(tblDaily[Deaths],tblDaily[Month],4,tblDaily[WardCode],"FAE")</f>
        <v>0</v>
      </c>
      <c r="G60" s="29">
        <f>SUMIFS(tblDaily[DeathsUnder24Hrs],tblDaily[Month],4,tblDaily[WardCode],"FAE")</f>
        <v>1</v>
      </c>
      <c r="H60" s="29">
        <f>SUMIFS(tblDaily[Remaining],tblDaily[Month],4,tblDaily[WardCode],"FAE")</f>
        <v>7</v>
      </c>
      <c r="I60" s="29">
        <f>SUMIFS(tblDaily[TransfersIn],tblDaily[Month],4,tblDaily[WardCode],"FAE")</f>
        <v>0</v>
      </c>
      <c r="J60" s="29">
        <f>SUMIFS(tblDaily[TransfersOut],tblDaily[Month],4,tblDaily[WardCode],"FAE")</f>
        <v>4</v>
      </c>
      <c r="K60" s="41">
        <f t="shared" si="24"/>
        <v>0.23333333333333334</v>
      </c>
      <c r="L60" s="41">
        <f t="shared" si="25"/>
        <v>2.3333333333333335</v>
      </c>
      <c r="M60" s="41">
        <f t="shared" si="26"/>
        <v>97.666666666666671</v>
      </c>
      <c r="N60" s="41">
        <f t="shared" si="27"/>
        <v>0.3</v>
      </c>
      <c r="O60" s="41">
        <f t="shared" si="28"/>
        <v>2.3333333333333335</v>
      </c>
      <c r="P60" s="41">
        <f t="shared" si="29"/>
        <v>0</v>
      </c>
    </row>
    <row r="61" spans="1:16" x14ac:dyDescent="0.25">
      <c r="A61" s="40" t="s">
        <v>48</v>
      </c>
      <c r="B61" s="29">
        <f>IFERROR(SUMIFS(tblDaily[Remaining],tblDaily[EntryDate],DATE(2026,3,31),tblDaily[WardCode],"ICU"),0)</f>
        <v>0</v>
      </c>
      <c r="C61" s="29">
        <f>IFERROR(INDEX(tblWardConfig[BedComplement],MATCH("ICU",tblWardConfig[WardCode],0)),0)</f>
        <v>4</v>
      </c>
      <c r="D61" s="29">
        <f>SUMIFS(tblDaily[Admissions],tblDaily[Month],4,tblDaily[WardCode],"ICU") - SUMIFS(tblDaily[DeathsUnder24Hrs],tblDaily[Month],4,tblDaily[WardCode],"ICU")</f>
        <v>0</v>
      </c>
      <c r="E61" s="29">
        <f>SUMIFS(tblDaily[Discharges],tblDaily[Month],4,tblDaily[WardCode],"ICU")</f>
        <v>0</v>
      </c>
      <c r="F61" s="29">
        <f>SUMIFS(tblDaily[Deaths],tblDaily[Month],4,tblDaily[WardCode],"ICU")</f>
        <v>0</v>
      </c>
      <c r="G61" s="29">
        <f>SUMIFS(tblDaily[DeathsUnder24Hrs],tblDaily[Month],4,tblDaily[WardCode],"ICU")</f>
        <v>0</v>
      </c>
      <c r="H61" s="29">
        <f>SUMIFS(tblDaily[Remaining],tblDaily[Month],4,tblDaily[WardCode],"ICU")</f>
        <v>0</v>
      </c>
      <c r="I61" s="29">
        <f>SUMIFS(tblDaily[TransfersIn],tblDaily[Month],4,tblDaily[WardCode],"ICU")</f>
        <v>0</v>
      </c>
      <c r="J61" s="29">
        <f>SUMIFS(tblDaily[TransfersOut],tblDaily[Month],4,tblDaily[WardCode],"ICU")</f>
        <v>0</v>
      </c>
      <c r="K61" s="41">
        <f t="shared" si="24"/>
        <v>0</v>
      </c>
      <c r="L61" s="41">
        <f t="shared" si="25"/>
        <v>0</v>
      </c>
      <c r="M61" s="41">
        <f t="shared" si="26"/>
        <v>0</v>
      </c>
      <c r="N61" s="41">
        <f t="shared" si="27"/>
        <v>0</v>
      </c>
      <c r="O61" s="41">
        <f t="shared" si="28"/>
        <v>0</v>
      </c>
      <c r="P61" s="41">
        <f t="shared" si="29"/>
        <v>0</v>
      </c>
    </row>
    <row r="62" spans="1:16" x14ac:dyDescent="0.25">
      <c r="A62" s="30" t="s">
        <v>115</v>
      </c>
      <c r="B62" s="30">
        <f t="shared" ref="B62:J62" si="30">SUM(B52:B61)</f>
        <v>110</v>
      </c>
      <c r="C62" s="30">
        <f t="shared" si="30"/>
        <v>182</v>
      </c>
      <c r="D62" s="30">
        <f t="shared" si="30"/>
        <v>113</v>
      </c>
      <c r="E62" s="30">
        <f t="shared" si="30"/>
        <v>133</v>
      </c>
      <c r="F62" s="30">
        <f t="shared" si="30"/>
        <v>7</v>
      </c>
      <c r="G62" s="30">
        <f t="shared" si="30"/>
        <v>1</v>
      </c>
      <c r="H62" s="30">
        <f t="shared" si="30"/>
        <v>581</v>
      </c>
      <c r="I62" s="30">
        <f t="shared" si="30"/>
        <v>22</v>
      </c>
      <c r="J62" s="30">
        <f t="shared" si="30"/>
        <v>18</v>
      </c>
      <c r="K62" s="42">
        <f t="shared" si="24"/>
        <v>19.366666666666667</v>
      </c>
      <c r="L62" s="42">
        <f t="shared" si="25"/>
        <v>4.1500000000000004</v>
      </c>
      <c r="M62" s="42">
        <f t="shared" si="26"/>
        <v>34.85</v>
      </c>
      <c r="N62" s="42">
        <f t="shared" si="27"/>
        <v>0.76923076923076927</v>
      </c>
      <c r="O62" s="42">
        <f t="shared" si="28"/>
        <v>10.641025641025641</v>
      </c>
      <c r="P62" s="42">
        <f t="shared" si="29"/>
        <v>3.1390134529147984</v>
      </c>
    </row>
    <row r="63" spans="1:16" x14ac:dyDescent="0.25">
      <c r="A63" s="43" t="s">
        <v>148</v>
      </c>
      <c r="B63" s="43">
        <f t="shared" ref="B63:J63" si="31">B59+B60</f>
        <v>6</v>
      </c>
      <c r="C63" s="43">
        <f t="shared" si="31"/>
        <v>20</v>
      </c>
      <c r="D63" s="43">
        <f t="shared" si="31"/>
        <v>13</v>
      </c>
      <c r="E63" s="43">
        <f t="shared" si="31"/>
        <v>8</v>
      </c>
      <c r="F63" s="43">
        <f t="shared" si="31"/>
        <v>1</v>
      </c>
      <c r="G63" s="43">
        <f t="shared" si="31"/>
        <v>1</v>
      </c>
      <c r="H63" s="43">
        <f t="shared" si="31"/>
        <v>25</v>
      </c>
      <c r="I63" s="43">
        <f t="shared" si="31"/>
        <v>0</v>
      </c>
      <c r="J63" s="43">
        <f t="shared" si="31"/>
        <v>6</v>
      </c>
      <c r="K63" s="44">
        <f t="shared" si="24"/>
        <v>0.83333333333333337</v>
      </c>
      <c r="L63" s="44">
        <f t="shared" si="25"/>
        <v>2.7777777777777777</v>
      </c>
      <c r="M63" s="44">
        <f t="shared" si="26"/>
        <v>63.888888888888886</v>
      </c>
      <c r="N63" s="44">
        <f t="shared" si="27"/>
        <v>0.45</v>
      </c>
      <c r="O63" s="44">
        <f t="shared" si="28"/>
        <v>4.1666666666666661</v>
      </c>
      <c r="P63" s="44">
        <f t="shared" si="29"/>
        <v>5.2631578947368416</v>
      </c>
    </row>
    <row r="65" spans="1:16" ht="18.75" x14ac:dyDescent="0.25">
      <c r="A65" s="21" t="s">
        <v>0</v>
      </c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</row>
    <row r="66" spans="1:16" ht="15.75" x14ac:dyDescent="0.25">
      <c r="A66" s="23" t="s">
        <v>152</v>
      </c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</row>
    <row r="67" spans="1:16" ht="38.25" x14ac:dyDescent="0.25">
      <c r="A67" s="28" t="s">
        <v>136</v>
      </c>
      <c r="B67" s="28" t="s">
        <v>137</v>
      </c>
      <c r="C67" s="28" t="s">
        <v>138</v>
      </c>
      <c r="D67" s="28" t="s">
        <v>77</v>
      </c>
      <c r="E67" s="28" t="s">
        <v>78</v>
      </c>
      <c r="F67" s="28" t="s">
        <v>79</v>
      </c>
      <c r="G67" s="28" t="s">
        <v>111</v>
      </c>
      <c r="H67" s="28" t="s">
        <v>139</v>
      </c>
      <c r="I67" s="28" t="s">
        <v>140</v>
      </c>
      <c r="J67" s="28" t="s">
        <v>141</v>
      </c>
      <c r="K67" s="28" t="s">
        <v>142</v>
      </c>
      <c r="L67" s="28" t="s">
        <v>143</v>
      </c>
      <c r="M67" s="28" t="s">
        <v>144</v>
      </c>
      <c r="N67" s="28" t="s">
        <v>145</v>
      </c>
      <c r="O67" s="28" t="s">
        <v>146</v>
      </c>
      <c r="P67" s="28" t="s">
        <v>147</v>
      </c>
    </row>
    <row r="68" spans="1:16" x14ac:dyDescent="0.25">
      <c r="A68" s="40" t="s">
        <v>30</v>
      </c>
      <c r="B68" s="29">
        <f>IFERROR(SUMIFS(tblDaily[Remaining],tblDaily[EntryDate],DATE(2026,4,30),tblDaily[WardCode],"MW"),0)</f>
        <v>0</v>
      </c>
      <c r="C68" s="29">
        <f>IFERROR(INDEX(tblWardConfig[BedComplement],MATCH("MW",tblWardConfig[WardCode],0)),0)</f>
        <v>32</v>
      </c>
      <c r="D68" s="29">
        <f>SUMIFS(tblDaily[Admissions],tblDaily[Month],5,tblDaily[WardCode],"MW") - SUMIFS(tblDaily[DeathsUnder24Hrs],tblDaily[Month],5,tblDaily[WardCode],"MW")</f>
        <v>0</v>
      </c>
      <c r="E68" s="29">
        <f>SUMIFS(tblDaily[Discharges],tblDaily[Month],5,tblDaily[WardCode],"MW")</f>
        <v>0</v>
      </c>
      <c r="F68" s="29">
        <f>SUMIFS(tblDaily[Deaths],tblDaily[Month],5,tblDaily[WardCode],"MW")</f>
        <v>0</v>
      </c>
      <c r="G68" s="29">
        <f>SUMIFS(tblDaily[DeathsUnder24Hrs],tblDaily[Month],5,tblDaily[WardCode],"MW")</f>
        <v>0</v>
      </c>
      <c r="H68" s="29">
        <f>SUMIFS(tblDaily[Remaining],tblDaily[Month],5,tblDaily[WardCode],"MW")</f>
        <v>0</v>
      </c>
      <c r="I68" s="29">
        <f>SUMIFS(tblDaily[TransfersIn],tblDaily[Month],5,tblDaily[WardCode],"MW")</f>
        <v>0</v>
      </c>
      <c r="J68" s="29">
        <f>SUMIFS(tblDaily[TransfersOut],tblDaily[Month],5,tblDaily[WardCode],"MW")</f>
        <v>0</v>
      </c>
      <c r="K68" s="41">
        <f t="shared" ref="K68:K79" si="32">IFERROR(H68/31,0)</f>
        <v>0</v>
      </c>
      <c r="L68" s="41">
        <f t="shared" ref="L68:L79" si="33">IFERROR(H68/(E68+F68),0)</f>
        <v>0</v>
      </c>
      <c r="M68" s="41">
        <f t="shared" ref="M68:M79" si="34">IFERROR((C68*31-H68)/(E68+F68),0)</f>
        <v>0</v>
      </c>
      <c r="N68" s="41">
        <f t="shared" ref="N68:N79" si="35">IFERROR((E68+F68)/C68,0)</f>
        <v>0</v>
      </c>
      <c r="O68" s="41">
        <f t="shared" ref="O68:O79" si="36">IFERROR((H68/(C68*31))*100,0)</f>
        <v>0</v>
      </c>
      <c r="P68" s="41">
        <f t="shared" ref="P68:P79" si="37">IFERROR((F68/(D68+B68))*100,0)</f>
        <v>0</v>
      </c>
    </row>
    <row r="69" spans="1:16" x14ac:dyDescent="0.25">
      <c r="A69" s="40" t="s">
        <v>32</v>
      </c>
      <c r="B69" s="29">
        <f>IFERROR(SUMIFS(tblDaily[Remaining],tblDaily[EntryDate],DATE(2026,4,30),tblDaily[WardCode],"FW"),0)</f>
        <v>16</v>
      </c>
      <c r="C69" s="29">
        <f>IFERROR(INDEX(tblWardConfig[BedComplement],MATCH("FW",tblWardConfig[WardCode],0)),0)</f>
        <v>28</v>
      </c>
      <c r="D69" s="29">
        <f>SUMIFS(tblDaily[Admissions],tblDaily[Month],5,tblDaily[WardCode],"FW") - SUMIFS(tblDaily[DeathsUnder24Hrs],tblDaily[Month],5,tblDaily[WardCode],"FW")</f>
        <v>0</v>
      </c>
      <c r="E69" s="29">
        <f>SUMIFS(tblDaily[Discharges],tblDaily[Month],5,tblDaily[WardCode],"FW")</f>
        <v>0</v>
      </c>
      <c r="F69" s="29">
        <f>SUMIFS(tblDaily[Deaths],tblDaily[Month],5,tblDaily[WardCode],"FW")</f>
        <v>0</v>
      </c>
      <c r="G69" s="29">
        <f>SUMIFS(tblDaily[DeathsUnder24Hrs],tblDaily[Month],5,tblDaily[WardCode],"FW")</f>
        <v>0</v>
      </c>
      <c r="H69" s="29">
        <f>SUMIFS(tblDaily[Remaining],tblDaily[Month],5,tblDaily[WardCode],"FW")</f>
        <v>0</v>
      </c>
      <c r="I69" s="29">
        <f>SUMIFS(tblDaily[TransfersIn],tblDaily[Month],5,tblDaily[WardCode],"FW")</f>
        <v>0</v>
      </c>
      <c r="J69" s="29">
        <f>SUMIFS(tblDaily[TransfersOut],tblDaily[Month],5,tblDaily[WardCode],"FW")</f>
        <v>0</v>
      </c>
      <c r="K69" s="41">
        <f t="shared" si="32"/>
        <v>0</v>
      </c>
      <c r="L69" s="41">
        <f t="shared" si="33"/>
        <v>0</v>
      </c>
      <c r="M69" s="41">
        <f t="shared" si="34"/>
        <v>0</v>
      </c>
      <c r="N69" s="41">
        <f t="shared" si="35"/>
        <v>0</v>
      </c>
      <c r="O69" s="41">
        <f t="shared" si="36"/>
        <v>0</v>
      </c>
      <c r="P69" s="41">
        <f t="shared" si="37"/>
        <v>0</v>
      </c>
    </row>
    <row r="70" spans="1:16" x14ac:dyDescent="0.25">
      <c r="A70" s="40" t="s">
        <v>34</v>
      </c>
      <c r="B70" s="29">
        <f>IFERROR(SUMIFS(tblDaily[Remaining],tblDaily[EntryDate],DATE(2026,4,30),tblDaily[WardCode],"CW"),0)</f>
        <v>0</v>
      </c>
      <c r="C70" s="29">
        <f>IFERROR(INDEX(tblWardConfig[BedComplement],MATCH("CW",tblWardConfig[WardCode],0)),0)</f>
        <v>27</v>
      </c>
      <c r="D70" s="29">
        <f>SUMIFS(tblDaily[Admissions],tblDaily[Month],5,tblDaily[WardCode],"CW") - SUMIFS(tblDaily[DeathsUnder24Hrs],tblDaily[Month],5,tblDaily[WardCode],"CW")</f>
        <v>0</v>
      </c>
      <c r="E70" s="29">
        <f>SUMIFS(tblDaily[Discharges],tblDaily[Month],5,tblDaily[WardCode],"CW")</f>
        <v>0</v>
      </c>
      <c r="F70" s="29">
        <f>SUMIFS(tblDaily[Deaths],tblDaily[Month],5,tblDaily[WardCode],"CW")</f>
        <v>0</v>
      </c>
      <c r="G70" s="29">
        <f>SUMIFS(tblDaily[DeathsUnder24Hrs],tblDaily[Month],5,tblDaily[WardCode],"CW")</f>
        <v>0</v>
      </c>
      <c r="H70" s="29">
        <f>SUMIFS(tblDaily[Remaining],tblDaily[Month],5,tblDaily[WardCode],"CW")</f>
        <v>0</v>
      </c>
      <c r="I70" s="29">
        <f>SUMIFS(tblDaily[TransfersIn],tblDaily[Month],5,tblDaily[WardCode],"CW")</f>
        <v>0</v>
      </c>
      <c r="J70" s="29">
        <f>SUMIFS(tblDaily[TransfersOut],tblDaily[Month],5,tblDaily[WardCode],"CW")</f>
        <v>0</v>
      </c>
      <c r="K70" s="41">
        <f t="shared" si="32"/>
        <v>0</v>
      </c>
      <c r="L70" s="41">
        <f t="shared" si="33"/>
        <v>0</v>
      </c>
      <c r="M70" s="41">
        <f t="shared" si="34"/>
        <v>0</v>
      </c>
      <c r="N70" s="41">
        <f t="shared" si="35"/>
        <v>0</v>
      </c>
      <c r="O70" s="41">
        <f t="shared" si="36"/>
        <v>0</v>
      </c>
      <c r="P70" s="41">
        <f t="shared" si="37"/>
        <v>0</v>
      </c>
    </row>
    <row r="71" spans="1:16" x14ac:dyDescent="0.25">
      <c r="A71" s="40" t="s">
        <v>36</v>
      </c>
      <c r="B71" s="29">
        <f>IFERROR(SUMIFS(tblDaily[Remaining],tblDaily[EntryDate],DATE(2026,4,30),tblDaily[WardCode],"BF"),0)</f>
        <v>0</v>
      </c>
      <c r="C71" s="29">
        <f>IFERROR(INDEX(tblWardConfig[BedComplement],MATCH("BF",tblWardConfig[WardCode],0)),0)</f>
        <v>20</v>
      </c>
      <c r="D71" s="29">
        <f>SUMIFS(tblDaily[Admissions],tblDaily[Month],5,tblDaily[WardCode],"BF") - SUMIFS(tblDaily[DeathsUnder24Hrs],tblDaily[Month],5,tblDaily[WardCode],"BF")</f>
        <v>0</v>
      </c>
      <c r="E71" s="29">
        <f>SUMIFS(tblDaily[Discharges],tblDaily[Month],5,tblDaily[WardCode],"BF")</f>
        <v>0</v>
      </c>
      <c r="F71" s="29">
        <f>SUMIFS(tblDaily[Deaths],tblDaily[Month],5,tblDaily[WardCode],"BF")</f>
        <v>0</v>
      </c>
      <c r="G71" s="29">
        <f>SUMIFS(tblDaily[DeathsUnder24Hrs],tblDaily[Month],5,tblDaily[WardCode],"BF")</f>
        <v>0</v>
      </c>
      <c r="H71" s="29">
        <f>SUMIFS(tblDaily[Remaining],tblDaily[Month],5,tblDaily[WardCode],"BF")</f>
        <v>0</v>
      </c>
      <c r="I71" s="29">
        <f>SUMIFS(tblDaily[TransfersIn],tblDaily[Month],5,tblDaily[WardCode],"BF")</f>
        <v>0</v>
      </c>
      <c r="J71" s="29">
        <f>SUMIFS(tblDaily[TransfersOut],tblDaily[Month],5,tblDaily[WardCode],"BF")</f>
        <v>0</v>
      </c>
      <c r="K71" s="41">
        <f t="shared" si="32"/>
        <v>0</v>
      </c>
      <c r="L71" s="41">
        <f t="shared" si="33"/>
        <v>0</v>
      </c>
      <c r="M71" s="41">
        <f t="shared" si="34"/>
        <v>0</v>
      </c>
      <c r="N71" s="41">
        <f t="shared" si="35"/>
        <v>0</v>
      </c>
      <c r="O71" s="41">
        <f t="shared" si="36"/>
        <v>0</v>
      </c>
      <c r="P71" s="41">
        <f t="shared" si="37"/>
        <v>0</v>
      </c>
    </row>
    <row r="72" spans="1:16" x14ac:dyDescent="0.25">
      <c r="A72" s="40" t="s">
        <v>38</v>
      </c>
      <c r="B72" s="29">
        <f>IFERROR(SUMIFS(tblDaily[Remaining],tblDaily[EntryDate],DATE(2026,4,30),tblDaily[WardCode],"BG"),0)</f>
        <v>0</v>
      </c>
      <c r="C72" s="29">
        <f>IFERROR(INDEX(tblWardConfig[BedComplement],MATCH("BG",tblWardConfig[WardCode],0)),0)</f>
        <v>14</v>
      </c>
      <c r="D72" s="29">
        <f>SUMIFS(tblDaily[Admissions],tblDaily[Month],5,tblDaily[WardCode],"BG") - SUMIFS(tblDaily[DeathsUnder24Hrs],tblDaily[Month],5,tblDaily[WardCode],"BG")</f>
        <v>0</v>
      </c>
      <c r="E72" s="29">
        <f>SUMIFS(tblDaily[Discharges],tblDaily[Month],5,tblDaily[WardCode],"BG")</f>
        <v>0</v>
      </c>
      <c r="F72" s="29">
        <f>SUMIFS(tblDaily[Deaths],tblDaily[Month],5,tblDaily[WardCode],"BG")</f>
        <v>0</v>
      </c>
      <c r="G72" s="29">
        <f>SUMIFS(tblDaily[DeathsUnder24Hrs],tblDaily[Month],5,tblDaily[WardCode],"BG")</f>
        <v>0</v>
      </c>
      <c r="H72" s="29">
        <f>SUMIFS(tblDaily[Remaining],tblDaily[Month],5,tblDaily[WardCode],"BG")</f>
        <v>0</v>
      </c>
      <c r="I72" s="29">
        <f>SUMIFS(tblDaily[TransfersIn],tblDaily[Month],5,tblDaily[WardCode],"BG")</f>
        <v>0</v>
      </c>
      <c r="J72" s="29">
        <f>SUMIFS(tblDaily[TransfersOut],tblDaily[Month],5,tblDaily[WardCode],"BG")</f>
        <v>0</v>
      </c>
      <c r="K72" s="41">
        <f t="shared" si="32"/>
        <v>0</v>
      </c>
      <c r="L72" s="41">
        <f t="shared" si="33"/>
        <v>0</v>
      </c>
      <c r="M72" s="41">
        <f t="shared" si="34"/>
        <v>0</v>
      </c>
      <c r="N72" s="41">
        <f t="shared" si="35"/>
        <v>0</v>
      </c>
      <c r="O72" s="41">
        <f t="shared" si="36"/>
        <v>0</v>
      </c>
      <c r="P72" s="41">
        <f t="shared" si="37"/>
        <v>0</v>
      </c>
    </row>
    <row r="73" spans="1:16" x14ac:dyDescent="0.25">
      <c r="A73" s="40" t="s">
        <v>40</v>
      </c>
      <c r="B73" s="29">
        <f>IFERROR(SUMIFS(tblDaily[Remaining],tblDaily[EntryDate],DATE(2026,4,30),tblDaily[WardCode],"BH"),0)</f>
        <v>0</v>
      </c>
      <c r="C73" s="29">
        <f>IFERROR(INDEX(tblWardConfig[BedComplement],MATCH("BH",tblWardConfig[WardCode],0)),0)</f>
        <v>22</v>
      </c>
      <c r="D73" s="29">
        <f>SUMIFS(tblDaily[Admissions],tblDaily[Month],5,tblDaily[WardCode],"BH") - SUMIFS(tblDaily[DeathsUnder24Hrs],tblDaily[Month],5,tblDaily[WardCode],"BH")</f>
        <v>0</v>
      </c>
      <c r="E73" s="29">
        <f>SUMIFS(tblDaily[Discharges],tblDaily[Month],5,tblDaily[WardCode],"BH")</f>
        <v>0</v>
      </c>
      <c r="F73" s="29">
        <f>SUMIFS(tblDaily[Deaths],tblDaily[Month],5,tblDaily[WardCode],"BH")</f>
        <v>0</v>
      </c>
      <c r="G73" s="29">
        <f>SUMIFS(tblDaily[DeathsUnder24Hrs],tblDaily[Month],5,tblDaily[WardCode],"BH")</f>
        <v>0</v>
      </c>
      <c r="H73" s="29">
        <f>SUMIFS(tblDaily[Remaining],tblDaily[Month],5,tblDaily[WardCode],"BH")</f>
        <v>0</v>
      </c>
      <c r="I73" s="29">
        <f>SUMIFS(tblDaily[TransfersIn],tblDaily[Month],5,tblDaily[WardCode],"BH")</f>
        <v>0</v>
      </c>
      <c r="J73" s="29">
        <f>SUMIFS(tblDaily[TransfersOut],tblDaily[Month],5,tblDaily[WardCode],"BH")</f>
        <v>0</v>
      </c>
      <c r="K73" s="41">
        <f t="shared" si="32"/>
        <v>0</v>
      </c>
      <c r="L73" s="41">
        <f t="shared" si="33"/>
        <v>0</v>
      </c>
      <c r="M73" s="41">
        <f t="shared" si="34"/>
        <v>0</v>
      </c>
      <c r="N73" s="41">
        <f t="shared" si="35"/>
        <v>0</v>
      </c>
      <c r="O73" s="41">
        <f t="shared" si="36"/>
        <v>0</v>
      </c>
      <c r="P73" s="41">
        <f t="shared" si="37"/>
        <v>0</v>
      </c>
    </row>
    <row r="74" spans="1:16" x14ac:dyDescent="0.25">
      <c r="A74" s="40" t="s">
        <v>42</v>
      </c>
      <c r="B74" s="29">
        <f>IFERROR(SUMIFS(tblDaily[Remaining],tblDaily[EntryDate],DATE(2026,4,30),tblDaily[WardCode],"NICU"),0)</f>
        <v>0</v>
      </c>
      <c r="C74" s="29">
        <f>IFERROR(INDEX(tblWardConfig[BedComplement],MATCH("NICU",tblWardConfig[WardCode],0)),0)</f>
        <v>15</v>
      </c>
      <c r="D74" s="29">
        <f>SUMIFS(tblDaily[Admissions],tblDaily[Month],5,tblDaily[WardCode],"NICU") - SUMIFS(tblDaily[DeathsUnder24Hrs],tblDaily[Month],5,tblDaily[WardCode],"NICU")</f>
        <v>0</v>
      </c>
      <c r="E74" s="29">
        <f>SUMIFS(tblDaily[Discharges],tblDaily[Month],5,tblDaily[WardCode],"NICU")</f>
        <v>0</v>
      </c>
      <c r="F74" s="29">
        <f>SUMIFS(tblDaily[Deaths],tblDaily[Month],5,tblDaily[WardCode],"NICU")</f>
        <v>0</v>
      </c>
      <c r="G74" s="29">
        <f>SUMIFS(tblDaily[DeathsUnder24Hrs],tblDaily[Month],5,tblDaily[WardCode],"NICU")</f>
        <v>0</v>
      </c>
      <c r="H74" s="29">
        <f>SUMIFS(tblDaily[Remaining],tblDaily[Month],5,tblDaily[WardCode],"NICU")</f>
        <v>0</v>
      </c>
      <c r="I74" s="29">
        <f>SUMIFS(tblDaily[TransfersIn],tblDaily[Month],5,tblDaily[WardCode],"NICU")</f>
        <v>0</v>
      </c>
      <c r="J74" s="29">
        <f>SUMIFS(tblDaily[TransfersOut],tblDaily[Month],5,tblDaily[WardCode],"NICU")</f>
        <v>0</v>
      </c>
      <c r="K74" s="41">
        <f t="shared" si="32"/>
        <v>0</v>
      </c>
      <c r="L74" s="41">
        <f t="shared" si="33"/>
        <v>0</v>
      </c>
      <c r="M74" s="41">
        <f t="shared" si="34"/>
        <v>0</v>
      </c>
      <c r="N74" s="41">
        <f t="shared" si="35"/>
        <v>0</v>
      </c>
      <c r="O74" s="41">
        <f t="shared" si="36"/>
        <v>0</v>
      </c>
      <c r="P74" s="41">
        <f t="shared" si="37"/>
        <v>0</v>
      </c>
    </row>
    <row r="75" spans="1:16" x14ac:dyDescent="0.25">
      <c r="A75" s="40" t="s">
        <v>44</v>
      </c>
      <c r="B75" s="29">
        <f>IFERROR(SUMIFS(tblDaily[Remaining],tblDaily[EntryDate],DATE(2026,4,30),tblDaily[WardCode],"MAE"),0)</f>
        <v>0</v>
      </c>
      <c r="C75" s="29">
        <f>IFERROR(INDEX(tblWardConfig[BedComplement],MATCH("MAE",tblWardConfig[WardCode],0)),0)</f>
        <v>10</v>
      </c>
      <c r="D75" s="29">
        <f>SUMIFS(tblDaily[Admissions],tblDaily[Month],5,tblDaily[WardCode],"MAE") - SUMIFS(tblDaily[DeathsUnder24Hrs],tblDaily[Month],5,tblDaily[WardCode],"MAE")</f>
        <v>0</v>
      </c>
      <c r="E75" s="29">
        <f>SUMIFS(tblDaily[Discharges],tblDaily[Month],5,tblDaily[WardCode],"MAE")</f>
        <v>0</v>
      </c>
      <c r="F75" s="29">
        <f>SUMIFS(tblDaily[Deaths],tblDaily[Month],5,tblDaily[WardCode],"MAE")</f>
        <v>0</v>
      </c>
      <c r="G75" s="29">
        <f>SUMIFS(tblDaily[DeathsUnder24Hrs],tblDaily[Month],5,tblDaily[WardCode],"MAE")</f>
        <v>0</v>
      </c>
      <c r="H75" s="29">
        <f>SUMIFS(tblDaily[Remaining],tblDaily[Month],5,tblDaily[WardCode],"MAE")</f>
        <v>0</v>
      </c>
      <c r="I75" s="29">
        <f>SUMIFS(tblDaily[TransfersIn],tblDaily[Month],5,tblDaily[WardCode],"MAE")</f>
        <v>0</v>
      </c>
      <c r="J75" s="29">
        <f>SUMIFS(tblDaily[TransfersOut],tblDaily[Month],5,tblDaily[WardCode],"MAE")</f>
        <v>0</v>
      </c>
      <c r="K75" s="41">
        <f t="shared" si="32"/>
        <v>0</v>
      </c>
      <c r="L75" s="41">
        <f t="shared" si="33"/>
        <v>0</v>
      </c>
      <c r="M75" s="41">
        <f t="shared" si="34"/>
        <v>0</v>
      </c>
      <c r="N75" s="41">
        <f t="shared" si="35"/>
        <v>0</v>
      </c>
      <c r="O75" s="41">
        <f t="shared" si="36"/>
        <v>0</v>
      </c>
      <c r="P75" s="41">
        <f t="shared" si="37"/>
        <v>0</v>
      </c>
    </row>
    <row r="76" spans="1:16" x14ac:dyDescent="0.25">
      <c r="A76" s="40" t="s">
        <v>46</v>
      </c>
      <c r="B76" s="29">
        <f>IFERROR(SUMIFS(tblDaily[Remaining],tblDaily[EntryDate],DATE(2026,4,30),tblDaily[WardCode],"FAE"),0)</f>
        <v>0</v>
      </c>
      <c r="C76" s="29">
        <f>IFERROR(INDEX(tblWardConfig[BedComplement],MATCH("FAE",tblWardConfig[WardCode],0)),0)</f>
        <v>10</v>
      </c>
      <c r="D76" s="29">
        <f>SUMIFS(tblDaily[Admissions],tblDaily[Month],5,tblDaily[WardCode],"FAE") - SUMIFS(tblDaily[DeathsUnder24Hrs],tblDaily[Month],5,tblDaily[WardCode],"FAE")</f>
        <v>0</v>
      </c>
      <c r="E76" s="29">
        <f>SUMIFS(tblDaily[Discharges],tblDaily[Month],5,tblDaily[WardCode],"FAE")</f>
        <v>0</v>
      </c>
      <c r="F76" s="29">
        <f>SUMIFS(tblDaily[Deaths],tblDaily[Month],5,tblDaily[WardCode],"FAE")</f>
        <v>0</v>
      </c>
      <c r="G76" s="29">
        <f>SUMIFS(tblDaily[DeathsUnder24Hrs],tblDaily[Month],5,tblDaily[WardCode],"FAE")</f>
        <v>0</v>
      </c>
      <c r="H76" s="29">
        <f>SUMIFS(tblDaily[Remaining],tblDaily[Month],5,tblDaily[WardCode],"FAE")</f>
        <v>0</v>
      </c>
      <c r="I76" s="29">
        <f>SUMIFS(tblDaily[TransfersIn],tblDaily[Month],5,tblDaily[WardCode],"FAE")</f>
        <v>0</v>
      </c>
      <c r="J76" s="29">
        <f>SUMIFS(tblDaily[TransfersOut],tblDaily[Month],5,tblDaily[WardCode],"FAE")</f>
        <v>0</v>
      </c>
      <c r="K76" s="41">
        <f t="shared" si="32"/>
        <v>0</v>
      </c>
      <c r="L76" s="41">
        <f t="shared" si="33"/>
        <v>0</v>
      </c>
      <c r="M76" s="41">
        <f t="shared" si="34"/>
        <v>0</v>
      </c>
      <c r="N76" s="41">
        <f t="shared" si="35"/>
        <v>0</v>
      </c>
      <c r="O76" s="41">
        <f t="shared" si="36"/>
        <v>0</v>
      </c>
      <c r="P76" s="41">
        <f t="shared" si="37"/>
        <v>0</v>
      </c>
    </row>
    <row r="77" spans="1:16" x14ac:dyDescent="0.25">
      <c r="A77" s="40" t="s">
        <v>48</v>
      </c>
      <c r="B77" s="29">
        <f>IFERROR(SUMIFS(tblDaily[Remaining],tblDaily[EntryDate],DATE(2026,4,30),tblDaily[WardCode],"ICU"),0)</f>
        <v>0</v>
      </c>
      <c r="C77" s="29">
        <f>IFERROR(INDEX(tblWardConfig[BedComplement],MATCH("ICU",tblWardConfig[WardCode],0)),0)</f>
        <v>4</v>
      </c>
      <c r="D77" s="29">
        <f>SUMIFS(tblDaily[Admissions],tblDaily[Month],5,tblDaily[WardCode],"ICU") - SUMIFS(tblDaily[DeathsUnder24Hrs],tblDaily[Month],5,tblDaily[WardCode],"ICU")</f>
        <v>0</v>
      </c>
      <c r="E77" s="29">
        <f>SUMIFS(tblDaily[Discharges],tblDaily[Month],5,tblDaily[WardCode],"ICU")</f>
        <v>0</v>
      </c>
      <c r="F77" s="29">
        <f>SUMIFS(tblDaily[Deaths],tblDaily[Month],5,tblDaily[WardCode],"ICU")</f>
        <v>0</v>
      </c>
      <c r="G77" s="29">
        <f>SUMIFS(tblDaily[DeathsUnder24Hrs],tblDaily[Month],5,tblDaily[WardCode],"ICU")</f>
        <v>0</v>
      </c>
      <c r="H77" s="29">
        <f>SUMIFS(tblDaily[Remaining],tblDaily[Month],5,tblDaily[WardCode],"ICU")</f>
        <v>0</v>
      </c>
      <c r="I77" s="29">
        <f>SUMIFS(tblDaily[TransfersIn],tblDaily[Month],5,tblDaily[WardCode],"ICU")</f>
        <v>0</v>
      </c>
      <c r="J77" s="29">
        <f>SUMIFS(tblDaily[TransfersOut],tblDaily[Month],5,tblDaily[WardCode],"ICU")</f>
        <v>0</v>
      </c>
      <c r="K77" s="41">
        <f t="shared" si="32"/>
        <v>0</v>
      </c>
      <c r="L77" s="41">
        <f t="shared" si="33"/>
        <v>0</v>
      </c>
      <c r="M77" s="41">
        <f t="shared" si="34"/>
        <v>0</v>
      </c>
      <c r="N77" s="41">
        <f t="shared" si="35"/>
        <v>0</v>
      </c>
      <c r="O77" s="41">
        <f t="shared" si="36"/>
        <v>0</v>
      </c>
      <c r="P77" s="41">
        <f t="shared" si="37"/>
        <v>0</v>
      </c>
    </row>
    <row r="78" spans="1:16" x14ac:dyDescent="0.25">
      <c r="A78" s="30" t="s">
        <v>115</v>
      </c>
      <c r="B78" s="30">
        <f t="shared" ref="B78:J78" si="38">SUM(B68:B77)</f>
        <v>16</v>
      </c>
      <c r="C78" s="30">
        <f t="shared" si="38"/>
        <v>182</v>
      </c>
      <c r="D78" s="30">
        <f t="shared" si="38"/>
        <v>0</v>
      </c>
      <c r="E78" s="30">
        <f t="shared" si="38"/>
        <v>0</v>
      </c>
      <c r="F78" s="30">
        <f t="shared" si="38"/>
        <v>0</v>
      </c>
      <c r="G78" s="30">
        <f t="shared" si="38"/>
        <v>0</v>
      </c>
      <c r="H78" s="30">
        <f t="shared" si="38"/>
        <v>0</v>
      </c>
      <c r="I78" s="30">
        <f t="shared" si="38"/>
        <v>0</v>
      </c>
      <c r="J78" s="30">
        <f t="shared" si="38"/>
        <v>0</v>
      </c>
      <c r="K78" s="42">
        <f t="shared" si="32"/>
        <v>0</v>
      </c>
      <c r="L78" s="42">
        <f t="shared" si="33"/>
        <v>0</v>
      </c>
      <c r="M78" s="42">
        <f t="shared" si="34"/>
        <v>0</v>
      </c>
      <c r="N78" s="42">
        <f t="shared" si="35"/>
        <v>0</v>
      </c>
      <c r="O78" s="42">
        <f t="shared" si="36"/>
        <v>0</v>
      </c>
      <c r="P78" s="42">
        <f t="shared" si="37"/>
        <v>0</v>
      </c>
    </row>
    <row r="79" spans="1:16" x14ac:dyDescent="0.25">
      <c r="A79" s="43" t="s">
        <v>148</v>
      </c>
      <c r="B79" s="43">
        <f t="shared" ref="B79:J79" si="39">B75+B76</f>
        <v>0</v>
      </c>
      <c r="C79" s="43">
        <f t="shared" si="39"/>
        <v>20</v>
      </c>
      <c r="D79" s="43">
        <f t="shared" si="39"/>
        <v>0</v>
      </c>
      <c r="E79" s="43">
        <f t="shared" si="39"/>
        <v>0</v>
      </c>
      <c r="F79" s="43">
        <f t="shared" si="39"/>
        <v>0</v>
      </c>
      <c r="G79" s="43">
        <f t="shared" si="39"/>
        <v>0</v>
      </c>
      <c r="H79" s="43">
        <f t="shared" si="39"/>
        <v>0</v>
      </c>
      <c r="I79" s="43">
        <f t="shared" si="39"/>
        <v>0</v>
      </c>
      <c r="J79" s="43">
        <f t="shared" si="39"/>
        <v>0</v>
      </c>
      <c r="K79" s="44">
        <f t="shared" si="32"/>
        <v>0</v>
      </c>
      <c r="L79" s="44">
        <f t="shared" si="33"/>
        <v>0</v>
      </c>
      <c r="M79" s="44">
        <f t="shared" si="34"/>
        <v>0</v>
      </c>
      <c r="N79" s="44">
        <f t="shared" si="35"/>
        <v>0</v>
      </c>
      <c r="O79" s="44">
        <f t="shared" si="36"/>
        <v>0</v>
      </c>
      <c r="P79" s="44">
        <f t="shared" si="37"/>
        <v>0</v>
      </c>
    </row>
    <row r="81" spans="1:16" ht="18.75" x14ac:dyDescent="0.25">
      <c r="A81" s="21" t="s">
        <v>0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</row>
    <row r="82" spans="1:16" ht="15.75" x14ac:dyDescent="0.25">
      <c r="A82" s="23" t="s">
        <v>153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</row>
    <row r="83" spans="1:16" ht="38.25" x14ac:dyDescent="0.25">
      <c r="A83" s="28" t="s">
        <v>136</v>
      </c>
      <c r="B83" s="28" t="s">
        <v>137</v>
      </c>
      <c r="C83" s="28" t="s">
        <v>138</v>
      </c>
      <c r="D83" s="28" t="s">
        <v>77</v>
      </c>
      <c r="E83" s="28" t="s">
        <v>78</v>
      </c>
      <c r="F83" s="28" t="s">
        <v>79</v>
      </c>
      <c r="G83" s="28" t="s">
        <v>111</v>
      </c>
      <c r="H83" s="28" t="s">
        <v>139</v>
      </c>
      <c r="I83" s="28" t="s">
        <v>140</v>
      </c>
      <c r="J83" s="28" t="s">
        <v>141</v>
      </c>
      <c r="K83" s="28" t="s">
        <v>142</v>
      </c>
      <c r="L83" s="28" t="s">
        <v>143</v>
      </c>
      <c r="M83" s="28" t="s">
        <v>144</v>
      </c>
      <c r="N83" s="28" t="s">
        <v>145</v>
      </c>
      <c r="O83" s="28" t="s">
        <v>146</v>
      </c>
      <c r="P83" s="28" t="s">
        <v>147</v>
      </c>
    </row>
    <row r="84" spans="1:16" x14ac:dyDescent="0.25">
      <c r="A84" s="40" t="s">
        <v>30</v>
      </c>
      <c r="B84" s="29">
        <f>IFERROR(SUMIFS(tblDaily[Remaining],tblDaily[EntryDate],DATE(2026,5,31),tblDaily[WardCode],"MW"),0)</f>
        <v>0</v>
      </c>
      <c r="C84" s="29">
        <f>IFERROR(INDEX(tblWardConfig[BedComplement],MATCH("MW",tblWardConfig[WardCode],0)),0)</f>
        <v>32</v>
      </c>
      <c r="D84" s="29">
        <f>SUMIFS(tblDaily[Admissions],tblDaily[Month],6,tblDaily[WardCode],"MW") - SUMIFS(tblDaily[DeathsUnder24Hrs],tblDaily[Month],6,tblDaily[WardCode],"MW")</f>
        <v>0</v>
      </c>
      <c r="E84" s="29">
        <f>SUMIFS(tblDaily[Discharges],tblDaily[Month],6,tblDaily[WardCode],"MW")</f>
        <v>0</v>
      </c>
      <c r="F84" s="29">
        <f>SUMIFS(tblDaily[Deaths],tblDaily[Month],6,tblDaily[WardCode],"MW")</f>
        <v>0</v>
      </c>
      <c r="G84" s="29">
        <f>SUMIFS(tblDaily[DeathsUnder24Hrs],tblDaily[Month],6,tblDaily[WardCode],"MW")</f>
        <v>0</v>
      </c>
      <c r="H84" s="29">
        <f>SUMIFS(tblDaily[Remaining],tblDaily[Month],6,tblDaily[WardCode],"MW")</f>
        <v>0</v>
      </c>
      <c r="I84" s="29">
        <f>SUMIFS(tblDaily[TransfersIn],tblDaily[Month],6,tblDaily[WardCode],"MW")</f>
        <v>0</v>
      </c>
      <c r="J84" s="29">
        <f>SUMIFS(tblDaily[TransfersOut],tblDaily[Month],6,tblDaily[WardCode],"MW")</f>
        <v>0</v>
      </c>
      <c r="K84" s="41">
        <f t="shared" ref="K84:K95" si="40">IFERROR(H84/30,0)</f>
        <v>0</v>
      </c>
      <c r="L84" s="41">
        <f t="shared" ref="L84:L95" si="41">IFERROR(H84/(E84+F84),0)</f>
        <v>0</v>
      </c>
      <c r="M84" s="41">
        <f t="shared" ref="M84:M95" si="42">IFERROR((C84*30-H84)/(E84+F84),0)</f>
        <v>0</v>
      </c>
      <c r="N84" s="41">
        <f t="shared" ref="N84:N95" si="43">IFERROR((E84+F84)/C84,0)</f>
        <v>0</v>
      </c>
      <c r="O84" s="41">
        <f t="shared" ref="O84:O95" si="44">IFERROR((H84/(C84*30))*100,0)</f>
        <v>0</v>
      </c>
      <c r="P84" s="41">
        <f t="shared" ref="P84:P95" si="45">IFERROR((F84/(D84+B84))*100,0)</f>
        <v>0</v>
      </c>
    </row>
    <row r="85" spans="1:16" x14ac:dyDescent="0.25">
      <c r="A85" s="40" t="s">
        <v>32</v>
      </c>
      <c r="B85" s="29">
        <f>IFERROR(SUMIFS(tblDaily[Remaining],tblDaily[EntryDate],DATE(2026,5,31),tblDaily[WardCode],"FW"),0)</f>
        <v>0</v>
      </c>
      <c r="C85" s="29">
        <f>IFERROR(INDEX(tblWardConfig[BedComplement],MATCH("FW",tblWardConfig[WardCode],0)),0)</f>
        <v>28</v>
      </c>
      <c r="D85" s="29">
        <f>SUMIFS(tblDaily[Admissions],tblDaily[Month],6,tblDaily[WardCode],"FW") - SUMIFS(tblDaily[DeathsUnder24Hrs],tblDaily[Month],6,tblDaily[WardCode],"FW")</f>
        <v>0</v>
      </c>
      <c r="E85" s="29">
        <f>SUMIFS(tblDaily[Discharges],tblDaily[Month],6,tblDaily[WardCode],"FW")</f>
        <v>0</v>
      </c>
      <c r="F85" s="29">
        <f>SUMIFS(tblDaily[Deaths],tblDaily[Month],6,tblDaily[WardCode],"FW")</f>
        <v>0</v>
      </c>
      <c r="G85" s="29">
        <f>SUMIFS(tblDaily[DeathsUnder24Hrs],tblDaily[Month],6,tblDaily[WardCode],"FW")</f>
        <v>0</v>
      </c>
      <c r="H85" s="29">
        <f>SUMIFS(tblDaily[Remaining],tblDaily[Month],6,tblDaily[WardCode],"FW")</f>
        <v>0</v>
      </c>
      <c r="I85" s="29">
        <f>SUMIFS(tblDaily[TransfersIn],tblDaily[Month],6,tblDaily[WardCode],"FW")</f>
        <v>0</v>
      </c>
      <c r="J85" s="29">
        <f>SUMIFS(tblDaily[TransfersOut],tblDaily[Month],6,tblDaily[WardCode],"FW")</f>
        <v>0</v>
      </c>
      <c r="K85" s="41">
        <f t="shared" si="40"/>
        <v>0</v>
      </c>
      <c r="L85" s="41">
        <f t="shared" si="41"/>
        <v>0</v>
      </c>
      <c r="M85" s="41">
        <f t="shared" si="42"/>
        <v>0</v>
      </c>
      <c r="N85" s="41">
        <f t="shared" si="43"/>
        <v>0</v>
      </c>
      <c r="O85" s="41">
        <f t="shared" si="44"/>
        <v>0</v>
      </c>
      <c r="P85" s="41">
        <f t="shared" si="45"/>
        <v>0</v>
      </c>
    </row>
    <row r="86" spans="1:16" x14ac:dyDescent="0.25">
      <c r="A86" s="40" t="s">
        <v>34</v>
      </c>
      <c r="B86" s="29">
        <f>IFERROR(SUMIFS(tblDaily[Remaining],tblDaily[EntryDate],DATE(2026,5,31),tblDaily[WardCode],"CW"),0)</f>
        <v>0</v>
      </c>
      <c r="C86" s="29">
        <f>IFERROR(INDEX(tblWardConfig[BedComplement],MATCH("CW",tblWardConfig[WardCode],0)),0)</f>
        <v>27</v>
      </c>
      <c r="D86" s="29">
        <f>SUMIFS(tblDaily[Admissions],tblDaily[Month],6,tblDaily[WardCode],"CW") - SUMIFS(tblDaily[DeathsUnder24Hrs],tblDaily[Month],6,tblDaily[WardCode],"CW")</f>
        <v>0</v>
      </c>
      <c r="E86" s="29">
        <f>SUMIFS(tblDaily[Discharges],tblDaily[Month],6,tblDaily[WardCode],"CW")</f>
        <v>0</v>
      </c>
      <c r="F86" s="29">
        <f>SUMIFS(tblDaily[Deaths],tblDaily[Month],6,tblDaily[WardCode],"CW")</f>
        <v>0</v>
      </c>
      <c r="G86" s="29">
        <f>SUMIFS(tblDaily[DeathsUnder24Hrs],tblDaily[Month],6,tblDaily[WardCode],"CW")</f>
        <v>0</v>
      </c>
      <c r="H86" s="29">
        <f>SUMIFS(tblDaily[Remaining],tblDaily[Month],6,tblDaily[WardCode],"CW")</f>
        <v>0</v>
      </c>
      <c r="I86" s="29">
        <f>SUMIFS(tblDaily[TransfersIn],tblDaily[Month],6,tblDaily[WardCode],"CW")</f>
        <v>0</v>
      </c>
      <c r="J86" s="29">
        <f>SUMIFS(tblDaily[TransfersOut],tblDaily[Month],6,tblDaily[WardCode],"CW")</f>
        <v>0</v>
      </c>
      <c r="K86" s="41">
        <f t="shared" si="40"/>
        <v>0</v>
      </c>
      <c r="L86" s="41">
        <f t="shared" si="41"/>
        <v>0</v>
      </c>
      <c r="M86" s="41">
        <f t="shared" si="42"/>
        <v>0</v>
      </c>
      <c r="N86" s="41">
        <f t="shared" si="43"/>
        <v>0</v>
      </c>
      <c r="O86" s="41">
        <f t="shared" si="44"/>
        <v>0</v>
      </c>
      <c r="P86" s="41">
        <f t="shared" si="45"/>
        <v>0</v>
      </c>
    </row>
    <row r="87" spans="1:16" x14ac:dyDescent="0.25">
      <c r="A87" s="40" t="s">
        <v>36</v>
      </c>
      <c r="B87" s="29">
        <f>IFERROR(SUMIFS(tblDaily[Remaining],tblDaily[EntryDate],DATE(2026,5,31),tblDaily[WardCode],"BF"),0)</f>
        <v>0</v>
      </c>
      <c r="C87" s="29">
        <f>IFERROR(INDEX(tblWardConfig[BedComplement],MATCH("BF",tblWardConfig[WardCode],0)),0)</f>
        <v>20</v>
      </c>
      <c r="D87" s="29">
        <f>SUMIFS(tblDaily[Admissions],tblDaily[Month],6,tblDaily[WardCode],"BF") - SUMIFS(tblDaily[DeathsUnder24Hrs],tblDaily[Month],6,tblDaily[WardCode],"BF")</f>
        <v>0</v>
      </c>
      <c r="E87" s="29">
        <f>SUMIFS(tblDaily[Discharges],tblDaily[Month],6,tblDaily[WardCode],"BF")</f>
        <v>0</v>
      </c>
      <c r="F87" s="29">
        <f>SUMIFS(tblDaily[Deaths],tblDaily[Month],6,tblDaily[WardCode],"BF")</f>
        <v>0</v>
      </c>
      <c r="G87" s="29">
        <f>SUMIFS(tblDaily[DeathsUnder24Hrs],tblDaily[Month],6,tblDaily[WardCode],"BF")</f>
        <v>0</v>
      </c>
      <c r="H87" s="29">
        <f>SUMIFS(tblDaily[Remaining],tblDaily[Month],6,tblDaily[WardCode],"BF")</f>
        <v>0</v>
      </c>
      <c r="I87" s="29">
        <f>SUMIFS(tblDaily[TransfersIn],tblDaily[Month],6,tblDaily[WardCode],"BF")</f>
        <v>0</v>
      </c>
      <c r="J87" s="29">
        <f>SUMIFS(tblDaily[TransfersOut],tblDaily[Month],6,tblDaily[WardCode],"BF")</f>
        <v>0</v>
      </c>
      <c r="K87" s="41">
        <f t="shared" si="40"/>
        <v>0</v>
      </c>
      <c r="L87" s="41">
        <f t="shared" si="41"/>
        <v>0</v>
      </c>
      <c r="M87" s="41">
        <f t="shared" si="42"/>
        <v>0</v>
      </c>
      <c r="N87" s="41">
        <f t="shared" si="43"/>
        <v>0</v>
      </c>
      <c r="O87" s="41">
        <f t="shared" si="44"/>
        <v>0</v>
      </c>
      <c r="P87" s="41">
        <f t="shared" si="45"/>
        <v>0</v>
      </c>
    </row>
    <row r="88" spans="1:16" x14ac:dyDescent="0.25">
      <c r="A88" s="40" t="s">
        <v>38</v>
      </c>
      <c r="B88" s="29">
        <f>IFERROR(SUMIFS(tblDaily[Remaining],tblDaily[EntryDate],DATE(2026,5,31),tblDaily[WardCode],"BG"),0)</f>
        <v>0</v>
      </c>
      <c r="C88" s="29">
        <f>IFERROR(INDEX(tblWardConfig[BedComplement],MATCH("BG",tblWardConfig[WardCode],0)),0)</f>
        <v>14</v>
      </c>
      <c r="D88" s="29">
        <f>SUMIFS(tblDaily[Admissions],tblDaily[Month],6,tblDaily[WardCode],"BG") - SUMIFS(tblDaily[DeathsUnder24Hrs],tblDaily[Month],6,tblDaily[WardCode],"BG")</f>
        <v>0</v>
      </c>
      <c r="E88" s="29">
        <f>SUMIFS(tblDaily[Discharges],tblDaily[Month],6,tblDaily[WardCode],"BG")</f>
        <v>0</v>
      </c>
      <c r="F88" s="29">
        <f>SUMIFS(tblDaily[Deaths],tblDaily[Month],6,tblDaily[WardCode],"BG")</f>
        <v>0</v>
      </c>
      <c r="G88" s="29">
        <f>SUMIFS(tblDaily[DeathsUnder24Hrs],tblDaily[Month],6,tblDaily[WardCode],"BG")</f>
        <v>0</v>
      </c>
      <c r="H88" s="29">
        <f>SUMIFS(tblDaily[Remaining],tblDaily[Month],6,tblDaily[WardCode],"BG")</f>
        <v>0</v>
      </c>
      <c r="I88" s="29">
        <f>SUMIFS(tblDaily[TransfersIn],tblDaily[Month],6,tblDaily[WardCode],"BG")</f>
        <v>0</v>
      </c>
      <c r="J88" s="29">
        <f>SUMIFS(tblDaily[TransfersOut],tblDaily[Month],6,tblDaily[WardCode],"BG")</f>
        <v>0</v>
      </c>
      <c r="K88" s="41">
        <f t="shared" si="40"/>
        <v>0</v>
      </c>
      <c r="L88" s="41">
        <f t="shared" si="41"/>
        <v>0</v>
      </c>
      <c r="M88" s="41">
        <f t="shared" si="42"/>
        <v>0</v>
      </c>
      <c r="N88" s="41">
        <f t="shared" si="43"/>
        <v>0</v>
      </c>
      <c r="O88" s="41">
        <f t="shared" si="44"/>
        <v>0</v>
      </c>
      <c r="P88" s="41">
        <f t="shared" si="45"/>
        <v>0</v>
      </c>
    </row>
    <row r="89" spans="1:16" x14ac:dyDescent="0.25">
      <c r="A89" s="40" t="s">
        <v>40</v>
      </c>
      <c r="B89" s="29">
        <f>IFERROR(SUMIFS(tblDaily[Remaining],tblDaily[EntryDate],DATE(2026,5,31),tblDaily[WardCode],"BH"),0)</f>
        <v>0</v>
      </c>
      <c r="C89" s="29">
        <f>IFERROR(INDEX(tblWardConfig[BedComplement],MATCH("BH",tblWardConfig[WardCode],0)),0)</f>
        <v>22</v>
      </c>
      <c r="D89" s="29">
        <f>SUMIFS(tblDaily[Admissions],tblDaily[Month],6,tblDaily[WardCode],"BH") - SUMIFS(tblDaily[DeathsUnder24Hrs],tblDaily[Month],6,tblDaily[WardCode],"BH")</f>
        <v>0</v>
      </c>
      <c r="E89" s="29">
        <f>SUMIFS(tblDaily[Discharges],tblDaily[Month],6,tblDaily[WardCode],"BH")</f>
        <v>0</v>
      </c>
      <c r="F89" s="29">
        <f>SUMIFS(tblDaily[Deaths],tblDaily[Month],6,tblDaily[WardCode],"BH")</f>
        <v>0</v>
      </c>
      <c r="G89" s="29">
        <f>SUMIFS(tblDaily[DeathsUnder24Hrs],tblDaily[Month],6,tblDaily[WardCode],"BH")</f>
        <v>0</v>
      </c>
      <c r="H89" s="29">
        <f>SUMIFS(tblDaily[Remaining],tblDaily[Month],6,tblDaily[WardCode],"BH")</f>
        <v>0</v>
      </c>
      <c r="I89" s="29">
        <f>SUMIFS(tblDaily[TransfersIn],tblDaily[Month],6,tblDaily[WardCode],"BH")</f>
        <v>0</v>
      </c>
      <c r="J89" s="29">
        <f>SUMIFS(tblDaily[TransfersOut],tblDaily[Month],6,tblDaily[WardCode],"BH")</f>
        <v>0</v>
      </c>
      <c r="K89" s="41">
        <f t="shared" si="40"/>
        <v>0</v>
      </c>
      <c r="L89" s="41">
        <f t="shared" si="41"/>
        <v>0</v>
      </c>
      <c r="M89" s="41">
        <f t="shared" si="42"/>
        <v>0</v>
      </c>
      <c r="N89" s="41">
        <f t="shared" si="43"/>
        <v>0</v>
      </c>
      <c r="O89" s="41">
        <f t="shared" si="44"/>
        <v>0</v>
      </c>
      <c r="P89" s="41">
        <f t="shared" si="45"/>
        <v>0</v>
      </c>
    </row>
    <row r="90" spans="1:16" x14ac:dyDescent="0.25">
      <c r="A90" s="40" t="s">
        <v>42</v>
      </c>
      <c r="B90" s="29">
        <f>IFERROR(SUMIFS(tblDaily[Remaining],tblDaily[EntryDate],DATE(2026,5,31),tblDaily[WardCode],"NICU"),0)</f>
        <v>0</v>
      </c>
      <c r="C90" s="29">
        <f>IFERROR(INDEX(tblWardConfig[BedComplement],MATCH("NICU",tblWardConfig[WardCode],0)),0)</f>
        <v>15</v>
      </c>
      <c r="D90" s="29">
        <f>SUMIFS(tblDaily[Admissions],tblDaily[Month],6,tblDaily[WardCode],"NICU") - SUMIFS(tblDaily[DeathsUnder24Hrs],tblDaily[Month],6,tblDaily[WardCode],"NICU")</f>
        <v>0</v>
      </c>
      <c r="E90" s="29">
        <f>SUMIFS(tblDaily[Discharges],tblDaily[Month],6,tblDaily[WardCode],"NICU")</f>
        <v>0</v>
      </c>
      <c r="F90" s="29">
        <f>SUMIFS(tblDaily[Deaths],tblDaily[Month],6,tblDaily[WardCode],"NICU")</f>
        <v>0</v>
      </c>
      <c r="G90" s="29">
        <f>SUMIFS(tblDaily[DeathsUnder24Hrs],tblDaily[Month],6,tblDaily[WardCode],"NICU")</f>
        <v>0</v>
      </c>
      <c r="H90" s="29">
        <f>SUMIFS(tblDaily[Remaining],tblDaily[Month],6,tblDaily[WardCode],"NICU")</f>
        <v>0</v>
      </c>
      <c r="I90" s="29">
        <f>SUMIFS(tblDaily[TransfersIn],tblDaily[Month],6,tblDaily[WardCode],"NICU")</f>
        <v>0</v>
      </c>
      <c r="J90" s="29">
        <f>SUMIFS(tblDaily[TransfersOut],tblDaily[Month],6,tblDaily[WardCode],"NICU")</f>
        <v>0</v>
      </c>
      <c r="K90" s="41">
        <f t="shared" si="40"/>
        <v>0</v>
      </c>
      <c r="L90" s="41">
        <f t="shared" si="41"/>
        <v>0</v>
      </c>
      <c r="M90" s="41">
        <f t="shared" si="42"/>
        <v>0</v>
      </c>
      <c r="N90" s="41">
        <f t="shared" si="43"/>
        <v>0</v>
      </c>
      <c r="O90" s="41">
        <f t="shared" si="44"/>
        <v>0</v>
      </c>
      <c r="P90" s="41">
        <f t="shared" si="45"/>
        <v>0</v>
      </c>
    </row>
    <row r="91" spans="1:16" x14ac:dyDescent="0.25">
      <c r="A91" s="40" t="s">
        <v>44</v>
      </c>
      <c r="B91" s="29">
        <f>IFERROR(SUMIFS(tblDaily[Remaining],tblDaily[EntryDate],DATE(2026,5,31),tblDaily[WardCode],"MAE"),0)</f>
        <v>0</v>
      </c>
      <c r="C91" s="29">
        <f>IFERROR(INDEX(tblWardConfig[BedComplement],MATCH("MAE",tblWardConfig[WardCode],0)),0)</f>
        <v>10</v>
      </c>
      <c r="D91" s="29">
        <f>SUMIFS(tblDaily[Admissions],tblDaily[Month],6,tblDaily[WardCode],"MAE") - SUMIFS(tblDaily[DeathsUnder24Hrs],tblDaily[Month],6,tblDaily[WardCode],"MAE")</f>
        <v>0</v>
      </c>
      <c r="E91" s="29">
        <f>SUMIFS(tblDaily[Discharges],tblDaily[Month],6,tblDaily[WardCode],"MAE")</f>
        <v>0</v>
      </c>
      <c r="F91" s="29">
        <f>SUMIFS(tblDaily[Deaths],tblDaily[Month],6,tblDaily[WardCode],"MAE")</f>
        <v>0</v>
      </c>
      <c r="G91" s="29">
        <f>SUMIFS(tblDaily[DeathsUnder24Hrs],tblDaily[Month],6,tblDaily[WardCode],"MAE")</f>
        <v>0</v>
      </c>
      <c r="H91" s="29">
        <f>SUMIFS(tblDaily[Remaining],tblDaily[Month],6,tblDaily[WardCode],"MAE")</f>
        <v>0</v>
      </c>
      <c r="I91" s="29">
        <f>SUMIFS(tblDaily[TransfersIn],tblDaily[Month],6,tblDaily[WardCode],"MAE")</f>
        <v>0</v>
      </c>
      <c r="J91" s="29">
        <f>SUMIFS(tblDaily[TransfersOut],tblDaily[Month],6,tblDaily[WardCode],"MAE")</f>
        <v>0</v>
      </c>
      <c r="K91" s="41">
        <f t="shared" si="40"/>
        <v>0</v>
      </c>
      <c r="L91" s="41">
        <f t="shared" si="41"/>
        <v>0</v>
      </c>
      <c r="M91" s="41">
        <f t="shared" si="42"/>
        <v>0</v>
      </c>
      <c r="N91" s="41">
        <f t="shared" si="43"/>
        <v>0</v>
      </c>
      <c r="O91" s="41">
        <f t="shared" si="44"/>
        <v>0</v>
      </c>
      <c r="P91" s="41">
        <f t="shared" si="45"/>
        <v>0</v>
      </c>
    </row>
    <row r="92" spans="1:16" x14ac:dyDescent="0.25">
      <c r="A92" s="40" t="s">
        <v>46</v>
      </c>
      <c r="B92" s="29">
        <f>IFERROR(SUMIFS(tblDaily[Remaining],tblDaily[EntryDate],DATE(2026,5,31),tblDaily[WardCode],"FAE"),0)</f>
        <v>0</v>
      </c>
      <c r="C92" s="29">
        <f>IFERROR(INDEX(tblWardConfig[BedComplement],MATCH("FAE",tblWardConfig[WardCode],0)),0)</f>
        <v>10</v>
      </c>
      <c r="D92" s="29">
        <f>SUMIFS(tblDaily[Admissions],tblDaily[Month],6,tblDaily[WardCode],"FAE") - SUMIFS(tblDaily[DeathsUnder24Hrs],tblDaily[Month],6,tblDaily[WardCode],"FAE")</f>
        <v>0</v>
      </c>
      <c r="E92" s="29">
        <f>SUMIFS(tblDaily[Discharges],tblDaily[Month],6,tblDaily[WardCode],"FAE")</f>
        <v>0</v>
      </c>
      <c r="F92" s="29">
        <f>SUMIFS(tblDaily[Deaths],tblDaily[Month],6,tblDaily[WardCode],"FAE")</f>
        <v>0</v>
      </c>
      <c r="G92" s="29">
        <f>SUMIFS(tblDaily[DeathsUnder24Hrs],tblDaily[Month],6,tblDaily[WardCode],"FAE")</f>
        <v>0</v>
      </c>
      <c r="H92" s="29">
        <f>SUMIFS(tblDaily[Remaining],tblDaily[Month],6,tblDaily[WardCode],"FAE")</f>
        <v>0</v>
      </c>
      <c r="I92" s="29">
        <f>SUMIFS(tblDaily[TransfersIn],tblDaily[Month],6,tblDaily[WardCode],"FAE")</f>
        <v>0</v>
      </c>
      <c r="J92" s="29">
        <f>SUMIFS(tblDaily[TransfersOut],tblDaily[Month],6,tblDaily[WardCode],"FAE")</f>
        <v>0</v>
      </c>
      <c r="K92" s="41">
        <f t="shared" si="40"/>
        <v>0</v>
      </c>
      <c r="L92" s="41">
        <f t="shared" si="41"/>
        <v>0</v>
      </c>
      <c r="M92" s="41">
        <f t="shared" si="42"/>
        <v>0</v>
      </c>
      <c r="N92" s="41">
        <f t="shared" si="43"/>
        <v>0</v>
      </c>
      <c r="O92" s="41">
        <f t="shared" si="44"/>
        <v>0</v>
      </c>
      <c r="P92" s="41">
        <f t="shared" si="45"/>
        <v>0</v>
      </c>
    </row>
    <row r="93" spans="1:16" x14ac:dyDescent="0.25">
      <c r="A93" s="40" t="s">
        <v>48</v>
      </c>
      <c r="B93" s="29">
        <f>IFERROR(SUMIFS(tblDaily[Remaining],tblDaily[EntryDate],DATE(2026,5,31),tblDaily[WardCode],"ICU"),0)</f>
        <v>0</v>
      </c>
      <c r="C93" s="29">
        <f>IFERROR(INDEX(tblWardConfig[BedComplement],MATCH("ICU",tblWardConfig[WardCode],0)),0)</f>
        <v>4</v>
      </c>
      <c r="D93" s="29">
        <f>SUMIFS(tblDaily[Admissions],tblDaily[Month],6,tblDaily[WardCode],"ICU") - SUMIFS(tblDaily[DeathsUnder24Hrs],tblDaily[Month],6,tblDaily[WardCode],"ICU")</f>
        <v>0</v>
      </c>
      <c r="E93" s="29">
        <f>SUMIFS(tblDaily[Discharges],tblDaily[Month],6,tblDaily[WardCode],"ICU")</f>
        <v>0</v>
      </c>
      <c r="F93" s="29">
        <f>SUMIFS(tblDaily[Deaths],tblDaily[Month],6,tblDaily[WardCode],"ICU")</f>
        <v>0</v>
      </c>
      <c r="G93" s="29">
        <f>SUMIFS(tblDaily[DeathsUnder24Hrs],tblDaily[Month],6,tblDaily[WardCode],"ICU")</f>
        <v>0</v>
      </c>
      <c r="H93" s="29">
        <f>SUMIFS(tblDaily[Remaining],tblDaily[Month],6,tblDaily[WardCode],"ICU")</f>
        <v>0</v>
      </c>
      <c r="I93" s="29">
        <f>SUMIFS(tblDaily[TransfersIn],tblDaily[Month],6,tblDaily[WardCode],"ICU")</f>
        <v>0</v>
      </c>
      <c r="J93" s="29">
        <f>SUMIFS(tblDaily[TransfersOut],tblDaily[Month],6,tblDaily[WardCode],"ICU")</f>
        <v>0</v>
      </c>
      <c r="K93" s="41">
        <f t="shared" si="40"/>
        <v>0</v>
      </c>
      <c r="L93" s="41">
        <f t="shared" si="41"/>
        <v>0</v>
      </c>
      <c r="M93" s="41">
        <f t="shared" si="42"/>
        <v>0</v>
      </c>
      <c r="N93" s="41">
        <f t="shared" si="43"/>
        <v>0</v>
      </c>
      <c r="O93" s="41">
        <f t="shared" si="44"/>
        <v>0</v>
      </c>
      <c r="P93" s="41">
        <f t="shared" si="45"/>
        <v>0</v>
      </c>
    </row>
    <row r="94" spans="1:16" x14ac:dyDescent="0.25">
      <c r="A94" s="30" t="s">
        <v>115</v>
      </c>
      <c r="B94" s="30">
        <f t="shared" ref="B94:J94" si="46">SUM(B84:B93)</f>
        <v>0</v>
      </c>
      <c r="C94" s="30">
        <f t="shared" si="46"/>
        <v>182</v>
      </c>
      <c r="D94" s="30">
        <f t="shared" si="46"/>
        <v>0</v>
      </c>
      <c r="E94" s="30">
        <f t="shared" si="46"/>
        <v>0</v>
      </c>
      <c r="F94" s="30">
        <f t="shared" si="46"/>
        <v>0</v>
      </c>
      <c r="G94" s="30">
        <f t="shared" si="46"/>
        <v>0</v>
      </c>
      <c r="H94" s="30">
        <f t="shared" si="46"/>
        <v>0</v>
      </c>
      <c r="I94" s="30">
        <f t="shared" si="46"/>
        <v>0</v>
      </c>
      <c r="J94" s="30">
        <f t="shared" si="46"/>
        <v>0</v>
      </c>
      <c r="K94" s="42">
        <f t="shared" si="40"/>
        <v>0</v>
      </c>
      <c r="L94" s="42">
        <f t="shared" si="41"/>
        <v>0</v>
      </c>
      <c r="M94" s="42">
        <f t="shared" si="42"/>
        <v>0</v>
      </c>
      <c r="N94" s="42">
        <f t="shared" si="43"/>
        <v>0</v>
      </c>
      <c r="O94" s="42">
        <f t="shared" si="44"/>
        <v>0</v>
      </c>
      <c r="P94" s="42">
        <f t="shared" si="45"/>
        <v>0</v>
      </c>
    </row>
    <row r="95" spans="1:16" x14ac:dyDescent="0.25">
      <c r="A95" s="43" t="s">
        <v>148</v>
      </c>
      <c r="B95" s="43">
        <f t="shared" ref="B95:J95" si="47">B91+B92</f>
        <v>0</v>
      </c>
      <c r="C95" s="43">
        <f t="shared" si="47"/>
        <v>20</v>
      </c>
      <c r="D95" s="43">
        <f t="shared" si="47"/>
        <v>0</v>
      </c>
      <c r="E95" s="43">
        <f t="shared" si="47"/>
        <v>0</v>
      </c>
      <c r="F95" s="43">
        <f t="shared" si="47"/>
        <v>0</v>
      </c>
      <c r="G95" s="43">
        <f t="shared" si="47"/>
        <v>0</v>
      </c>
      <c r="H95" s="43">
        <f t="shared" si="47"/>
        <v>0</v>
      </c>
      <c r="I95" s="43">
        <f t="shared" si="47"/>
        <v>0</v>
      </c>
      <c r="J95" s="43">
        <f t="shared" si="47"/>
        <v>0</v>
      </c>
      <c r="K95" s="44">
        <f t="shared" si="40"/>
        <v>0</v>
      </c>
      <c r="L95" s="44">
        <f t="shared" si="41"/>
        <v>0</v>
      </c>
      <c r="M95" s="44">
        <f t="shared" si="42"/>
        <v>0</v>
      </c>
      <c r="N95" s="44">
        <f t="shared" si="43"/>
        <v>0</v>
      </c>
      <c r="O95" s="44">
        <f t="shared" si="44"/>
        <v>0</v>
      </c>
      <c r="P95" s="44">
        <f t="shared" si="45"/>
        <v>0</v>
      </c>
    </row>
    <row r="97" spans="1:16" ht="18.75" x14ac:dyDescent="0.25">
      <c r="A97" s="21" t="s">
        <v>0</v>
      </c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</row>
    <row r="98" spans="1:16" ht="15.75" x14ac:dyDescent="0.25">
      <c r="A98" s="23" t="s">
        <v>154</v>
      </c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</row>
    <row r="99" spans="1:16" ht="38.25" x14ac:dyDescent="0.25">
      <c r="A99" s="28" t="s">
        <v>136</v>
      </c>
      <c r="B99" s="28" t="s">
        <v>137</v>
      </c>
      <c r="C99" s="28" t="s">
        <v>138</v>
      </c>
      <c r="D99" s="28" t="s">
        <v>77</v>
      </c>
      <c r="E99" s="28" t="s">
        <v>78</v>
      </c>
      <c r="F99" s="28" t="s">
        <v>79</v>
      </c>
      <c r="G99" s="28" t="s">
        <v>111</v>
      </c>
      <c r="H99" s="28" t="s">
        <v>139</v>
      </c>
      <c r="I99" s="28" t="s">
        <v>140</v>
      </c>
      <c r="J99" s="28" t="s">
        <v>141</v>
      </c>
      <c r="K99" s="28" t="s">
        <v>142</v>
      </c>
      <c r="L99" s="28" t="s">
        <v>143</v>
      </c>
      <c r="M99" s="28" t="s">
        <v>144</v>
      </c>
      <c r="N99" s="28" t="s">
        <v>145</v>
      </c>
      <c r="O99" s="28" t="s">
        <v>146</v>
      </c>
      <c r="P99" s="28" t="s">
        <v>147</v>
      </c>
    </row>
    <row r="100" spans="1:16" x14ac:dyDescent="0.25">
      <c r="A100" s="40" t="s">
        <v>30</v>
      </c>
      <c r="B100" s="29">
        <f>IFERROR(SUMIFS(tblDaily[Remaining],tblDaily[EntryDate],DATE(2026,6,30),tblDaily[WardCode],"MW"),0)</f>
        <v>0</v>
      </c>
      <c r="C100" s="29">
        <f>IFERROR(INDEX(tblWardConfig[BedComplement],MATCH("MW",tblWardConfig[WardCode],0)),0)</f>
        <v>32</v>
      </c>
      <c r="D100" s="29">
        <f>SUMIFS(tblDaily[Admissions],tblDaily[Month],7,tblDaily[WardCode],"MW") - SUMIFS(tblDaily[DeathsUnder24Hrs],tblDaily[Month],7,tblDaily[WardCode],"MW")</f>
        <v>0</v>
      </c>
      <c r="E100" s="29">
        <f>SUMIFS(tblDaily[Discharges],tblDaily[Month],7,tblDaily[WardCode],"MW")</f>
        <v>0</v>
      </c>
      <c r="F100" s="29">
        <f>SUMIFS(tblDaily[Deaths],tblDaily[Month],7,tblDaily[WardCode],"MW")</f>
        <v>0</v>
      </c>
      <c r="G100" s="29">
        <f>SUMIFS(tblDaily[DeathsUnder24Hrs],tblDaily[Month],7,tblDaily[WardCode],"MW")</f>
        <v>0</v>
      </c>
      <c r="H100" s="29">
        <f>SUMIFS(tblDaily[Remaining],tblDaily[Month],7,tblDaily[WardCode],"MW")</f>
        <v>0</v>
      </c>
      <c r="I100" s="29">
        <f>SUMIFS(tblDaily[TransfersIn],tblDaily[Month],7,tblDaily[WardCode],"MW")</f>
        <v>0</v>
      </c>
      <c r="J100" s="29">
        <f>SUMIFS(tblDaily[TransfersOut],tblDaily[Month],7,tblDaily[WardCode],"MW")</f>
        <v>0</v>
      </c>
      <c r="K100" s="41">
        <f t="shared" ref="K100:K111" si="48">IFERROR(H100/31,0)</f>
        <v>0</v>
      </c>
      <c r="L100" s="41">
        <f t="shared" ref="L100:L111" si="49">IFERROR(H100/(E100+F100),0)</f>
        <v>0</v>
      </c>
      <c r="M100" s="41">
        <f t="shared" ref="M100:M111" si="50">IFERROR((C100*31-H100)/(E100+F100),0)</f>
        <v>0</v>
      </c>
      <c r="N100" s="41">
        <f t="shared" ref="N100:N111" si="51">IFERROR((E100+F100)/C100,0)</f>
        <v>0</v>
      </c>
      <c r="O100" s="41">
        <f t="shared" ref="O100:O111" si="52">IFERROR((H100/(C100*31))*100,0)</f>
        <v>0</v>
      </c>
      <c r="P100" s="41">
        <f t="shared" ref="P100:P111" si="53">IFERROR((F100/(D100+B100))*100,0)</f>
        <v>0</v>
      </c>
    </row>
    <row r="101" spans="1:16" x14ac:dyDescent="0.25">
      <c r="A101" s="40" t="s">
        <v>32</v>
      </c>
      <c r="B101" s="29">
        <f>IFERROR(SUMIFS(tblDaily[Remaining],tblDaily[EntryDate],DATE(2026,6,30),tblDaily[WardCode],"FW"),0)</f>
        <v>0</v>
      </c>
      <c r="C101" s="29">
        <f>IFERROR(INDEX(tblWardConfig[BedComplement],MATCH("FW",tblWardConfig[WardCode],0)),0)</f>
        <v>28</v>
      </c>
      <c r="D101" s="29">
        <f>SUMIFS(tblDaily[Admissions],tblDaily[Month],7,tblDaily[WardCode],"FW") - SUMIFS(tblDaily[DeathsUnder24Hrs],tblDaily[Month],7,tblDaily[WardCode],"FW")</f>
        <v>0</v>
      </c>
      <c r="E101" s="29">
        <f>SUMIFS(tblDaily[Discharges],tblDaily[Month],7,tblDaily[WardCode],"FW")</f>
        <v>0</v>
      </c>
      <c r="F101" s="29">
        <f>SUMIFS(tblDaily[Deaths],tblDaily[Month],7,tblDaily[WardCode],"FW")</f>
        <v>0</v>
      </c>
      <c r="G101" s="29">
        <f>SUMIFS(tblDaily[DeathsUnder24Hrs],tblDaily[Month],7,tblDaily[WardCode],"FW")</f>
        <v>0</v>
      </c>
      <c r="H101" s="29">
        <f>SUMIFS(tblDaily[Remaining],tblDaily[Month],7,tblDaily[WardCode],"FW")</f>
        <v>0</v>
      </c>
      <c r="I101" s="29">
        <f>SUMIFS(tblDaily[TransfersIn],tblDaily[Month],7,tblDaily[WardCode],"FW")</f>
        <v>0</v>
      </c>
      <c r="J101" s="29">
        <f>SUMIFS(tblDaily[TransfersOut],tblDaily[Month],7,tblDaily[WardCode],"FW")</f>
        <v>0</v>
      </c>
      <c r="K101" s="41">
        <f t="shared" si="48"/>
        <v>0</v>
      </c>
      <c r="L101" s="41">
        <f t="shared" si="49"/>
        <v>0</v>
      </c>
      <c r="M101" s="41">
        <f t="shared" si="50"/>
        <v>0</v>
      </c>
      <c r="N101" s="41">
        <f t="shared" si="51"/>
        <v>0</v>
      </c>
      <c r="O101" s="41">
        <f t="shared" si="52"/>
        <v>0</v>
      </c>
      <c r="P101" s="41">
        <f t="shared" si="53"/>
        <v>0</v>
      </c>
    </row>
    <row r="102" spans="1:16" x14ac:dyDescent="0.25">
      <c r="A102" s="40" t="s">
        <v>34</v>
      </c>
      <c r="B102" s="29">
        <f>IFERROR(SUMIFS(tblDaily[Remaining],tblDaily[EntryDate],DATE(2026,6,30),tblDaily[WardCode],"CW"),0)</f>
        <v>0</v>
      </c>
      <c r="C102" s="29">
        <f>IFERROR(INDEX(tblWardConfig[BedComplement],MATCH("CW",tblWardConfig[WardCode],0)),0)</f>
        <v>27</v>
      </c>
      <c r="D102" s="29">
        <f>SUMIFS(tblDaily[Admissions],tblDaily[Month],7,tblDaily[WardCode],"CW") - SUMIFS(tblDaily[DeathsUnder24Hrs],tblDaily[Month],7,tblDaily[WardCode],"CW")</f>
        <v>0</v>
      </c>
      <c r="E102" s="29">
        <f>SUMIFS(tblDaily[Discharges],tblDaily[Month],7,tblDaily[WardCode],"CW")</f>
        <v>0</v>
      </c>
      <c r="F102" s="29">
        <f>SUMIFS(tblDaily[Deaths],tblDaily[Month],7,tblDaily[WardCode],"CW")</f>
        <v>0</v>
      </c>
      <c r="G102" s="29">
        <f>SUMIFS(tblDaily[DeathsUnder24Hrs],tblDaily[Month],7,tblDaily[WardCode],"CW")</f>
        <v>0</v>
      </c>
      <c r="H102" s="29">
        <f>SUMIFS(tblDaily[Remaining],tblDaily[Month],7,tblDaily[WardCode],"CW")</f>
        <v>0</v>
      </c>
      <c r="I102" s="29">
        <f>SUMIFS(tblDaily[TransfersIn],tblDaily[Month],7,tblDaily[WardCode],"CW")</f>
        <v>0</v>
      </c>
      <c r="J102" s="29">
        <f>SUMIFS(tblDaily[TransfersOut],tblDaily[Month],7,tblDaily[WardCode],"CW")</f>
        <v>0</v>
      </c>
      <c r="K102" s="41">
        <f t="shared" si="48"/>
        <v>0</v>
      </c>
      <c r="L102" s="41">
        <f t="shared" si="49"/>
        <v>0</v>
      </c>
      <c r="M102" s="41">
        <f t="shared" si="50"/>
        <v>0</v>
      </c>
      <c r="N102" s="41">
        <f t="shared" si="51"/>
        <v>0</v>
      </c>
      <c r="O102" s="41">
        <f t="shared" si="52"/>
        <v>0</v>
      </c>
      <c r="P102" s="41">
        <f t="shared" si="53"/>
        <v>0</v>
      </c>
    </row>
    <row r="103" spans="1:16" x14ac:dyDescent="0.25">
      <c r="A103" s="40" t="s">
        <v>36</v>
      </c>
      <c r="B103" s="29">
        <f>IFERROR(SUMIFS(tblDaily[Remaining],tblDaily[EntryDate],DATE(2026,6,30),tblDaily[WardCode],"BF"),0)</f>
        <v>0</v>
      </c>
      <c r="C103" s="29">
        <f>IFERROR(INDEX(tblWardConfig[BedComplement],MATCH("BF",tblWardConfig[WardCode],0)),0)</f>
        <v>20</v>
      </c>
      <c r="D103" s="29">
        <f>SUMIFS(tblDaily[Admissions],tblDaily[Month],7,tblDaily[WardCode],"BF") - SUMIFS(tblDaily[DeathsUnder24Hrs],tblDaily[Month],7,tblDaily[WardCode],"BF")</f>
        <v>0</v>
      </c>
      <c r="E103" s="29">
        <f>SUMIFS(tblDaily[Discharges],tblDaily[Month],7,tblDaily[WardCode],"BF")</f>
        <v>0</v>
      </c>
      <c r="F103" s="29">
        <f>SUMIFS(tblDaily[Deaths],tblDaily[Month],7,tblDaily[WardCode],"BF")</f>
        <v>0</v>
      </c>
      <c r="G103" s="29">
        <f>SUMIFS(tblDaily[DeathsUnder24Hrs],tblDaily[Month],7,tblDaily[WardCode],"BF")</f>
        <v>0</v>
      </c>
      <c r="H103" s="29">
        <f>SUMIFS(tblDaily[Remaining],tblDaily[Month],7,tblDaily[WardCode],"BF")</f>
        <v>0</v>
      </c>
      <c r="I103" s="29">
        <f>SUMIFS(tblDaily[TransfersIn],tblDaily[Month],7,tblDaily[WardCode],"BF")</f>
        <v>0</v>
      </c>
      <c r="J103" s="29">
        <f>SUMIFS(tblDaily[TransfersOut],tblDaily[Month],7,tblDaily[WardCode],"BF")</f>
        <v>0</v>
      </c>
      <c r="K103" s="41">
        <f t="shared" si="48"/>
        <v>0</v>
      </c>
      <c r="L103" s="41">
        <f t="shared" si="49"/>
        <v>0</v>
      </c>
      <c r="M103" s="41">
        <f t="shared" si="50"/>
        <v>0</v>
      </c>
      <c r="N103" s="41">
        <f t="shared" si="51"/>
        <v>0</v>
      </c>
      <c r="O103" s="41">
        <f t="shared" si="52"/>
        <v>0</v>
      </c>
      <c r="P103" s="41">
        <f t="shared" si="53"/>
        <v>0</v>
      </c>
    </row>
    <row r="104" spans="1:16" x14ac:dyDescent="0.25">
      <c r="A104" s="40" t="s">
        <v>38</v>
      </c>
      <c r="B104" s="29">
        <f>IFERROR(SUMIFS(tblDaily[Remaining],tblDaily[EntryDate],DATE(2026,6,30),tblDaily[WardCode],"BG"),0)</f>
        <v>0</v>
      </c>
      <c r="C104" s="29">
        <f>IFERROR(INDEX(tblWardConfig[BedComplement],MATCH("BG",tblWardConfig[WardCode],0)),0)</f>
        <v>14</v>
      </c>
      <c r="D104" s="29">
        <f>SUMIFS(tblDaily[Admissions],tblDaily[Month],7,tblDaily[WardCode],"BG") - SUMIFS(tblDaily[DeathsUnder24Hrs],tblDaily[Month],7,tblDaily[WardCode],"BG")</f>
        <v>0</v>
      </c>
      <c r="E104" s="29">
        <f>SUMIFS(tblDaily[Discharges],tblDaily[Month],7,tblDaily[WardCode],"BG")</f>
        <v>0</v>
      </c>
      <c r="F104" s="29">
        <f>SUMIFS(tblDaily[Deaths],tblDaily[Month],7,tblDaily[WardCode],"BG")</f>
        <v>0</v>
      </c>
      <c r="G104" s="29">
        <f>SUMIFS(tblDaily[DeathsUnder24Hrs],tblDaily[Month],7,tblDaily[WardCode],"BG")</f>
        <v>0</v>
      </c>
      <c r="H104" s="29">
        <f>SUMIFS(tblDaily[Remaining],tblDaily[Month],7,tblDaily[WardCode],"BG")</f>
        <v>0</v>
      </c>
      <c r="I104" s="29">
        <f>SUMIFS(tblDaily[TransfersIn],tblDaily[Month],7,tblDaily[WardCode],"BG")</f>
        <v>0</v>
      </c>
      <c r="J104" s="29">
        <f>SUMIFS(tblDaily[TransfersOut],tblDaily[Month],7,tblDaily[WardCode],"BG")</f>
        <v>0</v>
      </c>
      <c r="K104" s="41">
        <f t="shared" si="48"/>
        <v>0</v>
      </c>
      <c r="L104" s="41">
        <f t="shared" si="49"/>
        <v>0</v>
      </c>
      <c r="M104" s="41">
        <f t="shared" si="50"/>
        <v>0</v>
      </c>
      <c r="N104" s="41">
        <f t="shared" si="51"/>
        <v>0</v>
      </c>
      <c r="O104" s="41">
        <f t="shared" si="52"/>
        <v>0</v>
      </c>
      <c r="P104" s="41">
        <f t="shared" si="53"/>
        <v>0</v>
      </c>
    </row>
    <row r="105" spans="1:16" x14ac:dyDescent="0.25">
      <c r="A105" s="40" t="s">
        <v>40</v>
      </c>
      <c r="B105" s="29">
        <f>IFERROR(SUMIFS(tblDaily[Remaining],tblDaily[EntryDate],DATE(2026,6,30),tblDaily[WardCode],"BH"),0)</f>
        <v>0</v>
      </c>
      <c r="C105" s="29">
        <f>IFERROR(INDEX(tblWardConfig[BedComplement],MATCH("BH",tblWardConfig[WardCode],0)),0)</f>
        <v>22</v>
      </c>
      <c r="D105" s="29">
        <f>SUMIFS(tblDaily[Admissions],tblDaily[Month],7,tblDaily[WardCode],"BH") - SUMIFS(tblDaily[DeathsUnder24Hrs],tblDaily[Month],7,tblDaily[WardCode],"BH")</f>
        <v>0</v>
      </c>
      <c r="E105" s="29">
        <f>SUMIFS(tblDaily[Discharges],tblDaily[Month],7,tblDaily[WardCode],"BH")</f>
        <v>0</v>
      </c>
      <c r="F105" s="29">
        <f>SUMIFS(tblDaily[Deaths],tblDaily[Month],7,tblDaily[WardCode],"BH")</f>
        <v>0</v>
      </c>
      <c r="G105" s="29">
        <f>SUMIFS(tblDaily[DeathsUnder24Hrs],tblDaily[Month],7,tblDaily[WardCode],"BH")</f>
        <v>0</v>
      </c>
      <c r="H105" s="29">
        <f>SUMIFS(tblDaily[Remaining],tblDaily[Month],7,tblDaily[WardCode],"BH")</f>
        <v>0</v>
      </c>
      <c r="I105" s="29">
        <f>SUMIFS(tblDaily[TransfersIn],tblDaily[Month],7,tblDaily[WardCode],"BH")</f>
        <v>0</v>
      </c>
      <c r="J105" s="29">
        <f>SUMIFS(tblDaily[TransfersOut],tblDaily[Month],7,tblDaily[WardCode],"BH")</f>
        <v>0</v>
      </c>
      <c r="K105" s="41">
        <f t="shared" si="48"/>
        <v>0</v>
      </c>
      <c r="L105" s="41">
        <f t="shared" si="49"/>
        <v>0</v>
      </c>
      <c r="M105" s="41">
        <f t="shared" si="50"/>
        <v>0</v>
      </c>
      <c r="N105" s="41">
        <f t="shared" si="51"/>
        <v>0</v>
      </c>
      <c r="O105" s="41">
        <f t="shared" si="52"/>
        <v>0</v>
      </c>
      <c r="P105" s="41">
        <f t="shared" si="53"/>
        <v>0</v>
      </c>
    </row>
    <row r="106" spans="1:16" x14ac:dyDescent="0.25">
      <c r="A106" s="40" t="s">
        <v>42</v>
      </c>
      <c r="B106" s="29">
        <f>IFERROR(SUMIFS(tblDaily[Remaining],tblDaily[EntryDate],DATE(2026,6,30),tblDaily[WardCode],"NICU"),0)</f>
        <v>0</v>
      </c>
      <c r="C106" s="29">
        <f>IFERROR(INDEX(tblWardConfig[BedComplement],MATCH("NICU",tblWardConfig[WardCode],0)),0)</f>
        <v>15</v>
      </c>
      <c r="D106" s="29">
        <f>SUMIFS(tblDaily[Admissions],tblDaily[Month],7,tblDaily[WardCode],"NICU") - SUMIFS(tblDaily[DeathsUnder24Hrs],tblDaily[Month],7,tblDaily[WardCode],"NICU")</f>
        <v>0</v>
      </c>
      <c r="E106" s="29">
        <f>SUMIFS(tblDaily[Discharges],tblDaily[Month],7,tblDaily[WardCode],"NICU")</f>
        <v>0</v>
      </c>
      <c r="F106" s="29">
        <f>SUMIFS(tblDaily[Deaths],tblDaily[Month],7,tblDaily[WardCode],"NICU")</f>
        <v>0</v>
      </c>
      <c r="G106" s="29">
        <f>SUMIFS(tblDaily[DeathsUnder24Hrs],tblDaily[Month],7,tblDaily[WardCode],"NICU")</f>
        <v>0</v>
      </c>
      <c r="H106" s="29">
        <f>SUMIFS(tblDaily[Remaining],tblDaily[Month],7,tblDaily[WardCode],"NICU")</f>
        <v>0</v>
      </c>
      <c r="I106" s="29">
        <f>SUMIFS(tblDaily[TransfersIn],tblDaily[Month],7,tblDaily[WardCode],"NICU")</f>
        <v>0</v>
      </c>
      <c r="J106" s="29">
        <f>SUMIFS(tblDaily[TransfersOut],tblDaily[Month],7,tblDaily[WardCode],"NICU")</f>
        <v>0</v>
      </c>
      <c r="K106" s="41">
        <f t="shared" si="48"/>
        <v>0</v>
      </c>
      <c r="L106" s="41">
        <f t="shared" si="49"/>
        <v>0</v>
      </c>
      <c r="M106" s="41">
        <f t="shared" si="50"/>
        <v>0</v>
      </c>
      <c r="N106" s="41">
        <f t="shared" si="51"/>
        <v>0</v>
      </c>
      <c r="O106" s="41">
        <f t="shared" si="52"/>
        <v>0</v>
      </c>
      <c r="P106" s="41">
        <f t="shared" si="53"/>
        <v>0</v>
      </c>
    </row>
    <row r="107" spans="1:16" x14ac:dyDescent="0.25">
      <c r="A107" s="40" t="s">
        <v>44</v>
      </c>
      <c r="B107" s="29">
        <f>IFERROR(SUMIFS(tblDaily[Remaining],tblDaily[EntryDate],DATE(2026,6,30),tblDaily[WardCode],"MAE"),0)</f>
        <v>0</v>
      </c>
      <c r="C107" s="29">
        <f>IFERROR(INDEX(tblWardConfig[BedComplement],MATCH("MAE",tblWardConfig[WardCode],0)),0)</f>
        <v>10</v>
      </c>
      <c r="D107" s="29">
        <f>SUMIFS(tblDaily[Admissions],tblDaily[Month],7,tblDaily[WardCode],"MAE") - SUMIFS(tblDaily[DeathsUnder24Hrs],tblDaily[Month],7,tblDaily[WardCode],"MAE")</f>
        <v>0</v>
      </c>
      <c r="E107" s="29">
        <f>SUMIFS(tblDaily[Discharges],tblDaily[Month],7,tblDaily[WardCode],"MAE")</f>
        <v>0</v>
      </c>
      <c r="F107" s="29">
        <f>SUMIFS(tblDaily[Deaths],tblDaily[Month],7,tblDaily[WardCode],"MAE")</f>
        <v>0</v>
      </c>
      <c r="G107" s="29">
        <f>SUMIFS(tblDaily[DeathsUnder24Hrs],tblDaily[Month],7,tblDaily[WardCode],"MAE")</f>
        <v>0</v>
      </c>
      <c r="H107" s="29">
        <f>SUMIFS(tblDaily[Remaining],tblDaily[Month],7,tblDaily[WardCode],"MAE")</f>
        <v>0</v>
      </c>
      <c r="I107" s="29">
        <f>SUMIFS(tblDaily[TransfersIn],tblDaily[Month],7,tblDaily[WardCode],"MAE")</f>
        <v>0</v>
      </c>
      <c r="J107" s="29">
        <f>SUMIFS(tblDaily[TransfersOut],tblDaily[Month],7,tblDaily[WardCode],"MAE")</f>
        <v>0</v>
      </c>
      <c r="K107" s="41">
        <f t="shared" si="48"/>
        <v>0</v>
      </c>
      <c r="L107" s="41">
        <f t="shared" si="49"/>
        <v>0</v>
      </c>
      <c r="M107" s="41">
        <f t="shared" si="50"/>
        <v>0</v>
      </c>
      <c r="N107" s="41">
        <f t="shared" si="51"/>
        <v>0</v>
      </c>
      <c r="O107" s="41">
        <f t="shared" si="52"/>
        <v>0</v>
      </c>
      <c r="P107" s="41">
        <f t="shared" si="53"/>
        <v>0</v>
      </c>
    </row>
    <row r="108" spans="1:16" x14ac:dyDescent="0.25">
      <c r="A108" s="40" t="s">
        <v>46</v>
      </c>
      <c r="B108" s="29">
        <f>IFERROR(SUMIFS(tblDaily[Remaining],tblDaily[EntryDate],DATE(2026,6,30),tblDaily[WardCode],"FAE"),0)</f>
        <v>0</v>
      </c>
      <c r="C108" s="29">
        <f>IFERROR(INDEX(tblWardConfig[BedComplement],MATCH("FAE",tblWardConfig[WardCode],0)),0)</f>
        <v>10</v>
      </c>
      <c r="D108" s="29">
        <f>SUMIFS(tblDaily[Admissions],tblDaily[Month],7,tblDaily[WardCode],"FAE") - SUMIFS(tblDaily[DeathsUnder24Hrs],tblDaily[Month],7,tblDaily[WardCode],"FAE")</f>
        <v>0</v>
      </c>
      <c r="E108" s="29">
        <f>SUMIFS(tblDaily[Discharges],tblDaily[Month],7,tblDaily[WardCode],"FAE")</f>
        <v>0</v>
      </c>
      <c r="F108" s="29">
        <f>SUMIFS(tblDaily[Deaths],tblDaily[Month],7,tblDaily[WardCode],"FAE")</f>
        <v>0</v>
      </c>
      <c r="G108" s="29">
        <f>SUMIFS(tblDaily[DeathsUnder24Hrs],tblDaily[Month],7,tblDaily[WardCode],"FAE")</f>
        <v>0</v>
      </c>
      <c r="H108" s="29">
        <f>SUMIFS(tblDaily[Remaining],tblDaily[Month],7,tblDaily[WardCode],"FAE")</f>
        <v>0</v>
      </c>
      <c r="I108" s="29">
        <f>SUMIFS(tblDaily[TransfersIn],tblDaily[Month],7,tblDaily[WardCode],"FAE")</f>
        <v>0</v>
      </c>
      <c r="J108" s="29">
        <f>SUMIFS(tblDaily[TransfersOut],tblDaily[Month],7,tblDaily[WardCode],"FAE")</f>
        <v>0</v>
      </c>
      <c r="K108" s="41">
        <f t="shared" si="48"/>
        <v>0</v>
      </c>
      <c r="L108" s="41">
        <f t="shared" si="49"/>
        <v>0</v>
      </c>
      <c r="M108" s="41">
        <f t="shared" si="50"/>
        <v>0</v>
      </c>
      <c r="N108" s="41">
        <f t="shared" si="51"/>
        <v>0</v>
      </c>
      <c r="O108" s="41">
        <f t="shared" si="52"/>
        <v>0</v>
      </c>
      <c r="P108" s="41">
        <f t="shared" si="53"/>
        <v>0</v>
      </c>
    </row>
    <row r="109" spans="1:16" x14ac:dyDescent="0.25">
      <c r="A109" s="40" t="s">
        <v>48</v>
      </c>
      <c r="B109" s="29">
        <f>IFERROR(SUMIFS(tblDaily[Remaining],tblDaily[EntryDate],DATE(2026,6,30),tblDaily[WardCode],"ICU"),0)</f>
        <v>0</v>
      </c>
      <c r="C109" s="29">
        <f>IFERROR(INDEX(tblWardConfig[BedComplement],MATCH("ICU",tblWardConfig[WardCode],0)),0)</f>
        <v>4</v>
      </c>
      <c r="D109" s="29">
        <f>SUMIFS(tblDaily[Admissions],tblDaily[Month],7,tblDaily[WardCode],"ICU") - SUMIFS(tblDaily[DeathsUnder24Hrs],tblDaily[Month],7,tblDaily[WardCode],"ICU")</f>
        <v>0</v>
      </c>
      <c r="E109" s="29">
        <f>SUMIFS(tblDaily[Discharges],tblDaily[Month],7,tblDaily[WardCode],"ICU")</f>
        <v>0</v>
      </c>
      <c r="F109" s="29">
        <f>SUMIFS(tblDaily[Deaths],tblDaily[Month],7,tblDaily[WardCode],"ICU")</f>
        <v>0</v>
      </c>
      <c r="G109" s="29">
        <f>SUMIFS(tblDaily[DeathsUnder24Hrs],tblDaily[Month],7,tblDaily[WardCode],"ICU")</f>
        <v>0</v>
      </c>
      <c r="H109" s="29">
        <f>SUMIFS(tblDaily[Remaining],tblDaily[Month],7,tblDaily[WardCode],"ICU")</f>
        <v>0</v>
      </c>
      <c r="I109" s="29">
        <f>SUMIFS(tblDaily[TransfersIn],tblDaily[Month],7,tblDaily[WardCode],"ICU")</f>
        <v>0</v>
      </c>
      <c r="J109" s="29">
        <f>SUMIFS(tblDaily[TransfersOut],tblDaily[Month],7,tblDaily[WardCode],"ICU")</f>
        <v>0</v>
      </c>
      <c r="K109" s="41">
        <f t="shared" si="48"/>
        <v>0</v>
      </c>
      <c r="L109" s="41">
        <f t="shared" si="49"/>
        <v>0</v>
      </c>
      <c r="M109" s="41">
        <f t="shared" si="50"/>
        <v>0</v>
      </c>
      <c r="N109" s="41">
        <f t="shared" si="51"/>
        <v>0</v>
      </c>
      <c r="O109" s="41">
        <f t="shared" si="52"/>
        <v>0</v>
      </c>
      <c r="P109" s="41">
        <f t="shared" si="53"/>
        <v>0</v>
      </c>
    </row>
    <row r="110" spans="1:16" x14ac:dyDescent="0.25">
      <c r="A110" s="30" t="s">
        <v>115</v>
      </c>
      <c r="B110" s="30">
        <f t="shared" ref="B110:J110" si="54">SUM(B100:B109)</f>
        <v>0</v>
      </c>
      <c r="C110" s="30">
        <f t="shared" si="54"/>
        <v>182</v>
      </c>
      <c r="D110" s="30">
        <f t="shared" si="54"/>
        <v>0</v>
      </c>
      <c r="E110" s="30">
        <f t="shared" si="54"/>
        <v>0</v>
      </c>
      <c r="F110" s="30">
        <f t="shared" si="54"/>
        <v>0</v>
      </c>
      <c r="G110" s="30">
        <f t="shared" si="54"/>
        <v>0</v>
      </c>
      <c r="H110" s="30">
        <f t="shared" si="54"/>
        <v>0</v>
      </c>
      <c r="I110" s="30">
        <f t="shared" si="54"/>
        <v>0</v>
      </c>
      <c r="J110" s="30">
        <f t="shared" si="54"/>
        <v>0</v>
      </c>
      <c r="K110" s="42">
        <f t="shared" si="48"/>
        <v>0</v>
      </c>
      <c r="L110" s="42">
        <f t="shared" si="49"/>
        <v>0</v>
      </c>
      <c r="M110" s="42">
        <f t="shared" si="50"/>
        <v>0</v>
      </c>
      <c r="N110" s="42">
        <f t="shared" si="51"/>
        <v>0</v>
      </c>
      <c r="O110" s="42">
        <f t="shared" si="52"/>
        <v>0</v>
      </c>
      <c r="P110" s="42">
        <f t="shared" si="53"/>
        <v>0</v>
      </c>
    </row>
    <row r="111" spans="1:16" x14ac:dyDescent="0.25">
      <c r="A111" s="43" t="s">
        <v>148</v>
      </c>
      <c r="B111" s="43">
        <f t="shared" ref="B111:J111" si="55">B107+B108</f>
        <v>0</v>
      </c>
      <c r="C111" s="43">
        <f t="shared" si="55"/>
        <v>20</v>
      </c>
      <c r="D111" s="43">
        <f t="shared" si="55"/>
        <v>0</v>
      </c>
      <c r="E111" s="43">
        <f t="shared" si="55"/>
        <v>0</v>
      </c>
      <c r="F111" s="43">
        <f t="shared" si="55"/>
        <v>0</v>
      </c>
      <c r="G111" s="43">
        <f t="shared" si="55"/>
        <v>0</v>
      </c>
      <c r="H111" s="43">
        <f t="shared" si="55"/>
        <v>0</v>
      </c>
      <c r="I111" s="43">
        <f t="shared" si="55"/>
        <v>0</v>
      </c>
      <c r="J111" s="43">
        <f t="shared" si="55"/>
        <v>0</v>
      </c>
      <c r="K111" s="44">
        <f t="shared" si="48"/>
        <v>0</v>
      </c>
      <c r="L111" s="44">
        <f t="shared" si="49"/>
        <v>0</v>
      </c>
      <c r="M111" s="44">
        <f t="shared" si="50"/>
        <v>0</v>
      </c>
      <c r="N111" s="44">
        <f t="shared" si="51"/>
        <v>0</v>
      </c>
      <c r="O111" s="44">
        <f t="shared" si="52"/>
        <v>0</v>
      </c>
      <c r="P111" s="44">
        <f t="shared" si="53"/>
        <v>0</v>
      </c>
    </row>
    <row r="113" spans="1:16" ht="18.75" x14ac:dyDescent="0.25">
      <c r="A113" s="21" t="s">
        <v>0</v>
      </c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</row>
    <row r="114" spans="1:16" ht="15.75" x14ac:dyDescent="0.25">
      <c r="A114" s="23" t="s">
        <v>155</v>
      </c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</row>
    <row r="115" spans="1:16" ht="38.25" x14ac:dyDescent="0.25">
      <c r="A115" s="28" t="s">
        <v>136</v>
      </c>
      <c r="B115" s="28" t="s">
        <v>137</v>
      </c>
      <c r="C115" s="28" t="s">
        <v>138</v>
      </c>
      <c r="D115" s="28" t="s">
        <v>77</v>
      </c>
      <c r="E115" s="28" t="s">
        <v>78</v>
      </c>
      <c r="F115" s="28" t="s">
        <v>79</v>
      </c>
      <c r="G115" s="28" t="s">
        <v>111</v>
      </c>
      <c r="H115" s="28" t="s">
        <v>139</v>
      </c>
      <c r="I115" s="28" t="s">
        <v>140</v>
      </c>
      <c r="J115" s="28" t="s">
        <v>141</v>
      </c>
      <c r="K115" s="28" t="s">
        <v>142</v>
      </c>
      <c r="L115" s="28" t="s">
        <v>143</v>
      </c>
      <c r="M115" s="28" t="s">
        <v>144</v>
      </c>
      <c r="N115" s="28" t="s">
        <v>145</v>
      </c>
      <c r="O115" s="28" t="s">
        <v>146</v>
      </c>
      <c r="P115" s="28" t="s">
        <v>147</v>
      </c>
    </row>
    <row r="116" spans="1:16" x14ac:dyDescent="0.25">
      <c r="A116" s="40" t="s">
        <v>30</v>
      </c>
      <c r="B116" s="29">
        <f>IFERROR(SUMIFS(tblDaily[Remaining],tblDaily[EntryDate],DATE(2026,7,31),tblDaily[WardCode],"MW"),0)</f>
        <v>0</v>
      </c>
      <c r="C116" s="29">
        <f>IFERROR(INDEX(tblWardConfig[BedComplement],MATCH("MW",tblWardConfig[WardCode],0)),0)</f>
        <v>32</v>
      </c>
      <c r="D116" s="29">
        <f>SUMIFS(tblDaily[Admissions],tblDaily[Month],8,tblDaily[WardCode],"MW") - SUMIFS(tblDaily[DeathsUnder24Hrs],tblDaily[Month],8,tblDaily[WardCode],"MW")</f>
        <v>0</v>
      </c>
      <c r="E116" s="29">
        <f>SUMIFS(tblDaily[Discharges],tblDaily[Month],8,tblDaily[WardCode],"MW")</f>
        <v>0</v>
      </c>
      <c r="F116" s="29">
        <f>SUMIFS(tblDaily[Deaths],tblDaily[Month],8,tblDaily[WardCode],"MW")</f>
        <v>0</v>
      </c>
      <c r="G116" s="29">
        <f>SUMIFS(tblDaily[DeathsUnder24Hrs],tblDaily[Month],8,tblDaily[WardCode],"MW")</f>
        <v>0</v>
      </c>
      <c r="H116" s="29">
        <f>SUMIFS(tblDaily[Remaining],tblDaily[Month],8,tblDaily[WardCode],"MW")</f>
        <v>0</v>
      </c>
      <c r="I116" s="29">
        <f>SUMIFS(tblDaily[TransfersIn],tblDaily[Month],8,tblDaily[WardCode],"MW")</f>
        <v>0</v>
      </c>
      <c r="J116" s="29">
        <f>SUMIFS(tblDaily[TransfersOut],tblDaily[Month],8,tblDaily[WardCode],"MW")</f>
        <v>0</v>
      </c>
      <c r="K116" s="41">
        <f t="shared" ref="K116:K127" si="56">IFERROR(H116/31,0)</f>
        <v>0</v>
      </c>
      <c r="L116" s="41">
        <f t="shared" ref="L116:L127" si="57">IFERROR(H116/(E116+F116),0)</f>
        <v>0</v>
      </c>
      <c r="M116" s="41">
        <f t="shared" ref="M116:M127" si="58">IFERROR((C116*31-H116)/(E116+F116),0)</f>
        <v>0</v>
      </c>
      <c r="N116" s="41">
        <f t="shared" ref="N116:N127" si="59">IFERROR((E116+F116)/C116,0)</f>
        <v>0</v>
      </c>
      <c r="O116" s="41">
        <f t="shared" ref="O116:O127" si="60">IFERROR((H116/(C116*31))*100,0)</f>
        <v>0</v>
      </c>
      <c r="P116" s="41">
        <f t="shared" ref="P116:P127" si="61">IFERROR((F116/(D116+B116))*100,0)</f>
        <v>0</v>
      </c>
    </row>
    <row r="117" spans="1:16" x14ac:dyDescent="0.25">
      <c r="A117" s="40" t="s">
        <v>32</v>
      </c>
      <c r="B117" s="29">
        <f>IFERROR(SUMIFS(tblDaily[Remaining],tblDaily[EntryDate],DATE(2026,7,31),tblDaily[WardCode],"FW"),0)</f>
        <v>0</v>
      </c>
      <c r="C117" s="29">
        <f>IFERROR(INDEX(tblWardConfig[BedComplement],MATCH("FW",tblWardConfig[WardCode],0)),0)</f>
        <v>28</v>
      </c>
      <c r="D117" s="29">
        <f>SUMIFS(tblDaily[Admissions],tblDaily[Month],8,tblDaily[WardCode],"FW") - SUMIFS(tblDaily[DeathsUnder24Hrs],tblDaily[Month],8,tblDaily[WardCode],"FW")</f>
        <v>0</v>
      </c>
      <c r="E117" s="29">
        <f>SUMIFS(tblDaily[Discharges],tblDaily[Month],8,tblDaily[WardCode],"FW")</f>
        <v>0</v>
      </c>
      <c r="F117" s="29">
        <f>SUMIFS(tblDaily[Deaths],tblDaily[Month],8,tblDaily[WardCode],"FW")</f>
        <v>0</v>
      </c>
      <c r="G117" s="29">
        <f>SUMIFS(tblDaily[DeathsUnder24Hrs],tblDaily[Month],8,tblDaily[WardCode],"FW")</f>
        <v>0</v>
      </c>
      <c r="H117" s="29">
        <f>SUMIFS(tblDaily[Remaining],tblDaily[Month],8,tblDaily[WardCode],"FW")</f>
        <v>0</v>
      </c>
      <c r="I117" s="29">
        <f>SUMIFS(tblDaily[TransfersIn],tblDaily[Month],8,tblDaily[WardCode],"FW")</f>
        <v>0</v>
      </c>
      <c r="J117" s="29">
        <f>SUMIFS(tblDaily[TransfersOut],tblDaily[Month],8,tblDaily[WardCode],"FW")</f>
        <v>0</v>
      </c>
      <c r="K117" s="41">
        <f t="shared" si="56"/>
        <v>0</v>
      </c>
      <c r="L117" s="41">
        <f t="shared" si="57"/>
        <v>0</v>
      </c>
      <c r="M117" s="41">
        <f t="shared" si="58"/>
        <v>0</v>
      </c>
      <c r="N117" s="41">
        <f t="shared" si="59"/>
        <v>0</v>
      </c>
      <c r="O117" s="41">
        <f t="shared" si="60"/>
        <v>0</v>
      </c>
      <c r="P117" s="41">
        <f t="shared" si="61"/>
        <v>0</v>
      </c>
    </row>
    <row r="118" spans="1:16" x14ac:dyDescent="0.25">
      <c r="A118" s="40" t="s">
        <v>34</v>
      </c>
      <c r="B118" s="29">
        <f>IFERROR(SUMIFS(tblDaily[Remaining],tblDaily[EntryDate],DATE(2026,7,31),tblDaily[WardCode],"CW"),0)</f>
        <v>0</v>
      </c>
      <c r="C118" s="29">
        <f>IFERROR(INDEX(tblWardConfig[BedComplement],MATCH("CW",tblWardConfig[WardCode],0)),0)</f>
        <v>27</v>
      </c>
      <c r="D118" s="29">
        <f>SUMIFS(tblDaily[Admissions],tblDaily[Month],8,tblDaily[WardCode],"CW") - SUMIFS(tblDaily[DeathsUnder24Hrs],tblDaily[Month],8,tblDaily[WardCode],"CW")</f>
        <v>0</v>
      </c>
      <c r="E118" s="29">
        <f>SUMIFS(tblDaily[Discharges],tblDaily[Month],8,tblDaily[WardCode],"CW")</f>
        <v>0</v>
      </c>
      <c r="F118" s="29">
        <f>SUMIFS(tblDaily[Deaths],tblDaily[Month],8,tblDaily[WardCode],"CW")</f>
        <v>0</v>
      </c>
      <c r="G118" s="29">
        <f>SUMIFS(tblDaily[DeathsUnder24Hrs],tblDaily[Month],8,tblDaily[WardCode],"CW")</f>
        <v>0</v>
      </c>
      <c r="H118" s="29">
        <f>SUMIFS(tblDaily[Remaining],tblDaily[Month],8,tblDaily[WardCode],"CW")</f>
        <v>0</v>
      </c>
      <c r="I118" s="29">
        <f>SUMIFS(tblDaily[TransfersIn],tblDaily[Month],8,tblDaily[WardCode],"CW")</f>
        <v>0</v>
      </c>
      <c r="J118" s="29">
        <f>SUMIFS(tblDaily[TransfersOut],tblDaily[Month],8,tblDaily[WardCode],"CW")</f>
        <v>0</v>
      </c>
      <c r="K118" s="41">
        <f t="shared" si="56"/>
        <v>0</v>
      </c>
      <c r="L118" s="41">
        <f t="shared" si="57"/>
        <v>0</v>
      </c>
      <c r="M118" s="41">
        <f t="shared" si="58"/>
        <v>0</v>
      </c>
      <c r="N118" s="41">
        <f t="shared" si="59"/>
        <v>0</v>
      </c>
      <c r="O118" s="41">
        <f t="shared" si="60"/>
        <v>0</v>
      </c>
      <c r="P118" s="41">
        <f t="shared" si="61"/>
        <v>0</v>
      </c>
    </row>
    <row r="119" spans="1:16" x14ac:dyDescent="0.25">
      <c r="A119" s="40" t="s">
        <v>36</v>
      </c>
      <c r="B119" s="29">
        <f>IFERROR(SUMIFS(tblDaily[Remaining],tblDaily[EntryDate],DATE(2026,7,31),tblDaily[WardCode],"BF"),0)</f>
        <v>0</v>
      </c>
      <c r="C119" s="29">
        <f>IFERROR(INDEX(tblWardConfig[BedComplement],MATCH("BF",tblWardConfig[WardCode],0)),0)</f>
        <v>20</v>
      </c>
      <c r="D119" s="29">
        <f>SUMIFS(tblDaily[Admissions],tblDaily[Month],8,tblDaily[WardCode],"BF") - SUMIFS(tblDaily[DeathsUnder24Hrs],tblDaily[Month],8,tblDaily[WardCode],"BF")</f>
        <v>0</v>
      </c>
      <c r="E119" s="29">
        <f>SUMIFS(tblDaily[Discharges],tblDaily[Month],8,tblDaily[WardCode],"BF")</f>
        <v>0</v>
      </c>
      <c r="F119" s="29">
        <f>SUMIFS(tblDaily[Deaths],tblDaily[Month],8,tblDaily[WardCode],"BF")</f>
        <v>0</v>
      </c>
      <c r="G119" s="29">
        <f>SUMIFS(tblDaily[DeathsUnder24Hrs],tblDaily[Month],8,tblDaily[WardCode],"BF")</f>
        <v>0</v>
      </c>
      <c r="H119" s="29">
        <f>SUMIFS(tblDaily[Remaining],tblDaily[Month],8,tblDaily[WardCode],"BF")</f>
        <v>0</v>
      </c>
      <c r="I119" s="29">
        <f>SUMIFS(tblDaily[TransfersIn],tblDaily[Month],8,tblDaily[WardCode],"BF")</f>
        <v>0</v>
      </c>
      <c r="J119" s="29">
        <f>SUMIFS(tblDaily[TransfersOut],tblDaily[Month],8,tblDaily[WardCode],"BF")</f>
        <v>0</v>
      </c>
      <c r="K119" s="41">
        <f t="shared" si="56"/>
        <v>0</v>
      </c>
      <c r="L119" s="41">
        <f t="shared" si="57"/>
        <v>0</v>
      </c>
      <c r="M119" s="41">
        <f t="shared" si="58"/>
        <v>0</v>
      </c>
      <c r="N119" s="41">
        <f t="shared" si="59"/>
        <v>0</v>
      </c>
      <c r="O119" s="41">
        <f t="shared" si="60"/>
        <v>0</v>
      </c>
      <c r="P119" s="41">
        <f t="shared" si="61"/>
        <v>0</v>
      </c>
    </row>
    <row r="120" spans="1:16" x14ac:dyDescent="0.25">
      <c r="A120" s="40" t="s">
        <v>38</v>
      </c>
      <c r="B120" s="29">
        <f>IFERROR(SUMIFS(tblDaily[Remaining],tblDaily[EntryDate],DATE(2026,7,31),tblDaily[WardCode],"BG"),0)</f>
        <v>0</v>
      </c>
      <c r="C120" s="29">
        <f>IFERROR(INDEX(tblWardConfig[BedComplement],MATCH("BG",tblWardConfig[WardCode],0)),0)</f>
        <v>14</v>
      </c>
      <c r="D120" s="29">
        <f>SUMIFS(tblDaily[Admissions],tblDaily[Month],8,tblDaily[WardCode],"BG") - SUMIFS(tblDaily[DeathsUnder24Hrs],tblDaily[Month],8,tblDaily[WardCode],"BG")</f>
        <v>0</v>
      </c>
      <c r="E120" s="29">
        <f>SUMIFS(tblDaily[Discharges],tblDaily[Month],8,tblDaily[WardCode],"BG")</f>
        <v>0</v>
      </c>
      <c r="F120" s="29">
        <f>SUMIFS(tblDaily[Deaths],tblDaily[Month],8,tblDaily[WardCode],"BG")</f>
        <v>0</v>
      </c>
      <c r="G120" s="29">
        <f>SUMIFS(tblDaily[DeathsUnder24Hrs],tblDaily[Month],8,tblDaily[WardCode],"BG")</f>
        <v>0</v>
      </c>
      <c r="H120" s="29">
        <f>SUMIFS(tblDaily[Remaining],tblDaily[Month],8,tblDaily[WardCode],"BG")</f>
        <v>0</v>
      </c>
      <c r="I120" s="29">
        <f>SUMIFS(tblDaily[TransfersIn],tblDaily[Month],8,tblDaily[WardCode],"BG")</f>
        <v>0</v>
      </c>
      <c r="J120" s="29">
        <f>SUMIFS(tblDaily[TransfersOut],tblDaily[Month],8,tblDaily[WardCode],"BG")</f>
        <v>0</v>
      </c>
      <c r="K120" s="41">
        <f t="shared" si="56"/>
        <v>0</v>
      </c>
      <c r="L120" s="41">
        <f t="shared" si="57"/>
        <v>0</v>
      </c>
      <c r="M120" s="41">
        <f t="shared" si="58"/>
        <v>0</v>
      </c>
      <c r="N120" s="41">
        <f t="shared" si="59"/>
        <v>0</v>
      </c>
      <c r="O120" s="41">
        <f t="shared" si="60"/>
        <v>0</v>
      </c>
      <c r="P120" s="41">
        <f t="shared" si="61"/>
        <v>0</v>
      </c>
    </row>
    <row r="121" spans="1:16" x14ac:dyDescent="0.25">
      <c r="A121" s="40" t="s">
        <v>40</v>
      </c>
      <c r="B121" s="29">
        <f>IFERROR(SUMIFS(tblDaily[Remaining],tblDaily[EntryDate],DATE(2026,7,31),tblDaily[WardCode],"BH"),0)</f>
        <v>0</v>
      </c>
      <c r="C121" s="29">
        <f>IFERROR(INDEX(tblWardConfig[BedComplement],MATCH("BH",tblWardConfig[WardCode],0)),0)</f>
        <v>22</v>
      </c>
      <c r="D121" s="29">
        <f>SUMIFS(tblDaily[Admissions],tblDaily[Month],8,tblDaily[WardCode],"BH") - SUMIFS(tblDaily[DeathsUnder24Hrs],tblDaily[Month],8,tblDaily[WardCode],"BH")</f>
        <v>0</v>
      </c>
      <c r="E121" s="29">
        <f>SUMIFS(tblDaily[Discharges],tblDaily[Month],8,tblDaily[WardCode],"BH")</f>
        <v>0</v>
      </c>
      <c r="F121" s="29">
        <f>SUMIFS(tblDaily[Deaths],tblDaily[Month],8,tblDaily[WardCode],"BH")</f>
        <v>0</v>
      </c>
      <c r="G121" s="29">
        <f>SUMIFS(tblDaily[DeathsUnder24Hrs],tblDaily[Month],8,tblDaily[WardCode],"BH")</f>
        <v>0</v>
      </c>
      <c r="H121" s="29">
        <f>SUMIFS(tblDaily[Remaining],tblDaily[Month],8,tblDaily[WardCode],"BH")</f>
        <v>0</v>
      </c>
      <c r="I121" s="29">
        <f>SUMIFS(tblDaily[TransfersIn],tblDaily[Month],8,tblDaily[WardCode],"BH")</f>
        <v>0</v>
      </c>
      <c r="J121" s="29">
        <f>SUMIFS(tblDaily[TransfersOut],tblDaily[Month],8,tblDaily[WardCode],"BH")</f>
        <v>0</v>
      </c>
      <c r="K121" s="41">
        <f t="shared" si="56"/>
        <v>0</v>
      </c>
      <c r="L121" s="41">
        <f t="shared" si="57"/>
        <v>0</v>
      </c>
      <c r="M121" s="41">
        <f t="shared" si="58"/>
        <v>0</v>
      </c>
      <c r="N121" s="41">
        <f t="shared" si="59"/>
        <v>0</v>
      </c>
      <c r="O121" s="41">
        <f t="shared" si="60"/>
        <v>0</v>
      </c>
      <c r="P121" s="41">
        <f t="shared" si="61"/>
        <v>0</v>
      </c>
    </row>
    <row r="122" spans="1:16" x14ac:dyDescent="0.25">
      <c r="A122" s="40" t="s">
        <v>42</v>
      </c>
      <c r="B122" s="29">
        <f>IFERROR(SUMIFS(tblDaily[Remaining],tblDaily[EntryDate],DATE(2026,7,31),tblDaily[WardCode],"NICU"),0)</f>
        <v>0</v>
      </c>
      <c r="C122" s="29">
        <f>IFERROR(INDEX(tblWardConfig[BedComplement],MATCH("NICU",tblWardConfig[WardCode],0)),0)</f>
        <v>15</v>
      </c>
      <c r="D122" s="29">
        <f>SUMIFS(tblDaily[Admissions],tblDaily[Month],8,tblDaily[WardCode],"NICU") - SUMIFS(tblDaily[DeathsUnder24Hrs],tblDaily[Month],8,tblDaily[WardCode],"NICU")</f>
        <v>0</v>
      </c>
      <c r="E122" s="29">
        <f>SUMIFS(tblDaily[Discharges],tblDaily[Month],8,tblDaily[WardCode],"NICU")</f>
        <v>0</v>
      </c>
      <c r="F122" s="29">
        <f>SUMIFS(tblDaily[Deaths],tblDaily[Month],8,tblDaily[WardCode],"NICU")</f>
        <v>0</v>
      </c>
      <c r="G122" s="29">
        <f>SUMIFS(tblDaily[DeathsUnder24Hrs],tblDaily[Month],8,tblDaily[WardCode],"NICU")</f>
        <v>0</v>
      </c>
      <c r="H122" s="29">
        <f>SUMIFS(tblDaily[Remaining],tblDaily[Month],8,tblDaily[WardCode],"NICU")</f>
        <v>0</v>
      </c>
      <c r="I122" s="29">
        <f>SUMIFS(tblDaily[TransfersIn],tblDaily[Month],8,tblDaily[WardCode],"NICU")</f>
        <v>0</v>
      </c>
      <c r="J122" s="29">
        <f>SUMIFS(tblDaily[TransfersOut],tblDaily[Month],8,tblDaily[WardCode],"NICU")</f>
        <v>0</v>
      </c>
      <c r="K122" s="41">
        <f t="shared" si="56"/>
        <v>0</v>
      </c>
      <c r="L122" s="41">
        <f t="shared" si="57"/>
        <v>0</v>
      </c>
      <c r="M122" s="41">
        <f t="shared" si="58"/>
        <v>0</v>
      </c>
      <c r="N122" s="41">
        <f t="shared" si="59"/>
        <v>0</v>
      </c>
      <c r="O122" s="41">
        <f t="shared" si="60"/>
        <v>0</v>
      </c>
      <c r="P122" s="41">
        <f t="shared" si="61"/>
        <v>0</v>
      </c>
    </row>
    <row r="123" spans="1:16" x14ac:dyDescent="0.25">
      <c r="A123" s="40" t="s">
        <v>44</v>
      </c>
      <c r="B123" s="29">
        <f>IFERROR(SUMIFS(tblDaily[Remaining],tblDaily[EntryDate],DATE(2026,7,31),tblDaily[WardCode],"MAE"),0)</f>
        <v>0</v>
      </c>
      <c r="C123" s="29">
        <f>IFERROR(INDEX(tblWardConfig[BedComplement],MATCH("MAE",tblWardConfig[WardCode],0)),0)</f>
        <v>10</v>
      </c>
      <c r="D123" s="29">
        <f>SUMIFS(tblDaily[Admissions],tblDaily[Month],8,tblDaily[WardCode],"MAE") - SUMIFS(tblDaily[DeathsUnder24Hrs],tblDaily[Month],8,tblDaily[WardCode],"MAE")</f>
        <v>0</v>
      </c>
      <c r="E123" s="29">
        <f>SUMIFS(tblDaily[Discharges],tblDaily[Month],8,tblDaily[WardCode],"MAE")</f>
        <v>0</v>
      </c>
      <c r="F123" s="29">
        <f>SUMIFS(tblDaily[Deaths],tblDaily[Month],8,tblDaily[WardCode],"MAE")</f>
        <v>0</v>
      </c>
      <c r="G123" s="29">
        <f>SUMIFS(tblDaily[DeathsUnder24Hrs],tblDaily[Month],8,tblDaily[WardCode],"MAE")</f>
        <v>0</v>
      </c>
      <c r="H123" s="29">
        <f>SUMIFS(tblDaily[Remaining],tblDaily[Month],8,tblDaily[WardCode],"MAE")</f>
        <v>0</v>
      </c>
      <c r="I123" s="29">
        <f>SUMIFS(tblDaily[TransfersIn],tblDaily[Month],8,tblDaily[WardCode],"MAE")</f>
        <v>0</v>
      </c>
      <c r="J123" s="29">
        <f>SUMIFS(tblDaily[TransfersOut],tblDaily[Month],8,tblDaily[WardCode],"MAE")</f>
        <v>0</v>
      </c>
      <c r="K123" s="41">
        <f t="shared" si="56"/>
        <v>0</v>
      </c>
      <c r="L123" s="41">
        <f t="shared" si="57"/>
        <v>0</v>
      </c>
      <c r="M123" s="41">
        <f t="shared" si="58"/>
        <v>0</v>
      </c>
      <c r="N123" s="41">
        <f t="shared" si="59"/>
        <v>0</v>
      </c>
      <c r="O123" s="41">
        <f t="shared" si="60"/>
        <v>0</v>
      </c>
      <c r="P123" s="41">
        <f t="shared" si="61"/>
        <v>0</v>
      </c>
    </row>
    <row r="124" spans="1:16" x14ac:dyDescent="0.25">
      <c r="A124" s="40" t="s">
        <v>46</v>
      </c>
      <c r="B124" s="29">
        <f>IFERROR(SUMIFS(tblDaily[Remaining],tblDaily[EntryDate],DATE(2026,7,31),tblDaily[WardCode],"FAE"),0)</f>
        <v>0</v>
      </c>
      <c r="C124" s="29">
        <f>IFERROR(INDEX(tblWardConfig[BedComplement],MATCH("FAE",tblWardConfig[WardCode],0)),0)</f>
        <v>10</v>
      </c>
      <c r="D124" s="29">
        <f>SUMIFS(tblDaily[Admissions],tblDaily[Month],8,tblDaily[WardCode],"FAE") - SUMIFS(tblDaily[DeathsUnder24Hrs],tblDaily[Month],8,tblDaily[WardCode],"FAE")</f>
        <v>0</v>
      </c>
      <c r="E124" s="29">
        <f>SUMIFS(tblDaily[Discharges],tblDaily[Month],8,tblDaily[WardCode],"FAE")</f>
        <v>0</v>
      </c>
      <c r="F124" s="29">
        <f>SUMIFS(tblDaily[Deaths],tblDaily[Month],8,tblDaily[WardCode],"FAE")</f>
        <v>0</v>
      </c>
      <c r="G124" s="29">
        <f>SUMIFS(tblDaily[DeathsUnder24Hrs],tblDaily[Month],8,tblDaily[WardCode],"FAE")</f>
        <v>0</v>
      </c>
      <c r="H124" s="29">
        <f>SUMIFS(tblDaily[Remaining],tblDaily[Month],8,tblDaily[WardCode],"FAE")</f>
        <v>0</v>
      </c>
      <c r="I124" s="29">
        <f>SUMIFS(tblDaily[TransfersIn],tblDaily[Month],8,tblDaily[WardCode],"FAE")</f>
        <v>0</v>
      </c>
      <c r="J124" s="29">
        <f>SUMIFS(tblDaily[TransfersOut],tblDaily[Month],8,tblDaily[WardCode],"FAE")</f>
        <v>0</v>
      </c>
      <c r="K124" s="41">
        <f t="shared" si="56"/>
        <v>0</v>
      </c>
      <c r="L124" s="41">
        <f t="shared" si="57"/>
        <v>0</v>
      </c>
      <c r="M124" s="41">
        <f t="shared" si="58"/>
        <v>0</v>
      </c>
      <c r="N124" s="41">
        <f t="shared" si="59"/>
        <v>0</v>
      </c>
      <c r="O124" s="41">
        <f t="shared" si="60"/>
        <v>0</v>
      </c>
      <c r="P124" s="41">
        <f t="shared" si="61"/>
        <v>0</v>
      </c>
    </row>
    <row r="125" spans="1:16" x14ac:dyDescent="0.25">
      <c r="A125" s="40" t="s">
        <v>48</v>
      </c>
      <c r="B125" s="29">
        <f>IFERROR(SUMIFS(tblDaily[Remaining],tblDaily[EntryDate],DATE(2026,7,31),tblDaily[WardCode],"ICU"),0)</f>
        <v>0</v>
      </c>
      <c r="C125" s="29">
        <f>IFERROR(INDEX(tblWardConfig[BedComplement],MATCH("ICU",tblWardConfig[WardCode],0)),0)</f>
        <v>4</v>
      </c>
      <c r="D125" s="29">
        <f>SUMIFS(tblDaily[Admissions],tblDaily[Month],8,tblDaily[WardCode],"ICU") - SUMIFS(tblDaily[DeathsUnder24Hrs],tblDaily[Month],8,tblDaily[WardCode],"ICU")</f>
        <v>0</v>
      </c>
      <c r="E125" s="29">
        <f>SUMIFS(tblDaily[Discharges],tblDaily[Month],8,tblDaily[WardCode],"ICU")</f>
        <v>0</v>
      </c>
      <c r="F125" s="29">
        <f>SUMIFS(tblDaily[Deaths],tblDaily[Month],8,tblDaily[WardCode],"ICU")</f>
        <v>0</v>
      </c>
      <c r="G125" s="29">
        <f>SUMIFS(tblDaily[DeathsUnder24Hrs],tblDaily[Month],8,tblDaily[WardCode],"ICU")</f>
        <v>0</v>
      </c>
      <c r="H125" s="29">
        <f>SUMIFS(tblDaily[Remaining],tblDaily[Month],8,tblDaily[WardCode],"ICU")</f>
        <v>0</v>
      </c>
      <c r="I125" s="29">
        <f>SUMIFS(tblDaily[TransfersIn],tblDaily[Month],8,tblDaily[WardCode],"ICU")</f>
        <v>0</v>
      </c>
      <c r="J125" s="29">
        <f>SUMIFS(tblDaily[TransfersOut],tblDaily[Month],8,tblDaily[WardCode],"ICU")</f>
        <v>0</v>
      </c>
      <c r="K125" s="41">
        <f t="shared" si="56"/>
        <v>0</v>
      </c>
      <c r="L125" s="41">
        <f t="shared" si="57"/>
        <v>0</v>
      </c>
      <c r="M125" s="41">
        <f t="shared" si="58"/>
        <v>0</v>
      </c>
      <c r="N125" s="41">
        <f t="shared" si="59"/>
        <v>0</v>
      </c>
      <c r="O125" s="41">
        <f t="shared" si="60"/>
        <v>0</v>
      </c>
      <c r="P125" s="41">
        <f t="shared" si="61"/>
        <v>0</v>
      </c>
    </row>
    <row r="126" spans="1:16" x14ac:dyDescent="0.25">
      <c r="A126" s="30" t="s">
        <v>115</v>
      </c>
      <c r="B126" s="30">
        <f t="shared" ref="B126:J126" si="62">SUM(B116:B125)</f>
        <v>0</v>
      </c>
      <c r="C126" s="30">
        <f t="shared" si="62"/>
        <v>182</v>
      </c>
      <c r="D126" s="30">
        <f t="shared" si="62"/>
        <v>0</v>
      </c>
      <c r="E126" s="30">
        <f t="shared" si="62"/>
        <v>0</v>
      </c>
      <c r="F126" s="30">
        <f t="shared" si="62"/>
        <v>0</v>
      </c>
      <c r="G126" s="30">
        <f t="shared" si="62"/>
        <v>0</v>
      </c>
      <c r="H126" s="30">
        <f t="shared" si="62"/>
        <v>0</v>
      </c>
      <c r="I126" s="30">
        <f t="shared" si="62"/>
        <v>0</v>
      </c>
      <c r="J126" s="30">
        <f t="shared" si="62"/>
        <v>0</v>
      </c>
      <c r="K126" s="42">
        <f t="shared" si="56"/>
        <v>0</v>
      </c>
      <c r="L126" s="42">
        <f t="shared" si="57"/>
        <v>0</v>
      </c>
      <c r="M126" s="42">
        <f t="shared" si="58"/>
        <v>0</v>
      </c>
      <c r="N126" s="42">
        <f t="shared" si="59"/>
        <v>0</v>
      </c>
      <c r="O126" s="42">
        <f t="shared" si="60"/>
        <v>0</v>
      </c>
      <c r="P126" s="42">
        <f t="shared" si="61"/>
        <v>0</v>
      </c>
    </row>
    <row r="127" spans="1:16" x14ac:dyDescent="0.25">
      <c r="A127" s="43" t="s">
        <v>148</v>
      </c>
      <c r="B127" s="43">
        <f t="shared" ref="B127:J127" si="63">B123+B124</f>
        <v>0</v>
      </c>
      <c r="C127" s="43">
        <f t="shared" si="63"/>
        <v>20</v>
      </c>
      <c r="D127" s="43">
        <f t="shared" si="63"/>
        <v>0</v>
      </c>
      <c r="E127" s="43">
        <f t="shared" si="63"/>
        <v>0</v>
      </c>
      <c r="F127" s="43">
        <f t="shared" si="63"/>
        <v>0</v>
      </c>
      <c r="G127" s="43">
        <f t="shared" si="63"/>
        <v>0</v>
      </c>
      <c r="H127" s="43">
        <f t="shared" si="63"/>
        <v>0</v>
      </c>
      <c r="I127" s="43">
        <f t="shared" si="63"/>
        <v>0</v>
      </c>
      <c r="J127" s="43">
        <f t="shared" si="63"/>
        <v>0</v>
      </c>
      <c r="K127" s="44">
        <f t="shared" si="56"/>
        <v>0</v>
      </c>
      <c r="L127" s="44">
        <f t="shared" si="57"/>
        <v>0</v>
      </c>
      <c r="M127" s="44">
        <f t="shared" si="58"/>
        <v>0</v>
      </c>
      <c r="N127" s="44">
        <f t="shared" si="59"/>
        <v>0</v>
      </c>
      <c r="O127" s="44">
        <f t="shared" si="60"/>
        <v>0</v>
      </c>
      <c r="P127" s="44">
        <f t="shared" si="61"/>
        <v>0</v>
      </c>
    </row>
    <row r="129" spans="1:16" ht="18.75" x14ac:dyDescent="0.25">
      <c r="A129" s="21" t="s">
        <v>0</v>
      </c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</row>
    <row r="130" spans="1:16" ht="15.75" x14ac:dyDescent="0.25">
      <c r="A130" s="23" t="s">
        <v>156</v>
      </c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</row>
    <row r="131" spans="1:16" ht="38.25" x14ac:dyDescent="0.25">
      <c r="A131" s="28" t="s">
        <v>136</v>
      </c>
      <c r="B131" s="28" t="s">
        <v>137</v>
      </c>
      <c r="C131" s="28" t="s">
        <v>138</v>
      </c>
      <c r="D131" s="28" t="s">
        <v>77</v>
      </c>
      <c r="E131" s="28" t="s">
        <v>78</v>
      </c>
      <c r="F131" s="28" t="s">
        <v>79</v>
      </c>
      <c r="G131" s="28" t="s">
        <v>111</v>
      </c>
      <c r="H131" s="28" t="s">
        <v>139</v>
      </c>
      <c r="I131" s="28" t="s">
        <v>140</v>
      </c>
      <c r="J131" s="28" t="s">
        <v>141</v>
      </c>
      <c r="K131" s="28" t="s">
        <v>142</v>
      </c>
      <c r="L131" s="28" t="s">
        <v>143</v>
      </c>
      <c r="M131" s="28" t="s">
        <v>144</v>
      </c>
      <c r="N131" s="28" t="s">
        <v>145</v>
      </c>
      <c r="O131" s="28" t="s">
        <v>146</v>
      </c>
      <c r="P131" s="28" t="s">
        <v>147</v>
      </c>
    </row>
    <row r="132" spans="1:16" x14ac:dyDescent="0.25">
      <c r="A132" s="40" t="s">
        <v>30</v>
      </c>
      <c r="B132" s="29">
        <f>IFERROR(SUMIFS(tblDaily[Remaining],tblDaily[EntryDate],DATE(2026,8,31),tblDaily[WardCode],"MW"),0)</f>
        <v>0</v>
      </c>
      <c r="C132" s="29">
        <f>IFERROR(INDEX(tblWardConfig[BedComplement],MATCH("MW",tblWardConfig[WardCode],0)),0)</f>
        <v>32</v>
      </c>
      <c r="D132" s="29">
        <f>SUMIFS(tblDaily[Admissions],tblDaily[Month],9,tblDaily[WardCode],"MW") - SUMIFS(tblDaily[DeathsUnder24Hrs],tblDaily[Month],9,tblDaily[WardCode],"MW")</f>
        <v>0</v>
      </c>
      <c r="E132" s="29">
        <f>SUMIFS(tblDaily[Discharges],tblDaily[Month],9,tblDaily[WardCode],"MW")</f>
        <v>0</v>
      </c>
      <c r="F132" s="29">
        <f>SUMIFS(tblDaily[Deaths],tblDaily[Month],9,tblDaily[WardCode],"MW")</f>
        <v>0</v>
      </c>
      <c r="G132" s="29">
        <f>SUMIFS(tblDaily[DeathsUnder24Hrs],tblDaily[Month],9,tblDaily[WardCode],"MW")</f>
        <v>0</v>
      </c>
      <c r="H132" s="29">
        <f>SUMIFS(tblDaily[Remaining],tblDaily[Month],9,tblDaily[WardCode],"MW")</f>
        <v>0</v>
      </c>
      <c r="I132" s="29">
        <f>SUMIFS(tblDaily[TransfersIn],tblDaily[Month],9,tblDaily[WardCode],"MW")</f>
        <v>0</v>
      </c>
      <c r="J132" s="29">
        <f>SUMIFS(tblDaily[TransfersOut],tblDaily[Month],9,tblDaily[WardCode],"MW")</f>
        <v>0</v>
      </c>
      <c r="K132" s="41">
        <f t="shared" ref="K132:K143" si="64">IFERROR(H132/30,0)</f>
        <v>0</v>
      </c>
      <c r="L132" s="41">
        <f t="shared" ref="L132:L143" si="65">IFERROR(H132/(E132+F132),0)</f>
        <v>0</v>
      </c>
      <c r="M132" s="41">
        <f t="shared" ref="M132:M143" si="66">IFERROR((C132*30-H132)/(E132+F132),0)</f>
        <v>0</v>
      </c>
      <c r="N132" s="41">
        <f t="shared" ref="N132:N143" si="67">IFERROR((E132+F132)/C132,0)</f>
        <v>0</v>
      </c>
      <c r="O132" s="41">
        <f t="shared" ref="O132:O143" si="68">IFERROR((H132/(C132*30))*100,0)</f>
        <v>0</v>
      </c>
      <c r="P132" s="41">
        <f t="shared" ref="P132:P143" si="69">IFERROR((F132/(D132+B132))*100,0)</f>
        <v>0</v>
      </c>
    </row>
    <row r="133" spans="1:16" x14ac:dyDescent="0.25">
      <c r="A133" s="40" t="s">
        <v>32</v>
      </c>
      <c r="B133" s="29">
        <f>IFERROR(SUMIFS(tblDaily[Remaining],tblDaily[EntryDate],DATE(2026,8,31),tblDaily[WardCode],"FW"),0)</f>
        <v>0</v>
      </c>
      <c r="C133" s="29">
        <f>IFERROR(INDEX(tblWardConfig[BedComplement],MATCH("FW",tblWardConfig[WardCode],0)),0)</f>
        <v>28</v>
      </c>
      <c r="D133" s="29">
        <f>SUMIFS(tblDaily[Admissions],tblDaily[Month],9,tblDaily[WardCode],"FW") - SUMIFS(tblDaily[DeathsUnder24Hrs],tblDaily[Month],9,tblDaily[WardCode],"FW")</f>
        <v>0</v>
      </c>
      <c r="E133" s="29">
        <f>SUMIFS(tblDaily[Discharges],tblDaily[Month],9,tblDaily[WardCode],"FW")</f>
        <v>0</v>
      </c>
      <c r="F133" s="29">
        <f>SUMIFS(tblDaily[Deaths],tblDaily[Month],9,tblDaily[WardCode],"FW")</f>
        <v>0</v>
      </c>
      <c r="G133" s="29">
        <f>SUMIFS(tblDaily[DeathsUnder24Hrs],tblDaily[Month],9,tblDaily[WardCode],"FW")</f>
        <v>0</v>
      </c>
      <c r="H133" s="29">
        <f>SUMIFS(tblDaily[Remaining],tblDaily[Month],9,tblDaily[WardCode],"FW")</f>
        <v>0</v>
      </c>
      <c r="I133" s="29">
        <f>SUMIFS(tblDaily[TransfersIn],tblDaily[Month],9,tblDaily[WardCode],"FW")</f>
        <v>0</v>
      </c>
      <c r="J133" s="29">
        <f>SUMIFS(tblDaily[TransfersOut],tblDaily[Month],9,tblDaily[WardCode],"FW")</f>
        <v>0</v>
      </c>
      <c r="K133" s="41">
        <f t="shared" si="64"/>
        <v>0</v>
      </c>
      <c r="L133" s="41">
        <f t="shared" si="65"/>
        <v>0</v>
      </c>
      <c r="M133" s="41">
        <f t="shared" si="66"/>
        <v>0</v>
      </c>
      <c r="N133" s="41">
        <f t="shared" si="67"/>
        <v>0</v>
      </c>
      <c r="O133" s="41">
        <f t="shared" si="68"/>
        <v>0</v>
      </c>
      <c r="P133" s="41">
        <f t="shared" si="69"/>
        <v>0</v>
      </c>
    </row>
    <row r="134" spans="1:16" x14ac:dyDescent="0.25">
      <c r="A134" s="40" t="s">
        <v>34</v>
      </c>
      <c r="B134" s="29">
        <f>IFERROR(SUMIFS(tblDaily[Remaining],tblDaily[EntryDate],DATE(2026,8,31),tblDaily[WardCode],"CW"),0)</f>
        <v>0</v>
      </c>
      <c r="C134" s="29">
        <f>IFERROR(INDEX(tblWardConfig[BedComplement],MATCH("CW",tblWardConfig[WardCode],0)),0)</f>
        <v>27</v>
      </c>
      <c r="D134" s="29">
        <f>SUMIFS(tblDaily[Admissions],tblDaily[Month],9,tblDaily[WardCode],"CW") - SUMIFS(tblDaily[DeathsUnder24Hrs],tblDaily[Month],9,tblDaily[WardCode],"CW")</f>
        <v>0</v>
      </c>
      <c r="E134" s="29">
        <f>SUMIFS(tblDaily[Discharges],tblDaily[Month],9,tblDaily[WardCode],"CW")</f>
        <v>0</v>
      </c>
      <c r="F134" s="29">
        <f>SUMIFS(tblDaily[Deaths],tblDaily[Month],9,tblDaily[WardCode],"CW")</f>
        <v>0</v>
      </c>
      <c r="G134" s="29">
        <f>SUMIFS(tblDaily[DeathsUnder24Hrs],tblDaily[Month],9,tblDaily[WardCode],"CW")</f>
        <v>0</v>
      </c>
      <c r="H134" s="29">
        <f>SUMIFS(tblDaily[Remaining],tblDaily[Month],9,tblDaily[WardCode],"CW")</f>
        <v>0</v>
      </c>
      <c r="I134" s="29">
        <f>SUMIFS(tblDaily[TransfersIn],tblDaily[Month],9,tblDaily[WardCode],"CW")</f>
        <v>0</v>
      </c>
      <c r="J134" s="29">
        <f>SUMIFS(tblDaily[TransfersOut],tblDaily[Month],9,tblDaily[WardCode],"CW")</f>
        <v>0</v>
      </c>
      <c r="K134" s="41">
        <f t="shared" si="64"/>
        <v>0</v>
      </c>
      <c r="L134" s="41">
        <f t="shared" si="65"/>
        <v>0</v>
      </c>
      <c r="M134" s="41">
        <f t="shared" si="66"/>
        <v>0</v>
      </c>
      <c r="N134" s="41">
        <f t="shared" si="67"/>
        <v>0</v>
      </c>
      <c r="O134" s="41">
        <f t="shared" si="68"/>
        <v>0</v>
      </c>
      <c r="P134" s="41">
        <f t="shared" si="69"/>
        <v>0</v>
      </c>
    </row>
    <row r="135" spans="1:16" x14ac:dyDescent="0.25">
      <c r="A135" s="40" t="s">
        <v>36</v>
      </c>
      <c r="B135" s="29">
        <f>IFERROR(SUMIFS(tblDaily[Remaining],tblDaily[EntryDate],DATE(2026,8,31),tblDaily[WardCode],"BF"),0)</f>
        <v>0</v>
      </c>
      <c r="C135" s="29">
        <f>IFERROR(INDEX(tblWardConfig[BedComplement],MATCH("BF",tblWardConfig[WardCode],0)),0)</f>
        <v>20</v>
      </c>
      <c r="D135" s="29">
        <f>SUMIFS(tblDaily[Admissions],tblDaily[Month],9,tblDaily[WardCode],"BF") - SUMIFS(tblDaily[DeathsUnder24Hrs],tblDaily[Month],9,tblDaily[WardCode],"BF")</f>
        <v>0</v>
      </c>
      <c r="E135" s="29">
        <f>SUMIFS(tblDaily[Discharges],tblDaily[Month],9,tblDaily[WardCode],"BF")</f>
        <v>0</v>
      </c>
      <c r="F135" s="29">
        <f>SUMIFS(tblDaily[Deaths],tblDaily[Month],9,tblDaily[WardCode],"BF")</f>
        <v>0</v>
      </c>
      <c r="G135" s="29">
        <f>SUMIFS(tblDaily[DeathsUnder24Hrs],tblDaily[Month],9,tblDaily[WardCode],"BF")</f>
        <v>0</v>
      </c>
      <c r="H135" s="29">
        <f>SUMIFS(tblDaily[Remaining],tblDaily[Month],9,tblDaily[WardCode],"BF")</f>
        <v>0</v>
      </c>
      <c r="I135" s="29">
        <f>SUMIFS(tblDaily[TransfersIn],tblDaily[Month],9,tblDaily[WardCode],"BF")</f>
        <v>0</v>
      </c>
      <c r="J135" s="29">
        <f>SUMIFS(tblDaily[TransfersOut],tblDaily[Month],9,tblDaily[WardCode],"BF")</f>
        <v>0</v>
      </c>
      <c r="K135" s="41">
        <f t="shared" si="64"/>
        <v>0</v>
      </c>
      <c r="L135" s="41">
        <f t="shared" si="65"/>
        <v>0</v>
      </c>
      <c r="M135" s="41">
        <f t="shared" si="66"/>
        <v>0</v>
      </c>
      <c r="N135" s="41">
        <f t="shared" si="67"/>
        <v>0</v>
      </c>
      <c r="O135" s="41">
        <f t="shared" si="68"/>
        <v>0</v>
      </c>
      <c r="P135" s="41">
        <f t="shared" si="69"/>
        <v>0</v>
      </c>
    </row>
    <row r="136" spans="1:16" x14ac:dyDescent="0.25">
      <c r="A136" s="40" t="s">
        <v>38</v>
      </c>
      <c r="B136" s="29">
        <f>IFERROR(SUMIFS(tblDaily[Remaining],tblDaily[EntryDate],DATE(2026,8,31),tblDaily[WardCode],"BG"),0)</f>
        <v>0</v>
      </c>
      <c r="C136" s="29">
        <f>IFERROR(INDEX(tblWardConfig[BedComplement],MATCH("BG",tblWardConfig[WardCode],0)),0)</f>
        <v>14</v>
      </c>
      <c r="D136" s="29">
        <f>SUMIFS(tblDaily[Admissions],tblDaily[Month],9,tblDaily[WardCode],"BG") - SUMIFS(tblDaily[DeathsUnder24Hrs],tblDaily[Month],9,tblDaily[WardCode],"BG")</f>
        <v>0</v>
      </c>
      <c r="E136" s="29">
        <f>SUMIFS(tblDaily[Discharges],tblDaily[Month],9,tblDaily[WardCode],"BG")</f>
        <v>0</v>
      </c>
      <c r="F136" s="29">
        <f>SUMIFS(tblDaily[Deaths],tblDaily[Month],9,tblDaily[WardCode],"BG")</f>
        <v>0</v>
      </c>
      <c r="G136" s="29">
        <f>SUMIFS(tblDaily[DeathsUnder24Hrs],tblDaily[Month],9,tblDaily[WardCode],"BG")</f>
        <v>0</v>
      </c>
      <c r="H136" s="29">
        <f>SUMIFS(tblDaily[Remaining],tblDaily[Month],9,tblDaily[WardCode],"BG")</f>
        <v>0</v>
      </c>
      <c r="I136" s="29">
        <f>SUMIFS(tblDaily[TransfersIn],tblDaily[Month],9,tblDaily[WardCode],"BG")</f>
        <v>0</v>
      </c>
      <c r="J136" s="29">
        <f>SUMIFS(tblDaily[TransfersOut],tblDaily[Month],9,tblDaily[WardCode],"BG")</f>
        <v>0</v>
      </c>
      <c r="K136" s="41">
        <f t="shared" si="64"/>
        <v>0</v>
      </c>
      <c r="L136" s="41">
        <f t="shared" si="65"/>
        <v>0</v>
      </c>
      <c r="M136" s="41">
        <f t="shared" si="66"/>
        <v>0</v>
      </c>
      <c r="N136" s="41">
        <f t="shared" si="67"/>
        <v>0</v>
      </c>
      <c r="O136" s="41">
        <f t="shared" si="68"/>
        <v>0</v>
      </c>
      <c r="P136" s="41">
        <f t="shared" si="69"/>
        <v>0</v>
      </c>
    </row>
    <row r="137" spans="1:16" x14ac:dyDescent="0.25">
      <c r="A137" s="40" t="s">
        <v>40</v>
      </c>
      <c r="B137" s="29">
        <f>IFERROR(SUMIFS(tblDaily[Remaining],tblDaily[EntryDate],DATE(2026,8,31),tblDaily[WardCode],"BH"),0)</f>
        <v>0</v>
      </c>
      <c r="C137" s="29">
        <f>IFERROR(INDEX(tblWardConfig[BedComplement],MATCH("BH",tblWardConfig[WardCode],0)),0)</f>
        <v>22</v>
      </c>
      <c r="D137" s="29">
        <f>SUMIFS(tblDaily[Admissions],tblDaily[Month],9,tblDaily[WardCode],"BH") - SUMIFS(tblDaily[DeathsUnder24Hrs],tblDaily[Month],9,tblDaily[WardCode],"BH")</f>
        <v>0</v>
      </c>
      <c r="E137" s="29">
        <f>SUMIFS(tblDaily[Discharges],tblDaily[Month],9,tblDaily[WardCode],"BH")</f>
        <v>0</v>
      </c>
      <c r="F137" s="29">
        <f>SUMIFS(tblDaily[Deaths],tblDaily[Month],9,tblDaily[WardCode],"BH")</f>
        <v>0</v>
      </c>
      <c r="G137" s="29">
        <f>SUMIFS(tblDaily[DeathsUnder24Hrs],tblDaily[Month],9,tblDaily[WardCode],"BH")</f>
        <v>0</v>
      </c>
      <c r="H137" s="29">
        <f>SUMIFS(tblDaily[Remaining],tblDaily[Month],9,tblDaily[WardCode],"BH")</f>
        <v>0</v>
      </c>
      <c r="I137" s="29">
        <f>SUMIFS(tblDaily[TransfersIn],tblDaily[Month],9,tblDaily[WardCode],"BH")</f>
        <v>0</v>
      </c>
      <c r="J137" s="29">
        <f>SUMIFS(tblDaily[TransfersOut],tblDaily[Month],9,tblDaily[WardCode],"BH")</f>
        <v>0</v>
      </c>
      <c r="K137" s="41">
        <f t="shared" si="64"/>
        <v>0</v>
      </c>
      <c r="L137" s="41">
        <f t="shared" si="65"/>
        <v>0</v>
      </c>
      <c r="M137" s="41">
        <f t="shared" si="66"/>
        <v>0</v>
      </c>
      <c r="N137" s="41">
        <f t="shared" si="67"/>
        <v>0</v>
      </c>
      <c r="O137" s="41">
        <f t="shared" si="68"/>
        <v>0</v>
      </c>
      <c r="P137" s="41">
        <f t="shared" si="69"/>
        <v>0</v>
      </c>
    </row>
    <row r="138" spans="1:16" x14ac:dyDescent="0.25">
      <c r="A138" s="40" t="s">
        <v>42</v>
      </c>
      <c r="B138" s="29">
        <f>IFERROR(SUMIFS(tblDaily[Remaining],tblDaily[EntryDate],DATE(2026,8,31),tblDaily[WardCode],"NICU"),0)</f>
        <v>0</v>
      </c>
      <c r="C138" s="29">
        <f>IFERROR(INDEX(tblWardConfig[BedComplement],MATCH("NICU",tblWardConfig[WardCode],0)),0)</f>
        <v>15</v>
      </c>
      <c r="D138" s="29">
        <f>SUMIFS(tblDaily[Admissions],tblDaily[Month],9,tblDaily[WardCode],"NICU") - SUMIFS(tblDaily[DeathsUnder24Hrs],tblDaily[Month],9,tblDaily[WardCode],"NICU")</f>
        <v>0</v>
      </c>
      <c r="E138" s="29">
        <f>SUMIFS(tblDaily[Discharges],tblDaily[Month],9,tblDaily[WardCode],"NICU")</f>
        <v>0</v>
      </c>
      <c r="F138" s="29">
        <f>SUMIFS(tblDaily[Deaths],tblDaily[Month],9,tblDaily[WardCode],"NICU")</f>
        <v>0</v>
      </c>
      <c r="G138" s="29">
        <f>SUMIFS(tblDaily[DeathsUnder24Hrs],tblDaily[Month],9,tblDaily[WardCode],"NICU")</f>
        <v>0</v>
      </c>
      <c r="H138" s="29">
        <f>SUMIFS(tblDaily[Remaining],tblDaily[Month],9,tblDaily[WardCode],"NICU")</f>
        <v>0</v>
      </c>
      <c r="I138" s="29">
        <f>SUMIFS(tblDaily[TransfersIn],tblDaily[Month],9,tblDaily[WardCode],"NICU")</f>
        <v>0</v>
      </c>
      <c r="J138" s="29">
        <f>SUMIFS(tblDaily[TransfersOut],tblDaily[Month],9,tblDaily[WardCode],"NICU")</f>
        <v>0</v>
      </c>
      <c r="K138" s="41">
        <f t="shared" si="64"/>
        <v>0</v>
      </c>
      <c r="L138" s="41">
        <f t="shared" si="65"/>
        <v>0</v>
      </c>
      <c r="M138" s="41">
        <f t="shared" si="66"/>
        <v>0</v>
      </c>
      <c r="N138" s="41">
        <f t="shared" si="67"/>
        <v>0</v>
      </c>
      <c r="O138" s="41">
        <f t="shared" si="68"/>
        <v>0</v>
      </c>
      <c r="P138" s="41">
        <f t="shared" si="69"/>
        <v>0</v>
      </c>
    </row>
    <row r="139" spans="1:16" x14ac:dyDescent="0.25">
      <c r="A139" s="40" t="s">
        <v>44</v>
      </c>
      <c r="B139" s="29">
        <f>IFERROR(SUMIFS(tblDaily[Remaining],tblDaily[EntryDate],DATE(2026,8,31),tblDaily[WardCode],"MAE"),0)</f>
        <v>0</v>
      </c>
      <c r="C139" s="29">
        <f>IFERROR(INDEX(tblWardConfig[BedComplement],MATCH("MAE",tblWardConfig[WardCode],0)),0)</f>
        <v>10</v>
      </c>
      <c r="D139" s="29">
        <f>SUMIFS(tblDaily[Admissions],tblDaily[Month],9,tblDaily[WardCode],"MAE") - SUMIFS(tblDaily[DeathsUnder24Hrs],tblDaily[Month],9,tblDaily[WardCode],"MAE")</f>
        <v>0</v>
      </c>
      <c r="E139" s="29">
        <f>SUMIFS(tblDaily[Discharges],tblDaily[Month],9,tblDaily[WardCode],"MAE")</f>
        <v>0</v>
      </c>
      <c r="F139" s="29">
        <f>SUMIFS(tblDaily[Deaths],tblDaily[Month],9,tblDaily[WardCode],"MAE")</f>
        <v>0</v>
      </c>
      <c r="G139" s="29">
        <f>SUMIFS(tblDaily[DeathsUnder24Hrs],tblDaily[Month],9,tblDaily[WardCode],"MAE")</f>
        <v>0</v>
      </c>
      <c r="H139" s="29">
        <f>SUMIFS(tblDaily[Remaining],tblDaily[Month],9,tblDaily[WardCode],"MAE")</f>
        <v>0</v>
      </c>
      <c r="I139" s="29">
        <f>SUMIFS(tblDaily[TransfersIn],tblDaily[Month],9,tblDaily[WardCode],"MAE")</f>
        <v>0</v>
      </c>
      <c r="J139" s="29">
        <f>SUMIFS(tblDaily[TransfersOut],tblDaily[Month],9,tblDaily[WardCode],"MAE")</f>
        <v>0</v>
      </c>
      <c r="K139" s="41">
        <f t="shared" si="64"/>
        <v>0</v>
      </c>
      <c r="L139" s="41">
        <f t="shared" si="65"/>
        <v>0</v>
      </c>
      <c r="M139" s="41">
        <f t="shared" si="66"/>
        <v>0</v>
      </c>
      <c r="N139" s="41">
        <f t="shared" si="67"/>
        <v>0</v>
      </c>
      <c r="O139" s="41">
        <f t="shared" si="68"/>
        <v>0</v>
      </c>
      <c r="P139" s="41">
        <f t="shared" si="69"/>
        <v>0</v>
      </c>
    </row>
    <row r="140" spans="1:16" x14ac:dyDescent="0.25">
      <c r="A140" s="40" t="s">
        <v>46</v>
      </c>
      <c r="B140" s="29">
        <f>IFERROR(SUMIFS(tblDaily[Remaining],tblDaily[EntryDate],DATE(2026,8,31),tblDaily[WardCode],"FAE"),0)</f>
        <v>0</v>
      </c>
      <c r="C140" s="29">
        <f>IFERROR(INDEX(tblWardConfig[BedComplement],MATCH("FAE",tblWardConfig[WardCode],0)),0)</f>
        <v>10</v>
      </c>
      <c r="D140" s="29">
        <f>SUMIFS(tblDaily[Admissions],tblDaily[Month],9,tblDaily[WardCode],"FAE") - SUMIFS(tblDaily[DeathsUnder24Hrs],tblDaily[Month],9,tblDaily[WardCode],"FAE")</f>
        <v>0</v>
      </c>
      <c r="E140" s="29">
        <f>SUMIFS(tblDaily[Discharges],tblDaily[Month],9,tblDaily[WardCode],"FAE")</f>
        <v>0</v>
      </c>
      <c r="F140" s="29">
        <f>SUMIFS(tblDaily[Deaths],tblDaily[Month],9,tblDaily[WardCode],"FAE")</f>
        <v>0</v>
      </c>
      <c r="G140" s="29">
        <f>SUMIFS(tblDaily[DeathsUnder24Hrs],tblDaily[Month],9,tblDaily[WardCode],"FAE")</f>
        <v>0</v>
      </c>
      <c r="H140" s="29">
        <f>SUMIFS(tblDaily[Remaining],tblDaily[Month],9,tblDaily[WardCode],"FAE")</f>
        <v>0</v>
      </c>
      <c r="I140" s="29">
        <f>SUMIFS(tblDaily[TransfersIn],tblDaily[Month],9,tblDaily[WardCode],"FAE")</f>
        <v>0</v>
      </c>
      <c r="J140" s="29">
        <f>SUMIFS(tblDaily[TransfersOut],tblDaily[Month],9,tblDaily[WardCode],"FAE")</f>
        <v>0</v>
      </c>
      <c r="K140" s="41">
        <f t="shared" si="64"/>
        <v>0</v>
      </c>
      <c r="L140" s="41">
        <f t="shared" si="65"/>
        <v>0</v>
      </c>
      <c r="M140" s="41">
        <f t="shared" si="66"/>
        <v>0</v>
      </c>
      <c r="N140" s="41">
        <f t="shared" si="67"/>
        <v>0</v>
      </c>
      <c r="O140" s="41">
        <f t="shared" si="68"/>
        <v>0</v>
      </c>
      <c r="P140" s="41">
        <f t="shared" si="69"/>
        <v>0</v>
      </c>
    </row>
    <row r="141" spans="1:16" x14ac:dyDescent="0.25">
      <c r="A141" s="40" t="s">
        <v>48</v>
      </c>
      <c r="B141" s="29">
        <f>IFERROR(SUMIFS(tblDaily[Remaining],tblDaily[EntryDate],DATE(2026,8,31),tblDaily[WardCode],"ICU"),0)</f>
        <v>0</v>
      </c>
      <c r="C141" s="29">
        <f>IFERROR(INDEX(tblWardConfig[BedComplement],MATCH("ICU",tblWardConfig[WardCode],0)),0)</f>
        <v>4</v>
      </c>
      <c r="D141" s="29">
        <f>SUMIFS(tblDaily[Admissions],tblDaily[Month],9,tblDaily[WardCode],"ICU") - SUMIFS(tblDaily[DeathsUnder24Hrs],tblDaily[Month],9,tblDaily[WardCode],"ICU")</f>
        <v>0</v>
      </c>
      <c r="E141" s="29">
        <f>SUMIFS(tblDaily[Discharges],tblDaily[Month],9,tblDaily[WardCode],"ICU")</f>
        <v>0</v>
      </c>
      <c r="F141" s="29">
        <f>SUMIFS(tblDaily[Deaths],tblDaily[Month],9,tblDaily[WardCode],"ICU")</f>
        <v>0</v>
      </c>
      <c r="G141" s="29">
        <f>SUMIFS(tblDaily[DeathsUnder24Hrs],tblDaily[Month],9,tblDaily[WardCode],"ICU")</f>
        <v>0</v>
      </c>
      <c r="H141" s="29">
        <f>SUMIFS(tblDaily[Remaining],tblDaily[Month],9,tblDaily[WardCode],"ICU")</f>
        <v>0</v>
      </c>
      <c r="I141" s="29">
        <f>SUMIFS(tblDaily[TransfersIn],tblDaily[Month],9,tblDaily[WardCode],"ICU")</f>
        <v>0</v>
      </c>
      <c r="J141" s="29">
        <f>SUMIFS(tblDaily[TransfersOut],tblDaily[Month],9,tblDaily[WardCode],"ICU")</f>
        <v>0</v>
      </c>
      <c r="K141" s="41">
        <f t="shared" si="64"/>
        <v>0</v>
      </c>
      <c r="L141" s="41">
        <f t="shared" si="65"/>
        <v>0</v>
      </c>
      <c r="M141" s="41">
        <f t="shared" si="66"/>
        <v>0</v>
      </c>
      <c r="N141" s="41">
        <f t="shared" si="67"/>
        <v>0</v>
      </c>
      <c r="O141" s="41">
        <f t="shared" si="68"/>
        <v>0</v>
      </c>
      <c r="P141" s="41">
        <f t="shared" si="69"/>
        <v>0</v>
      </c>
    </row>
    <row r="142" spans="1:16" x14ac:dyDescent="0.25">
      <c r="A142" s="30" t="s">
        <v>115</v>
      </c>
      <c r="B142" s="30">
        <f t="shared" ref="B142:J142" si="70">SUM(B132:B141)</f>
        <v>0</v>
      </c>
      <c r="C142" s="30">
        <f t="shared" si="70"/>
        <v>182</v>
      </c>
      <c r="D142" s="30">
        <f t="shared" si="70"/>
        <v>0</v>
      </c>
      <c r="E142" s="30">
        <f t="shared" si="70"/>
        <v>0</v>
      </c>
      <c r="F142" s="30">
        <f t="shared" si="70"/>
        <v>0</v>
      </c>
      <c r="G142" s="30">
        <f t="shared" si="70"/>
        <v>0</v>
      </c>
      <c r="H142" s="30">
        <f t="shared" si="70"/>
        <v>0</v>
      </c>
      <c r="I142" s="30">
        <f t="shared" si="70"/>
        <v>0</v>
      </c>
      <c r="J142" s="30">
        <f t="shared" si="70"/>
        <v>0</v>
      </c>
      <c r="K142" s="42">
        <f t="shared" si="64"/>
        <v>0</v>
      </c>
      <c r="L142" s="42">
        <f t="shared" si="65"/>
        <v>0</v>
      </c>
      <c r="M142" s="42">
        <f t="shared" si="66"/>
        <v>0</v>
      </c>
      <c r="N142" s="42">
        <f t="shared" si="67"/>
        <v>0</v>
      </c>
      <c r="O142" s="42">
        <f t="shared" si="68"/>
        <v>0</v>
      </c>
      <c r="P142" s="42">
        <f t="shared" si="69"/>
        <v>0</v>
      </c>
    </row>
    <row r="143" spans="1:16" x14ac:dyDescent="0.25">
      <c r="A143" s="43" t="s">
        <v>148</v>
      </c>
      <c r="B143" s="43">
        <f t="shared" ref="B143:J143" si="71">B139+B140</f>
        <v>0</v>
      </c>
      <c r="C143" s="43">
        <f t="shared" si="71"/>
        <v>20</v>
      </c>
      <c r="D143" s="43">
        <f t="shared" si="71"/>
        <v>0</v>
      </c>
      <c r="E143" s="43">
        <f t="shared" si="71"/>
        <v>0</v>
      </c>
      <c r="F143" s="43">
        <f t="shared" si="71"/>
        <v>0</v>
      </c>
      <c r="G143" s="43">
        <f t="shared" si="71"/>
        <v>0</v>
      </c>
      <c r="H143" s="43">
        <f t="shared" si="71"/>
        <v>0</v>
      </c>
      <c r="I143" s="43">
        <f t="shared" si="71"/>
        <v>0</v>
      </c>
      <c r="J143" s="43">
        <f t="shared" si="71"/>
        <v>0</v>
      </c>
      <c r="K143" s="44">
        <f t="shared" si="64"/>
        <v>0</v>
      </c>
      <c r="L143" s="44">
        <f t="shared" si="65"/>
        <v>0</v>
      </c>
      <c r="M143" s="44">
        <f t="shared" si="66"/>
        <v>0</v>
      </c>
      <c r="N143" s="44">
        <f t="shared" si="67"/>
        <v>0</v>
      </c>
      <c r="O143" s="44">
        <f t="shared" si="68"/>
        <v>0</v>
      </c>
      <c r="P143" s="44">
        <f t="shared" si="69"/>
        <v>0</v>
      </c>
    </row>
    <row r="145" spans="1:16" ht="18.75" x14ac:dyDescent="0.25">
      <c r="A145" s="21" t="s">
        <v>0</v>
      </c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</row>
    <row r="146" spans="1:16" ht="15.75" x14ac:dyDescent="0.25">
      <c r="A146" s="23" t="s">
        <v>157</v>
      </c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</row>
    <row r="147" spans="1:16" ht="38.25" x14ac:dyDescent="0.25">
      <c r="A147" s="28" t="s">
        <v>136</v>
      </c>
      <c r="B147" s="28" t="s">
        <v>137</v>
      </c>
      <c r="C147" s="28" t="s">
        <v>138</v>
      </c>
      <c r="D147" s="28" t="s">
        <v>77</v>
      </c>
      <c r="E147" s="28" t="s">
        <v>78</v>
      </c>
      <c r="F147" s="28" t="s">
        <v>79</v>
      </c>
      <c r="G147" s="28" t="s">
        <v>111</v>
      </c>
      <c r="H147" s="28" t="s">
        <v>139</v>
      </c>
      <c r="I147" s="28" t="s">
        <v>140</v>
      </c>
      <c r="J147" s="28" t="s">
        <v>141</v>
      </c>
      <c r="K147" s="28" t="s">
        <v>142</v>
      </c>
      <c r="L147" s="28" t="s">
        <v>143</v>
      </c>
      <c r="M147" s="28" t="s">
        <v>144</v>
      </c>
      <c r="N147" s="28" t="s">
        <v>145</v>
      </c>
      <c r="O147" s="28" t="s">
        <v>146</v>
      </c>
      <c r="P147" s="28" t="s">
        <v>147</v>
      </c>
    </row>
    <row r="148" spans="1:16" x14ac:dyDescent="0.25">
      <c r="A148" s="40" t="s">
        <v>30</v>
      </c>
      <c r="B148" s="29">
        <f>IFERROR(SUMIFS(tblDaily[Remaining],tblDaily[EntryDate],DATE(2026,9,30),tblDaily[WardCode],"MW"),0)</f>
        <v>0</v>
      </c>
      <c r="C148" s="29">
        <f>IFERROR(INDEX(tblWardConfig[BedComplement],MATCH("MW",tblWardConfig[WardCode],0)),0)</f>
        <v>32</v>
      </c>
      <c r="D148" s="29">
        <f>SUMIFS(tblDaily[Admissions],tblDaily[Month],10,tblDaily[WardCode],"MW") - SUMIFS(tblDaily[DeathsUnder24Hrs],tblDaily[Month],10,tblDaily[WardCode],"MW")</f>
        <v>0</v>
      </c>
      <c r="E148" s="29">
        <f>SUMIFS(tblDaily[Discharges],tblDaily[Month],10,tblDaily[WardCode],"MW")</f>
        <v>0</v>
      </c>
      <c r="F148" s="29">
        <f>SUMIFS(tblDaily[Deaths],tblDaily[Month],10,tblDaily[WardCode],"MW")</f>
        <v>0</v>
      </c>
      <c r="G148" s="29">
        <f>SUMIFS(tblDaily[DeathsUnder24Hrs],tblDaily[Month],10,tblDaily[WardCode],"MW")</f>
        <v>0</v>
      </c>
      <c r="H148" s="29">
        <f>SUMIFS(tblDaily[Remaining],tblDaily[Month],10,tblDaily[WardCode],"MW")</f>
        <v>0</v>
      </c>
      <c r="I148" s="29">
        <f>SUMIFS(tblDaily[TransfersIn],tblDaily[Month],10,tblDaily[WardCode],"MW")</f>
        <v>0</v>
      </c>
      <c r="J148" s="29">
        <f>SUMIFS(tblDaily[TransfersOut],tblDaily[Month],10,tblDaily[WardCode],"MW")</f>
        <v>0</v>
      </c>
      <c r="K148" s="41">
        <f t="shared" ref="K148:K159" si="72">IFERROR(H148/31,0)</f>
        <v>0</v>
      </c>
      <c r="L148" s="41">
        <f t="shared" ref="L148:L159" si="73">IFERROR(H148/(E148+F148),0)</f>
        <v>0</v>
      </c>
      <c r="M148" s="41">
        <f t="shared" ref="M148:M159" si="74">IFERROR((C148*31-H148)/(E148+F148),0)</f>
        <v>0</v>
      </c>
      <c r="N148" s="41">
        <f t="shared" ref="N148:N159" si="75">IFERROR((E148+F148)/C148,0)</f>
        <v>0</v>
      </c>
      <c r="O148" s="41">
        <f t="shared" ref="O148:O159" si="76">IFERROR((H148/(C148*31))*100,0)</f>
        <v>0</v>
      </c>
      <c r="P148" s="41">
        <f t="shared" ref="P148:P159" si="77">IFERROR((F148/(D148+B148))*100,0)</f>
        <v>0</v>
      </c>
    </row>
    <row r="149" spans="1:16" x14ac:dyDescent="0.25">
      <c r="A149" s="40" t="s">
        <v>32</v>
      </c>
      <c r="B149" s="29">
        <f>IFERROR(SUMIFS(tblDaily[Remaining],tblDaily[EntryDate],DATE(2026,9,30),tblDaily[WardCode],"FW"),0)</f>
        <v>0</v>
      </c>
      <c r="C149" s="29">
        <f>IFERROR(INDEX(tblWardConfig[BedComplement],MATCH("FW",tblWardConfig[WardCode],0)),0)</f>
        <v>28</v>
      </c>
      <c r="D149" s="29">
        <f>SUMIFS(tblDaily[Admissions],tblDaily[Month],10,tblDaily[WardCode],"FW") - SUMIFS(tblDaily[DeathsUnder24Hrs],tblDaily[Month],10,tblDaily[WardCode],"FW")</f>
        <v>0</v>
      </c>
      <c r="E149" s="29">
        <f>SUMIFS(tblDaily[Discharges],tblDaily[Month],10,tblDaily[WardCode],"FW")</f>
        <v>0</v>
      </c>
      <c r="F149" s="29">
        <f>SUMIFS(tblDaily[Deaths],tblDaily[Month],10,tblDaily[WardCode],"FW")</f>
        <v>0</v>
      </c>
      <c r="G149" s="29">
        <f>SUMIFS(tblDaily[DeathsUnder24Hrs],tblDaily[Month],10,tblDaily[WardCode],"FW")</f>
        <v>0</v>
      </c>
      <c r="H149" s="29">
        <f>SUMIFS(tblDaily[Remaining],tblDaily[Month],10,tblDaily[WardCode],"FW")</f>
        <v>0</v>
      </c>
      <c r="I149" s="29">
        <f>SUMIFS(tblDaily[TransfersIn],tblDaily[Month],10,tblDaily[WardCode],"FW")</f>
        <v>0</v>
      </c>
      <c r="J149" s="29">
        <f>SUMIFS(tblDaily[TransfersOut],tblDaily[Month],10,tblDaily[WardCode],"FW")</f>
        <v>0</v>
      </c>
      <c r="K149" s="41">
        <f t="shared" si="72"/>
        <v>0</v>
      </c>
      <c r="L149" s="41">
        <f t="shared" si="73"/>
        <v>0</v>
      </c>
      <c r="M149" s="41">
        <f t="shared" si="74"/>
        <v>0</v>
      </c>
      <c r="N149" s="41">
        <f t="shared" si="75"/>
        <v>0</v>
      </c>
      <c r="O149" s="41">
        <f t="shared" si="76"/>
        <v>0</v>
      </c>
      <c r="P149" s="41">
        <f t="shared" si="77"/>
        <v>0</v>
      </c>
    </row>
    <row r="150" spans="1:16" x14ac:dyDescent="0.25">
      <c r="A150" s="40" t="s">
        <v>34</v>
      </c>
      <c r="B150" s="29">
        <f>IFERROR(SUMIFS(tblDaily[Remaining],tblDaily[EntryDate],DATE(2026,9,30),tblDaily[WardCode],"CW"),0)</f>
        <v>0</v>
      </c>
      <c r="C150" s="29">
        <f>IFERROR(INDEX(tblWardConfig[BedComplement],MATCH("CW",tblWardConfig[WardCode],0)),0)</f>
        <v>27</v>
      </c>
      <c r="D150" s="29">
        <f>SUMIFS(tblDaily[Admissions],tblDaily[Month],10,tblDaily[WardCode],"CW") - SUMIFS(tblDaily[DeathsUnder24Hrs],tblDaily[Month],10,tblDaily[WardCode],"CW")</f>
        <v>0</v>
      </c>
      <c r="E150" s="29">
        <f>SUMIFS(tblDaily[Discharges],tblDaily[Month],10,tblDaily[WardCode],"CW")</f>
        <v>0</v>
      </c>
      <c r="F150" s="29">
        <f>SUMIFS(tblDaily[Deaths],tblDaily[Month],10,tblDaily[WardCode],"CW")</f>
        <v>0</v>
      </c>
      <c r="G150" s="29">
        <f>SUMIFS(tblDaily[DeathsUnder24Hrs],tblDaily[Month],10,tblDaily[WardCode],"CW")</f>
        <v>0</v>
      </c>
      <c r="H150" s="29">
        <f>SUMIFS(tblDaily[Remaining],tblDaily[Month],10,tblDaily[WardCode],"CW")</f>
        <v>0</v>
      </c>
      <c r="I150" s="29">
        <f>SUMIFS(tblDaily[TransfersIn],tblDaily[Month],10,tblDaily[WardCode],"CW")</f>
        <v>0</v>
      </c>
      <c r="J150" s="29">
        <f>SUMIFS(tblDaily[TransfersOut],tblDaily[Month],10,tblDaily[WardCode],"CW")</f>
        <v>0</v>
      </c>
      <c r="K150" s="41">
        <f t="shared" si="72"/>
        <v>0</v>
      </c>
      <c r="L150" s="41">
        <f t="shared" si="73"/>
        <v>0</v>
      </c>
      <c r="M150" s="41">
        <f t="shared" si="74"/>
        <v>0</v>
      </c>
      <c r="N150" s="41">
        <f t="shared" si="75"/>
        <v>0</v>
      </c>
      <c r="O150" s="41">
        <f t="shared" si="76"/>
        <v>0</v>
      </c>
      <c r="P150" s="41">
        <f t="shared" si="77"/>
        <v>0</v>
      </c>
    </row>
    <row r="151" spans="1:16" x14ac:dyDescent="0.25">
      <c r="A151" s="40" t="s">
        <v>36</v>
      </c>
      <c r="B151" s="29">
        <f>IFERROR(SUMIFS(tblDaily[Remaining],tblDaily[EntryDate],DATE(2026,9,30),tblDaily[WardCode],"BF"),0)</f>
        <v>0</v>
      </c>
      <c r="C151" s="29">
        <f>IFERROR(INDEX(tblWardConfig[BedComplement],MATCH("BF",tblWardConfig[WardCode],0)),0)</f>
        <v>20</v>
      </c>
      <c r="D151" s="29">
        <f>SUMIFS(tblDaily[Admissions],tblDaily[Month],10,tblDaily[WardCode],"BF") - SUMIFS(tblDaily[DeathsUnder24Hrs],tblDaily[Month],10,tblDaily[WardCode],"BF")</f>
        <v>0</v>
      </c>
      <c r="E151" s="29">
        <f>SUMIFS(tblDaily[Discharges],tblDaily[Month],10,tblDaily[WardCode],"BF")</f>
        <v>0</v>
      </c>
      <c r="F151" s="29">
        <f>SUMIFS(tblDaily[Deaths],tblDaily[Month],10,tblDaily[WardCode],"BF")</f>
        <v>0</v>
      </c>
      <c r="G151" s="29">
        <f>SUMIFS(tblDaily[DeathsUnder24Hrs],tblDaily[Month],10,tblDaily[WardCode],"BF")</f>
        <v>0</v>
      </c>
      <c r="H151" s="29">
        <f>SUMIFS(tblDaily[Remaining],tblDaily[Month],10,tblDaily[WardCode],"BF")</f>
        <v>0</v>
      </c>
      <c r="I151" s="29">
        <f>SUMIFS(tblDaily[TransfersIn],tblDaily[Month],10,tblDaily[WardCode],"BF")</f>
        <v>0</v>
      </c>
      <c r="J151" s="29">
        <f>SUMIFS(tblDaily[TransfersOut],tblDaily[Month],10,tblDaily[WardCode],"BF")</f>
        <v>0</v>
      </c>
      <c r="K151" s="41">
        <f t="shared" si="72"/>
        <v>0</v>
      </c>
      <c r="L151" s="41">
        <f t="shared" si="73"/>
        <v>0</v>
      </c>
      <c r="M151" s="41">
        <f t="shared" si="74"/>
        <v>0</v>
      </c>
      <c r="N151" s="41">
        <f t="shared" si="75"/>
        <v>0</v>
      </c>
      <c r="O151" s="41">
        <f t="shared" si="76"/>
        <v>0</v>
      </c>
      <c r="P151" s="41">
        <f t="shared" si="77"/>
        <v>0</v>
      </c>
    </row>
    <row r="152" spans="1:16" x14ac:dyDescent="0.25">
      <c r="A152" s="40" t="s">
        <v>38</v>
      </c>
      <c r="B152" s="29">
        <f>IFERROR(SUMIFS(tblDaily[Remaining],tblDaily[EntryDate],DATE(2026,9,30),tblDaily[WardCode],"BG"),0)</f>
        <v>0</v>
      </c>
      <c r="C152" s="29">
        <f>IFERROR(INDEX(tblWardConfig[BedComplement],MATCH("BG",tblWardConfig[WardCode],0)),0)</f>
        <v>14</v>
      </c>
      <c r="D152" s="29">
        <f>SUMIFS(tblDaily[Admissions],tblDaily[Month],10,tblDaily[WardCode],"BG") - SUMIFS(tblDaily[DeathsUnder24Hrs],tblDaily[Month],10,tblDaily[WardCode],"BG")</f>
        <v>0</v>
      </c>
      <c r="E152" s="29">
        <f>SUMIFS(tblDaily[Discharges],tblDaily[Month],10,tblDaily[WardCode],"BG")</f>
        <v>0</v>
      </c>
      <c r="F152" s="29">
        <f>SUMIFS(tblDaily[Deaths],tblDaily[Month],10,tblDaily[WardCode],"BG")</f>
        <v>0</v>
      </c>
      <c r="G152" s="29">
        <f>SUMIFS(tblDaily[DeathsUnder24Hrs],tblDaily[Month],10,tblDaily[WardCode],"BG")</f>
        <v>0</v>
      </c>
      <c r="H152" s="29">
        <f>SUMIFS(tblDaily[Remaining],tblDaily[Month],10,tblDaily[WardCode],"BG")</f>
        <v>0</v>
      </c>
      <c r="I152" s="29">
        <f>SUMIFS(tblDaily[TransfersIn],tblDaily[Month],10,tblDaily[WardCode],"BG")</f>
        <v>0</v>
      </c>
      <c r="J152" s="29">
        <f>SUMIFS(tblDaily[TransfersOut],tblDaily[Month],10,tblDaily[WardCode],"BG")</f>
        <v>0</v>
      </c>
      <c r="K152" s="41">
        <f t="shared" si="72"/>
        <v>0</v>
      </c>
      <c r="L152" s="41">
        <f t="shared" si="73"/>
        <v>0</v>
      </c>
      <c r="M152" s="41">
        <f t="shared" si="74"/>
        <v>0</v>
      </c>
      <c r="N152" s="41">
        <f t="shared" si="75"/>
        <v>0</v>
      </c>
      <c r="O152" s="41">
        <f t="shared" si="76"/>
        <v>0</v>
      </c>
      <c r="P152" s="41">
        <f t="shared" si="77"/>
        <v>0</v>
      </c>
    </row>
    <row r="153" spans="1:16" x14ac:dyDescent="0.25">
      <c r="A153" s="40" t="s">
        <v>40</v>
      </c>
      <c r="B153" s="29">
        <f>IFERROR(SUMIFS(tblDaily[Remaining],tblDaily[EntryDate],DATE(2026,9,30),tblDaily[WardCode],"BH"),0)</f>
        <v>0</v>
      </c>
      <c r="C153" s="29">
        <f>IFERROR(INDEX(tblWardConfig[BedComplement],MATCH("BH",tblWardConfig[WardCode],0)),0)</f>
        <v>22</v>
      </c>
      <c r="D153" s="29">
        <f>SUMIFS(tblDaily[Admissions],tblDaily[Month],10,tblDaily[WardCode],"BH") - SUMIFS(tblDaily[DeathsUnder24Hrs],tblDaily[Month],10,tblDaily[WardCode],"BH")</f>
        <v>0</v>
      </c>
      <c r="E153" s="29">
        <f>SUMIFS(tblDaily[Discharges],tblDaily[Month],10,tblDaily[WardCode],"BH")</f>
        <v>0</v>
      </c>
      <c r="F153" s="29">
        <f>SUMIFS(tblDaily[Deaths],tblDaily[Month],10,tblDaily[WardCode],"BH")</f>
        <v>0</v>
      </c>
      <c r="G153" s="29">
        <f>SUMIFS(tblDaily[DeathsUnder24Hrs],tblDaily[Month],10,tblDaily[WardCode],"BH")</f>
        <v>0</v>
      </c>
      <c r="H153" s="29">
        <f>SUMIFS(tblDaily[Remaining],tblDaily[Month],10,tblDaily[WardCode],"BH")</f>
        <v>0</v>
      </c>
      <c r="I153" s="29">
        <f>SUMIFS(tblDaily[TransfersIn],tblDaily[Month],10,tblDaily[WardCode],"BH")</f>
        <v>0</v>
      </c>
      <c r="J153" s="29">
        <f>SUMIFS(tblDaily[TransfersOut],tblDaily[Month],10,tblDaily[WardCode],"BH")</f>
        <v>0</v>
      </c>
      <c r="K153" s="41">
        <f t="shared" si="72"/>
        <v>0</v>
      </c>
      <c r="L153" s="41">
        <f t="shared" si="73"/>
        <v>0</v>
      </c>
      <c r="M153" s="41">
        <f t="shared" si="74"/>
        <v>0</v>
      </c>
      <c r="N153" s="41">
        <f t="shared" si="75"/>
        <v>0</v>
      </c>
      <c r="O153" s="41">
        <f t="shared" si="76"/>
        <v>0</v>
      </c>
      <c r="P153" s="41">
        <f t="shared" si="77"/>
        <v>0</v>
      </c>
    </row>
    <row r="154" spans="1:16" x14ac:dyDescent="0.25">
      <c r="A154" s="40" t="s">
        <v>42</v>
      </c>
      <c r="B154" s="29">
        <f>IFERROR(SUMIFS(tblDaily[Remaining],tblDaily[EntryDate],DATE(2026,9,30),tblDaily[WardCode],"NICU"),0)</f>
        <v>0</v>
      </c>
      <c r="C154" s="29">
        <f>IFERROR(INDEX(tblWardConfig[BedComplement],MATCH("NICU",tblWardConfig[WardCode],0)),0)</f>
        <v>15</v>
      </c>
      <c r="D154" s="29">
        <f>SUMIFS(tblDaily[Admissions],tblDaily[Month],10,tblDaily[WardCode],"NICU") - SUMIFS(tblDaily[DeathsUnder24Hrs],tblDaily[Month],10,tblDaily[WardCode],"NICU")</f>
        <v>0</v>
      </c>
      <c r="E154" s="29">
        <f>SUMIFS(tblDaily[Discharges],tblDaily[Month],10,tblDaily[WardCode],"NICU")</f>
        <v>0</v>
      </c>
      <c r="F154" s="29">
        <f>SUMIFS(tblDaily[Deaths],tblDaily[Month],10,tblDaily[WardCode],"NICU")</f>
        <v>0</v>
      </c>
      <c r="G154" s="29">
        <f>SUMIFS(tblDaily[DeathsUnder24Hrs],tblDaily[Month],10,tblDaily[WardCode],"NICU")</f>
        <v>0</v>
      </c>
      <c r="H154" s="29">
        <f>SUMIFS(tblDaily[Remaining],tblDaily[Month],10,tblDaily[WardCode],"NICU")</f>
        <v>0</v>
      </c>
      <c r="I154" s="29">
        <f>SUMIFS(tblDaily[TransfersIn],tblDaily[Month],10,tblDaily[WardCode],"NICU")</f>
        <v>0</v>
      </c>
      <c r="J154" s="29">
        <f>SUMIFS(tblDaily[TransfersOut],tblDaily[Month],10,tblDaily[WardCode],"NICU")</f>
        <v>0</v>
      </c>
      <c r="K154" s="41">
        <f t="shared" si="72"/>
        <v>0</v>
      </c>
      <c r="L154" s="41">
        <f t="shared" si="73"/>
        <v>0</v>
      </c>
      <c r="M154" s="41">
        <f t="shared" si="74"/>
        <v>0</v>
      </c>
      <c r="N154" s="41">
        <f t="shared" si="75"/>
        <v>0</v>
      </c>
      <c r="O154" s="41">
        <f t="shared" si="76"/>
        <v>0</v>
      </c>
      <c r="P154" s="41">
        <f t="shared" si="77"/>
        <v>0</v>
      </c>
    </row>
    <row r="155" spans="1:16" x14ac:dyDescent="0.25">
      <c r="A155" s="40" t="s">
        <v>44</v>
      </c>
      <c r="B155" s="29">
        <f>IFERROR(SUMIFS(tblDaily[Remaining],tblDaily[EntryDate],DATE(2026,9,30),tblDaily[WardCode],"MAE"),0)</f>
        <v>0</v>
      </c>
      <c r="C155" s="29">
        <f>IFERROR(INDEX(tblWardConfig[BedComplement],MATCH("MAE",tblWardConfig[WardCode],0)),0)</f>
        <v>10</v>
      </c>
      <c r="D155" s="29">
        <f>SUMIFS(tblDaily[Admissions],tblDaily[Month],10,tblDaily[WardCode],"MAE") - SUMIFS(tblDaily[DeathsUnder24Hrs],tblDaily[Month],10,tblDaily[WardCode],"MAE")</f>
        <v>0</v>
      </c>
      <c r="E155" s="29">
        <f>SUMIFS(tblDaily[Discharges],tblDaily[Month],10,tblDaily[WardCode],"MAE")</f>
        <v>0</v>
      </c>
      <c r="F155" s="29">
        <f>SUMIFS(tblDaily[Deaths],tblDaily[Month],10,tblDaily[WardCode],"MAE")</f>
        <v>0</v>
      </c>
      <c r="G155" s="29">
        <f>SUMIFS(tblDaily[DeathsUnder24Hrs],tblDaily[Month],10,tblDaily[WardCode],"MAE")</f>
        <v>0</v>
      </c>
      <c r="H155" s="29">
        <f>SUMIFS(tblDaily[Remaining],tblDaily[Month],10,tblDaily[WardCode],"MAE")</f>
        <v>0</v>
      </c>
      <c r="I155" s="29">
        <f>SUMIFS(tblDaily[TransfersIn],tblDaily[Month],10,tblDaily[WardCode],"MAE")</f>
        <v>0</v>
      </c>
      <c r="J155" s="29">
        <f>SUMIFS(tblDaily[TransfersOut],tblDaily[Month],10,tblDaily[WardCode],"MAE")</f>
        <v>0</v>
      </c>
      <c r="K155" s="41">
        <f t="shared" si="72"/>
        <v>0</v>
      </c>
      <c r="L155" s="41">
        <f t="shared" si="73"/>
        <v>0</v>
      </c>
      <c r="M155" s="41">
        <f t="shared" si="74"/>
        <v>0</v>
      </c>
      <c r="N155" s="41">
        <f t="shared" si="75"/>
        <v>0</v>
      </c>
      <c r="O155" s="41">
        <f t="shared" si="76"/>
        <v>0</v>
      </c>
      <c r="P155" s="41">
        <f t="shared" si="77"/>
        <v>0</v>
      </c>
    </row>
    <row r="156" spans="1:16" x14ac:dyDescent="0.25">
      <c r="A156" s="40" t="s">
        <v>46</v>
      </c>
      <c r="B156" s="29">
        <f>IFERROR(SUMIFS(tblDaily[Remaining],tblDaily[EntryDate],DATE(2026,9,30),tblDaily[WardCode],"FAE"),0)</f>
        <v>0</v>
      </c>
      <c r="C156" s="29">
        <f>IFERROR(INDEX(tblWardConfig[BedComplement],MATCH("FAE",tblWardConfig[WardCode],0)),0)</f>
        <v>10</v>
      </c>
      <c r="D156" s="29">
        <f>SUMIFS(tblDaily[Admissions],tblDaily[Month],10,tblDaily[WardCode],"FAE") - SUMIFS(tblDaily[DeathsUnder24Hrs],tblDaily[Month],10,tblDaily[WardCode],"FAE")</f>
        <v>0</v>
      </c>
      <c r="E156" s="29">
        <f>SUMIFS(tblDaily[Discharges],tblDaily[Month],10,tblDaily[WardCode],"FAE")</f>
        <v>0</v>
      </c>
      <c r="F156" s="29">
        <f>SUMIFS(tblDaily[Deaths],tblDaily[Month],10,tblDaily[WardCode],"FAE")</f>
        <v>0</v>
      </c>
      <c r="G156" s="29">
        <f>SUMIFS(tblDaily[DeathsUnder24Hrs],tblDaily[Month],10,tblDaily[WardCode],"FAE")</f>
        <v>0</v>
      </c>
      <c r="H156" s="29">
        <f>SUMIFS(tblDaily[Remaining],tblDaily[Month],10,tblDaily[WardCode],"FAE")</f>
        <v>0</v>
      </c>
      <c r="I156" s="29">
        <f>SUMIFS(tblDaily[TransfersIn],tblDaily[Month],10,tblDaily[WardCode],"FAE")</f>
        <v>0</v>
      </c>
      <c r="J156" s="29">
        <f>SUMIFS(tblDaily[TransfersOut],tblDaily[Month],10,tblDaily[WardCode],"FAE")</f>
        <v>0</v>
      </c>
      <c r="K156" s="41">
        <f t="shared" si="72"/>
        <v>0</v>
      </c>
      <c r="L156" s="41">
        <f t="shared" si="73"/>
        <v>0</v>
      </c>
      <c r="M156" s="41">
        <f t="shared" si="74"/>
        <v>0</v>
      </c>
      <c r="N156" s="41">
        <f t="shared" si="75"/>
        <v>0</v>
      </c>
      <c r="O156" s="41">
        <f t="shared" si="76"/>
        <v>0</v>
      </c>
      <c r="P156" s="41">
        <f t="shared" si="77"/>
        <v>0</v>
      </c>
    </row>
    <row r="157" spans="1:16" x14ac:dyDescent="0.25">
      <c r="A157" s="40" t="s">
        <v>48</v>
      </c>
      <c r="B157" s="29">
        <f>IFERROR(SUMIFS(tblDaily[Remaining],tblDaily[EntryDate],DATE(2026,9,30),tblDaily[WardCode],"ICU"),0)</f>
        <v>0</v>
      </c>
      <c r="C157" s="29">
        <f>IFERROR(INDEX(tblWardConfig[BedComplement],MATCH("ICU",tblWardConfig[WardCode],0)),0)</f>
        <v>4</v>
      </c>
      <c r="D157" s="29">
        <f>SUMIFS(tblDaily[Admissions],tblDaily[Month],10,tblDaily[WardCode],"ICU") - SUMIFS(tblDaily[DeathsUnder24Hrs],tblDaily[Month],10,tblDaily[WardCode],"ICU")</f>
        <v>0</v>
      </c>
      <c r="E157" s="29">
        <f>SUMIFS(tblDaily[Discharges],tblDaily[Month],10,tblDaily[WardCode],"ICU")</f>
        <v>0</v>
      </c>
      <c r="F157" s="29">
        <f>SUMIFS(tblDaily[Deaths],tblDaily[Month],10,tblDaily[WardCode],"ICU")</f>
        <v>0</v>
      </c>
      <c r="G157" s="29">
        <f>SUMIFS(tblDaily[DeathsUnder24Hrs],tblDaily[Month],10,tblDaily[WardCode],"ICU")</f>
        <v>0</v>
      </c>
      <c r="H157" s="29">
        <f>SUMIFS(tblDaily[Remaining],tblDaily[Month],10,tblDaily[WardCode],"ICU")</f>
        <v>0</v>
      </c>
      <c r="I157" s="29">
        <f>SUMIFS(tblDaily[TransfersIn],tblDaily[Month],10,tblDaily[WardCode],"ICU")</f>
        <v>0</v>
      </c>
      <c r="J157" s="29">
        <f>SUMIFS(tblDaily[TransfersOut],tblDaily[Month],10,tblDaily[WardCode],"ICU")</f>
        <v>0</v>
      </c>
      <c r="K157" s="41">
        <f t="shared" si="72"/>
        <v>0</v>
      </c>
      <c r="L157" s="41">
        <f t="shared" si="73"/>
        <v>0</v>
      </c>
      <c r="M157" s="41">
        <f t="shared" si="74"/>
        <v>0</v>
      </c>
      <c r="N157" s="41">
        <f t="shared" si="75"/>
        <v>0</v>
      </c>
      <c r="O157" s="41">
        <f t="shared" si="76"/>
        <v>0</v>
      </c>
      <c r="P157" s="41">
        <f t="shared" si="77"/>
        <v>0</v>
      </c>
    </row>
    <row r="158" spans="1:16" x14ac:dyDescent="0.25">
      <c r="A158" s="30" t="s">
        <v>115</v>
      </c>
      <c r="B158" s="30">
        <f t="shared" ref="B158:J158" si="78">SUM(B148:B157)</f>
        <v>0</v>
      </c>
      <c r="C158" s="30">
        <f t="shared" si="78"/>
        <v>182</v>
      </c>
      <c r="D158" s="30">
        <f t="shared" si="78"/>
        <v>0</v>
      </c>
      <c r="E158" s="30">
        <f t="shared" si="78"/>
        <v>0</v>
      </c>
      <c r="F158" s="30">
        <f t="shared" si="78"/>
        <v>0</v>
      </c>
      <c r="G158" s="30">
        <f t="shared" si="78"/>
        <v>0</v>
      </c>
      <c r="H158" s="30">
        <f t="shared" si="78"/>
        <v>0</v>
      </c>
      <c r="I158" s="30">
        <f t="shared" si="78"/>
        <v>0</v>
      </c>
      <c r="J158" s="30">
        <f t="shared" si="78"/>
        <v>0</v>
      </c>
      <c r="K158" s="42">
        <f t="shared" si="72"/>
        <v>0</v>
      </c>
      <c r="L158" s="42">
        <f t="shared" si="73"/>
        <v>0</v>
      </c>
      <c r="M158" s="42">
        <f t="shared" si="74"/>
        <v>0</v>
      </c>
      <c r="N158" s="42">
        <f t="shared" si="75"/>
        <v>0</v>
      </c>
      <c r="O158" s="42">
        <f t="shared" si="76"/>
        <v>0</v>
      </c>
      <c r="P158" s="42">
        <f t="shared" si="77"/>
        <v>0</v>
      </c>
    </row>
    <row r="159" spans="1:16" x14ac:dyDescent="0.25">
      <c r="A159" s="43" t="s">
        <v>148</v>
      </c>
      <c r="B159" s="43">
        <f t="shared" ref="B159:J159" si="79">B155+B156</f>
        <v>0</v>
      </c>
      <c r="C159" s="43">
        <f t="shared" si="79"/>
        <v>20</v>
      </c>
      <c r="D159" s="43">
        <f t="shared" si="79"/>
        <v>0</v>
      </c>
      <c r="E159" s="43">
        <f t="shared" si="79"/>
        <v>0</v>
      </c>
      <c r="F159" s="43">
        <f t="shared" si="79"/>
        <v>0</v>
      </c>
      <c r="G159" s="43">
        <f t="shared" si="79"/>
        <v>0</v>
      </c>
      <c r="H159" s="43">
        <f t="shared" si="79"/>
        <v>0</v>
      </c>
      <c r="I159" s="43">
        <f t="shared" si="79"/>
        <v>0</v>
      </c>
      <c r="J159" s="43">
        <f t="shared" si="79"/>
        <v>0</v>
      </c>
      <c r="K159" s="44">
        <f t="shared" si="72"/>
        <v>0</v>
      </c>
      <c r="L159" s="44">
        <f t="shared" si="73"/>
        <v>0</v>
      </c>
      <c r="M159" s="44">
        <f t="shared" si="74"/>
        <v>0</v>
      </c>
      <c r="N159" s="44">
        <f t="shared" si="75"/>
        <v>0</v>
      </c>
      <c r="O159" s="44">
        <f t="shared" si="76"/>
        <v>0</v>
      </c>
      <c r="P159" s="44">
        <f t="shared" si="77"/>
        <v>0</v>
      </c>
    </row>
    <row r="161" spans="1:16" ht="18.75" x14ac:dyDescent="0.25">
      <c r="A161" s="21" t="s">
        <v>0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</row>
    <row r="162" spans="1:16" ht="15.75" x14ac:dyDescent="0.25">
      <c r="A162" s="23" t="s">
        <v>158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</row>
    <row r="163" spans="1:16" ht="38.25" x14ac:dyDescent="0.25">
      <c r="A163" s="28" t="s">
        <v>136</v>
      </c>
      <c r="B163" s="28" t="s">
        <v>137</v>
      </c>
      <c r="C163" s="28" t="s">
        <v>138</v>
      </c>
      <c r="D163" s="28" t="s">
        <v>77</v>
      </c>
      <c r="E163" s="28" t="s">
        <v>78</v>
      </c>
      <c r="F163" s="28" t="s">
        <v>79</v>
      </c>
      <c r="G163" s="28" t="s">
        <v>111</v>
      </c>
      <c r="H163" s="28" t="s">
        <v>139</v>
      </c>
      <c r="I163" s="28" t="s">
        <v>140</v>
      </c>
      <c r="J163" s="28" t="s">
        <v>141</v>
      </c>
      <c r="K163" s="28" t="s">
        <v>142</v>
      </c>
      <c r="L163" s="28" t="s">
        <v>143</v>
      </c>
      <c r="M163" s="28" t="s">
        <v>144</v>
      </c>
      <c r="N163" s="28" t="s">
        <v>145</v>
      </c>
      <c r="O163" s="28" t="s">
        <v>146</v>
      </c>
      <c r="P163" s="28" t="s">
        <v>147</v>
      </c>
    </row>
    <row r="164" spans="1:16" x14ac:dyDescent="0.25">
      <c r="A164" s="40" t="s">
        <v>30</v>
      </c>
      <c r="B164" s="29">
        <f>IFERROR(SUMIFS(tblDaily[Remaining],tblDaily[EntryDate],DATE(2026,10,31),tblDaily[WardCode],"MW"),0)</f>
        <v>0</v>
      </c>
      <c r="C164" s="29">
        <f>IFERROR(INDEX(tblWardConfig[BedComplement],MATCH("MW",tblWardConfig[WardCode],0)),0)</f>
        <v>32</v>
      </c>
      <c r="D164" s="29">
        <f>SUMIFS(tblDaily[Admissions],tblDaily[Month],11,tblDaily[WardCode],"MW") - SUMIFS(tblDaily[DeathsUnder24Hrs],tblDaily[Month],11,tblDaily[WardCode],"MW")</f>
        <v>0</v>
      </c>
      <c r="E164" s="29">
        <f>SUMIFS(tblDaily[Discharges],tblDaily[Month],11,tblDaily[WardCode],"MW")</f>
        <v>0</v>
      </c>
      <c r="F164" s="29">
        <f>SUMIFS(tblDaily[Deaths],tblDaily[Month],11,tblDaily[WardCode],"MW")</f>
        <v>0</v>
      </c>
      <c r="G164" s="29">
        <f>SUMIFS(tblDaily[DeathsUnder24Hrs],tblDaily[Month],11,tblDaily[WardCode],"MW")</f>
        <v>0</v>
      </c>
      <c r="H164" s="29">
        <f>SUMIFS(tblDaily[Remaining],tblDaily[Month],11,tblDaily[WardCode],"MW")</f>
        <v>0</v>
      </c>
      <c r="I164" s="29">
        <f>SUMIFS(tblDaily[TransfersIn],tblDaily[Month],11,tblDaily[WardCode],"MW")</f>
        <v>0</v>
      </c>
      <c r="J164" s="29">
        <f>SUMIFS(tblDaily[TransfersOut],tblDaily[Month],11,tblDaily[WardCode],"MW")</f>
        <v>0</v>
      </c>
      <c r="K164" s="41">
        <f t="shared" ref="K164:K175" si="80">IFERROR(H164/30,0)</f>
        <v>0</v>
      </c>
      <c r="L164" s="41">
        <f t="shared" ref="L164:L175" si="81">IFERROR(H164/(E164+F164),0)</f>
        <v>0</v>
      </c>
      <c r="M164" s="41">
        <f t="shared" ref="M164:M175" si="82">IFERROR((C164*30-H164)/(E164+F164),0)</f>
        <v>0</v>
      </c>
      <c r="N164" s="41">
        <f t="shared" ref="N164:N175" si="83">IFERROR((E164+F164)/C164,0)</f>
        <v>0</v>
      </c>
      <c r="O164" s="41">
        <f t="shared" ref="O164:O175" si="84">IFERROR((H164/(C164*30))*100,0)</f>
        <v>0</v>
      </c>
      <c r="P164" s="41">
        <f t="shared" ref="P164:P175" si="85">IFERROR((F164/(D164+B164))*100,0)</f>
        <v>0</v>
      </c>
    </row>
    <row r="165" spans="1:16" x14ac:dyDescent="0.25">
      <c r="A165" s="40" t="s">
        <v>32</v>
      </c>
      <c r="B165" s="29">
        <f>IFERROR(SUMIFS(tblDaily[Remaining],tblDaily[EntryDate],DATE(2026,10,31),tblDaily[WardCode],"FW"),0)</f>
        <v>0</v>
      </c>
      <c r="C165" s="29">
        <f>IFERROR(INDEX(tblWardConfig[BedComplement],MATCH("FW",tblWardConfig[WardCode],0)),0)</f>
        <v>28</v>
      </c>
      <c r="D165" s="29">
        <f>SUMIFS(tblDaily[Admissions],tblDaily[Month],11,tblDaily[WardCode],"FW") - SUMIFS(tblDaily[DeathsUnder24Hrs],tblDaily[Month],11,tblDaily[WardCode],"FW")</f>
        <v>0</v>
      </c>
      <c r="E165" s="29">
        <f>SUMIFS(tblDaily[Discharges],tblDaily[Month],11,tblDaily[WardCode],"FW")</f>
        <v>0</v>
      </c>
      <c r="F165" s="29">
        <f>SUMIFS(tblDaily[Deaths],tblDaily[Month],11,tblDaily[WardCode],"FW")</f>
        <v>0</v>
      </c>
      <c r="G165" s="29">
        <f>SUMIFS(tblDaily[DeathsUnder24Hrs],tblDaily[Month],11,tblDaily[WardCode],"FW")</f>
        <v>0</v>
      </c>
      <c r="H165" s="29">
        <f>SUMIFS(tblDaily[Remaining],tblDaily[Month],11,tblDaily[WardCode],"FW")</f>
        <v>0</v>
      </c>
      <c r="I165" s="29">
        <f>SUMIFS(tblDaily[TransfersIn],tblDaily[Month],11,tblDaily[WardCode],"FW")</f>
        <v>0</v>
      </c>
      <c r="J165" s="29">
        <f>SUMIFS(tblDaily[TransfersOut],tblDaily[Month],11,tblDaily[WardCode],"FW")</f>
        <v>0</v>
      </c>
      <c r="K165" s="41">
        <f t="shared" si="80"/>
        <v>0</v>
      </c>
      <c r="L165" s="41">
        <f t="shared" si="81"/>
        <v>0</v>
      </c>
      <c r="M165" s="41">
        <f t="shared" si="82"/>
        <v>0</v>
      </c>
      <c r="N165" s="41">
        <f t="shared" si="83"/>
        <v>0</v>
      </c>
      <c r="O165" s="41">
        <f t="shared" si="84"/>
        <v>0</v>
      </c>
      <c r="P165" s="41">
        <f t="shared" si="85"/>
        <v>0</v>
      </c>
    </row>
    <row r="166" spans="1:16" x14ac:dyDescent="0.25">
      <c r="A166" s="40" t="s">
        <v>34</v>
      </c>
      <c r="B166" s="29">
        <f>IFERROR(SUMIFS(tblDaily[Remaining],tblDaily[EntryDate],DATE(2026,10,31),tblDaily[WardCode],"CW"),0)</f>
        <v>0</v>
      </c>
      <c r="C166" s="29">
        <f>IFERROR(INDEX(tblWardConfig[BedComplement],MATCH("CW",tblWardConfig[WardCode],0)),0)</f>
        <v>27</v>
      </c>
      <c r="D166" s="29">
        <f>SUMIFS(tblDaily[Admissions],tblDaily[Month],11,tblDaily[WardCode],"CW") - SUMIFS(tblDaily[DeathsUnder24Hrs],tblDaily[Month],11,tblDaily[WardCode],"CW")</f>
        <v>0</v>
      </c>
      <c r="E166" s="29">
        <f>SUMIFS(tblDaily[Discharges],tblDaily[Month],11,tblDaily[WardCode],"CW")</f>
        <v>0</v>
      </c>
      <c r="F166" s="29">
        <f>SUMIFS(tblDaily[Deaths],tblDaily[Month],11,tblDaily[WardCode],"CW")</f>
        <v>0</v>
      </c>
      <c r="G166" s="29">
        <f>SUMIFS(tblDaily[DeathsUnder24Hrs],tblDaily[Month],11,tblDaily[WardCode],"CW")</f>
        <v>0</v>
      </c>
      <c r="H166" s="29">
        <f>SUMIFS(tblDaily[Remaining],tblDaily[Month],11,tblDaily[WardCode],"CW")</f>
        <v>0</v>
      </c>
      <c r="I166" s="29">
        <f>SUMIFS(tblDaily[TransfersIn],tblDaily[Month],11,tblDaily[WardCode],"CW")</f>
        <v>0</v>
      </c>
      <c r="J166" s="29">
        <f>SUMIFS(tblDaily[TransfersOut],tblDaily[Month],11,tblDaily[WardCode],"CW")</f>
        <v>0</v>
      </c>
      <c r="K166" s="41">
        <f t="shared" si="80"/>
        <v>0</v>
      </c>
      <c r="L166" s="41">
        <f t="shared" si="81"/>
        <v>0</v>
      </c>
      <c r="M166" s="41">
        <f t="shared" si="82"/>
        <v>0</v>
      </c>
      <c r="N166" s="41">
        <f t="shared" si="83"/>
        <v>0</v>
      </c>
      <c r="O166" s="41">
        <f t="shared" si="84"/>
        <v>0</v>
      </c>
      <c r="P166" s="41">
        <f t="shared" si="85"/>
        <v>0</v>
      </c>
    </row>
    <row r="167" spans="1:16" x14ac:dyDescent="0.25">
      <c r="A167" s="40" t="s">
        <v>36</v>
      </c>
      <c r="B167" s="29">
        <f>IFERROR(SUMIFS(tblDaily[Remaining],tblDaily[EntryDate],DATE(2026,10,31),tblDaily[WardCode],"BF"),0)</f>
        <v>0</v>
      </c>
      <c r="C167" s="29">
        <f>IFERROR(INDEX(tblWardConfig[BedComplement],MATCH("BF",tblWardConfig[WardCode],0)),0)</f>
        <v>20</v>
      </c>
      <c r="D167" s="29">
        <f>SUMIFS(tblDaily[Admissions],tblDaily[Month],11,tblDaily[WardCode],"BF") - SUMIFS(tblDaily[DeathsUnder24Hrs],tblDaily[Month],11,tblDaily[WardCode],"BF")</f>
        <v>0</v>
      </c>
      <c r="E167" s="29">
        <f>SUMIFS(tblDaily[Discharges],tblDaily[Month],11,tblDaily[WardCode],"BF")</f>
        <v>0</v>
      </c>
      <c r="F167" s="29">
        <f>SUMIFS(tblDaily[Deaths],tblDaily[Month],11,tblDaily[WardCode],"BF")</f>
        <v>0</v>
      </c>
      <c r="G167" s="29">
        <f>SUMIFS(tblDaily[DeathsUnder24Hrs],tblDaily[Month],11,tblDaily[WardCode],"BF")</f>
        <v>0</v>
      </c>
      <c r="H167" s="29">
        <f>SUMIFS(tblDaily[Remaining],tblDaily[Month],11,tblDaily[WardCode],"BF")</f>
        <v>0</v>
      </c>
      <c r="I167" s="29">
        <f>SUMIFS(tblDaily[TransfersIn],tblDaily[Month],11,tblDaily[WardCode],"BF")</f>
        <v>0</v>
      </c>
      <c r="J167" s="29">
        <f>SUMIFS(tblDaily[TransfersOut],tblDaily[Month],11,tblDaily[WardCode],"BF")</f>
        <v>0</v>
      </c>
      <c r="K167" s="41">
        <f t="shared" si="80"/>
        <v>0</v>
      </c>
      <c r="L167" s="41">
        <f t="shared" si="81"/>
        <v>0</v>
      </c>
      <c r="M167" s="41">
        <f t="shared" si="82"/>
        <v>0</v>
      </c>
      <c r="N167" s="41">
        <f t="shared" si="83"/>
        <v>0</v>
      </c>
      <c r="O167" s="41">
        <f t="shared" si="84"/>
        <v>0</v>
      </c>
      <c r="P167" s="41">
        <f t="shared" si="85"/>
        <v>0</v>
      </c>
    </row>
    <row r="168" spans="1:16" x14ac:dyDescent="0.25">
      <c r="A168" s="40" t="s">
        <v>38</v>
      </c>
      <c r="B168" s="29">
        <f>IFERROR(SUMIFS(tblDaily[Remaining],tblDaily[EntryDate],DATE(2026,10,31),tblDaily[WardCode],"BG"),0)</f>
        <v>0</v>
      </c>
      <c r="C168" s="29">
        <f>IFERROR(INDEX(tblWardConfig[BedComplement],MATCH("BG",tblWardConfig[WardCode],0)),0)</f>
        <v>14</v>
      </c>
      <c r="D168" s="29">
        <f>SUMIFS(tblDaily[Admissions],tblDaily[Month],11,tblDaily[WardCode],"BG") - SUMIFS(tblDaily[DeathsUnder24Hrs],tblDaily[Month],11,tblDaily[WardCode],"BG")</f>
        <v>0</v>
      </c>
      <c r="E168" s="29">
        <f>SUMIFS(tblDaily[Discharges],tblDaily[Month],11,tblDaily[WardCode],"BG")</f>
        <v>0</v>
      </c>
      <c r="F168" s="29">
        <f>SUMIFS(tblDaily[Deaths],tblDaily[Month],11,tblDaily[WardCode],"BG")</f>
        <v>0</v>
      </c>
      <c r="G168" s="29">
        <f>SUMIFS(tblDaily[DeathsUnder24Hrs],tblDaily[Month],11,tblDaily[WardCode],"BG")</f>
        <v>0</v>
      </c>
      <c r="H168" s="29">
        <f>SUMIFS(tblDaily[Remaining],tblDaily[Month],11,tblDaily[WardCode],"BG")</f>
        <v>0</v>
      </c>
      <c r="I168" s="29">
        <f>SUMIFS(tblDaily[TransfersIn],tblDaily[Month],11,tblDaily[WardCode],"BG")</f>
        <v>0</v>
      </c>
      <c r="J168" s="29">
        <f>SUMIFS(tblDaily[TransfersOut],tblDaily[Month],11,tblDaily[WardCode],"BG")</f>
        <v>0</v>
      </c>
      <c r="K168" s="41">
        <f t="shared" si="80"/>
        <v>0</v>
      </c>
      <c r="L168" s="41">
        <f t="shared" si="81"/>
        <v>0</v>
      </c>
      <c r="M168" s="41">
        <f t="shared" si="82"/>
        <v>0</v>
      </c>
      <c r="N168" s="41">
        <f t="shared" si="83"/>
        <v>0</v>
      </c>
      <c r="O168" s="41">
        <f t="shared" si="84"/>
        <v>0</v>
      </c>
      <c r="P168" s="41">
        <f t="shared" si="85"/>
        <v>0</v>
      </c>
    </row>
    <row r="169" spans="1:16" x14ac:dyDescent="0.25">
      <c r="A169" s="40" t="s">
        <v>40</v>
      </c>
      <c r="B169" s="29">
        <f>IFERROR(SUMIFS(tblDaily[Remaining],tblDaily[EntryDate],DATE(2026,10,31),tblDaily[WardCode],"BH"),0)</f>
        <v>0</v>
      </c>
      <c r="C169" s="29">
        <f>IFERROR(INDEX(tblWardConfig[BedComplement],MATCH("BH",tblWardConfig[WardCode],0)),0)</f>
        <v>22</v>
      </c>
      <c r="D169" s="29">
        <f>SUMIFS(tblDaily[Admissions],tblDaily[Month],11,tblDaily[WardCode],"BH") - SUMIFS(tblDaily[DeathsUnder24Hrs],tblDaily[Month],11,tblDaily[WardCode],"BH")</f>
        <v>0</v>
      </c>
      <c r="E169" s="29">
        <f>SUMIFS(tblDaily[Discharges],tblDaily[Month],11,tblDaily[WardCode],"BH")</f>
        <v>0</v>
      </c>
      <c r="F169" s="29">
        <f>SUMIFS(tblDaily[Deaths],tblDaily[Month],11,tblDaily[WardCode],"BH")</f>
        <v>0</v>
      </c>
      <c r="G169" s="29">
        <f>SUMIFS(tblDaily[DeathsUnder24Hrs],tblDaily[Month],11,tblDaily[WardCode],"BH")</f>
        <v>0</v>
      </c>
      <c r="H169" s="29">
        <f>SUMIFS(tblDaily[Remaining],tblDaily[Month],11,tblDaily[WardCode],"BH")</f>
        <v>0</v>
      </c>
      <c r="I169" s="29">
        <f>SUMIFS(tblDaily[TransfersIn],tblDaily[Month],11,tblDaily[WardCode],"BH")</f>
        <v>0</v>
      </c>
      <c r="J169" s="29">
        <f>SUMIFS(tblDaily[TransfersOut],tblDaily[Month],11,tblDaily[WardCode],"BH")</f>
        <v>0</v>
      </c>
      <c r="K169" s="41">
        <f t="shared" si="80"/>
        <v>0</v>
      </c>
      <c r="L169" s="41">
        <f t="shared" si="81"/>
        <v>0</v>
      </c>
      <c r="M169" s="41">
        <f t="shared" si="82"/>
        <v>0</v>
      </c>
      <c r="N169" s="41">
        <f t="shared" si="83"/>
        <v>0</v>
      </c>
      <c r="O169" s="41">
        <f t="shared" si="84"/>
        <v>0</v>
      </c>
      <c r="P169" s="41">
        <f t="shared" si="85"/>
        <v>0</v>
      </c>
    </row>
    <row r="170" spans="1:16" x14ac:dyDescent="0.25">
      <c r="A170" s="40" t="s">
        <v>42</v>
      </c>
      <c r="B170" s="29">
        <f>IFERROR(SUMIFS(tblDaily[Remaining],tblDaily[EntryDate],DATE(2026,10,31),tblDaily[WardCode],"NICU"),0)</f>
        <v>0</v>
      </c>
      <c r="C170" s="29">
        <f>IFERROR(INDEX(tblWardConfig[BedComplement],MATCH("NICU",tblWardConfig[WardCode],0)),0)</f>
        <v>15</v>
      </c>
      <c r="D170" s="29">
        <f>SUMIFS(tblDaily[Admissions],tblDaily[Month],11,tblDaily[WardCode],"NICU") - SUMIFS(tblDaily[DeathsUnder24Hrs],tblDaily[Month],11,tblDaily[WardCode],"NICU")</f>
        <v>0</v>
      </c>
      <c r="E170" s="29">
        <f>SUMIFS(tblDaily[Discharges],tblDaily[Month],11,tblDaily[WardCode],"NICU")</f>
        <v>0</v>
      </c>
      <c r="F170" s="29">
        <f>SUMIFS(tblDaily[Deaths],tblDaily[Month],11,tblDaily[WardCode],"NICU")</f>
        <v>0</v>
      </c>
      <c r="G170" s="29">
        <f>SUMIFS(tblDaily[DeathsUnder24Hrs],tblDaily[Month],11,tblDaily[WardCode],"NICU")</f>
        <v>0</v>
      </c>
      <c r="H170" s="29">
        <f>SUMIFS(tblDaily[Remaining],tblDaily[Month],11,tblDaily[WardCode],"NICU")</f>
        <v>0</v>
      </c>
      <c r="I170" s="29">
        <f>SUMIFS(tblDaily[TransfersIn],tblDaily[Month],11,tblDaily[WardCode],"NICU")</f>
        <v>0</v>
      </c>
      <c r="J170" s="29">
        <f>SUMIFS(tblDaily[TransfersOut],tblDaily[Month],11,tblDaily[WardCode],"NICU")</f>
        <v>0</v>
      </c>
      <c r="K170" s="41">
        <f t="shared" si="80"/>
        <v>0</v>
      </c>
      <c r="L170" s="41">
        <f t="shared" si="81"/>
        <v>0</v>
      </c>
      <c r="M170" s="41">
        <f t="shared" si="82"/>
        <v>0</v>
      </c>
      <c r="N170" s="41">
        <f t="shared" si="83"/>
        <v>0</v>
      </c>
      <c r="O170" s="41">
        <f t="shared" si="84"/>
        <v>0</v>
      </c>
      <c r="P170" s="41">
        <f t="shared" si="85"/>
        <v>0</v>
      </c>
    </row>
    <row r="171" spans="1:16" x14ac:dyDescent="0.25">
      <c r="A171" s="40" t="s">
        <v>44</v>
      </c>
      <c r="B171" s="29">
        <f>IFERROR(SUMIFS(tblDaily[Remaining],tblDaily[EntryDate],DATE(2026,10,31),tblDaily[WardCode],"MAE"),0)</f>
        <v>0</v>
      </c>
      <c r="C171" s="29">
        <f>IFERROR(INDEX(tblWardConfig[BedComplement],MATCH("MAE",tblWardConfig[WardCode],0)),0)</f>
        <v>10</v>
      </c>
      <c r="D171" s="29">
        <f>SUMIFS(tblDaily[Admissions],tblDaily[Month],11,tblDaily[WardCode],"MAE") - SUMIFS(tblDaily[DeathsUnder24Hrs],tblDaily[Month],11,tblDaily[WardCode],"MAE")</f>
        <v>0</v>
      </c>
      <c r="E171" s="29">
        <f>SUMIFS(tblDaily[Discharges],tblDaily[Month],11,tblDaily[WardCode],"MAE")</f>
        <v>0</v>
      </c>
      <c r="F171" s="29">
        <f>SUMIFS(tblDaily[Deaths],tblDaily[Month],11,tblDaily[WardCode],"MAE")</f>
        <v>0</v>
      </c>
      <c r="G171" s="29">
        <f>SUMIFS(tblDaily[DeathsUnder24Hrs],tblDaily[Month],11,tblDaily[WardCode],"MAE")</f>
        <v>0</v>
      </c>
      <c r="H171" s="29">
        <f>SUMIFS(tblDaily[Remaining],tblDaily[Month],11,tblDaily[WardCode],"MAE")</f>
        <v>0</v>
      </c>
      <c r="I171" s="29">
        <f>SUMIFS(tblDaily[TransfersIn],tblDaily[Month],11,tblDaily[WardCode],"MAE")</f>
        <v>0</v>
      </c>
      <c r="J171" s="29">
        <f>SUMIFS(tblDaily[TransfersOut],tblDaily[Month],11,tblDaily[WardCode],"MAE")</f>
        <v>0</v>
      </c>
      <c r="K171" s="41">
        <f t="shared" si="80"/>
        <v>0</v>
      </c>
      <c r="L171" s="41">
        <f t="shared" si="81"/>
        <v>0</v>
      </c>
      <c r="M171" s="41">
        <f t="shared" si="82"/>
        <v>0</v>
      </c>
      <c r="N171" s="41">
        <f t="shared" si="83"/>
        <v>0</v>
      </c>
      <c r="O171" s="41">
        <f t="shared" si="84"/>
        <v>0</v>
      </c>
      <c r="P171" s="41">
        <f t="shared" si="85"/>
        <v>0</v>
      </c>
    </row>
    <row r="172" spans="1:16" x14ac:dyDescent="0.25">
      <c r="A172" s="40" t="s">
        <v>46</v>
      </c>
      <c r="B172" s="29">
        <f>IFERROR(SUMIFS(tblDaily[Remaining],tblDaily[EntryDate],DATE(2026,10,31),tblDaily[WardCode],"FAE"),0)</f>
        <v>0</v>
      </c>
      <c r="C172" s="29">
        <f>IFERROR(INDEX(tblWardConfig[BedComplement],MATCH("FAE",tblWardConfig[WardCode],0)),0)</f>
        <v>10</v>
      </c>
      <c r="D172" s="29">
        <f>SUMIFS(tblDaily[Admissions],tblDaily[Month],11,tblDaily[WardCode],"FAE") - SUMIFS(tblDaily[DeathsUnder24Hrs],tblDaily[Month],11,tblDaily[WardCode],"FAE")</f>
        <v>0</v>
      </c>
      <c r="E172" s="29">
        <f>SUMIFS(tblDaily[Discharges],tblDaily[Month],11,tblDaily[WardCode],"FAE")</f>
        <v>0</v>
      </c>
      <c r="F172" s="29">
        <f>SUMIFS(tblDaily[Deaths],tblDaily[Month],11,tblDaily[WardCode],"FAE")</f>
        <v>0</v>
      </c>
      <c r="G172" s="29">
        <f>SUMIFS(tblDaily[DeathsUnder24Hrs],tblDaily[Month],11,tblDaily[WardCode],"FAE")</f>
        <v>0</v>
      </c>
      <c r="H172" s="29">
        <f>SUMIFS(tblDaily[Remaining],tblDaily[Month],11,tblDaily[WardCode],"FAE")</f>
        <v>0</v>
      </c>
      <c r="I172" s="29">
        <f>SUMIFS(tblDaily[TransfersIn],tblDaily[Month],11,tblDaily[WardCode],"FAE")</f>
        <v>0</v>
      </c>
      <c r="J172" s="29">
        <f>SUMIFS(tblDaily[TransfersOut],tblDaily[Month],11,tblDaily[WardCode],"FAE")</f>
        <v>0</v>
      </c>
      <c r="K172" s="41">
        <f t="shared" si="80"/>
        <v>0</v>
      </c>
      <c r="L172" s="41">
        <f t="shared" si="81"/>
        <v>0</v>
      </c>
      <c r="M172" s="41">
        <f t="shared" si="82"/>
        <v>0</v>
      </c>
      <c r="N172" s="41">
        <f t="shared" si="83"/>
        <v>0</v>
      </c>
      <c r="O172" s="41">
        <f t="shared" si="84"/>
        <v>0</v>
      </c>
      <c r="P172" s="41">
        <f t="shared" si="85"/>
        <v>0</v>
      </c>
    </row>
    <row r="173" spans="1:16" x14ac:dyDescent="0.25">
      <c r="A173" s="40" t="s">
        <v>48</v>
      </c>
      <c r="B173" s="29">
        <f>IFERROR(SUMIFS(tblDaily[Remaining],tblDaily[EntryDate],DATE(2026,10,31),tblDaily[WardCode],"ICU"),0)</f>
        <v>0</v>
      </c>
      <c r="C173" s="29">
        <f>IFERROR(INDEX(tblWardConfig[BedComplement],MATCH("ICU",tblWardConfig[WardCode],0)),0)</f>
        <v>4</v>
      </c>
      <c r="D173" s="29">
        <f>SUMIFS(tblDaily[Admissions],tblDaily[Month],11,tblDaily[WardCode],"ICU") - SUMIFS(tblDaily[DeathsUnder24Hrs],tblDaily[Month],11,tblDaily[WardCode],"ICU")</f>
        <v>0</v>
      </c>
      <c r="E173" s="29">
        <f>SUMIFS(tblDaily[Discharges],tblDaily[Month],11,tblDaily[WardCode],"ICU")</f>
        <v>0</v>
      </c>
      <c r="F173" s="29">
        <f>SUMIFS(tblDaily[Deaths],tblDaily[Month],11,tblDaily[WardCode],"ICU")</f>
        <v>0</v>
      </c>
      <c r="G173" s="29">
        <f>SUMIFS(tblDaily[DeathsUnder24Hrs],tblDaily[Month],11,tblDaily[WardCode],"ICU")</f>
        <v>0</v>
      </c>
      <c r="H173" s="29">
        <f>SUMIFS(tblDaily[Remaining],tblDaily[Month],11,tblDaily[WardCode],"ICU")</f>
        <v>0</v>
      </c>
      <c r="I173" s="29">
        <f>SUMIFS(tblDaily[TransfersIn],tblDaily[Month],11,tblDaily[WardCode],"ICU")</f>
        <v>0</v>
      </c>
      <c r="J173" s="29">
        <f>SUMIFS(tblDaily[TransfersOut],tblDaily[Month],11,tblDaily[WardCode],"ICU")</f>
        <v>0</v>
      </c>
      <c r="K173" s="41">
        <f t="shared" si="80"/>
        <v>0</v>
      </c>
      <c r="L173" s="41">
        <f t="shared" si="81"/>
        <v>0</v>
      </c>
      <c r="M173" s="41">
        <f t="shared" si="82"/>
        <v>0</v>
      </c>
      <c r="N173" s="41">
        <f t="shared" si="83"/>
        <v>0</v>
      </c>
      <c r="O173" s="41">
        <f t="shared" si="84"/>
        <v>0</v>
      </c>
      <c r="P173" s="41">
        <f t="shared" si="85"/>
        <v>0</v>
      </c>
    </row>
    <row r="174" spans="1:16" x14ac:dyDescent="0.25">
      <c r="A174" s="30" t="s">
        <v>115</v>
      </c>
      <c r="B174" s="30">
        <f t="shared" ref="B174:J174" si="86">SUM(B164:B173)</f>
        <v>0</v>
      </c>
      <c r="C174" s="30">
        <f t="shared" si="86"/>
        <v>182</v>
      </c>
      <c r="D174" s="30">
        <f t="shared" si="86"/>
        <v>0</v>
      </c>
      <c r="E174" s="30">
        <f t="shared" si="86"/>
        <v>0</v>
      </c>
      <c r="F174" s="30">
        <f t="shared" si="86"/>
        <v>0</v>
      </c>
      <c r="G174" s="30">
        <f t="shared" si="86"/>
        <v>0</v>
      </c>
      <c r="H174" s="30">
        <f t="shared" si="86"/>
        <v>0</v>
      </c>
      <c r="I174" s="30">
        <f t="shared" si="86"/>
        <v>0</v>
      </c>
      <c r="J174" s="30">
        <f t="shared" si="86"/>
        <v>0</v>
      </c>
      <c r="K174" s="42">
        <f t="shared" si="80"/>
        <v>0</v>
      </c>
      <c r="L174" s="42">
        <f t="shared" si="81"/>
        <v>0</v>
      </c>
      <c r="M174" s="42">
        <f t="shared" si="82"/>
        <v>0</v>
      </c>
      <c r="N174" s="42">
        <f t="shared" si="83"/>
        <v>0</v>
      </c>
      <c r="O174" s="42">
        <f t="shared" si="84"/>
        <v>0</v>
      </c>
      <c r="P174" s="42">
        <f t="shared" si="85"/>
        <v>0</v>
      </c>
    </row>
    <row r="175" spans="1:16" x14ac:dyDescent="0.25">
      <c r="A175" s="43" t="s">
        <v>148</v>
      </c>
      <c r="B175" s="43">
        <f t="shared" ref="B175:J175" si="87">B171+B172</f>
        <v>0</v>
      </c>
      <c r="C175" s="43">
        <f t="shared" si="87"/>
        <v>20</v>
      </c>
      <c r="D175" s="43">
        <f t="shared" si="87"/>
        <v>0</v>
      </c>
      <c r="E175" s="43">
        <f t="shared" si="87"/>
        <v>0</v>
      </c>
      <c r="F175" s="43">
        <f t="shared" si="87"/>
        <v>0</v>
      </c>
      <c r="G175" s="43">
        <f t="shared" si="87"/>
        <v>0</v>
      </c>
      <c r="H175" s="43">
        <f t="shared" si="87"/>
        <v>0</v>
      </c>
      <c r="I175" s="43">
        <f t="shared" si="87"/>
        <v>0</v>
      </c>
      <c r="J175" s="43">
        <f t="shared" si="87"/>
        <v>0</v>
      </c>
      <c r="K175" s="44">
        <f t="shared" si="80"/>
        <v>0</v>
      </c>
      <c r="L175" s="44">
        <f t="shared" si="81"/>
        <v>0</v>
      </c>
      <c r="M175" s="44">
        <f t="shared" si="82"/>
        <v>0</v>
      </c>
      <c r="N175" s="44">
        <f t="shared" si="83"/>
        <v>0</v>
      </c>
      <c r="O175" s="44">
        <f t="shared" si="84"/>
        <v>0</v>
      </c>
      <c r="P175" s="44">
        <f t="shared" si="85"/>
        <v>0</v>
      </c>
    </row>
    <row r="177" spans="1:16" ht="18.75" x14ac:dyDescent="0.25">
      <c r="A177" s="21" t="s">
        <v>0</v>
      </c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</row>
    <row r="178" spans="1:16" ht="15.75" x14ac:dyDescent="0.25">
      <c r="A178" s="23" t="s">
        <v>159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</row>
    <row r="179" spans="1:16" ht="38.25" x14ac:dyDescent="0.25">
      <c r="A179" s="28" t="s">
        <v>136</v>
      </c>
      <c r="B179" s="28" t="s">
        <v>137</v>
      </c>
      <c r="C179" s="28" t="s">
        <v>138</v>
      </c>
      <c r="D179" s="28" t="s">
        <v>77</v>
      </c>
      <c r="E179" s="28" t="s">
        <v>78</v>
      </c>
      <c r="F179" s="28" t="s">
        <v>79</v>
      </c>
      <c r="G179" s="28" t="s">
        <v>111</v>
      </c>
      <c r="H179" s="28" t="s">
        <v>139</v>
      </c>
      <c r="I179" s="28" t="s">
        <v>140</v>
      </c>
      <c r="J179" s="28" t="s">
        <v>141</v>
      </c>
      <c r="K179" s="28" t="s">
        <v>142</v>
      </c>
      <c r="L179" s="28" t="s">
        <v>143</v>
      </c>
      <c r="M179" s="28" t="s">
        <v>144</v>
      </c>
      <c r="N179" s="28" t="s">
        <v>145</v>
      </c>
      <c r="O179" s="28" t="s">
        <v>146</v>
      </c>
      <c r="P179" s="28" t="s">
        <v>147</v>
      </c>
    </row>
    <row r="180" spans="1:16" x14ac:dyDescent="0.25">
      <c r="A180" s="40" t="s">
        <v>30</v>
      </c>
      <c r="B180" s="29">
        <f>IFERROR(SUMIFS(tblDaily[Remaining],tblDaily[EntryDate],DATE(2026,11,30),tblDaily[WardCode],"MW"),0)</f>
        <v>0</v>
      </c>
      <c r="C180" s="29">
        <f>IFERROR(INDEX(tblWardConfig[BedComplement],MATCH("MW",tblWardConfig[WardCode],0)),0)</f>
        <v>32</v>
      </c>
      <c r="D180" s="29">
        <f>SUMIFS(tblDaily[Admissions],tblDaily[Month],12,tblDaily[WardCode],"MW") - SUMIFS(tblDaily[DeathsUnder24Hrs],tblDaily[Month],12,tblDaily[WardCode],"MW")</f>
        <v>0</v>
      </c>
      <c r="E180" s="29">
        <f>SUMIFS(tblDaily[Discharges],tblDaily[Month],12,tblDaily[WardCode],"MW")</f>
        <v>0</v>
      </c>
      <c r="F180" s="29">
        <f>SUMIFS(tblDaily[Deaths],tblDaily[Month],12,tblDaily[WardCode],"MW")</f>
        <v>0</v>
      </c>
      <c r="G180" s="29">
        <f>SUMIFS(tblDaily[DeathsUnder24Hrs],tblDaily[Month],12,tblDaily[WardCode],"MW")</f>
        <v>0</v>
      </c>
      <c r="H180" s="29">
        <f>SUMIFS(tblDaily[Remaining],tblDaily[Month],12,tblDaily[WardCode],"MW")</f>
        <v>0</v>
      </c>
      <c r="I180" s="29">
        <f>SUMIFS(tblDaily[TransfersIn],tblDaily[Month],12,tblDaily[WardCode],"MW")</f>
        <v>0</v>
      </c>
      <c r="J180" s="29">
        <f>SUMIFS(tblDaily[TransfersOut],tblDaily[Month],12,tblDaily[WardCode],"MW")</f>
        <v>0</v>
      </c>
      <c r="K180" s="41">
        <f t="shared" ref="K180:K191" si="88">IFERROR(H180/31,0)</f>
        <v>0</v>
      </c>
      <c r="L180" s="41">
        <f t="shared" ref="L180:L191" si="89">IFERROR(H180/(E180+F180),0)</f>
        <v>0</v>
      </c>
      <c r="M180" s="41">
        <f t="shared" ref="M180:M191" si="90">IFERROR((C180*31-H180)/(E180+F180),0)</f>
        <v>0</v>
      </c>
      <c r="N180" s="41">
        <f t="shared" ref="N180:N191" si="91">IFERROR((E180+F180)/C180,0)</f>
        <v>0</v>
      </c>
      <c r="O180" s="41">
        <f t="shared" ref="O180:O191" si="92">IFERROR((H180/(C180*31))*100,0)</f>
        <v>0</v>
      </c>
      <c r="P180" s="41">
        <f t="shared" ref="P180:P191" si="93">IFERROR((F180/(D180+B180))*100,0)</f>
        <v>0</v>
      </c>
    </row>
    <row r="181" spans="1:16" x14ac:dyDescent="0.25">
      <c r="A181" s="40" t="s">
        <v>32</v>
      </c>
      <c r="B181" s="29">
        <f>IFERROR(SUMIFS(tblDaily[Remaining],tblDaily[EntryDate],DATE(2026,11,30),tblDaily[WardCode],"FW"),0)</f>
        <v>0</v>
      </c>
      <c r="C181" s="29">
        <f>IFERROR(INDEX(tblWardConfig[BedComplement],MATCH("FW",tblWardConfig[WardCode],0)),0)</f>
        <v>28</v>
      </c>
      <c r="D181" s="29">
        <f>SUMIFS(tblDaily[Admissions],tblDaily[Month],12,tblDaily[WardCode],"FW") - SUMIFS(tblDaily[DeathsUnder24Hrs],tblDaily[Month],12,tblDaily[WardCode],"FW")</f>
        <v>0</v>
      </c>
      <c r="E181" s="29">
        <f>SUMIFS(tblDaily[Discharges],tblDaily[Month],12,tblDaily[WardCode],"FW")</f>
        <v>0</v>
      </c>
      <c r="F181" s="29">
        <f>SUMIFS(tblDaily[Deaths],tblDaily[Month],12,tblDaily[WardCode],"FW")</f>
        <v>0</v>
      </c>
      <c r="G181" s="29">
        <f>SUMIFS(tblDaily[DeathsUnder24Hrs],tblDaily[Month],12,tblDaily[WardCode],"FW")</f>
        <v>0</v>
      </c>
      <c r="H181" s="29">
        <f>SUMIFS(tblDaily[Remaining],tblDaily[Month],12,tblDaily[WardCode],"FW")</f>
        <v>0</v>
      </c>
      <c r="I181" s="29">
        <f>SUMIFS(tblDaily[TransfersIn],tblDaily[Month],12,tblDaily[WardCode],"FW")</f>
        <v>0</v>
      </c>
      <c r="J181" s="29">
        <f>SUMIFS(tblDaily[TransfersOut],tblDaily[Month],12,tblDaily[WardCode],"FW")</f>
        <v>0</v>
      </c>
      <c r="K181" s="41">
        <f t="shared" si="88"/>
        <v>0</v>
      </c>
      <c r="L181" s="41">
        <f t="shared" si="89"/>
        <v>0</v>
      </c>
      <c r="M181" s="41">
        <f t="shared" si="90"/>
        <v>0</v>
      </c>
      <c r="N181" s="41">
        <f t="shared" si="91"/>
        <v>0</v>
      </c>
      <c r="O181" s="41">
        <f t="shared" si="92"/>
        <v>0</v>
      </c>
      <c r="P181" s="41">
        <f t="shared" si="93"/>
        <v>0</v>
      </c>
    </row>
    <row r="182" spans="1:16" x14ac:dyDescent="0.25">
      <c r="A182" s="40" t="s">
        <v>34</v>
      </c>
      <c r="B182" s="29">
        <f>IFERROR(SUMIFS(tblDaily[Remaining],tblDaily[EntryDate],DATE(2026,11,30),tblDaily[WardCode],"CW"),0)</f>
        <v>0</v>
      </c>
      <c r="C182" s="29">
        <f>IFERROR(INDEX(tblWardConfig[BedComplement],MATCH("CW",tblWardConfig[WardCode],0)),0)</f>
        <v>27</v>
      </c>
      <c r="D182" s="29">
        <f>SUMIFS(tblDaily[Admissions],tblDaily[Month],12,tblDaily[WardCode],"CW") - SUMIFS(tblDaily[DeathsUnder24Hrs],tblDaily[Month],12,tblDaily[WardCode],"CW")</f>
        <v>0</v>
      </c>
      <c r="E182" s="29">
        <f>SUMIFS(tblDaily[Discharges],tblDaily[Month],12,tblDaily[WardCode],"CW")</f>
        <v>0</v>
      </c>
      <c r="F182" s="29">
        <f>SUMIFS(tblDaily[Deaths],tblDaily[Month],12,tblDaily[WardCode],"CW")</f>
        <v>0</v>
      </c>
      <c r="G182" s="29">
        <f>SUMIFS(tblDaily[DeathsUnder24Hrs],tblDaily[Month],12,tblDaily[WardCode],"CW")</f>
        <v>0</v>
      </c>
      <c r="H182" s="29">
        <f>SUMIFS(tblDaily[Remaining],tblDaily[Month],12,tblDaily[WardCode],"CW")</f>
        <v>0</v>
      </c>
      <c r="I182" s="29">
        <f>SUMIFS(tblDaily[TransfersIn],tblDaily[Month],12,tblDaily[WardCode],"CW")</f>
        <v>0</v>
      </c>
      <c r="J182" s="29">
        <f>SUMIFS(tblDaily[TransfersOut],tblDaily[Month],12,tblDaily[WardCode],"CW")</f>
        <v>0</v>
      </c>
      <c r="K182" s="41">
        <f t="shared" si="88"/>
        <v>0</v>
      </c>
      <c r="L182" s="41">
        <f t="shared" si="89"/>
        <v>0</v>
      </c>
      <c r="M182" s="41">
        <f t="shared" si="90"/>
        <v>0</v>
      </c>
      <c r="N182" s="41">
        <f t="shared" si="91"/>
        <v>0</v>
      </c>
      <c r="O182" s="41">
        <f t="shared" si="92"/>
        <v>0</v>
      </c>
      <c r="P182" s="41">
        <f t="shared" si="93"/>
        <v>0</v>
      </c>
    </row>
    <row r="183" spans="1:16" x14ac:dyDescent="0.25">
      <c r="A183" s="40" t="s">
        <v>36</v>
      </c>
      <c r="B183" s="29">
        <f>IFERROR(SUMIFS(tblDaily[Remaining],tblDaily[EntryDate],DATE(2026,11,30),tblDaily[WardCode],"BF"),0)</f>
        <v>0</v>
      </c>
      <c r="C183" s="29">
        <f>IFERROR(INDEX(tblWardConfig[BedComplement],MATCH("BF",tblWardConfig[WardCode],0)),0)</f>
        <v>20</v>
      </c>
      <c r="D183" s="29">
        <f>SUMIFS(tblDaily[Admissions],tblDaily[Month],12,tblDaily[WardCode],"BF") - SUMIFS(tblDaily[DeathsUnder24Hrs],tblDaily[Month],12,tblDaily[WardCode],"BF")</f>
        <v>0</v>
      </c>
      <c r="E183" s="29">
        <f>SUMIFS(tblDaily[Discharges],tblDaily[Month],12,tblDaily[WardCode],"BF")</f>
        <v>0</v>
      </c>
      <c r="F183" s="29">
        <f>SUMIFS(tblDaily[Deaths],tblDaily[Month],12,tblDaily[WardCode],"BF")</f>
        <v>0</v>
      </c>
      <c r="G183" s="29">
        <f>SUMIFS(tblDaily[DeathsUnder24Hrs],tblDaily[Month],12,tblDaily[WardCode],"BF")</f>
        <v>0</v>
      </c>
      <c r="H183" s="29">
        <f>SUMIFS(tblDaily[Remaining],tblDaily[Month],12,tblDaily[WardCode],"BF")</f>
        <v>0</v>
      </c>
      <c r="I183" s="29">
        <f>SUMIFS(tblDaily[TransfersIn],tblDaily[Month],12,tblDaily[WardCode],"BF")</f>
        <v>0</v>
      </c>
      <c r="J183" s="29">
        <f>SUMIFS(tblDaily[TransfersOut],tblDaily[Month],12,tblDaily[WardCode],"BF")</f>
        <v>0</v>
      </c>
      <c r="K183" s="41">
        <f t="shared" si="88"/>
        <v>0</v>
      </c>
      <c r="L183" s="41">
        <f t="shared" si="89"/>
        <v>0</v>
      </c>
      <c r="M183" s="41">
        <f t="shared" si="90"/>
        <v>0</v>
      </c>
      <c r="N183" s="41">
        <f t="shared" si="91"/>
        <v>0</v>
      </c>
      <c r="O183" s="41">
        <f t="shared" si="92"/>
        <v>0</v>
      </c>
      <c r="P183" s="41">
        <f t="shared" si="93"/>
        <v>0</v>
      </c>
    </row>
    <row r="184" spans="1:16" x14ac:dyDescent="0.25">
      <c r="A184" s="40" t="s">
        <v>38</v>
      </c>
      <c r="B184" s="29">
        <f>IFERROR(SUMIFS(tblDaily[Remaining],tblDaily[EntryDate],DATE(2026,11,30),tblDaily[WardCode],"BG"),0)</f>
        <v>0</v>
      </c>
      <c r="C184" s="29">
        <f>IFERROR(INDEX(tblWardConfig[BedComplement],MATCH("BG",tblWardConfig[WardCode],0)),0)</f>
        <v>14</v>
      </c>
      <c r="D184" s="29">
        <f>SUMIFS(tblDaily[Admissions],tblDaily[Month],12,tblDaily[WardCode],"BG") - SUMIFS(tblDaily[DeathsUnder24Hrs],tblDaily[Month],12,tblDaily[WardCode],"BG")</f>
        <v>0</v>
      </c>
      <c r="E184" s="29">
        <f>SUMIFS(tblDaily[Discharges],tblDaily[Month],12,tblDaily[WardCode],"BG")</f>
        <v>0</v>
      </c>
      <c r="F184" s="29">
        <f>SUMIFS(tblDaily[Deaths],tblDaily[Month],12,tblDaily[WardCode],"BG")</f>
        <v>0</v>
      </c>
      <c r="G184" s="29">
        <f>SUMIFS(tblDaily[DeathsUnder24Hrs],tblDaily[Month],12,tblDaily[WardCode],"BG")</f>
        <v>0</v>
      </c>
      <c r="H184" s="29">
        <f>SUMIFS(tblDaily[Remaining],tblDaily[Month],12,tblDaily[WardCode],"BG")</f>
        <v>0</v>
      </c>
      <c r="I184" s="29">
        <f>SUMIFS(tblDaily[TransfersIn],tblDaily[Month],12,tblDaily[WardCode],"BG")</f>
        <v>0</v>
      </c>
      <c r="J184" s="29">
        <f>SUMIFS(tblDaily[TransfersOut],tblDaily[Month],12,tblDaily[WardCode],"BG")</f>
        <v>0</v>
      </c>
      <c r="K184" s="41">
        <f t="shared" si="88"/>
        <v>0</v>
      </c>
      <c r="L184" s="41">
        <f t="shared" si="89"/>
        <v>0</v>
      </c>
      <c r="M184" s="41">
        <f t="shared" si="90"/>
        <v>0</v>
      </c>
      <c r="N184" s="41">
        <f t="shared" si="91"/>
        <v>0</v>
      </c>
      <c r="O184" s="41">
        <f t="shared" si="92"/>
        <v>0</v>
      </c>
      <c r="P184" s="41">
        <f t="shared" si="93"/>
        <v>0</v>
      </c>
    </row>
    <row r="185" spans="1:16" x14ac:dyDescent="0.25">
      <c r="A185" s="40" t="s">
        <v>40</v>
      </c>
      <c r="B185" s="29">
        <f>IFERROR(SUMIFS(tblDaily[Remaining],tblDaily[EntryDate],DATE(2026,11,30),tblDaily[WardCode],"BH"),0)</f>
        <v>0</v>
      </c>
      <c r="C185" s="29">
        <f>IFERROR(INDEX(tblWardConfig[BedComplement],MATCH("BH",tblWardConfig[WardCode],0)),0)</f>
        <v>22</v>
      </c>
      <c r="D185" s="29">
        <f>SUMIFS(tblDaily[Admissions],tblDaily[Month],12,tblDaily[WardCode],"BH") - SUMIFS(tblDaily[DeathsUnder24Hrs],tblDaily[Month],12,tblDaily[WardCode],"BH")</f>
        <v>0</v>
      </c>
      <c r="E185" s="29">
        <f>SUMIFS(tblDaily[Discharges],tblDaily[Month],12,tblDaily[WardCode],"BH")</f>
        <v>0</v>
      </c>
      <c r="F185" s="29">
        <f>SUMIFS(tblDaily[Deaths],tblDaily[Month],12,tblDaily[WardCode],"BH")</f>
        <v>0</v>
      </c>
      <c r="G185" s="29">
        <f>SUMIFS(tblDaily[DeathsUnder24Hrs],tblDaily[Month],12,tblDaily[WardCode],"BH")</f>
        <v>0</v>
      </c>
      <c r="H185" s="29">
        <f>SUMIFS(tblDaily[Remaining],tblDaily[Month],12,tblDaily[WardCode],"BH")</f>
        <v>0</v>
      </c>
      <c r="I185" s="29">
        <f>SUMIFS(tblDaily[TransfersIn],tblDaily[Month],12,tblDaily[WardCode],"BH")</f>
        <v>0</v>
      </c>
      <c r="J185" s="29">
        <f>SUMIFS(tblDaily[TransfersOut],tblDaily[Month],12,tblDaily[WardCode],"BH")</f>
        <v>0</v>
      </c>
      <c r="K185" s="41">
        <f t="shared" si="88"/>
        <v>0</v>
      </c>
      <c r="L185" s="41">
        <f t="shared" si="89"/>
        <v>0</v>
      </c>
      <c r="M185" s="41">
        <f t="shared" si="90"/>
        <v>0</v>
      </c>
      <c r="N185" s="41">
        <f t="shared" si="91"/>
        <v>0</v>
      </c>
      <c r="O185" s="41">
        <f t="shared" si="92"/>
        <v>0</v>
      </c>
      <c r="P185" s="41">
        <f t="shared" si="93"/>
        <v>0</v>
      </c>
    </row>
    <row r="186" spans="1:16" x14ac:dyDescent="0.25">
      <c r="A186" s="40" t="s">
        <v>42</v>
      </c>
      <c r="B186" s="29">
        <f>IFERROR(SUMIFS(tblDaily[Remaining],tblDaily[EntryDate],DATE(2026,11,30),tblDaily[WardCode],"NICU"),0)</f>
        <v>0</v>
      </c>
      <c r="C186" s="29">
        <f>IFERROR(INDEX(tblWardConfig[BedComplement],MATCH("NICU",tblWardConfig[WardCode],0)),0)</f>
        <v>15</v>
      </c>
      <c r="D186" s="29">
        <f>SUMIFS(tblDaily[Admissions],tblDaily[Month],12,tblDaily[WardCode],"NICU") - SUMIFS(tblDaily[DeathsUnder24Hrs],tblDaily[Month],12,tblDaily[WardCode],"NICU")</f>
        <v>0</v>
      </c>
      <c r="E186" s="29">
        <f>SUMIFS(tblDaily[Discharges],tblDaily[Month],12,tblDaily[WardCode],"NICU")</f>
        <v>0</v>
      </c>
      <c r="F186" s="29">
        <f>SUMIFS(tblDaily[Deaths],tblDaily[Month],12,tblDaily[WardCode],"NICU")</f>
        <v>0</v>
      </c>
      <c r="G186" s="29">
        <f>SUMIFS(tblDaily[DeathsUnder24Hrs],tblDaily[Month],12,tblDaily[WardCode],"NICU")</f>
        <v>0</v>
      </c>
      <c r="H186" s="29">
        <f>SUMIFS(tblDaily[Remaining],tblDaily[Month],12,tblDaily[WardCode],"NICU")</f>
        <v>0</v>
      </c>
      <c r="I186" s="29">
        <f>SUMIFS(tblDaily[TransfersIn],tblDaily[Month],12,tblDaily[WardCode],"NICU")</f>
        <v>0</v>
      </c>
      <c r="J186" s="29">
        <f>SUMIFS(tblDaily[TransfersOut],tblDaily[Month],12,tblDaily[WardCode],"NICU")</f>
        <v>0</v>
      </c>
      <c r="K186" s="41">
        <f t="shared" si="88"/>
        <v>0</v>
      </c>
      <c r="L186" s="41">
        <f t="shared" si="89"/>
        <v>0</v>
      </c>
      <c r="M186" s="41">
        <f t="shared" si="90"/>
        <v>0</v>
      </c>
      <c r="N186" s="41">
        <f t="shared" si="91"/>
        <v>0</v>
      </c>
      <c r="O186" s="41">
        <f t="shared" si="92"/>
        <v>0</v>
      </c>
      <c r="P186" s="41">
        <f t="shared" si="93"/>
        <v>0</v>
      </c>
    </row>
    <row r="187" spans="1:16" x14ac:dyDescent="0.25">
      <c r="A187" s="40" t="s">
        <v>44</v>
      </c>
      <c r="B187" s="29">
        <f>IFERROR(SUMIFS(tblDaily[Remaining],tblDaily[EntryDate],DATE(2026,11,30),tblDaily[WardCode],"MAE"),0)</f>
        <v>0</v>
      </c>
      <c r="C187" s="29">
        <f>IFERROR(INDEX(tblWardConfig[BedComplement],MATCH("MAE",tblWardConfig[WardCode],0)),0)</f>
        <v>10</v>
      </c>
      <c r="D187" s="29">
        <f>SUMIFS(tblDaily[Admissions],tblDaily[Month],12,tblDaily[WardCode],"MAE") - SUMIFS(tblDaily[DeathsUnder24Hrs],tblDaily[Month],12,tblDaily[WardCode],"MAE")</f>
        <v>0</v>
      </c>
      <c r="E187" s="29">
        <f>SUMIFS(tblDaily[Discharges],tblDaily[Month],12,tblDaily[WardCode],"MAE")</f>
        <v>0</v>
      </c>
      <c r="F187" s="29">
        <f>SUMIFS(tblDaily[Deaths],tblDaily[Month],12,tblDaily[WardCode],"MAE")</f>
        <v>0</v>
      </c>
      <c r="G187" s="29">
        <f>SUMIFS(tblDaily[DeathsUnder24Hrs],tblDaily[Month],12,tblDaily[WardCode],"MAE")</f>
        <v>0</v>
      </c>
      <c r="H187" s="29">
        <f>SUMIFS(tblDaily[Remaining],tblDaily[Month],12,tblDaily[WardCode],"MAE")</f>
        <v>0</v>
      </c>
      <c r="I187" s="29">
        <f>SUMIFS(tblDaily[TransfersIn],tblDaily[Month],12,tblDaily[WardCode],"MAE")</f>
        <v>0</v>
      </c>
      <c r="J187" s="29">
        <f>SUMIFS(tblDaily[TransfersOut],tblDaily[Month],12,tblDaily[WardCode],"MAE")</f>
        <v>0</v>
      </c>
      <c r="K187" s="41">
        <f t="shared" si="88"/>
        <v>0</v>
      </c>
      <c r="L187" s="41">
        <f t="shared" si="89"/>
        <v>0</v>
      </c>
      <c r="M187" s="41">
        <f t="shared" si="90"/>
        <v>0</v>
      </c>
      <c r="N187" s="41">
        <f t="shared" si="91"/>
        <v>0</v>
      </c>
      <c r="O187" s="41">
        <f t="shared" si="92"/>
        <v>0</v>
      </c>
      <c r="P187" s="41">
        <f t="shared" si="93"/>
        <v>0</v>
      </c>
    </row>
    <row r="188" spans="1:16" x14ac:dyDescent="0.25">
      <c r="A188" s="40" t="s">
        <v>46</v>
      </c>
      <c r="B188" s="29">
        <f>IFERROR(SUMIFS(tblDaily[Remaining],tblDaily[EntryDate],DATE(2026,11,30),tblDaily[WardCode],"FAE"),0)</f>
        <v>0</v>
      </c>
      <c r="C188" s="29">
        <f>IFERROR(INDEX(tblWardConfig[BedComplement],MATCH("FAE",tblWardConfig[WardCode],0)),0)</f>
        <v>10</v>
      </c>
      <c r="D188" s="29">
        <f>SUMIFS(tblDaily[Admissions],tblDaily[Month],12,tblDaily[WardCode],"FAE") - SUMIFS(tblDaily[DeathsUnder24Hrs],tblDaily[Month],12,tblDaily[WardCode],"FAE")</f>
        <v>0</v>
      </c>
      <c r="E188" s="29">
        <f>SUMIFS(tblDaily[Discharges],tblDaily[Month],12,tblDaily[WardCode],"FAE")</f>
        <v>0</v>
      </c>
      <c r="F188" s="29">
        <f>SUMIFS(tblDaily[Deaths],tblDaily[Month],12,tblDaily[WardCode],"FAE")</f>
        <v>0</v>
      </c>
      <c r="G188" s="29">
        <f>SUMIFS(tblDaily[DeathsUnder24Hrs],tblDaily[Month],12,tblDaily[WardCode],"FAE")</f>
        <v>0</v>
      </c>
      <c r="H188" s="29">
        <f>SUMIFS(tblDaily[Remaining],tblDaily[Month],12,tblDaily[WardCode],"FAE")</f>
        <v>0</v>
      </c>
      <c r="I188" s="29">
        <f>SUMIFS(tblDaily[TransfersIn],tblDaily[Month],12,tblDaily[WardCode],"FAE")</f>
        <v>0</v>
      </c>
      <c r="J188" s="29">
        <f>SUMIFS(tblDaily[TransfersOut],tblDaily[Month],12,tblDaily[WardCode],"FAE")</f>
        <v>0</v>
      </c>
      <c r="K188" s="41">
        <f t="shared" si="88"/>
        <v>0</v>
      </c>
      <c r="L188" s="41">
        <f t="shared" si="89"/>
        <v>0</v>
      </c>
      <c r="M188" s="41">
        <f t="shared" si="90"/>
        <v>0</v>
      </c>
      <c r="N188" s="41">
        <f t="shared" si="91"/>
        <v>0</v>
      </c>
      <c r="O188" s="41">
        <f t="shared" si="92"/>
        <v>0</v>
      </c>
      <c r="P188" s="41">
        <f t="shared" si="93"/>
        <v>0</v>
      </c>
    </row>
    <row r="189" spans="1:16" x14ac:dyDescent="0.25">
      <c r="A189" s="40" t="s">
        <v>48</v>
      </c>
      <c r="B189" s="29">
        <f>IFERROR(SUMIFS(tblDaily[Remaining],tblDaily[EntryDate],DATE(2026,11,30),tblDaily[WardCode],"ICU"),0)</f>
        <v>0</v>
      </c>
      <c r="C189" s="29">
        <f>IFERROR(INDEX(tblWardConfig[BedComplement],MATCH("ICU",tblWardConfig[WardCode],0)),0)</f>
        <v>4</v>
      </c>
      <c r="D189" s="29">
        <f>SUMIFS(tblDaily[Admissions],tblDaily[Month],12,tblDaily[WardCode],"ICU") - SUMIFS(tblDaily[DeathsUnder24Hrs],tblDaily[Month],12,tblDaily[WardCode],"ICU")</f>
        <v>0</v>
      </c>
      <c r="E189" s="29">
        <f>SUMIFS(tblDaily[Discharges],tblDaily[Month],12,tblDaily[WardCode],"ICU")</f>
        <v>0</v>
      </c>
      <c r="F189" s="29">
        <f>SUMIFS(tblDaily[Deaths],tblDaily[Month],12,tblDaily[WardCode],"ICU")</f>
        <v>0</v>
      </c>
      <c r="G189" s="29">
        <f>SUMIFS(tblDaily[DeathsUnder24Hrs],tblDaily[Month],12,tblDaily[WardCode],"ICU")</f>
        <v>0</v>
      </c>
      <c r="H189" s="29">
        <f>SUMIFS(tblDaily[Remaining],tblDaily[Month],12,tblDaily[WardCode],"ICU")</f>
        <v>0</v>
      </c>
      <c r="I189" s="29">
        <f>SUMIFS(tblDaily[TransfersIn],tblDaily[Month],12,tblDaily[WardCode],"ICU")</f>
        <v>0</v>
      </c>
      <c r="J189" s="29">
        <f>SUMIFS(tblDaily[TransfersOut],tblDaily[Month],12,tblDaily[WardCode],"ICU")</f>
        <v>0</v>
      </c>
      <c r="K189" s="41">
        <f t="shared" si="88"/>
        <v>0</v>
      </c>
      <c r="L189" s="41">
        <f t="shared" si="89"/>
        <v>0</v>
      </c>
      <c r="M189" s="41">
        <f t="shared" si="90"/>
        <v>0</v>
      </c>
      <c r="N189" s="41">
        <f t="shared" si="91"/>
        <v>0</v>
      </c>
      <c r="O189" s="41">
        <f t="shared" si="92"/>
        <v>0</v>
      </c>
      <c r="P189" s="41">
        <f t="shared" si="93"/>
        <v>0</v>
      </c>
    </row>
    <row r="190" spans="1:16" x14ac:dyDescent="0.25">
      <c r="A190" s="30" t="s">
        <v>115</v>
      </c>
      <c r="B190" s="30">
        <f t="shared" ref="B190:J190" si="94">SUM(B180:B189)</f>
        <v>0</v>
      </c>
      <c r="C190" s="30">
        <f t="shared" si="94"/>
        <v>182</v>
      </c>
      <c r="D190" s="30">
        <f t="shared" si="94"/>
        <v>0</v>
      </c>
      <c r="E190" s="30">
        <f t="shared" si="94"/>
        <v>0</v>
      </c>
      <c r="F190" s="30">
        <f t="shared" si="94"/>
        <v>0</v>
      </c>
      <c r="G190" s="30">
        <f t="shared" si="94"/>
        <v>0</v>
      </c>
      <c r="H190" s="30">
        <f t="shared" si="94"/>
        <v>0</v>
      </c>
      <c r="I190" s="30">
        <f t="shared" si="94"/>
        <v>0</v>
      </c>
      <c r="J190" s="30">
        <f t="shared" si="94"/>
        <v>0</v>
      </c>
      <c r="K190" s="42">
        <f t="shared" si="88"/>
        <v>0</v>
      </c>
      <c r="L190" s="42">
        <f t="shared" si="89"/>
        <v>0</v>
      </c>
      <c r="M190" s="42">
        <f t="shared" si="90"/>
        <v>0</v>
      </c>
      <c r="N190" s="42">
        <f t="shared" si="91"/>
        <v>0</v>
      </c>
      <c r="O190" s="42">
        <f t="shared" si="92"/>
        <v>0</v>
      </c>
      <c r="P190" s="42">
        <f t="shared" si="93"/>
        <v>0</v>
      </c>
    </row>
    <row r="191" spans="1:16" x14ac:dyDescent="0.25">
      <c r="A191" s="43" t="s">
        <v>148</v>
      </c>
      <c r="B191" s="43">
        <f t="shared" ref="B191:J191" si="95">B187+B188</f>
        <v>0</v>
      </c>
      <c r="C191" s="43">
        <f t="shared" si="95"/>
        <v>20</v>
      </c>
      <c r="D191" s="43">
        <f t="shared" si="95"/>
        <v>0</v>
      </c>
      <c r="E191" s="43">
        <f t="shared" si="95"/>
        <v>0</v>
      </c>
      <c r="F191" s="43">
        <f t="shared" si="95"/>
        <v>0</v>
      </c>
      <c r="G191" s="43">
        <f t="shared" si="95"/>
        <v>0</v>
      </c>
      <c r="H191" s="43">
        <f t="shared" si="95"/>
        <v>0</v>
      </c>
      <c r="I191" s="43">
        <f t="shared" si="95"/>
        <v>0</v>
      </c>
      <c r="J191" s="43">
        <f t="shared" si="95"/>
        <v>0</v>
      </c>
      <c r="K191" s="44">
        <f t="shared" si="88"/>
        <v>0</v>
      </c>
      <c r="L191" s="44">
        <f t="shared" si="89"/>
        <v>0</v>
      </c>
      <c r="M191" s="44">
        <f t="shared" si="90"/>
        <v>0</v>
      </c>
      <c r="N191" s="44">
        <f t="shared" si="91"/>
        <v>0</v>
      </c>
      <c r="O191" s="44">
        <f t="shared" si="92"/>
        <v>0</v>
      </c>
      <c r="P191" s="44">
        <f t="shared" si="93"/>
        <v>0</v>
      </c>
    </row>
  </sheetData>
  <sheetProtection sheet="1"/>
  <mergeCells count="24">
    <mergeCell ref="A81:P81"/>
    <mergeCell ref="A161:P161"/>
    <mergeCell ref="A114:P114"/>
    <mergeCell ref="A34:P34"/>
    <mergeCell ref="A130:P130"/>
    <mergeCell ref="A82:P82"/>
    <mergeCell ref="A98:P98"/>
    <mergeCell ref="A49:P49"/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</mergeCells>
  <pageMargins left="0.75" right="0.75" top="1" bottom="1" header="0.5" footer="0.5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E75B6"/>
    <pageSetUpPr fitToPage="1"/>
  </sheetPr>
  <dimension ref="A1:P63"/>
  <sheetViews>
    <sheetView tabSelected="1" workbookViewId="0">
      <selection sqref="A1:P1"/>
    </sheetView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160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136</v>
      </c>
      <c r="B3" s="28" t="s">
        <v>161</v>
      </c>
      <c r="C3" s="28" t="s">
        <v>138</v>
      </c>
      <c r="D3" s="28" t="s">
        <v>77</v>
      </c>
      <c r="E3" s="28" t="s">
        <v>78</v>
      </c>
      <c r="F3" s="28" t="s">
        <v>79</v>
      </c>
      <c r="G3" s="28" t="s">
        <v>111</v>
      </c>
      <c r="H3" s="28" t="s">
        <v>139</v>
      </c>
      <c r="I3" s="28" t="s">
        <v>140</v>
      </c>
      <c r="J3" s="28" t="s">
        <v>141</v>
      </c>
      <c r="K3" s="28" t="s">
        <v>142</v>
      </c>
      <c r="L3" s="28" t="s">
        <v>143</v>
      </c>
      <c r="M3" s="28" t="s">
        <v>144</v>
      </c>
      <c r="N3" s="28" t="s">
        <v>145</v>
      </c>
      <c r="O3" s="28" t="s">
        <v>146</v>
      </c>
      <c r="P3" s="28" t="s">
        <v>147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SUMIFS(tblDaily[Admissions],tblDaily[Month],"&gt;="&amp;1,tblDaily[Month],"&lt;="&amp;3,tblDaily[WardCode],"MW") - SUMIFS(tblDaily[DeathsUnder24Hrs],tblDaily[Month],"&gt;="&amp;1,tblDaily[Month],"&lt;="&amp;3,tblDaily[WardCode],"MW")</f>
        <v>199</v>
      </c>
      <c r="E4" s="29">
        <f>SUMIFS(tblDaily[Discharges],tblDaily[Month],"&gt;="&amp;1,tblDaily[Month],"&lt;="&amp;3,tblDaily[WardCode],"MW")</f>
        <v>282</v>
      </c>
      <c r="F4" s="29">
        <f>SUMIFS(tblDaily[Deaths],tblDaily[Month],"&gt;="&amp;1,tblDaily[Month],"&lt;="&amp;3,tblDaily[WardCode],"MW")</f>
        <v>27</v>
      </c>
      <c r="G4" s="29">
        <f>SUMIFS(tblDaily[DeathsUnder24Hrs],tblDaily[Month],"&gt;="&amp;1,tblDaily[Month],"&lt;="&amp;3,tblDaily[WardCode],"MW")</f>
        <v>0</v>
      </c>
      <c r="H4" s="29">
        <f>SUMIFS(tblDaily[Remaining],tblDaily[Month],"&gt;="&amp;1,tblDaily[Month],"&lt;="&amp;3,tblDaily[WardCode],"MW")</f>
        <v>1668</v>
      </c>
      <c r="I4" s="29">
        <f>SUMIFS(tblDaily[TransfersIn],tblDaily[Month],"&gt;="&amp;1,tblDaily[Month],"&lt;="&amp;3,tblDaily[WardCode],"MW")</f>
        <v>104</v>
      </c>
      <c r="J4" s="29">
        <f>SUMIFS(tblDaily[TransfersOut],tblDaily[Month],"&gt;="&amp;1,tblDaily[Month],"&lt;="&amp;3,tblDaily[WardCode],"MW")</f>
        <v>0</v>
      </c>
      <c r="K4" s="41">
        <f t="shared" ref="K4:K15" si="0">IFERROR(H4/90,0)</f>
        <v>18.533333333333335</v>
      </c>
      <c r="L4" s="41">
        <f t="shared" ref="L4:L15" si="1">IFERROR(H4/(E4+F4),0)</f>
        <v>5.3980582524271847</v>
      </c>
      <c r="M4" s="41">
        <f t="shared" ref="M4:M15" si="2">IFERROR((C4*90-H4)/(E4+F4),0)</f>
        <v>3.9223300970873787</v>
      </c>
      <c r="N4" s="41">
        <f t="shared" ref="N4:N15" si="3">IFERROR((E4+F4)/C4,0)</f>
        <v>9.65625</v>
      </c>
      <c r="O4" s="41">
        <f t="shared" ref="O4:O15" si="4">IFERROR((H4/(C4*90))*100,0)</f>
        <v>57.916666666666671</v>
      </c>
      <c r="P4" s="41">
        <f t="shared" ref="P4:P15" si="5">IFERROR((F4/(D4+B4))*100,0)</f>
        <v>12.053571428571429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SUMIFS(tblDaily[Admissions],tblDaily[Month],"&gt;="&amp;1,tblDaily[Month],"&lt;="&amp;3,tblDaily[WardCode],"FW") - SUMIFS(tblDaily[DeathsUnder24Hrs],tblDaily[Month],"&gt;="&amp;1,tblDaily[Month],"&lt;="&amp;3,tblDaily[WardCode],"FW")</f>
        <v>209</v>
      </c>
      <c r="E5" s="29">
        <f>SUMIFS(tblDaily[Discharges],tblDaily[Month],"&gt;="&amp;1,tblDaily[Month],"&lt;="&amp;3,tblDaily[WardCode],"FW")</f>
        <v>270</v>
      </c>
      <c r="F5" s="29">
        <f>SUMIFS(tblDaily[Deaths],tblDaily[Month],"&gt;="&amp;1,tblDaily[Month],"&lt;="&amp;3,tblDaily[WardCode],"FW")</f>
        <v>21</v>
      </c>
      <c r="G5" s="29">
        <f>SUMIFS(tblDaily[DeathsUnder24Hrs],tblDaily[Month],"&gt;="&amp;1,tblDaily[Month],"&lt;="&amp;3,tblDaily[WardCode],"FW")</f>
        <v>0</v>
      </c>
      <c r="H5" s="29">
        <f>SUMIFS(tblDaily[Remaining],tblDaily[Month],"&gt;="&amp;1,tblDaily[Month],"&lt;="&amp;3,tblDaily[WardCode],"FW")</f>
        <v>1498</v>
      </c>
      <c r="I5" s="29">
        <f>SUMIFS(tblDaily[TransfersIn],tblDaily[Month],"&gt;="&amp;1,tblDaily[Month],"&lt;="&amp;3,tblDaily[WardCode],"FW")</f>
        <v>80</v>
      </c>
      <c r="J5" s="29">
        <f>SUMIFS(tblDaily[TransfersOut],tblDaily[Month],"&gt;="&amp;1,tblDaily[Month],"&lt;="&amp;3,tblDaily[WardCode],"FW")</f>
        <v>0</v>
      </c>
      <c r="K5" s="41">
        <f t="shared" si="0"/>
        <v>16.644444444444446</v>
      </c>
      <c r="L5" s="41">
        <f t="shared" si="1"/>
        <v>5.1477663230240553</v>
      </c>
      <c r="M5" s="41">
        <f t="shared" si="2"/>
        <v>3.5120274914089347</v>
      </c>
      <c r="N5" s="41">
        <f t="shared" si="3"/>
        <v>10.392857142857142</v>
      </c>
      <c r="O5" s="41">
        <f t="shared" si="4"/>
        <v>59.444444444444443</v>
      </c>
      <c r="P5" s="41">
        <f t="shared" si="5"/>
        <v>9.3333333333333339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SUMIFS(tblDaily[Admissions],tblDaily[Month],"&gt;="&amp;1,tblDaily[Month],"&lt;="&amp;3,tblDaily[WardCode],"CW") - SUMIFS(tblDaily[DeathsUnder24Hrs],tblDaily[Month],"&gt;="&amp;1,tblDaily[Month],"&lt;="&amp;3,tblDaily[WardCode],"CW")</f>
        <v>231</v>
      </c>
      <c r="E6" s="29">
        <f>SUMIFS(tblDaily[Discharges],tblDaily[Month],"&gt;="&amp;1,tblDaily[Month],"&lt;="&amp;3,tblDaily[WardCode],"CW")</f>
        <v>245</v>
      </c>
      <c r="F6" s="29">
        <f>SUMIFS(tblDaily[Deaths],tblDaily[Month],"&gt;="&amp;1,tblDaily[Month],"&lt;="&amp;3,tblDaily[WardCode],"CW")</f>
        <v>0</v>
      </c>
      <c r="G6" s="29">
        <f>SUMIFS(tblDaily[DeathsUnder24Hrs],tblDaily[Month],"&gt;="&amp;1,tblDaily[Month],"&lt;="&amp;3,tblDaily[WardCode],"CW")</f>
        <v>2</v>
      </c>
      <c r="H6" s="29">
        <f>SUMIFS(tblDaily[Remaining],tblDaily[Month],"&gt;="&amp;1,tblDaily[Month],"&lt;="&amp;3,tblDaily[WardCode],"CW")</f>
        <v>808</v>
      </c>
      <c r="I6" s="29">
        <f>SUMIFS(tblDaily[TransfersIn],tblDaily[Month],"&gt;="&amp;1,tblDaily[Month],"&lt;="&amp;3,tblDaily[WardCode],"CW")</f>
        <v>17</v>
      </c>
      <c r="J6" s="29">
        <f>SUMIFS(tblDaily[TransfersOut],tblDaily[Month],"&gt;="&amp;1,tblDaily[Month],"&lt;="&amp;3,tblDaily[WardCode],"CW")</f>
        <v>0</v>
      </c>
      <c r="K6" s="41">
        <f t="shared" si="0"/>
        <v>8.9777777777777779</v>
      </c>
      <c r="L6" s="41">
        <f t="shared" si="1"/>
        <v>3.2979591836734694</v>
      </c>
      <c r="M6" s="41">
        <f t="shared" si="2"/>
        <v>6.6204081632653065</v>
      </c>
      <c r="N6" s="41">
        <f t="shared" si="3"/>
        <v>9.0740740740740744</v>
      </c>
      <c r="O6" s="41">
        <f t="shared" si="4"/>
        <v>33.251028806584358</v>
      </c>
      <c r="P6" s="41">
        <f t="shared" si="5"/>
        <v>0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SUMIFS(tblDaily[Admissions],tblDaily[Month],"&gt;="&amp;1,tblDaily[Month],"&lt;="&amp;3,tblDaily[WardCode],"BF") - SUMIFS(tblDaily[DeathsUnder24Hrs],tblDaily[Month],"&gt;="&amp;1,tblDaily[Month],"&lt;="&amp;3,tblDaily[WardCode],"BF")</f>
        <v>188</v>
      </c>
      <c r="E7" s="29">
        <f>SUMIFS(tblDaily[Discharges],tblDaily[Month],"&gt;="&amp;1,tblDaily[Month],"&lt;="&amp;3,tblDaily[WardCode],"BF")</f>
        <v>184</v>
      </c>
      <c r="F7" s="29">
        <f>SUMIFS(tblDaily[Deaths],tblDaily[Month],"&gt;="&amp;1,tblDaily[Month],"&lt;="&amp;3,tblDaily[WardCode],"BF")</f>
        <v>1</v>
      </c>
      <c r="G7" s="29">
        <f>SUMIFS(tblDaily[DeathsUnder24Hrs],tblDaily[Month],"&gt;="&amp;1,tblDaily[Month],"&lt;="&amp;3,tblDaily[WardCode],"BF")</f>
        <v>0</v>
      </c>
      <c r="H7" s="29">
        <f>SUMIFS(tblDaily[Remaining],tblDaily[Month],"&gt;="&amp;1,tblDaily[Month],"&lt;="&amp;3,tblDaily[WardCode],"BF")</f>
        <v>771</v>
      </c>
      <c r="I7" s="29">
        <f>SUMIFS(tblDaily[TransfersIn],tblDaily[Month],"&gt;="&amp;1,tblDaily[Month],"&lt;="&amp;3,tblDaily[WardCode],"BF")</f>
        <v>5</v>
      </c>
      <c r="J7" s="29">
        <f>SUMIFS(tblDaily[TransfersOut],tblDaily[Month],"&gt;="&amp;1,tblDaily[Month],"&lt;="&amp;3,tblDaily[WardCode],"BF")</f>
        <v>8</v>
      </c>
      <c r="K7" s="41">
        <f t="shared" si="0"/>
        <v>8.5666666666666664</v>
      </c>
      <c r="L7" s="41">
        <f t="shared" si="1"/>
        <v>4.1675675675675672</v>
      </c>
      <c r="M7" s="41">
        <f t="shared" si="2"/>
        <v>5.5621621621621617</v>
      </c>
      <c r="N7" s="41">
        <f t="shared" si="3"/>
        <v>9.25</v>
      </c>
      <c r="O7" s="41">
        <f t="shared" si="4"/>
        <v>42.833333333333336</v>
      </c>
      <c r="P7" s="41">
        <f t="shared" si="5"/>
        <v>0.50761421319796951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SUMIFS(tblDaily[Admissions],tblDaily[Month],"&gt;="&amp;1,tblDaily[Month],"&lt;="&amp;3,tblDaily[WardCode],"BG") - SUMIFS(tblDaily[DeathsUnder24Hrs],tblDaily[Month],"&gt;="&amp;1,tblDaily[Month],"&lt;="&amp;3,tblDaily[WardCode],"BG")</f>
        <v>392</v>
      </c>
      <c r="E8" s="29">
        <f>SUMIFS(tblDaily[Discharges],tblDaily[Month],"&gt;="&amp;1,tblDaily[Month],"&lt;="&amp;3,tblDaily[WardCode],"BG")</f>
        <v>383</v>
      </c>
      <c r="F8" s="29">
        <f>SUMIFS(tblDaily[Deaths],tblDaily[Month],"&gt;="&amp;1,tblDaily[Month],"&lt;="&amp;3,tblDaily[WardCode],"BG")</f>
        <v>0</v>
      </c>
      <c r="G8" s="29">
        <f>SUMIFS(tblDaily[DeathsUnder24Hrs],tblDaily[Month],"&gt;="&amp;1,tblDaily[Month],"&lt;="&amp;3,tblDaily[WardCode],"BG")</f>
        <v>0</v>
      </c>
      <c r="H8" s="29">
        <f>SUMIFS(tblDaily[Remaining],tblDaily[Month],"&gt;="&amp;1,tblDaily[Month],"&lt;="&amp;3,tblDaily[WardCode],"BG")</f>
        <v>1124</v>
      </c>
      <c r="I8" s="29">
        <f>SUMIFS(tblDaily[TransfersIn],tblDaily[Month],"&gt;="&amp;1,tblDaily[Month],"&lt;="&amp;3,tblDaily[WardCode],"BG")</f>
        <v>110</v>
      </c>
      <c r="J8" s="29">
        <f>SUMIFS(tblDaily[TransfersOut],tblDaily[Month],"&gt;="&amp;1,tblDaily[Month],"&lt;="&amp;3,tblDaily[WardCode],"BG")</f>
        <v>110</v>
      </c>
      <c r="K8" s="41">
        <f t="shared" si="0"/>
        <v>12.488888888888889</v>
      </c>
      <c r="L8" s="41">
        <f t="shared" si="1"/>
        <v>2.9347258485639687</v>
      </c>
      <c r="M8" s="41">
        <f t="shared" si="2"/>
        <v>0.35509138381201044</v>
      </c>
      <c r="N8" s="41">
        <f t="shared" si="3"/>
        <v>27.357142857142858</v>
      </c>
      <c r="O8" s="41">
        <f t="shared" si="4"/>
        <v>89.206349206349216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SUMIFS(tblDaily[Admissions],tblDaily[Month],"&gt;="&amp;1,tblDaily[Month],"&lt;="&amp;3,tblDaily[WardCode],"BH") - SUMIFS(tblDaily[DeathsUnder24Hrs],tblDaily[Month],"&gt;="&amp;1,tblDaily[Month],"&lt;="&amp;3,tblDaily[WardCode],"BH")</f>
        <v>262</v>
      </c>
      <c r="E9" s="29">
        <f>SUMIFS(tblDaily[Discharges],tblDaily[Month],"&gt;="&amp;1,tblDaily[Month],"&lt;="&amp;3,tblDaily[WardCode],"BH")</f>
        <v>253</v>
      </c>
      <c r="F9" s="29">
        <f>SUMIFS(tblDaily[Deaths],tblDaily[Month],"&gt;="&amp;1,tblDaily[Month],"&lt;="&amp;3,tblDaily[WardCode],"BH")</f>
        <v>0</v>
      </c>
      <c r="G9" s="29">
        <f>SUMIFS(tblDaily[DeathsUnder24Hrs],tblDaily[Month],"&gt;="&amp;1,tblDaily[Month],"&lt;="&amp;3,tblDaily[WardCode],"BH")</f>
        <v>0</v>
      </c>
      <c r="H9" s="29">
        <f>SUMIFS(tblDaily[Remaining],tblDaily[Month],"&gt;="&amp;1,tblDaily[Month],"&lt;="&amp;3,tblDaily[WardCode],"BH")</f>
        <v>1467</v>
      </c>
      <c r="I9" s="29">
        <f>SUMIFS(tblDaily[TransfersIn],tblDaily[Month],"&gt;="&amp;1,tblDaily[Month],"&lt;="&amp;3,tblDaily[WardCode],"BH")</f>
        <v>114</v>
      </c>
      <c r="J9" s="29">
        <f>SUMIFS(tblDaily[TransfersOut],tblDaily[Month],"&gt;="&amp;1,tblDaily[Month],"&lt;="&amp;3,tblDaily[WardCode],"BH")</f>
        <v>109</v>
      </c>
      <c r="K9" s="41">
        <f t="shared" si="0"/>
        <v>16.3</v>
      </c>
      <c r="L9" s="41">
        <f t="shared" si="1"/>
        <v>5.7984189723320156</v>
      </c>
      <c r="M9" s="41">
        <f t="shared" si="2"/>
        <v>2.0276679841897232</v>
      </c>
      <c r="N9" s="41">
        <f t="shared" si="3"/>
        <v>11.5</v>
      </c>
      <c r="O9" s="41">
        <f t="shared" si="4"/>
        <v>74.090909090909093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SUMIFS(tblDaily[Admissions],tblDaily[Month],"&gt;="&amp;1,tblDaily[Month],"&lt;="&amp;3,tblDaily[WardCode],"NICU") - SUMIFS(tblDaily[DeathsUnder24Hrs],tblDaily[Month],"&gt;="&amp;1,tblDaily[Month],"&lt;="&amp;3,tblDaily[WardCode],"NICU")</f>
        <v>154</v>
      </c>
      <c r="E10" s="29">
        <f>SUMIFS(tblDaily[Discharges],tblDaily[Month],"&gt;="&amp;1,tblDaily[Month],"&lt;="&amp;3,tblDaily[WardCode],"NICU")</f>
        <v>145</v>
      </c>
      <c r="F10" s="29">
        <f>SUMIFS(tblDaily[Deaths],tblDaily[Month],"&gt;="&amp;1,tblDaily[Month],"&lt;="&amp;3,tblDaily[WardCode],"NICU")</f>
        <v>15</v>
      </c>
      <c r="G10" s="29">
        <f>SUMIFS(tblDaily[DeathsUnder24Hrs],tblDaily[Month],"&gt;="&amp;1,tblDaily[Month],"&lt;="&amp;3,tblDaily[WardCode],"NICU")</f>
        <v>0</v>
      </c>
      <c r="H10" s="29">
        <f>SUMIFS(tblDaily[Remaining],tblDaily[Month],"&gt;="&amp;1,tblDaily[Month],"&lt;="&amp;3,tblDaily[WardCode],"NICU")</f>
        <v>1224</v>
      </c>
      <c r="I10" s="29">
        <f>SUMIFS(tblDaily[TransfersIn],tblDaily[Month],"&gt;="&amp;1,tblDaily[Month],"&lt;="&amp;3,tblDaily[WardCode],"NICU")</f>
        <v>0</v>
      </c>
      <c r="J10" s="29">
        <f>SUMIFS(tblDaily[TransfersOut],tblDaily[Month],"&gt;="&amp;1,tblDaily[Month],"&lt;="&amp;3,tblDaily[WardCode],"NICU")</f>
        <v>0</v>
      </c>
      <c r="K10" s="41">
        <f t="shared" si="0"/>
        <v>13.6</v>
      </c>
      <c r="L10" s="41">
        <f t="shared" si="1"/>
        <v>7.65</v>
      </c>
      <c r="M10" s="41">
        <f t="shared" si="2"/>
        <v>0.78749999999999998</v>
      </c>
      <c r="N10" s="41">
        <f t="shared" si="3"/>
        <v>10.666666666666666</v>
      </c>
      <c r="O10" s="41">
        <f t="shared" si="4"/>
        <v>90.666666666666657</v>
      </c>
      <c r="P10" s="41">
        <f t="shared" si="5"/>
        <v>8.9285714285714288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SUMIFS(tblDaily[Admissions],tblDaily[Month],"&gt;="&amp;1,tblDaily[Month],"&lt;="&amp;3,tblDaily[WardCode],"MAE") - SUMIFS(tblDaily[DeathsUnder24Hrs],tblDaily[Month],"&gt;="&amp;1,tblDaily[Month],"&lt;="&amp;3,tblDaily[WardCode],"MAE")</f>
        <v>214</v>
      </c>
      <c r="E11" s="29">
        <f>SUMIFS(tblDaily[Discharges],tblDaily[Month],"&gt;="&amp;1,tblDaily[Month],"&lt;="&amp;3,tblDaily[WardCode],"MAE")</f>
        <v>94</v>
      </c>
      <c r="F11" s="29">
        <f>SUMIFS(tblDaily[Deaths],tblDaily[Month],"&gt;="&amp;1,tblDaily[Month],"&lt;="&amp;3,tblDaily[WardCode],"MAE")</f>
        <v>12</v>
      </c>
      <c r="G11" s="29">
        <f>SUMIFS(tblDaily[DeathsUnder24Hrs],tblDaily[Month],"&gt;="&amp;1,tblDaily[Month],"&lt;="&amp;3,tblDaily[WardCode],"MAE")</f>
        <v>15</v>
      </c>
      <c r="H11" s="29">
        <f>SUMIFS(tblDaily[Remaining],tblDaily[Month],"&gt;="&amp;1,tblDaily[Month],"&lt;="&amp;3,tblDaily[WardCode],"MAE")</f>
        <v>301</v>
      </c>
      <c r="I11" s="29">
        <f>SUMIFS(tblDaily[TransfersIn],tblDaily[Month],"&gt;="&amp;1,tblDaily[Month],"&lt;="&amp;3,tblDaily[WardCode],"MAE")</f>
        <v>0</v>
      </c>
      <c r="J11" s="29">
        <f>SUMIFS(tblDaily[TransfersOut],tblDaily[Month],"&gt;="&amp;1,tblDaily[Month],"&lt;="&amp;3,tblDaily[WardCode],"MAE")</f>
        <v>114</v>
      </c>
      <c r="K11" s="41">
        <f t="shared" si="0"/>
        <v>3.3444444444444446</v>
      </c>
      <c r="L11" s="41">
        <f t="shared" si="1"/>
        <v>2.8396226415094339</v>
      </c>
      <c r="M11" s="41">
        <f t="shared" si="2"/>
        <v>5.6509433962264151</v>
      </c>
      <c r="N11" s="41">
        <f t="shared" si="3"/>
        <v>10.6</v>
      </c>
      <c r="O11" s="41">
        <f t="shared" si="4"/>
        <v>33.444444444444443</v>
      </c>
      <c r="P11" s="41">
        <f t="shared" si="5"/>
        <v>5.3811659192825116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SUMIFS(tblDaily[Admissions],tblDaily[Month],"&gt;="&amp;1,tblDaily[Month],"&lt;="&amp;3,tblDaily[WardCode],"FAE") - SUMIFS(tblDaily[DeathsUnder24Hrs],tblDaily[Month],"&gt;="&amp;1,tblDaily[Month],"&lt;="&amp;3,tblDaily[WardCode],"FAE")</f>
        <v>154</v>
      </c>
      <c r="E12" s="29">
        <f>SUMIFS(tblDaily[Discharges],tblDaily[Month],"&gt;="&amp;1,tblDaily[Month],"&lt;="&amp;3,tblDaily[WardCode],"FAE")</f>
        <v>54</v>
      </c>
      <c r="F12" s="29">
        <f>SUMIFS(tblDaily[Deaths],tblDaily[Month],"&gt;="&amp;1,tblDaily[Month],"&lt;="&amp;3,tblDaily[WardCode],"FAE")</f>
        <v>9</v>
      </c>
      <c r="G12" s="29">
        <f>SUMIFS(tblDaily[DeathsUnder24Hrs],tblDaily[Month],"&gt;="&amp;1,tblDaily[Month],"&lt;="&amp;3,tblDaily[WardCode],"FAE")</f>
        <v>9</v>
      </c>
      <c r="H12" s="29">
        <f>SUMIFS(tblDaily[Remaining],tblDaily[Month],"&gt;="&amp;1,tblDaily[Month],"&lt;="&amp;3,tblDaily[WardCode],"FAE")</f>
        <v>240</v>
      </c>
      <c r="I12" s="29">
        <f>SUMIFS(tblDaily[TransfersIn],tblDaily[Month],"&gt;="&amp;1,tblDaily[Month],"&lt;="&amp;3,tblDaily[WardCode],"FAE")</f>
        <v>0</v>
      </c>
      <c r="J12" s="29">
        <f>SUMIFS(tblDaily[TransfersOut],tblDaily[Month],"&gt;="&amp;1,tblDaily[Month],"&lt;="&amp;3,tblDaily[WardCode],"FAE")</f>
        <v>89</v>
      </c>
      <c r="K12" s="41">
        <f t="shared" si="0"/>
        <v>2.6666666666666665</v>
      </c>
      <c r="L12" s="41">
        <f t="shared" si="1"/>
        <v>3.8095238095238093</v>
      </c>
      <c r="M12" s="41">
        <f t="shared" si="2"/>
        <v>10.476190476190476</v>
      </c>
      <c r="N12" s="41">
        <f t="shared" si="3"/>
        <v>6.3</v>
      </c>
      <c r="O12" s="41">
        <f t="shared" si="4"/>
        <v>26.666666666666668</v>
      </c>
      <c r="P12" s="41">
        <f t="shared" si="5"/>
        <v>5.806451612903226</v>
      </c>
    </row>
    <row r="13" spans="1:16" x14ac:dyDescent="0.25">
      <c r="A13" s="40" t="s">
        <v>48</v>
      </c>
      <c r="B13" s="29">
        <f>IFERROR(INDEX(tblWardConfig[PrevYearRemaining],MATCH("ICU",tblWardConfig[WardCode],0)),0)</f>
        <v>0</v>
      </c>
      <c r="C13" s="29">
        <f>IFERROR(INDEX(tblWardConfig[BedComplement],MATCH("ICU",tblWardConfig[WardCode],0)),0)</f>
        <v>4</v>
      </c>
      <c r="D13" s="29">
        <f>SUMIFS(tblDaily[Admissions],tblDaily[Month],"&gt;="&amp;1,tblDaily[Month],"&lt;="&amp;3,tblDaily[WardCode],"ICU") - SUMIFS(tblDaily[DeathsUnder24Hrs],tblDaily[Month],"&gt;="&amp;1,tblDaily[Month],"&lt;="&amp;3,tblDaily[WardCode],"ICU")</f>
        <v>0</v>
      </c>
      <c r="E13" s="29">
        <f>SUMIFS(tblDaily[Discharges],tblDaily[Month],"&gt;="&amp;1,tblDaily[Month],"&lt;="&amp;3,tblDaily[WardCode],"ICU")</f>
        <v>0</v>
      </c>
      <c r="F13" s="29">
        <f>SUMIFS(tblDaily[Deaths],tblDaily[Month],"&gt;="&amp;1,tblDaily[Month],"&lt;="&amp;3,tblDaily[WardCode],"ICU")</f>
        <v>0</v>
      </c>
      <c r="G13" s="29">
        <f>SUMIFS(tblDaily[DeathsUnder24Hrs],tblDaily[Month],"&gt;="&amp;1,tblDaily[Month],"&lt;="&amp;3,tblDaily[WardCode],"ICU")</f>
        <v>0</v>
      </c>
      <c r="H13" s="29">
        <f>SUMIFS(tblDaily[Remaining],tblDaily[Month],"&gt;="&amp;1,tblDaily[Month],"&lt;="&amp;3,tblDaily[WardCode],"ICU")</f>
        <v>0</v>
      </c>
      <c r="I13" s="29">
        <f>SUMIFS(tblDaily[TransfersIn],tblDaily[Month],"&gt;="&amp;1,tblDaily[Month],"&lt;="&amp;3,tblDaily[WardCode],"ICU")</f>
        <v>0</v>
      </c>
      <c r="J13" s="29">
        <f>SUMIFS(tblDaily[TransfersOut],tblDaily[Month],"&gt;="&amp;1,tblDaily[Month],"&lt;="&amp;3,tblDaily[WardCode],"ICU")</f>
        <v>0</v>
      </c>
      <c r="K13" s="41">
        <f t="shared" si="0"/>
        <v>0</v>
      </c>
      <c r="L13" s="41">
        <f t="shared" si="1"/>
        <v>0</v>
      </c>
      <c r="M13" s="41">
        <f t="shared" si="2"/>
        <v>0</v>
      </c>
      <c r="N13" s="41">
        <f t="shared" si="3"/>
        <v>0</v>
      </c>
      <c r="O13" s="41">
        <f t="shared" si="4"/>
        <v>0</v>
      </c>
      <c r="P13" s="41">
        <f t="shared" si="5"/>
        <v>0</v>
      </c>
    </row>
    <row r="14" spans="1:16" x14ac:dyDescent="0.25">
      <c r="A14" s="30" t="s">
        <v>115</v>
      </c>
      <c r="B14" s="30">
        <f t="shared" ref="B14:J14" si="6">SUM(B4:B13)</f>
        <v>102</v>
      </c>
      <c r="C14" s="30">
        <f t="shared" si="6"/>
        <v>182</v>
      </c>
      <c r="D14" s="30">
        <f t="shared" si="6"/>
        <v>2003</v>
      </c>
      <c r="E14" s="30">
        <f t="shared" si="6"/>
        <v>1910</v>
      </c>
      <c r="F14" s="30">
        <f t="shared" si="6"/>
        <v>85</v>
      </c>
      <c r="G14" s="30">
        <f t="shared" si="6"/>
        <v>26</v>
      </c>
      <c r="H14" s="30">
        <f t="shared" si="6"/>
        <v>9101</v>
      </c>
      <c r="I14" s="30">
        <f t="shared" si="6"/>
        <v>430</v>
      </c>
      <c r="J14" s="30">
        <f t="shared" si="6"/>
        <v>430</v>
      </c>
      <c r="K14" s="42">
        <f t="shared" si="0"/>
        <v>101.12222222222222</v>
      </c>
      <c r="L14" s="42">
        <f t="shared" si="1"/>
        <v>4.5619047619047617</v>
      </c>
      <c r="M14" s="42">
        <f t="shared" si="2"/>
        <v>3.6486215538847118</v>
      </c>
      <c r="N14" s="42">
        <f t="shared" si="3"/>
        <v>10.961538461538462</v>
      </c>
      <c r="O14" s="42">
        <f t="shared" si="4"/>
        <v>55.561660561660567</v>
      </c>
      <c r="P14" s="42">
        <f t="shared" si="5"/>
        <v>4.0380047505938244</v>
      </c>
    </row>
    <row r="15" spans="1:16" x14ac:dyDescent="0.25">
      <c r="A15" s="43" t="s">
        <v>148</v>
      </c>
      <c r="B15" s="43">
        <f t="shared" ref="B15:J15" si="7">B11+B12</f>
        <v>10</v>
      </c>
      <c r="C15" s="43">
        <f t="shared" si="7"/>
        <v>20</v>
      </c>
      <c r="D15" s="43">
        <f t="shared" si="7"/>
        <v>368</v>
      </c>
      <c r="E15" s="43">
        <f t="shared" si="7"/>
        <v>148</v>
      </c>
      <c r="F15" s="43">
        <f t="shared" si="7"/>
        <v>21</v>
      </c>
      <c r="G15" s="43">
        <f t="shared" si="7"/>
        <v>24</v>
      </c>
      <c r="H15" s="43">
        <f t="shared" si="7"/>
        <v>541</v>
      </c>
      <c r="I15" s="43">
        <f t="shared" si="7"/>
        <v>0</v>
      </c>
      <c r="J15" s="43">
        <f t="shared" si="7"/>
        <v>203</v>
      </c>
      <c r="K15" s="44">
        <f t="shared" si="0"/>
        <v>6.0111111111111111</v>
      </c>
      <c r="L15" s="44">
        <f t="shared" si="1"/>
        <v>3.2011834319526629</v>
      </c>
      <c r="M15" s="44">
        <f t="shared" si="2"/>
        <v>7.449704142011834</v>
      </c>
      <c r="N15" s="44">
        <f t="shared" si="3"/>
        <v>8.4499999999999993</v>
      </c>
      <c r="O15" s="44">
        <f t="shared" si="4"/>
        <v>30.055555555555557</v>
      </c>
      <c r="P15" s="44">
        <f t="shared" si="5"/>
        <v>5.5555555555555554</v>
      </c>
    </row>
    <row r="17" spans="1:16" ht="18.75" x14ac:dyDescent="0.25">
      <c r="A17" s="21" t="s">
        <v>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15.75" x14ac:dyDescent="0.25">
      <c r="A18" s="23" t="s">
        <v>162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ht="38.25" x14ac:dyDescent="0.25">
      <c r="A19" s="28" t="s">
        <v>136</v>
      </c>
      <c r="B19" s="28" t="s">
        <v>161</v>
      </c>
      <c r="C19" s="28" t="s">
        <v>138</v>
      </c>
      <c r="D19" s="28" t="s">
        <v>77</v>
      </c>
      <c r="E19" s="28" t="s">
        <v>78</v>
      </c>
      <c r="F19" s="28" t="s">
        <v>79</v>
      </c>
      <c r="G19" s="28" t="s">
        <v>111</v>
      </c>
      <c r="H19" s="28" t="s">
        <v>139</v>
      </c>
      <c r="I19" s="28" t="s">
        <v>140</v>
      </c>
      <c r="J19" s="28" t="s">
        <v>141</v>
      </c>
      <c r="K19" s="28" t="s">
        <v>142</v>
      </c>
      <c r="L19" s="28" t="s">
        <v>143</v>
      </c>
      <c r="M19" s="28" t="s">
        <v>144</v>
      </c>
      <c r="N19" s="28" t="s">
        <v>145</v>
      </c>
      <c r="O19" s="28" t="s">
        <v>146</v>
      </c>
      <c r="P19" s="28" t="s">
        <v>147</v>
      </c>
    </row>
    <row r="20" spans="1:16" x14ac:dyDescent="0.25">
      <c r="A20" s="40" t="s">
        <v>30</v>
      </c>
      <c r="B20" s="29">
        <f>IFERROR(SUMIFS(tblDaily[Remaining],tblDaily[EntryDate],DATE(2026,3,31),tblDaily[WardCode],"MW"),0)</f>
        <v>19</v>
      </c>
      <c r="C20" s="29">
        <f>IFERROR(INDEX(tblWardConfig[BedComplement],MATCH("MW",tblWardConfig[WardCode],0)),0)</f>
        <v>32</v>
      </c>
      <c r="D20" s="29">
        <f>SUMIFS(tblDaily[Admissions],tblDaily[Month],"&gt;="&amp;4,tblDaily[Month],"&lt;="&amp;6,tblDaily[WardCode],"MW") - SUMIFS(tblDaily[DeathsUnder24Hrs],tblDaily[Month],"&gt;="&amp;4,tblDaily[Month],"&lt;="&amp;6,tblDaily[WardCode],"MW")</f>
        <v>12</v>
      </c>
      <c r="E20" s="29">
        <f>SUMIFS(tblDaily[Discharges],tblDaily[Month],"&gt;="&amp;4,tblDaily[Month],"&lt;="&amp;6,tblDaily[WardCode],"MW")</f>
        <v>21</v>
      </c>
      <c r="F20" s="29">
        <f>SUMIFS(tblDaily[Deaths],tblDaily[Month],"&gt;="&amp;4,tblDaily[Month],"&lt;="&amp;6,tblDaily[WardCode],"MW")</f>
        <v>1</v>
      </c>
      <c r="G20" s="29">
        <f>SUMIFS(tblDaily[DeathsUnder24Hrs],tblDaily[Month],"&gt;="&amp;4,tblDaily[Month],"&lt;="&amp;6,tblDaily[WardCode],"MW")</f>
        <v>0</v>
      </c>
      <c r="H20" s="29">
        <f>SUMIFS(tblDaily[Remaining],tblDaily[Month],"&gt;="&amp;4,tblDaily[Month],"&lt;="&amp;6,tblDaily[WardCode],"MW")</f>
        <v>100</v>
      </c>
      <c r="I20" s="29">
        <f>SUMIFS(tblDaily[TransfersIn],tblDaily[Month],"&gt;="&amp;4,tblDaily[Month],"&lt;="&amp;6,tblDaily[WardCode],"MW")</f>
        <v>5</v>
      </c>
      <c r="J20" s="29">
        <f>SUMIFS(tblDaily[TransfersOut],tblDaily[Month],"&gt;="&amp;4,tblDaily[Month],"&lt;="&amp;6,tblDaily[WardCode],"MW")</f>
        <v>0</v>
      </c>
      <c r="K20" s="41">
        <f t="shared" ref="K20:K31" si="8">IFERROR(H20/91,0)</f>
        <v>1.098901098901099</v>
      </c>
      <c r="L20" s="41">
        <f t="shared" ref="L20:L31" si="9">IFERROR(H20/(E20+F20),0)</f>
        <v>4.5454545454545459</v>
      </c>
      <c r="M20" s="41">
        <f t="shared" ref="M20:M31" si="10">IFERROR((C20*91-H20)/(E20+F20),0)</f>
        <v>127.81818181818181</v>
      </c>
      <c r="N20" s="41">
        <f t="shared" ref="N20:N31" si="11">IFERROR((E20+F20)/C20,0)</f>
        <v>0.6875</v>
      </c>
      <c r="O20" s="41">
        <f t="shared" ref="O20:O31" si="12">IFERROR((H20/(C20*91))*100,0)</f>
        <v>3.4340659340659343</v>
      </c>
      <c r="P20" s="41">
        <f t="shared" ref="P20:P31" si="13">IFERROR((F20/(D20+B20))*100,0)</f>
        <v>3.225806451612903</v>
      </c>
    </row>
    <row r="21" spans="1:16" x14ac:dyDescent="0.25">
      <c r="A21" s="40" t="s">
        <v>32</v>
      </c>
      <c r="B21" s="29">
        <f>IFERROR(SUMIFS(tblDaily[Remaining],tblDaily[EntryDate],DATE(2026,3,31),tblDaily[WardCode],"FW"),0)</f>
        <v>14</v>
      </c>
      <c r="C21" s="29">
        <f>IFERROR(INDEX(tblWardConfig[BedComplement],MATCH("FW",tblWardConfig[WardCode],0)),0)</f>
        <v>28</v>
      </c>
      <c r="D21" s="29">
        <f>SUMIFS(tblDaily[Admissions],tblDaily[Month],"&gt;="&amp;4,tblDaily[Month],"&lt;="&amp;6,tblDaily[WardCode],"FW") - SUMIFS(tblDaily[DeathsUnder24Hrs],tblDaily[Month],"&gt;="&amp;4,tblDaily[Month],"&lt;="&amp;6,tblDaily[WardCode],"FW")</f>
        <v>19</v>
      </c>
      <c r="E21" s="29">
        <f>SUMIFS(tblDaily[Discharges],tblDaily[Month],"&gt;="&amp;4,tblDaily[Month],"&lt;="&amp;6,tblDaily[WardCode],"FW")</f>
        <v>17</v>
      </c>
      <c r="F21" s="29">
        <f>SUMIFS(tblDaily[Deaths],tblDaily[Month],"&gt;="&amp;4,tblDaily[Month],"&lt;="&amp;6,tblDaily[WardCode],"FW")</f>
        <v>3</v>
      </c>
      <c r="G21" s="29">
        <f>SUMIFS(tblDaily[DeathsUnder24Hrs],tblDaily[Month],"&gt;="&amp;4,tblDaily[Month],"&lt;="&amp;6,tblDaily[WardCode],"FW")</f>
        <v>0</v>
      </c>
      <c r="H21" s="29">
        <f>SUMIFS(tblDaily[Remaining],tblDaily[Month],"&gt;="&amp;4,tblDaily[Month],"&lt;="&amp;6,tblDaily[WardCode],"FW")</f>
        <v>111</v>
      </c>
      <c r="I21" s="29">
        <f>SUMIFS(tblDaily[TransfersIn],tblDaily[Month],"&gt;="&amp;4,tblDaily[Month],"&lt;="&amp;6,tblDaily[WardCode],"FW")</f>
        <v>3</v>
      </c>
      <c r="J21" s="29">
        <f>SUMIFS(tblDaily[TransfersOut],tblDaily[Month],"&gt;="&amp;4,tblDaily[Month],"&lt;="&amp;6,tblDaily[WardCode],"FW")</f>
        <v>0</v>
      </c>
      <c r="K21" s="41">
        <f t="shared" si="8"/>
        <v>1.2197802197802199</v>
      </c>
      <c r="L21" s="41">
        <f t="shared" si="9"/>
        <v>5.55</v>
      </c>
      <c r="M21" s="41">
        <f t="shared" si="10"/>
        <v>121.85</v>
      </c>
      <c r="N21" s="41">
        <f t="shared" si="11"/>
        <v>0.7142857142857143</v>
      </c>
      <c r="O21" s="41">
        <f t="shared" si="12"/>
        <v>4.3563579277864992</v>
      </c>
      <c r="P21" s="41">
        <f t="shared" si="13"/>
        <v>9.0909090909090917</v>
      </c>
    </row>
    <row r="22" spans="1:16" x14ac:dyDescent="0.25">
      <c r="A22" s="40" t="s">
        <v>34</v>
      </c>
      <c r="B22" s="29">
        <f>IFERROR(SUMIFS(tblDaily[Remaining],tblDaily[EntryDate],DATE(2026,3,31),tblDaily[WardCode],"CW"),0)</f>
        <v>10</v>
      </c>
      <c r="C22" s="29">
        <f>IFERROR(INDEX(tblWardConfig[BedComplement],MATCH("CW",tblWardConfig[WardCode],0)),0)</f>
        <v>27</v>
      </c>
      <c r="D22" s="29">
        <f>SUMIFS(tblDaily[Admissions],tblDaily[Month],"&gt;="&amp;4,tblDaily[Month],"&lt;="&amp;6,tblDaily[WardCode],"CW") - SUMIFS(tblDaily[DeathsUnder24Hrs],tblDaily[Month],"&gt;="&amp;4,tblDaily[Month],"&lt;="&amp;6,tblDaily[WardCode],"CW")</f>
        <v>16</v>
      </c>
      <c r="E22" s="29">
        <f>SUMIFS(tblDaily[Discharges],tblDaily[Month],"&gt;="&amp;4,tblDaily[Month],"&lt;="&amp;6,tblDaily[WardCode],"CW")</f>
        <v>14</v>
      </c>
      <c r="F22" s="29">
        <f>SUMIFS(tblDaily[Deaths],tblDaily[Month],"&gt;="&amp;4,tblDaily[Month],"&lt;="&amp;6,tblDaily[WardCode],"CW")</f>
        <v>2</v>
      </c>
      <c r="G22" s="29">
        <f>SUMIFS(tblDaily[DeathsUnder24Hrs],tblDaily[Month],"&gt;="&amp;4,tblDaily[Month],"&lt;="&amp;6,tblDaily[WardCode],"CW")</f>
        <v>0</v>
      </c>
      <c r="H22" s="29">
        <f>SUMIFS(tblDaily[Remaining],tblDaily[Month],"&gt;="&amp;4,tblDaily[Month],"&lt;="&amp;6,tblDaily[WardCode],"CW")</f>
        <v>58</v>
      </c>
      <c r="I22" s="29">
        <f>SUMIFS(tblDaily[TransfersIn],tblDaily[Month],"&gt;="&amp;4,tblDaily[Month],"&lt;="&amp;6,tblDaily[WardCode],"CW")</f>
        <v>1</v>
      </c>
      <c r="J22" s="29">
        <f>SUMIFS(tblDaily[TransfersOut],tblDaily[Month],"&gt;="&amp;4,tblDaily[Month],"&lt;="&amp;6,tblDaily[WardCode],"CW")</f>
        <v>0</v>
      </c>
      <c r="K22" s="41">
        <f t="shared" si="8"/>
        <v>0.63736263736263732</v>
      </c>
      <c r="L22" s="41">
        <f t="shared" si="9"/>
        <v>3.625</v>
      </c>
      <c r="M22" s="41">
        <f t="shared" si="10"/>
        <v>149.9375</v>
      </c>
      <c r="N22" s="41">
        <f t="shared" si="11"/>
        <v>0.59259259259259256</v>
      </c>
      <c r="O22" s="41">
        <f t="shared" si="12"/>
        <v>2.3606023606023605</v>
      </c>
      <c r="P22" s="41">
        <f t="shared" si="13"/>
        <v>7.6923076923076925</v>
      </c>
    </row>
    <row r="23" spans="1:16" x14ac:dyDescent="0.25">
      <c r="A23" s="40" t="s">
        <v>36</v>
      </c>
      <c r="B23" s="29">
        <f>IFERROR(SUMIFS(tblDaily[Remaining],tblDaily[EntryDate],DATE(2026,3,31),tblDaily[WardCode],"BF"),0)</f>
        <v>9</v>
      </c>
      <c r="C23" s="29">
        <f>IFERROR(INDEX(tblWardConfig[BedComplement],MATCH("BF",tblWardConfig[WardCode],0)),0)</f>
        <v>20</v>
      </c>
      <c r="D23" s="29">
        <f>SUMIFS(tblDaily[Admissions],tblDaily[Month],"&gt;="&amp;4,tblDaily[Month],"&lt;="&amp;6,tblDaily[WardCode],"BF") - SUMIFS(tblDaily[DeathsUnder24Hrs],tblDaily[Month],"&gt;="&amp;4,tblDaily[Month],"&lt;="&amp;6,tblDaily[WardCode],"BF")</f>
        <v>9</v>
      </c>
      <c r="E23" s="29">
        <f>SUMIFS(tblDaily[Discharges],tblDaily[Month],"&gt;="&amp;4,tblDaily[Month],"&lt;="&amp;6,tblDaily[WardCode],"BF")</f>
        <v>14</v>
      </c>
      <c r="F23" s="29">
        <f>SUMIFS(tblDaily[Deaths],tblDaily[Month],"&gt;="&amp;4,tblDaily[Month],"&lt;="&amp;6,tblDaily[WardCode],"BF")</f>
        <v>0</v>
      </c>
      <c r="G23" s="29">
        <f>SUMIFS(tblDaily[DeathsUnder24Hrs],tblDaily[Month],"&gt;="&amp;4,tblDaily[Month],"&lt;="&amp;6,tblDaily[WardCode],"BF")</f>
        <v>0</v>
      </c>
      <c r="H23" s="29">
        <f>SUMIFS(tblDaily[Remaining],tblDaily[Month],"&gt;="&amp;4,tblDaily[Month],"&lt;="&amp;6,tblDaily[WardCode],"BF")</f>
        <v>42</v>
      </c>
      <c r="I23" s="29">
        <f>SUMIFS(tblDaily[TransfersIn],tblDaily[Month],"&gt;="&amp;4,tblDaily[Month],"&lt;="&amp;6,tblDaily[WardCode],"BF")</f>
        <v>1</v>
      </c>
      <c r="J23" s="29">
        <f>SUMIFS(tblDaily[TransfersOut],tblDaily[Month],"&gt;="&amp;4,tblDaily[Month],"&lt;="&amp;6,tblDaily[WardCode],"BF")</f>
        <v>0</v>
      </c>
      <c r="K23" s="41">
        <f t="shared" si="8"/>
        <v>0.46153846153846156</v>
      </c>
      <c r="L23" s="41">
        <f t="shared" si="9"/>
        <v>3</v>
      </c>
      <c r="M23" s="41">
        <f t="shared" si="10"/>
        <v>127</v>
      </c>
      <c r="N23" s="41">
        <f t="shared" si="11"/>
        <v>0.7</v>
      </c>
      <c r="O23" s="41">
        <f t="shared" si="12"/>
        <v>2.3076923076923079</v>
      </c>
      <c r="P23" s="41">
        <f t="shared" si="13"/>
        <v>0</v>
      </c>
    </row>
    <row r="24" spans="1:16" x14ac:dyDescent="0.25">
      <c r="A24" s="40" t="s">
        <v>38</v>
      </c>
      <c r="B24" s="29">
        <f>IFERROR(SUMIFS(tblDaily[Remaining],tblDaily[EntryDate],DATE(2026,3,31),tblDaily[WardCode],"BG"),0)</f>
        <v>18</v>
      </c>
      <c r="C24" s="29">
        <f>IFERROR(INDEX(tblWardConfig[BedComplement],MATCH("BG",tblWardConfig[WardCode],0)),0)</f>
        <v>14</v>
      </c>
      <c r="D24" s="29">
        <f>SUMIFS(tblDaily[Admissions],tblDaily[Month],"&gt;="&amp;4,tblDaily[Month],"&lt;="&amp;6,tblDaily[WardCode],"BG") - SUMIFS(tblDaily[DeathsUnder24Hrs],tblDaily[Month],"&gt;="&amp;4,tblDaily[Month],"&lt;="&amp;6,tblDaily[WardCode],"BG")</f>
        <v>24</v>
      </c>
      <c r="E24" s="29">
        <f>SUMIFS(tblDaily[Discharges],tblDaily[Month],"&gt;="&amp;4,tblDaily[Month],"&lt;="&amp;6,tblDaily[WardCode],"BG")</f>
        <v>29</v>
      </c>
      <c r="F24" s="29">
        <f>SUMIFS(tblDaily[Deaths],tblDaily[Month],"&gt;="&amp;4,tblDaily[Month],"&lt;="&amp;6,tblDaily[WardCode],"BG")</f>
        <v>0</v>
      </c>
      <c r="G24" s="29">
        <f>SUMIFS(tblDaily[DeathsUnder24Hrs],tblDaily[Month],"&gt;="&amp;4,tblDaily[Month],"&lt;="&amp;6,tblDaily[WardCode],"BG")</f>
        <v>0</v>
      </c>
      <c r="H24" s="29">
        <f>SUMIFS(tblDaily[Remaining],tblDaily[Month],"&gt;="&amp;4,tblDaily[Month],"&lt;="&amp;6,tblDaily[WardCode],"BG")</f>
        <v>88</v>
      </c>
      <c r="I24" s="29">
        <f>SUMIFS(tblDaily[TransfersIn],tblDaily[Month],"&gt;="&amp;4,tblDaily[Month],"&lt;="&amp;6,tblDaily[WardCode],"BG")</f>
        <v>8</v>
      </c>
      <c r="J24" s="29">
        <f>SUMIFS(tblDaily[TransfersOut],tblDaily[Month],"&gt;="&amp;4,tblDaily[Month],"&lt;="&amp;6,tblDaily[WardCode],"BG")</f>
        <v>4</v>
      </c>
      <c r="K24" s="41">
        <f t="shared" si="8"/>
        <v>0.96703296703296704</v>
      </c>
      <c r="L24" s="41">
        <f t="shared" si="9"/>
        <v>3.0344827586206895</v>
      </c>
      <c r="M24" s="41">
        <f t="shared" si="10"/>
        <v>40.896551724137929</v>
      </c>
      <c r="N24" s="41">
        <f t="shared" si="11"/>
        <v>2.0714285714285716</v>
      </c>
      <c r="O24" s="41">
        <f t="shared" si="12"/>
        <v>6.9073783359497636</v>
      </c>
      <c r="P24" s="41">
        <f t="shared" si="13"/>
        <v>0</v>
      </c>
    </row>
    <row r="25" spans="1:16" x14ac:dyDescent="0.25">
      <c r="A25" s="40" t="s">
        <v>40</v>
      </c>
      <c r="B25" s="29">
        <f>IFERROR(SUMIFS(tblDaily[Remaining],tblDaily[EntryDate],DATE(2026,3,31),tblDaily[WardCode],"BH"),0)</f>
        <v>26</v>
      </c>
      <c r="C25" s="29">
        <f>IFERROR(INDEX(tblWardConfig[BedComplement],MATCH("BH",tblWardConfig[WardCode],0)),0)</f>
        <v>22</v>
      </c>
      <c r="D25" s="29">
        <f>SUMIFS(tblDaily[Admissions],tblDaily[Month],"&gt;="&amp;4,tblDaily[Month],"&lt;="&amp;6,tblDaily[WardCode],"BH") - SUMIFS(tblDaily[DeathsUnder24Hrs],tblDaily[Month],"&gt;="&amp;4,tblDaily[Month],"&lt;="&amp;6,tblDaily[WardCode],"BH")</f>
        <v>13</v>
      </c>
      <c r="E25" s="29">
        <f>SUMIFS(tblDaily[Discharges],tblDaily[Month],"&gt;="&amp;4,tblDaily[Month],"&lt;="&amp;6,tblDaily[WardCode],"BH")</f>
        <v>22</v>
      </c>
      <c r="F25" s="29">
        <f>SUMIFS(tblDaily[Deaths],tblDaily[Month],"&gt;="&amp;4,tblDaily[Month],"&lt;="&amp;6,tblDaily[WardCode],"BH")</f>
        <v>0</v>
      </c>
      <c r="G25" s="29">
        <f>SUMIFS(tblDaily[DeathsUnder24Hrs],tblDaily[Month],"&gt;="&amp;4,tblDaily[Month],"&lt;="&amp;6,tblDaily[WardCode],"BH")</f>
        <v>0</v>
      </c>
      <c r="H25" s="29">
        <f>SUMIFS(tblDaily[Remaining],tblDaily[Month],"&gt;="&amp;4,tblDaily[Month],"&lt;="&amp;6,tblDaily[WardCode],"BH")</f>
        <v>118</v>
      </c>
      <c r="I25" s="29">
        <f>SUMIFS(tblDaily[TransfersIn],tblDaily[Month],"&gt;="&amp;4,tblDaily[Month],"&lt;="&amp;6,tblDaily[WardCode],"BH")</f>
        <v>4</v>
      </c>
      <c r="J25" s="29">
        <f>SUMIFS(tblDaily[TransfersOut],tblDaily[Month],"&gt;="&amp;4,tblDaily[Month],"&lt;="&amp;6,tblDaily[WardCode],"BH")</f>
        <v>8</v>
      </c>
      <c r="K25" s="41">
        <f t="shared" si="8"/>
        <v>1.2967032967032968</v>
      </c>
      <c r="L25" s="41">
        <f t="shared" si="9"/>
        <v>5.3636363636363633</v>
      </c>
      <c r="M25" s="41">
        <f t="shared" si="10"/>
        <v>85.63636363636364</v>
      </c>
      <c r="N25" s="41">
        <f t="shared" si="11"/>
        <v>1</v>
      </c>
      <c r="O25" s="41">
        <f t="shared" si="12"/>
        <v>5.8941058941058948</v>
      </c>
      <c r="P25" s="41">
        <f t="shared" si="13"/>
        <v>0</v>
      </c>
    </row>
    <row r="26" spans="1:16" x14ac:dyDescent="0.25">
      <c r="A26" s="40" t="s">
        <v>42</v>
      </c>
      <c r="B26" s="29">
        <f>IFERROR(SUMIFS(tblDaily[Remaining],tblDaily[EntryDate],DATE(2026,3,31),tblDaily[WardCode],"NICU"),0)</f>
        <v>8</v>
      </c>
      <c r="C26" s="29">
        <f>IFERROR(INDEX(tblWardConfig[BedComplement],MATCH("NICU",tblWardConfig[WardCode],0)),0)</f>
        <v>15</v>
      </c>
      <c r="D26" s="29">
        <f>SUMIFS(tblDaily[Admissions],tblDaily[Month],"&gt;="&amp;4,tblDaily[Month],"&lt;="&amp;6,tblDaily[WardCode],"NICU") - SUMIFS(tblDaily[DeathsUnder24Hrs],tblDaily[Month],"&gt;="&amp;4,tblDaily[Month],"&lt;="&amp;6,tblDaily[WardCode],"NICU")</f>
        <v>7</v>
      </c>
      <c r="E26" s="29">
        <f>SUMIFS(tblDaily[Discharges],tblDaily[Month],"&gt;="&amp;4,tblDaily[Month],"&lt;="&amp;6,tblDaily[WardCode],"NICU")</f>
        <v>8</v>
      </c>
      <c r="F26" s="29">
        <f>SUMIFS(tblDaily[Deaths],tblDaily[Month],"&gt;="&amp;4,tblDaily[Month],"&lt;="&amp;6,tblDaily[WardCode],"NICU")</f>
        <v>0</v>
      </c>
      <c r="G26" s="29">
        <f>SUMIFS(tblDaily[DeathsUnder24Hrs],tblDaily[Month],"&gt;="&amp;4,tblDaily[Month],"&lt;="&amp;6,tblDaily[WardCode],"NICU")</f>
        <v>0</v>
      </c>
      <c r="H26" s="29">
        <f>SUMIFS(tblDaily[Remaining],tblDaily[Month],"&gt;="&amp;4,tblDaily[Month],"&lt;="&amp;6,tblDaily[WardCode],"NICU")</f>
        <v>39</v>
      </c>
      <c r="I26" s="29">
        <f>SUMIFS(tblDaily[TransfersIn],tblDaily[Month],"&gt;="&amp;4,tblDaily[Month],"&lt;="&amp;6,tblDaily[WardCode],"NICU")</f>
        <v>0</v>
      </c>
      <c r="J26" s="29">
        <f>SUMIFS(tblDaily[TransfersOut],tblDaily[Month],"&gt;="&amp;4,tblDaily[Month],"&lt;="&amp;6,tblDaily[WardCode],"NICU")</f>
        <v>0</v>
      </c>
      <c r="K26" s="41">
        <f t="shared" si="8"/>
        <v>0.42857142857142855</v>
      </c>
      <c r="L26" s="41">
        <f t="shared" si="9"/>
        <v>4.875</v>
      </c>
      <c r="M26" s="41">
        <f t="shared" si="10"/>
        <v>165.75</v>
      </c>
      <c r="N26" s="41">
        <f t="shared" si="11"/>
        <v>0.53333333333333333</v>
      </c>
      <c r="O26" s="41">
        <f t="shared" si="12"/>
        <v>2.8571428571428572</v>
      </c>
      <c r="P26" s="41">
        <f t="shared" si="13"/>
        <v>0</v>
      </c>
    </row>
    <row r="27" spans="1:16" x14ac:dyDescent="0.25">
      <c r="A27" s="40" t="s">
        <v>44</v>
      </c>
      <c r="B27" s="29">
        <f>IFERROR(SUMIFS(tblDaily[Remaining],tblDaily[EntryDate],DATE(2026,3,31),tblDaily[WardCode],"MAE"),0)</f>
        <v>3</v>
      </c>
      <c r="C27" s="29">
        <f>IFERROR(INDEX(tblWardConfig[BedComplement],MATCH("MAE",tblWardConfig[WardCode],0)),0)</f>
        <v>10</v>
      </c>
      <c r="D27" s="29">
        <f>SUMIFS(tblDaily[Admissions],tblDaily[Month],"&gt;="&amp;4,tblDaily[Month],"&lt;="&amp;6,tblDaily[WardCode],"MAE") - SUMIFS(tblDaily[DeathsUnder24Hrs],tblDaily[Month],"&gt;="&amp;4,tblDaily[Month],"&lt;="&amp;6,tblDaily[WardCode],"MAE")</f>
        <v>9</v>
      </c>
      <c r="E27" s="29">
        <f>SUMIFS(tblDaily[Discharges],tblDaily[Month],"&gt;="&amp;4,tblDaily[Month],"&lt;="&amp;6,tblDaily[WardCode],"MAE")</f>
        <v>5</v>
      </c>
      <c r="F27" s="29">
        <f>SUMIFS(tblDaily[Deaths],tblDaily[Month],"&gt;="&amp;4,tblDaily[Month],"&lt;="&amp;6,tblDaily[WardCode],"MAE")</f>
        <v>1</v>
      </c>
      <c r="G27" s="29">
        <f>SUMIFS(tblDaily[DeathsUnder24Hrs],tblDaily[Month],"&gt;="&amp;4,tblDaily[Month],"&lt;="&amp;6,tblDaily[WardCode],"MAE")</f>
        <v>0</v>
      </c>
      <c r="H27" s="29">
        <f>SUMIFS(tblDaily[Remaining],tblDaily[Month],"&gt;="&amp;4,tblDaily[Month],"&lt;="&amp;6,tblDaily[WardCode],"MAE")</f>
        <v>18</v>
      </c>
      <c r="I27" s="29">
        <f>SUMIFS(tblDaily[TransfersIn],tblDaily[Month],"&gt;="&amp;4,tblDaily[Month],"&lt;="&amp;6,tblDaily[WardCode],"MAE")</f>
        <v>0</v>
      </c>
      <c r="J27" s="29">
        <f>SUMIFS(tblDaily[TransfersOut],tblDaily[Month],"&gt;="&amp;4,tblDaily[Month],"&lt;="&amp;6,tblDaily[WardCode],"MAE")</f>
        <v>2</v>
      </c>
      <c r="K27" s="41">
        <f t="shared" si="8"/>
        <v>0.19780219780219779</v>
      </c>
      <c r="L27" s="41">
        <f t="shared" si="9"/>
        <v>3</v>
      </c>
      <c r="M27" s="41">
        <f t="shared" si="10"/>
        <v>148.66666666666666</v>
      </c>
      <c r="N27" s="41">
        <f t="shared" si="11"/>
        <v>0.6</v>
      </c>
      <c r="O27" s="41">
        <f t="shared" si="12"/>
        <v>1.9780219780219779</v>
      </c>
      <c r="P27" s="41">
        <f t="shared" si="13"/>
        <v>8.3333333333333321</v>
      </c>
    </row>
    <row r="28" spans="1:16" x14ac:dyDescent="0.25">
      <c r="A28" s="40" t="s">
        <v>46</v>
      </c>
      <c r="B28" s="29">
        <f>IFERROR(SUMIFS(tblDaily[Remaining],tblDaily[EntryDate],DATE(2026,3,31),tblDaily[WardCode],"FAE"),0)</f>
        <v>3</v>
      </c>
      <c r="C28" s="29">
        <f>IFERROR(INDEX(tblWardConfig[BedComplement],MATCH("FAE",tblWardConfig[WardCode],0)),0)</f>
        <v>10</v>
      </c>
      <c r="D28" s="29">
        <f>SUMIFS(tblDaily[Admissions],tblDaily[Month],"&gt;="&amp;4,tblDaily[Month],"&lt;="&amp;6,tblDaily[WardCode],"FAE") - SUMIFS(tblDaily[DeathsUnder24Hrs],tblDaily[Month],"&gt;="&amp;4,tblDaily[Month],"&lt;="&amp;6,tblDaily[WardCode],"FAE")</f>
        <v>4</v>
      </c>
      <c r="E28" s="29">
        <f>SUMIFS(tblDaily[Discharges],tblDaily[Month],"&gt;="&amp;4,tblDaily[Month],"&lt;="&amp;6,tblDaily[WardCode],"FAE")</f>
        <v>3</v>
      </c>
      <c r="F28" s="29">
        <f>SUMIFS(tblDaily[Deaths],tblDaily[Month],"&gt;="&amp;4,tblDaily[Month],"&lt;="&amp;6,tblDaily[WardCode],"FAE")</f>
        <v>0</v>
      </c>
      <c r="G28" s="29">
        <f>SUMIFS(tblDaily[DeathsUnder24Hrs],tblDaily[Month],"&gt;="&amp;4,tblDaily[Month],"&lt;="&amp;6,tblDaily[WardCode],"FAE")</f>
        <v>1</v>
      </c>
      <c r="H28" s="29">
        <f>SUMIFS(tblDaily[Remaining],tblDaily[Month],"&gt;="&amp;4,tblDaily[Month],"&lt;="&amp;6,tblDaily[WardCode],"FAE")</f>
        <v>7</v>
      </c>
      <c r="I28" s="29">
        <f>SUMIFS(tblDaily[TransfersIn],tblDaily[Month],"&gt;="&amp;4,tblDaily[Month],"&lt;="&amp;6,tblDaily[WardCode],"FAE")</f>
        <v>0</v>
      </c>
      <c r="J28" s="29">
        <f>SUMIFS(tblDaily[TransfersOut],tblDaily[Month],"&gt;="&amp;4,tblDaily[Month],"&lt;="&amp;6,tblDaily[WardCode],"FAE")</f>
        <v>4</v>
      </c>
      <c r="K28" s="41">
        <f t="shared" si="8"/>
        <v>7.6923076923076927E-2</v>
      </c>
      <c r="L28" s="41">
        <f t="shared" si="9"/>
        <v>2.3333333333333335</v>
      </c>
      <c r="M28" s="41">
        <f t="shared" si="10"/>
        <v>301</v>
      </c>
      <c r="N28" s="41">
        <f t="shared" si="11"/>
        <v>0.3</v>
      </c>
      <c r="O28" s="41">
        <f t="shared" si="12"/>
        <v>0.76923076923076927</v>
      </c>
      <c r="P28" s="41">
        <f t="shared" si="13"/>
        <v>0</v>
      </c>
    </row>
    <row r="29" spans="1:16" x14ac:dyDescent="0.25">
      <c r="A29" s="40" t="s">
        <v>48</v>
      </c>
      <c r="B29" s="29">
        <f>IFERROR(SUMIFS(tblDaily[Remaining],tblDaily[EntryDate],DATE(2026,3,31),tblDaily[WardCode],"ICU"),0)</f>
        <v>0</v>
      </c>
      <c r="C29" s="29">
        <f>IFERROR(INDEX(tblWardConfig[BedComplement],MATCH("ICU",tblWardConfig[WardCode],0)),0)</f>
        <v>4</v>
      </c>
      <c r="D29" s="29">
        <f>SUMIFS(tblDaily[Admissions],tblDaily[Month],"&gt;="&amp;4,tblDaily[Month],"&lt;="&amp;6,tblDaily[WardCode],"ICU") - SUMIFS(tblDaily[DeathsUnder24Hrs],tblDaily[Month],"&gt;="&amp;4,tblDaily[Month],"&lt;="&amp;6,tblDaily[WardCode],"ICU")</f>
        <v>0</v>
      </c>
      <c r="E29" s="29">
        <f>SUMIFS(tblDaily[Discharges],tblDaily[Month],"&gt;="&amp;4,tblDaily[Month],"&lt;="&amp;6,tblDaily[WardCode],"ICU")</f>
        <v>0</v>
      </c>
      <c r="F29" s="29">
        <f>SUMIFS(tblDaily[Deaths],tblDaily[Month],"&gt;="&amp;4,tblDaily[Month],"&lt;="&amp;6,tblDaily[WardCode],"ICU")</f>
        <v>0</v>
      </c>
      <c r="G29" s="29">
        <f>SUMIFS(tblDaily[DeathsUnder24Hrs],tblDaily[Month],"&gt;="&amp;4,tblDaily[Month],"&lt;="&amp;6,tblDaily[WardCode],"ICU")</f>
        <v>0</v>
      </c>
      <c r="H29" s="29">
        <f>SUMIFS(tblDaily[Remaining],tblDaily[Month],"&gt;="&amp;4,tblDaily[Month],"&lt;="&amp;6,tblDaily[WardCode],"ICU")</f>
        <v>0</v>
      </c>
      <c r="I29" s="29">
        <f>SUMIFS(tblDaily[TransfersIn],tblDaily[Month],"&gt;="&amp;4,tblDaily[Month],"&lt;="&amp;6,tblDaily[WardCode],"ICU")</f>
        <v>0</v>
      </c>
      <c r="J29" s="29">
        <f>SUMIFS(tblDaily[TransfersOut],tblDaily[Month],"&gt;="&amp;4,tblDaily[Month],"&lt;="&amp;6,tblDaily[WardCode],"ICU")</f>
        <v>0</v>
      </c>
      <c r="K29" s="41">
        <f t="shared" si="8"/>
        <v>0</v>
      </c>
      <c r="L29" s="41">
        <f t="shared" si="9"/>
        <v>0</v>
      </c>
      <c r="M29" s="41">
        <f t="shared" si="10"/>
        <v>0</v>
      </c>
      <c r="N29" s="41">
        <f t="shared" si="11"/>
        <v>0</v>
      </c>
      <c r="O29" s="41">
        <f t="shared" si="12"/>
        <v>0</v>
      </c>
      <c r="P29" s="41">
        <f t="shared" si="13"/>
        <v>0</v>
      </c>
    </row>
    <row r="30" spans="1:16" x14ac:dyDescent="0.25">
      <c r="A30" s="30" t="s">
        <v>115</v>
      </c>
      <c r="B30" s="30">
        <f t="shared" ref="B30:J30" si="14">SUM(B20:B29)</f>
        <v>110</v>
      </c>
      <c r="C30" s="30">
        <f t="shared" si="14"/>
        <v>182</v>
      </c>
      <c r="D30" s="30">
        <f t="shared" si="14"/>
        <v>113</v>
      </c>
      <c r="E30" s="30">
        <f t="shared" si="14"/>
        <v>133</v>
      </c>
      <c r="F30" s="30">
        <f t="shared" si="14"/>
        <v>7</v>
      </c>
      <c r="G30" s="30">
        <f t="shared" si="14"/>
        <v>1</v>
      </c>
      <c r="H30" s="30">
        <f t="shared" si="14"/>
        <v>581</v>
      </c>
      <c r="I30" s="30">
        <f t="shared" si="14"/>
        <v>22</v>
      </c>
      <c r="J30" s="30">
        <f t="shared" si="14"/>
        <v>18</v>
      </c>
      <c r="K30" s="42">
        <f t="shared" si="8"/>
        <v>6.384615384615385</v>
      </c>
      <c r="L30" s="42">
        <f t="shared" si="9"/>
        <v>4.1500000000000004</v>
      </c>
      <c r="M30" s="42">
        <f t="shared" si="10"/>
        <v>114.15</v>
      </c>
      <c r="N30" s="42">
        <f t="shared" si="11"/>
        <v>0.76923076923076927</v>
      </c>
      <c r="O30" s="42">
        <f t="shared" si="12"/>
        <v>3.508030431107354</v>
      </c>
      <c r="P30" s="42">
        <f t="shared" si="13"/>
        <v>3.1390134529147984</v>
      </c>
    </row>
    <row r="31" spans="1:16" x14ac:dyDescent="0.25">
      <c r="A31" s="43" t="s">
        <v>148</v>
      </c>
      <c r="B31" s="43">
        <f t="shared" ref="B31:J31" si="15">B27+B28</f>
        <v>6</v>
      </c>
      <c r="C31" s="43">
        <f t="shared" si="15"/>
        <v>20</v>
      </c>
      <c r="D31" s="43">
        <f t="shared" si="15"/>
        <v>13</v>
      </c>
      <c r="E31" s="43">
        <f t="shared" si="15"/>
        <v>8</v>
      </c>
      <c r="F31" s="43">
        <f t="shared" si="15"/>
        <v>1</v>
      </c>
      <c r="G31" s="43">
        <f t="shared" si="15"/>
        <v>1</v>
      </c>
      <c r="H31" s="43">
        <f t="shared" si="15"/>
        <v>25</v>
      </c>
      <c r="I31" s="43">
        <f t="shared" si="15"/>
        <v>0</v>
      </c>
      <c r="J31" s="43">
        <f t="shared" si="15"/>
        <v>6</v>
      </c>
      <c r="K31" s="44">
        <f t="shared" si="8"/>
        <v>0.27472527472527475</v>
      </c>
      <c r="L31" s="44">
        <f t="shared" si="9"/>
        <v>2.7777777777777777</v>
      </c>
      <c r="M31" s="44">
        <f t="shared" si="10"/>
        <v>199.44444444444446</v>
      </c>
      <c r="N31" s="44">
        <f t="shared" si="11"/>
        <v>0.45</v>
      </c>
      <c r="O31" s="44">
        <f t="shared" si="12"/>
        <v>1.3736263736263736</v>
      </c>
      <c r="P31" s="44">
        <f t="shared" si="13"/>
        <v>5.2631578947368416</v>
      </c>
    </row>
    <row r="33" spans="1:16" ht="18.75" x14ac:dyDescent="0.25">
      <c r="A33" s="21" t="s">
        <v>0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</row>
    <row r="34" spans="1:16" ht="15.75" x14ac:dyDescent="0.25">
      <c r="A34" s="23" t="s">
        <v>163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</row>
    <row r="35" spans="1:16" ht="38.25" x14ac:dyDescent="0.25">
      <c r="A35" s="28" t="s">
        <v>136</v>
      </c>
      <c r="B35" s="28" t="s">
        <v>161</v>
      </c>
      <c r="C35" s="28" t="s">
        <v>138</v>
      </c>
      <c r="D35" s="28" t="s">
        <v>77</v>
      </c>
      <c r="E35" s="28" t="s">
        <v>78</v>
      </c>
      <c r="F35" s="28" t="s">
        <v>79</v>
      </c>
      <c r="G35" s="28" t="s">
        <v>111</v>
      </c>
      <c r="H35" s="28" t="s">
        <v>139</v>
      </c>
      <c r="I35" s="28" t="s">
        <v>140</v>
      </c>
      <c r="J35" s="28" t="s">
        <v>141</v>
      </c>
      <c r="K35" s="28" t="s">
        <v>142</v>
      </c>
      <c r="L35" s="28" t="s">
        <v>143</v>
      </c>
      <c r="M35" s="28" t="s">
        <v>144</v>
      </c>
      <c r="N35" s="28" t="s">
        <v>145</v>
      </c>
      <c r="O35" s="28" t="s">
        <v>146</v>
      </c>
      <c r="P35" s="28" t="s">
        <v>147</v>
      </c>
    </row>
    <row r="36" spans="1:16" x14ac:dyDescent="0.25">
      <c r="A36" s="40" t="s">
        <v>30</v>
      </c>
      <c r="B36" s="29">
        <f>IFERROR(SUMIFS(tblDaily[Remaining],tblDaily[EntryDate],DATE(2026,6,30),tblDaily[WardCode],"MW"),0)</f>
        <v>0</v>
      </c>
      <c r="C36" s="29">
        <f>IFERROR(INDEX(tblWardConfig[BedComplement],MATCH("MW",tblWardConfig[WardCode],0)),0)</f>
        <v>32</v>
      </c>
      <c r="D36" s="29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6" s="29">
        <f>SUMIFS(tblDaily[Discharges],tblDaily[Month],"&gt;="&amp;7,tblDaily[Month],"&lt;="&amp;9,tblDaily[WardCode],"MW")</f>
        <v>0</v>
      </c>
      <c r="F36" s="29">
        <f>SUMIFS(tblDaily[Deaths],tblDaily[Month],"&gt;="&amp;7,tblDaily[Month],"&lt;="&amp;9,tblDaily[WardCode],"MW")</f>
        <v>0</v>
      </c>
      <c r="G36" s="29">
        <f>SUMIFS(tblDaily[DeathsUnder24Hrs],tblDaily[Month],"&gt;="&amp;7,tblDaily[Month],"&lt;="&amp;9,tblDaily[WardCode],"MW")</f>
        <v>0</v>
      </c>
      <c r="H36" s="29">
        <f>SUMIFS(tblDaily[Remaining],tblDaily[Month],"&gt;="&amp;7,tblDaily[Month],"&lt;="&amp;9,tblDaily[WardCode],"MW")</f>
        <v>0</v>
      </c>
      <c r="I36" s="29">
        <f>SUMIFS(tblDaily[TransfersIn],tblDaily[Month],"&gt;="&amp;7,tblDaily[Month],"&lt;="&amp;9,tblDaily[WardCode],"MW")</f>
        <v>0</v>
      </c>
      <c r="J36" s="29">
        <f>SUMIFS(tblDaily[TransfersOut],tblDaily[Month],"&gt;="&amp;7,tblDaily[Month],"&lt;="&amp;9,tblDaily[WardCode],"MW")</f>
        <v>0</v>
      </c>
      <c r="K36" s="41">
        <f t="shared" ref="K36:K47" si="16">IFERROR(H36/92,0)</f>
        <v>0</v>
      </c>
      <c r="L36" s="41">
        <f t="shared" ref="L36:L47" si="17">IFERROR(H36/(E36+F36),0)</f>
        <v>0</v>
      </c>
      <c r="M36" s="41">
        <f t="shared" ref="M36:M47" si="18">IFERROR((C36*92-H36)/(E36+F36),0)</f>
        <v>0</v>
      </c>
      <c r="N36" s="41">
        <f t="shared" ref="N36:N47" si="19">IFERROR((E36+F36)/C36,0)</f>
        <v>0</v>
      </c>
      <c r="O36" s="41">
        <f t="shared" ref="O36:O47" si="20">IFERROR((H36/(C36*92))*100,0)</f>
        <v>0</v>
      </c>
      <c r="P36" s="41">
        <f t="shared" ref="P36:P47" si="21">IFERROR((F36/(D36+B36))*100,0)</f>
        <v>0</v>
      </c>
    </row>
    <row r="37" spans="1:16" x14ac:dyDescent="0.25">
      <c r="A37" s="40" t="s">
        <v>32</v>
      </c>
      <c r="B37" s="29">
        <f>IFERROR(SUMIFS(tblDaily[Remaining],tblDaily[EntryDate],DATE(2026,6,30),tblDaily[WardCode],"FW"),0)</f>
        <v>0</v>
      </c>
      <c r="C37" s="29">
        <f>IFERROR(INDEX(tblWardConfig[BedComplement],MATCH("FW",tblWardConfig[WardCode],0)),0)</f>
        <v>28</v>
      </c>
      <c r="D37" s="29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7" s="29">
        <f>SUMIFS(tblDaily[Discharges],tblDaily[Month],"&gt;="&amp;7,tblDaily[Month],"&lt;="&amp;9,tblDaily[WardCode],"FW")</f>
        <v>0</v>
      </c>
      <c r="F37" s="29">
        <f>SUMIFS(tblDaily[Deaths],tblDaily[Month],"&gt;="&amp;7,tblDaily[Month],"&lt;="&amp;9,tblDaily[WardCode],"FW")</f>
        <v>0</v>
      </c>
      <c r="G37" s="29">
        <f>SUMIFS(tblDaily[DeathsUnder24Hrs],tblDaily[Month],"&gt;="&amp;7,tblDaily[Month],"&lt;="&amp;9,tblDaily[WardCode],"FW")</f>
        <v>0</v>
      </c>
      <c r="H37" s="29">
        <f>SUMIFS(tblDaily[Remaining],tblDaily[Month],"&gt;="&amp;7,tblDaily[Month],"&lt;="&amp;9,tblDaily[WardCode],"FW")</f>
        <v>0</v>
      </c>
      <c r="I37" s="29">
        <f>SUMIFS(tblDaily[TransfersIn],tblDaily[Month],"&gt;="&amp;7,tblDaily[Month],"&lt;="&amp;9,tblDaily[WardCode],"FW")</f>
        <v>0</v>
      </c>
      <c r="J37" s="29">
        <f>SUMIFS(tblDaily[TransfersOut],tblDaily[Month],"&gt;="&amp;7,tblDaily[Month],"&lt;="&amp;9,tblDaily[WardCode],"FW")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34</v>
      </c>
      <c r="B38" s="29">
        <f>IFERROR(SUMIFS(tblDaily[Remaining],tblDaily[EntryDate],DATE(2026,6,30),tblDaily[WardCode],"CW"),0)</f>
        <v>0</v>
      </c>
      <c r="C38" s="29">
        <f>IFERROR(INDEX(tblWardConfig[BedComplement],MATCH("CW",tblWardConfig[WardCode],0)),0)</f>
        <v>27</v>
      </c>
      <c r="D38" s="29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8" s="29">
        <f>SUMIFS(tblDaily[Discharges],tblDaily[Month],"&gt;="&amp;7,tblDaily[Month],"&lt;="&amp;9,tblDaily[WardCode],"CW")</f>
        <v>0</v>
      </c>
      <c r="F38" s="29">
        <f>SUMIFS(tblDaily[Deaths],tblDaily[Month],"&gt;="&amp;7,tblDaily[Month],"&lt;="&amp;9,tblDaily[WardCode],"CW")</f>
        <v>0</v>
      </c>
      <c r="G38" s="29">
        <f>SUMIFS(tblDaily[DeathsUnder24Hrs],tblDaily[Month],"&gt;="&amp;7,tblDaily[Month],"&lt;="&amp;9,tblDaily[WardCode],"CW")</f>
        <v>0</v>
      </c>
      <c r="H38" s="29">
        <f>SUMIFS(tblDaily[Remaining],tblDaily[Month],"&gt;="&amp;7,tblDaily[Month],"&lt;="&amp;9,tblDaily[WardCode],"CW")</f>
        <v>0</v>
      </c>
      <c r="I38" s="29">
        <f>SUMIFS(tblDaily[TransfersIn],tblDaily[Month],"&gt;="&amp;7,tblDaily[Month],"&lt;="&amp;9,tblDaily[WardCode],"CW")</f>
        <v>0</v>
      </c>
      <c r="J38" s="29">
        <f>SUMIFS(tblDaily[TransfersOut],tblDaily[Month],"&gt;="&amp;7,tblDaily[Month],"&lt;="&amp;9,tblDaily[WardCode],"CW")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36</v>
      </c>
      <c r="B39" s="29">
        <f>IFERROR(SUMIFS(tblDaily[Remaining],tblDaily[EntryDate],DATE(2026,6,30),tblDaily[WardCode],"BF"),0)</f>
        <v>0</v>
      </c>
      <c r="C39" s="29">
        <f>IFERROR(INDEX(tblWardConfig[BedComplement],MATCH("BF",tblWardConfig[WardCode],0)),0)</f>
        <v>20</v>
      </c>
      <c r="D39" s="29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9" s="29">
        <f>SUMIFS(tblDaily[Discharges],tblDaily[Month],"&gt;="&amp;7,tblDaily[Month],"&lt;="&amp;9,tblDaily[WardCode],"BF")</f>
        <v>0</v>
      </c>
      <c r="F39" s="29">
        <f>SUMIFS(tblDaily[Deaths],tblDaily[Month],"&gt;="&amp;7,tblDaily[Month],"&lt;="&amp;9,tblDaily[WardCode],"BF")</f>
        <v>0</v>
      </c>
      <c r="G39" s="29">
        <f>SUMIFS(tblDaily[DeathsUnder24Hrs],tblDaily[Month],"&gt;="&amp;7,tblDaily[Month],"&lt;="&amp;9,tblDaily[WardCode],"BF")</f>
        <v>0</v>
      </c>
      <c r="H39" s="29">
        <f>SUMIFS(tblDaily[Remaining],tblDaily[Month],"&gt;="&amp;7,tblDaily[Month],"&lt;="&amp;9,tblDaily[WardCode],"BF")</f>
        <v>0</v>
      </c>
      <c r="I39" s="29">
        <f>SUMIFS(tblDaily[TransfersIn],tblDaily[Month],"&gt;="&amp;7,tblDaily[Month],"&lt;="&amp;9,tblDaily[WardCode],"BF")</f>
        <v>0</v>
      </c>
      <c r="J39" s="29">
        <f>SUMIFS(tblDaily[TransfersOut],tblDaily[Month],"&gt;="&amp;7,tblDaily[Month],"&lt;="&amp;9,tblDaily[WardCode],"BF")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38</v>
      </c>
      <c r="B40" s="29">
        <f>IFERROR(SUMIFS(tblDaily[Remaining],tblDaily[EntryDate],DATE(2026,6,30),tblDaily[WardCode],"BG"),0)</f>
        <v>0</v>
      </c>
      <c r="C40" s="29">
        <f>IFERROR(INDEX(tblWardConfig[BedComplement],MATCH("BG",tblWardConfig[WardCode],0)),0)</f>
        <v>14</v>
      </c>
      <c r="D40" s="29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40" s="29">
        <f>SUMIFS(tblDaily[Discharges],tblDaily[Month],"&gt;="&amp;7,tblDaily[Month],"&lt;="&amp;9,tblDaily[WardCode],"BG")</f>
        <v>0</v>
      </c>
      <c r="F40" s="29">
        <f>SUMIFS(tblDaily[Deaths],tblDaily[Month],"&gt;="&amp;7,tblDaily[Month],"&lt;="&amp;9,tblDaily[WardCode],"BG")</f>
        <v>0</v>
      </c>
      <c r="G40" s="29">
        <f>SUMIFS(tblDaily[DeathsUnder24Hrs],tblDaily[Month],"&gt;="&amp;7,tblDaily[Month],"&lt;="&amp;9,tblDaily[WardCode],"BG")</f>
        <v>0</v>
      </c>
      <c r="H40" s="29">
        <f>SUMIFS(tblDaily[Remaining],tblDaily[Month],"&gt;="&amp;7,tblDaily[Month],"&lt;="&amp;9,tblDaily[WardCode],"BG")</f>
        <v>0</v>
      </c>
      <c r="I40" s="29">
        <f>SUMIFS(tblDaily[TransfersIn],tblDaily[Month],"&gt;="&amp;7,tblDaily[Month],"&lt;="&amp;9,tblDaily[WardCode],"BG")</f>
        <v>0</v>
      </c>
      <c r="J40" s="29">
        <f>SUMIFS(tblDaily[TransfersOut],tblDaily[Month],"&gt;="&amp;7,tblDaily[Month],"&lt;="&amp;9,tblDaily[WardCode],"BG")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40</v>
      </c>
      <c r="B41" s="29">
        <f>IFERROR(SUMIFS(tblDaily[Remaining],tblDaily[EntryDate],DATE(2026,6,30),tblDaily[WardCode],"BH"),0)</f>
        <v>0</v>
      </c>
      <c r="C41" s="29">
        <f>IFERROR(INDEX(tblWardConfig[BedComplement],MATCH("BH",tblWardConfig[WardCode],0)),0)</f>
        <v>22</v>
      </c>
      <c r="D41" s="29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41" s="29">
        <f>SUMIFS(tblDaily[Discharges],tblDaily[Month],"&gt;="&amp;7,tblDaily[Month],"&lt;="&amp;9,tblDaily[WardCode],"BH")</f>
        <v>0</v>
      </c>
      <c r="F41" s="29">
        <f>SUMIFS(tblDaily[Deaths],tblDaily[Month],"&gt;="&amp;7,tblDaily[Month],"&lt;="&amp;9,tblDaily[WardCode],"BH")</f>
        <v>0</v>
      </c>
      <c r="G41" s="29">
        <f>SUMIFS(tblDaily[DeathsUnder24Hrs],tblDaily[Month],"&gt;="&amp;7,tblDaily[Month],"&lt;="&amp;9,tblDaily[WardCode],"BH")</f>
        <v>0</v>
      </c>
      <c r="H41" s="29">
        <f>SUMIFS(tblDaily[Remaining],tblDaily[Month],"&gt;="&amp;7,tblDaily[Month],"&lt;="&amp;9,tblDaily[WardCode],"BH")</f>
        <v>0</v>
      </c>
      <c r="I41" s="29">
        <f>SUMIFS(tblDaily[TransfersIn],tblDaily[Month],"&gt;="&amp;7,tblDaily[Month],"&lt;="&amp;9,tblDaily[WardCode],"BH")</f>
        <v>0</v>
      </c>
      <c r="J41" s="29">
        <f>SUMIFS(tblDaily[TransfersOut],tblDaily[Month],"&gt;="&amp;7,tblDaily[Month],"&lt;="&amp;9,tblDaily[WardCode],"BH")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42</v>
      </c>
      <c r="B42" s="29">
        <f>IFERROR(SUMIFS(tblDaily[Remaining],tblDaily[EntryDate],DATE(2026,6,30),tblDaily[WardCode],"NICU"),0)</f>
        <v>0</v>
      </c>
      <c r="C42" s="29">
        <f>IFERROR(INDEX(tblWardConfig[BedComplement],MATCH("NICU",tblWardConfig[WardCode],0)),0)</f>
        <v>15</v>
      </c>
      <c r="D42" s="29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2" s="29">
        <f>SUMIFS(tblDaily[Discharges],tblDaily[Month],"&gt;="&amp;7,tblDaily[Month],"&lt;="&amp;9,tblDaily[WardCode],"NICU")</f>
        <v>0</v>
      </c>
      <c r="F42" s="29">
        <f>SUMIFS(tblDaily[Deaths],tblDaily[Month],"&gt;="&amp;7,tblDaily[Month],"&lt;="&amp;9,tblDaily[WardCode],"NICU")</f>
        <v>0</v>
      </c>
      <c r="G42" s="29">
        <f>SUMIFS(tblDaily[DeathsUnder24Hrs],tblDaily[Month],"&gt;="&amp;7,tblDaily[Month],"&lt;="&amp;9,tblDaily[WardCode],"NICU")</f>
        <v>0</v>
      </c>
      <c r="H42" s="29">
        <f>SUMIFS(tblDaily[Remaining],tblDaily[Month],"&gt;="&amp;7,tblDaily[Month],"&lt;="&amp;9,tblDaily[WardCode],"NICU")</f>
        <v>0</v>
      </c>
      <c r="I42" s="29">
        <f>SUMIFS(tblDaily[TransfersIn],tblDaily[Month],"&gt;="&amp;7,tblDaily[Month],"&lt;="&amp;9,tblDaily[WardCode],"NICU")</f>
        <v>0</v>
      </c>
      <c r="J42" s="29">
        <f>SUMIFS(tblDaily[TransfersOut],tblDaily[Month],"&gt;="&amp;7,tblDaily[Month],"&lt;="&amp;9,tblDaily[WardCode],"NICU")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40" t="s">
        <v>44</v>
      </c>
      <c r="B43" s="29">
        <f>IFERROR(SUMIFS(tblDaily[Remaining],tblDaily[EntryDate],DATE(2026,6,30),tblDaily[WardCode],"MAE"),0)</f>
        <v>0</v>
      </c>
      <c r="C43" s="29">
        <f>IFERROR(INDEX(tblWardConfig[BedComplement],MATCH("MAE",tblWardConfig[WardCode],0)),0)</f>
        <v>10</v>
      </c>
      <c r="D43" s="29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3" s="29">
        <f>SUMIFS(tblDaily[Discharges],tblDaily[Month],"&gt;="&amp;7,tblDaily[Month],"&lt;="&amp;9,tblDaily[WardCode],"MAE")</f>
        <v>0</v>
      </c>
      <c r="F43" s="29">
        <f>SUMIFS(tblDaily[Deaths],tblDaily[Month],"&gt;="&amp;7,tblDaily[Month],"&lt;="&amp;9,tblDaily[WardCode],"MAE")</f>
        <v>0</v>
      </c>
      <c r="G43" s="29">
        <f>SUMIFS(tblDaily[DeathsUnder24Hrs],tblDaily[Month],"&gt;="&amp;7,tblDaily[Month],"&lt;="&amp;9,tblDaily[WardCode],"MAE")</f>
        <v>0</v>
      </c>
      <c r="H43" s="29">
        <f>SUMIFS(tblDaily[Remaining],tblDaily[Month],"&gt;="&amp;7,tblDaily[Month],"&lt;="&amp;9,tblDaily[WardCode],"MAE")</f>
        <v>0</v>
      </c>
      <c r="I43" s="29">
        <f>SUMIFS(tblDaily[TransfersIn],tblDaily[Month],"&gt;="&amp;7,tblDaily[Month],"&lt;="&amp;9,tblDaily[WardCode],"MAE")</f>
        <v>0</v>
      </c>
      <c r="J43" s="29">
        <f>SUMIFS(tblDaily[TransfersOut],tblDaily[Month],"&gt;="&amp;7,tblDaily[Month],"&lt;="&amp;9,tblDaily[WardCode],"MAE")</f>
        <v>0</v>
      </c>
      <c r="K43" s="41">
        <f t="shared" si="16"/>
        <v>0</v>
      </c>
      <c r="L43" s="41">
        <f t="shared" si="17"/>
        <v>0</v>
      </c>
      <c r="M43" s="41">
        <f t="shared" si="18"/>
        <v>0</v>
      </c>
      <c r="N43" s="41">
        <f t="shared" si="19"/>
        <v>0</v>
      </c>
      <c r="O43" s="41">
        <f t="shared" si="20"/>
        <v>0</v>
      </c>
      <c r="P43" s="41">
        <f t="shared" si="21"/>
        <v>0</v>
      </c>
    </row>
    <row r="44" spans="1:16" x14ac:dyDescent="0.25">
      <c r="A44" s="40" t="s">
        <v>46</v>
      </c>
      <c r="B44" s="29">
        <f>IFERROR(SUMIFS(tblDaily[Remaining],tblDaily[EntryDate],DATE(2026,6,30),tblDaily[WardCode],"FAE"),0)</f>
        <v>0</v>
      </c>
      <c r="C44" s="29">
        <f>IFERROR(INDEX(tblWardConfig[BedComplement],MATCH("FAE",tblWardConfig[WardCode],0)),0)</f>
        <v>10</v>
      </c>
      <c r="D44" s="29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4" s="29">
        <f>SUMIFS(tblDaily[Discharges],tblDaily[Month],"&gt;="&amp;7,tblDaily[Month],"&lt;="&amp;9,tblDaily[WardCode],"FAE")</f>
        <v>0</v>
      </c>
      <c r="F44" s="29">
        <f>SUMIFS(tblDaily[Deaths],tblDaily[Month],"&gt;="&amp;7,tblDaily[Month],"&lt;="&amp;9,tblDaily[WardCode],"FAE")</f>
        <v>0</v>
      </c>
      <c r="G44" s="29">
        <f>SUMIFS(tblDaily[DeathsUnder24Hrs],tblDaily[Month],"&gt;="&amp;7,tblDaily[Month],"&lt;="&amp;9,tblDaily[WardCode],"FAE")</f>
        <v>0</v>
      </c>
      <c r="H44" s="29">
        <f>SUMIFS(tblDaily[Remaining],tblDaily[Month],"&gt;="&amp;7,tblDaily[Month],"&lt;="&amp;9,tblDaily[WardCode],"FAE")</f>
        <v>0</v>
      </c>
      <c r="I44" s="29">
        <f>SUMIFS(tblDaily[TransfersIn],tblDaily[Month],"&gt;="&amp;7,tblDaily[Month],"&lt;="&amp;9,tblDaily[WardCode],"FAE")</f>
        <v>0</v>
      </c>
      <c r="J44" s="29">
        <f>SUMIFS(tblDaily[TransfersOut],tblDaily[Month],"&gt;="&amp;7,tblDaily[Month],"&lt;="&amp;9,tblDaily[WardCode],"FAE")</f>
        <v>0</v>
      </c>
      <c r="K44" s="41">
        <f t="shared" si="16"/>
        <v>0</v>
      </c>
      <c r="L44" s="41">
        <f t="shared" si="17"/>
        <v>0</v>
      </c>
      <c r="M44" s="41">
        <f t="shared" si="18"/>
        <v>0</v>
      </c>
      <c r="N44" s="41">
        <f t="shared" si="19"/>
        <v>0</v>
      </c>
      <c r="O44" s="41">
        <f t="shared" si="20"/>
        <v>0</v>
      </c>
      <c r="P44" s="41">
        <f t="shared" si="21"/>
        <v>0</v>
      </c>
    </row>
    <row r="45" spans="1:16" x14ac:dyDescent="0.25">
      <c r="A45" s="40" t="s">
        <v>48</v>
      </c>
      <c r="B45" s="29">
        <f>IFERROR(SUMIFS(tblDaily[Remaining],tblDaily[EntryDate],DATE(2026,6,30),tblDaily[WardCode],"ICU"),0)</f>
        <v>0</v>
      </c>
      <c r="C45" s="29">
        <f>IFERROR(INDEX(tblWardConfig[BedComplement],MATCH("ICU",tblWardConfig[WardCode],0)),0)</f>
        <v>4</v>
      </c>
      <c r="D45" s="29">
        <f>SUMIFS(tblDaily[Admissions],tblDaily[Month],"&gt;="&amp;7,tblDaily[Month],"&lt;="&amp;9,tblDaily[WardCode],"ICU") - SUMIFS(tblDaily[DeathsUnder24Hrs],tblDaily[Month],"&gt;="&amp;7,tblDaily[Month],"&lt;="&amp;9,tblDaily[WardCode],"ICU")</f>
        <v>0</v>
      </c>
      <c r="E45" s="29">
        <f>SUMIFS(tblDaily[Discharges],tblDaily[Month],"&gt;="&amp;7,tblDaily[Month],"&lt;="&amp;9,tblDaily[WardCode],"ICU")</f>
        <v>0</v>
      </c>
      <c r="F45" s="29">
        <f>SUMIFS(tblDaily[Deaths],tblDaily[Month],"&gt;="&amp;7,tblDaily[Month],"&lt;="&amp;9,tblDaily[WardCode],"ICU")</f>
        <v>0</v>
      </c>
      <c r="G45" s="29">
        <f>SUMIFS(tblDaily[DeathsUnder24Hrs],tblDaily[Month],"&gt;="&amp;7,tblDaily[Month],"&lt;="&amp;9,tblDaily[WardCode],"ICU")</f>
        <v>0</v>
      </c>
      <c r="H45" s="29">
        <f>SUMIFS(tblDaily[Remaining],tblDaily[Month],"&gt;="&amp;7,tblDaily[Month],"&lt;="&amp;9,tblDaily[WardCode],"ICU")</f>
        <v>0</v>
      </c>
      <c r="I45" s="29">
        <f>SUMIFS(tblDaily[TransfersIn],tblDaily[Month],"&gt;="&amp;7,tblDaily[Month],"&lt;="&amp;9,tblDaily[WardCode],"ICU")</f>
        <v>0</v>
      </c>
      <c r="J45" s="29">
        <f>SUMIFS(tblDaily[TransfersOut],tblDaily[Month],"&gt;="&amp;7,tblDaily[Month],"&lt;="&amp;9,tblDaily[WardCode],"ICU")</f>
        <v>0</v>
      </c>
      <c r="K45" s="41">
        <f t="shared" si="16"/>
        <v>0</v>
      </c>
      <c r="L45" s="41">
        <f t="shared" si="17"/>
        <v>0</v>
      </c>
      <c r="M45" s="41">
        <f t="shared" si="18"/>
        <v>0</v>
      </c>
      <c r="N45" s="41">
        <f t="shared" si="19"/>
        <v>0</v>
      </c>
      <c r="O45" s="41">
        <f t="shared" si="20"/>
        <v>0</v>
      </c>
      <c r="P45" s="41">
        <f t="shared" si="21"/>
        <v>0</v>
      </c>
    </row>
    <row r="46" spans="1:16" x14ac:dyDescent="0.25">
      <c r="A46" s="30" t="s">
        <v>115</v>
      </c>
      <c r="B46" s="30">
        <f t="shared" ref="B46:J46" si="22">SUM(B36:B45)</f>
        <v>0</v>
      </c>
      <c r="C46" s="30">
        <f t="shared" si="22"/>
        <v>182</v>
      </c>
      <c r="D46" s="30">
        <f t="shared" si="22"/>
        <v>0</v>
      </c>
      <c r="E46" s="30">
        <f t="shared" si="22"/>
        <v>0</v>
      </c>
      <c r="F46" s="30">
        <f t="shared" si="22"/>
        <v>0</v>
      </c>
      <c r="G46" s="30">
        <f t="shared" si="22"/>
        <v>0</v>
      </c>
      <c r="H46" s="30">
        <f t="shared" si="22"/>
        <v>0</v>
      </c>
      <c r="I46" s="30">
        <f t="shared" si="22"/>
        <v>0</v>
      </c>
      <c r="J46" s="30">
        <f t="shared" si="22"/>
        <v>0</v>
      </c>
      <c r="K46" s="42">
        <f t="shared" si="16"/>
        <v>0</v>
      </c>
      <c r="L46" s="42">
        <f t="shared" si="17"/>
        <v>0</v>
      </c>
      <c r="M46" s="42">
        <f t="shared" si="18"/>
        <v>0</v>
      </c>
      <c r="N46" s="42">
        <f t="shared" si="19"/>
        <v>0</v>
      </c>
      <c r="O46" s="42">
        <f t="shared" si="20"/>
        <v>0</v>
      </c>
      <c r="P46" s="42">
        <f t="shared" si="21"/>
        <v>0</v>
      </c>
    </row>
    <row r="47" spans="1:16" x14ac:dyDescent="0.25">
      <c r="A47" s="43" t="s">
        <v>148</v>
      </c>
      <c r="B47" s="43">
        <f t="shared" ref="B47:J47" si="23">B43+B44</f>
        <v>0</v>
      </c>
      <c r="C47" s="43">
        <f t="shared" si="23"/>
        <v>20</v>
      </c>
      <c r="D47" s="43">
        <f t="shared" si="23"/>
        <v>0</v>
      </c>
      <c r="E47" s="43">
        <f t="shared" si="23"/>
        <v>0</v>
      </c>
      <c r="F47" s="43">
        <f t="shared" si="23"/>
        <v>0</v>
      </c>
      <c r="G47" s="43">
        <f t="shared" si="23"/>
        <v>0</v>
      </c>
      <c r="H47" s="43">
        <f t="shared" si="23"/>
        <v>0</v>
      </c>
      <c r="I47" s="43">
        <f t="shared" si="23"/>
        <v>0</v>
      </c>
      <c r="J47" s="43">
        <f t="shared" si="23"/>
        <v>0</v>
      </c>
      <c r="K47" s="44">
        <f t="shared" si="16"/>
        <v>0</v>
      </c>
      <c r="L47" s="44">
        <f t="shared" si="17"/>
        <v>0</v>
      </c>
      <c r="M47" s="44">
        <f t="shared" si="18"/>
        <v>0</v>
      </c>
      <c r="N47" s="44">
        <f t="shared" si="19"/>
        <v>0</v>
      </c>
      <c r="O47" s="44">
        <f t="shared" si="20"/>
        <v>0</v>
      </c>
      <c r="P47" s="44">
        <f t="shared" si="21"/>
        <v>0</v>
      </c>
    </row>
    <row r="49" spans="1:16" ht="18.75" x14ac:dyDescent="0.25">
      <c r="A49" s="21" t="s">
        <v>0</v>
      </c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</row>
    <row r="50" spans="1:16" ht="15.75" x14ac:dyDescent="0.25">
      <c r="A50" s="23" t="s">
        <v>164</v>
      </c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</row>
    <row r="51" spans="1:16" ht="38.25" x14ac:dyDescent="0.25">
      <c r="A51" s="28" t="s">
        <v>136</v>
      </c>
      <c r="B51" s="28" t="s">
        <v>161</v>
      </c>
      <c r="C51" s="28" t="s">
        <v>138</v>
      </c>
      <c r="D51" s="28" t="s">
        <v>77</v>
      </c>
      <c r="E51" s="28" t="s">
        <v>78</v>
      </c>
      <c r="F51" s="28" t="s">
        <v>79</v>
      </c>
      <c r="G51" s="28" t="s">
        <v>111</v>
      </c>
      <c r="H51" s="28" t="s">
        <v>139</v>
      </c>
      <c r="I51" s="28" t="s">
        <v>140</v>
      </c>
      <c r="J51" s="28" t="s">
        <v>141</v>
      </c>
      <c r="K51" s="28" t="s">
        <v>142</v>
      </c>
      <c r="L51" s="28" t="s">
        <v>143</v>
      </c>
      <c r="M51" s="28" t="s">
        <v>144</v>
      </c>
      <c r="N51" s="28" t="s">
        <v>145</v>
      </c>
      <c r="O51" s="28" t="s">
        <v>146</v>
      </c>
      <c r="P51" s="28" t="s">
        <v>147</v>
      </c>
    </row>
    <row r="52" spans="1:16" x14ac:dyDescent="0.25">
      <c r="A52" s="40" t="s">
        <v>30</v>
      </c>
      <c r="B52" s="29">
        <f>IFERROR(SUMIFS(tblDaily[Remaining],tblDaily[EntryDate],DATE(2026,9,30),tblDaily[WardCode],"MW"),0)</f>
        <v>0</v>
      </c>
      <c r="C52" s="29">
        <f>IFERROR(INDEX(tblWardConfig[BedComplement],MATCH("MW",tblWardConfig[WardCode],0)),0)</f>
        <v>32</v>
      </c>
      <c r="D52" s="29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52" s="29">
        <f>SUMIFS(tblDaily[Discharges],tblDaily[Month],"&gt;="&amp;10,tblDaily[Month],"&lt;="&amp;12,tblDaily[WardCode],"MW")</f>
        <v>0</v>
      </c>
      <c r="F52" s="29">
        <f>SUMIFS(tblDaily[Deaths],tblDaily[Month],"&gt;="&amp;10,tblDaily[Month],"&lt;="&amp;12,tblDaily[WardCode],"MW")</f>
        <v>0</v>
      </c>
      <c r="G52" s="29">
        <f>SUMIFS(tblDaily[DeathsUnder24Hrs],tblDaily[Month],"&gt;="&amp;10,tblDaily[Month],"&lt;="&amp;12,tblDaily[WardCode],"MW")</f>
        <v>0</v>
      </c>
      <c r="H52" s="29">
        <f>SUMIFS(tblDaily[Remaining],tblDaily[Month],"&gt;="&amp;10,tblDaily[Month],"&lt;="&amp;12,tblDaily[WardCode],"MW")</f>
        <v>0</v>
      </c>
      <c r="I52" s="29">
        <f>SUMIFS(tblDaily[TransfersIn],tblDaily[Month],"&gt;="&amp;10,tblDaily[Month],"&lt;="&amp;12,tblDaily[WardCode],"MW")</f>
        <v>0</v>
      </c>
      <c r="J52" s="29">
        <f>SUMIFS(tblDaily[TransfersOut],tblDaily[Month],"&gt;="&amp;10,tblDaily[Month],"&lt;="&amp;12,tblDaily[WardCode],"MW")</f>
        <v>0</v>
      </c>
      <c r="K52" s="41">
        <f t="shared" ref="K52:K63" si="24">IFERROR(H52/92,0)</f>
        <v>0</v>
      </c>
      <c r="L52" s="41">
        <f t="shared" ref="L52:L63" si="25">IFERROR(H52/(E52+F52),0)</f>
        <v>0</v>
      </c>
      <c r="M52" s="41">
        <f t="shared" ref="M52:M63" si="26">IFERROR((C52*92-H52)/(E52+F52),0)</f>
        <v>0</v>
      </c>
      <c r="N52" s="41">
        <f t="shared" ref="N52:N63" si="27">IFERROR((E52+F52)/C52,0)</f>
        <v>0</v>
      </c>
      <c r="O52" s="41">
        <f t="shared" ref="O52:O63" si="28">IFERROR((H52/(C52*92))*100,0)</f>
        <v>0</v>
      </c>
      <c r="P52" s="41">
        <f t="shared" ref="P52:P63" si="29">IFERROR((F52/(D52+B52))*100,0)</f>
        <v>0</v>
      </c>
    </row>
    <row r="53" spans="1:16" x14ac:dyDescent="0.25">
      <c r="A53" s="40" t="s">
        <v>32</v>
      </c>
      <c r="B53" s="29">
        <f>IFERROR(SUMIFS(tblDaily[Remaining],tblDaily[EntryDate],DATE(2026,9,30),tblDaily[WardCode],"FW"),0)</f>
        <v>0</v>
      </c>
      <c r="C53" s="29">
        <f>IFERROR(INDEX(tblWardConfig[BedComplement],MATCH("FW",tblWardConfig[WardCode],0)),0)</f>
        <v>28</v>
      </c>
      <c r="D53" s="29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3" s="29">
        <f>SUMIFS(tblDaily[Discharges],tblDaily[Month],"&gt;="&amp;10,tblDaily[Month],"&lt;="&amp;12,tblDaily[WardCode],"FW")</f>
        <v>0</v>
      </c>
      <c r="F53" s="29">
        <f>SUMIFS(tblDaily[Deaths],tblDaily[Month],"&gt;="&amp;10,tblDaily[Month],"&lt;="&amp;12,tblDaily[WardCode],"FW")</f>
        <v>0</v>
      </c>
      <c r="G53" s="29">
        <f>SUMIFS(tblDaily[DeathsUnder24Hrs],tblDaily[Month],"&gt;="&amp;10,tblDaily[Month],"&lt;="&amp;12,tblDaily[WardCode],"FW")</f>
        <v>0</v>
      </c>
      <c r="H53" s="29">
        <f>SUMIFS(tblDaily[Remaining],tblDaily[Month],"&gt;="&amp;10,tblDaily[Month],"&lt;="&amp;12,tblDaily[WardCode],"FW")</f>
        <v>0</v>
      </c>
      <c r="I53" s="29">
        <f>SUMIFS(tblDaily[TransfersIn],tblDaily[Month],"&gt;="&amp;10,tblDaily[Month],"&lt;="&amp;12,tblDaily[WardCode],"FW")</f>
        <v>0</v>
      </c>
      <c r="J53" s="29">
        <f>SUMIFS(tblDaily[TransfersOut],tblDaily[Month],"&gt;="&amp;10,tblDaily[Month],"&lt;="&amp;12,tblDaily[WardCode],"FW")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34</v>
      </c>
      <c r="B54" s="29">
        <f>IFERROR(SUMIFS(tblDaily[Remaining],tblDaily[EntryDate],DATE(2026,9,30),tblDaily[WardCode],"CW"),0)</f>
        <v>0</v>
      </c>
      <c r="C54" s="29">
        <f>IFERROR(INDEX(tblWardConfig[BedComplement],MATCH("CW",tblWardConfig[WardCode],0)),0)</f>
        <v>27</v>
      </c>
      <c r="D54" s="29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4" s="29">
        <f>SUMIFS(tblDaily[Discharges],tblDaily[Month],"&gt;="&amp;10,tblDaily[Month],"&lt;="&amp;12,tblDaily[WardCode],"CW")</f>
        <v>0</v>
      </c>
      <c r="F54" s="29">
        <f>SUMIFS(tblDaily[Deaths],tblDaily[Month],"&gt;="&amp;10,tblDaily[Month],"&lt;="&amp;12,tblDaily[WardCode],"CW")</f>
        <v>0</v>
      </c>
      <c r="G54" s="29">
        <f>SUMIFS(tblDaily[DeathsUnder24Hrs],tblDaily[Month],"&gt;="&amp;10,tblDaily[Month],"&lt;="&amp;12,tblDaily[WardCode],"CW")</f>
        <v>0</v>
      </c>
      <c r="H54" s="29">
        <f>SUMIFS(tblDaily[Remaining],tblDaily[Month],"&gt;="&amp;10,tblDaily[Month],"&lt;="&amp;12,tblDaily[WardCode],"CW")</f>
        <v>0</v>
      </c>
      <c r="I54" s="29">
        <f>SUMIFS(tblDaily[TransfersIn],tblDaily[Month],"&gt;="&amp;10,tblDaily[Month],"&lt;="&amp;12,tblDaily[WardCode],"CW")</f>
        <v>0</v>
      </c>
      <c r="J54" s="29">
        <f>SUMIFS(tblDaily[TransfersOut],tblDaily[Month],"&gt;="&amp;10,tblDaily[Month],"&lt;="&amp;12,tblDaily[WardCode],"CW")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36</v>
      </c>
      <c r="B55" s="29">
        <f>IFERROR(SUMIFS(tblDaily[Remaining],tblDaily[EntryDate],DATE(2026,9,30),tblDaily[WardCode],"BF"),0)</f>
        <v>0</v>
      </c>
      <c r="C55" s="29">
        <f>IFERROR(INDEX(tblWardConfig[BedComplement],MATCH("BF",tblWardConfig[WardCode],0)),0)</f>
        <v>20</v>
      </c>
      <c r="D55" s="29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5" s="29">
        <f>SUMIFS(tblDaily[Discharges],tblDaily[Month],"&gt;="&amp;10,tblDaily[Month],"&lt;="&amp;12,tblDaily[WardCode],"BF")</f>
        <v>0</v>
      </c>
      <c r="F55" s="29">
        <f>SUMIFS(tblDaily[Deaths],tblDaily[Month],"&gt;="&amp;10,tblDaily[Month],"&lt;="&amp;12,tblDaily[WardCode],"BF")</f>
        <v>0</v>
      </c>
      <c r="G55" s="29">
        <f>SUMIFS(tblDaily[DeathsUnder24Hrs],tblDaily[Month],"&gt;="&amp;10,tblDaily[Month],"&lt;="&amp;12,tblDaily[WardCode],"BF")</f>
        <v>0</v>
      </c>
      <c r="H55" s="29">
        <f>SUMIFS(tblDaily[Remaining],tblDaily[Month],"&gt;="&amp;10,tblDaily[Month],"&lt;="&amp;12,tblDaily[WardCode],"BF")</f>
        <v>0</v>
      </c>
      <c r="I55" s="29">
        <f>SUMIFS(tblDaily[TransfersIn],tblDaily[Month],"&gt;="&amp;10,tblDaily[Month],"&lt;="&amp;12,tblDaily[WardCode],"BF")</f>
        <v>0</v>
      </c>
      <c r="J55" s="29">
        <f>SUMIFS(tblDaily[TransfersOut],tblDaily[Month],"&gt;="&amp;10,tblDaily[Month],"&lt;="&amp;12,tblDaily[WardCode],"BF")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38</v>
      </c>
      <c r="B56" s="29">
        <f>IFERROR(SUMIFS(tblDaily[Remaining],tblDaily[EntryDate],DATE(2026,9,30),tblDaily[WardCode],"BG"),0)</f>
        <v>0</v>
      </c>
      <c r="C56" s="29">
        <f>IFERROR(INDEX(tblWardConfig[BedComplement],MATCH("BG",tblWardConfig[WardCode],0)),0)</f>
        <v>14</v>
      </c>
      <c r="D56" s="29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6" s="29">
        <f>SUMIFS(tblDaily[Discharges],tblDaily[Month],"&gt;="&amp;10,tblDaily[Month],"&lt;="&amp;12,tblDaily[WardCode],"BG")</f>
        <v>0</v>
      </c>
      <c r="F56" s="29">
        <f>SUMIFS(tblDaily[Deaths],tblDaily[Month],"&gt;="&amp;10,tblDaily[Month],"&lt;="&amp;12,tblDaily[WardCode],"BG")</f>
        <v>0</v>
      </c>
      <c r="G56" s="29">
        <f>SUMIFS(tblDaily[DeathsUnder24Hrs],tblDaily[Month],"&gt;="&amp;10,tblDaily[Month],"&lt;="&amp;12,tblDaily[WardCode],"BG")</f>
        <v>0</v>
      </c>
      <c r="H56" s="29">
        <f>SUMIFS(tblDaily[Remaining],tblDaily[Month],"&gt;="&amp;10,tblDaily[Month],"&lt;="&amp;12,tblDaily[WardCode],"BG")</f>
        <v>0</v>
      </c>
      <c r="I56" s="29">
        <f>SUMIFS(tblDaily[TransfersIn],tblDaily[Month],"&gt;="&amp;10,tblDaily[Month],"&lt;="&amp;12,tblDaily[WardCode],"BG")</f>
        <v>0</v>
      </c>
      <c r="J56" s="29">
        <f>SUMIFS(tblDaily[TransfersOut],tblDaily[Month],"&gt;="&amp;10,tblDaily[Month],"&lt;="&amp;12,tblDaily[WardCode],"BG")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40</v>
      </c>
      <c r="B57" s="29">
        <f>IFERROR(SUMIFS(tblDaily[Remaining],tblDaily[EntryDate],DATE(2026,9,30),tblDaily[WardCode],"BH"),0)</f>
        <v>0</v>
      </c>
      <c r="C57" s="29">
        <f>IFERROR(INDEX(tblWardConfig[BedComplement],MATCH("BH",tblWardConfig[WardCode],0)),0)</f>
        <v>22</v>
      </c>
      <c r="D57" s="29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7" s="29">
        <f>SUMIFS(tblDaily[Discharges],tblDaily[Month],"&gt;="&amp;10,tblDaily[Month],"&lt;="&amp;12,tblDaily[WardCode],"BH")</f>
        <v>0</v>
      </c>
      <c r="F57" s="29">
        <f>SUMIFS(tblDaily[Deaths],tblDaily[Month],"&gt;="&amp;10,tblDaily[Month],"&lt;="&amp;12,tblDaily[WardCode],"BH")</f>
        <v>0</v>
      </c>
      <c r="G57" s="29">
        <f>SUMIFS(tblDaily[DeathsUnder24Hrs],tblDaily[Month],"&gt;="&amp;10,tblDaily[Month],"&lt;="&amp;12,tblDaily[WardCode],"BH")</f>
        <v>0</v>
      </c>
      <c r="H57" s="29">
        <f>SUMIFS(tblDaily[Remaining],tblDaily[Month],"&gt;="&amp;10,tblDaily[Month],"&lt;="&amp;12,tblDaily[WardCode],"BH")</f>
        <v>0</v>
      </c>
      <c r="I57" s="29">
        <f>SUMIFS(tblDaily[TransfersIn],tblDaily[Month],"&gt;="&amp;10,tblDaily[Month],"&lt;="&amp;12,tblDaily[WardCode],"BH")</f>
        <v>0</v>
      </c>
      <c r="J57" s="29">
        <f>SUMIFS(tblDaily[TransfersOut],tblDaily[Month],"&gt;="&amp;10,tblDaily[Month],"&lt;="&amp;12,tblDaily[WardCode],"BH")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40" t="s">
        <v>42</v>
      </c>
      <c r="B58" s="29">
        <f>IFERROR(SUMIFS(tblDaily[Remaining],tblDaily[EntryDate],DATE(2026,9,30),tblDaily[WardCode],"NICU"),0)</f>
        <v>0</v>
      </c>
      <c r="C58" s="29">
        <f>IFERROR(INDEX(tblWardConfig[BedComplement],MATCH("NICU",tblWardConfig[WardCode],0)),0)</f>
        <v>15</v>
      </c>
      <c r="D58" s="29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8" s="29">
        <f>SUMIFS(tblDaily[Discharges],tblDaily[Month],"&gt;="&amp;10,tblDaily[Month],"&lt;="&amp;12,tblDaily[WardCode],"NICU")</f>
        <v>0</v>
      </c>
      <c r="F58" s="29">
        <f>SUMIFS(tblDaily[Deaths],tblDaily[Month],"&gt;="&amp;10,tblDaily[Month],"&lt;="&amp;12,tblDaily[WardCode],"NICU")</f>
        <v>0</v>
      </c>
      <c r="G58" s="29">
        <f>SUMIFS(tblDaily[DeathsUnder24Hrs],tblDaily[Month],"&gt;="&amp;10,tblDaily[Month],"&lt;="&amp;12,tblDaily[WardCode],"NICU")</f>
        <v>0</v>
      </c>
      <c r="H58" s="29">
        <f>SUMIFS(tblDaily[Remaining],tblDaily[Month],"&gt;="&amp;10,tblDaily[Month],"&lt;="&amp;12,tblDaily[WardCode],"NICU")</f>
        <v>0</v>
      </c>
      <c r="I58" s="29">
        <f>SUMIFS(tblDaily[TransfersIn],tblDaily[Month],"&gt;="&amp;10,tblDaily[Month],"&lt;="&amp;12,tblDaily[WardCode],"NICU")</f>
        <v>0</v>
      </c>
      <c r="J58" s="29">
        <f>SUMIFS(tblDaily[TransfersOut],tblDaily[Month],"&gt;="&amp;10,tblDaily[Month],"&lt;="&amp;12,tblDaily[WardCode],"NICU")</f>
        <v>0</v>
      </c>
      <c r="K58" s="41">
        <f t="shared" si="24"/>
        <v>0</v>
      </c>
      <c r="L58" s="41">
        <f t="shared" si="25"/>
        <v>0</v>
      </c>
      <c r="M58" s="41">
        <f t="shared" si="26"/>
        <v>0</v>
      </c>
      <c r="N58" s="41">
        <f t="shared" si="27"/>
        <v>0</v>
      </c>
      <c r="O58" s="41">
        <f t="shared" si="28"/>
        <v>0</v>
      </c>
      <c r="P58" s="41">
        <f t="shared" si="29"/>
        <v>0</v>
      </c>
    </row>
    <row r="59" spans="1:16" x14ac:dyDescent="0.25">
      <c r="A59" s="40" t="s">
        <v>44</v>
      </c>
      <c r="B59" s="29">
        <f>IFERROR(SUMIFS(tblDaily[Remaining],tblDaily[EntryDate],DATE(2026,9,30),tblDaily[WardCode],"MAE"),0)</f>
        <v>0</v>
      </c>
      <c r="C59" s="29">
        <f>IFERROR(INDEX(tblWardConfig[BedComplement],MATCH("MAE",tblWardConfig[WardCode],0)),0)</f>
        <v>10</v>
      </c>
      <c r="D59" s="29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9" s="29">
        <f>SUMIFS(tblDaily[Discharges],tblDaily[Month],"&gt;="&amp;10,tblDaily[Month],"&lt;="&amp;12,tblDaily[WardCode],"MAE")</f>
        <v>0</v>
      </c>
      <c r="F59" s="29">
        <f>SUMIFS(tblDaily[Deaths],tblDaily[Month],"&gt;="&amp;10,tblDaily[Month],"&lt;="&amp;12,tblDaily[WardCode],"MAE")</f>
        <v>0</v>
      </c>
      <c r="G59" s="29">
        <f>SUMIFS(tblDaily[DeathsUnder24Hrs],tblDaily[Month],"&gt;="&amp;10,tblDaily[Month],"&lt;="&amp;12,tblDaily[WardCode],"MAE")</f>
        <v>0</v>
      </c>
      <c r="H59" s="29">
        <f>SUMIFS(tblDaily[Remaining],tblDaily[Month],"&gt;="&amp;10,tblDaily[Month],"&lt;="&amp;12,tblDaily[WardCode],"MAE")</f>
        <v>0</v>
      </c>
      <c r="I59" s="29">
        <f>SUMIFS(tblDaily[TransfersIn],tblDaily[Month],"&gt;="&amp;10,tblDaily[Month],"&lt;="&amp;12,tblDaily[WardCode],"MAE")</f>
        <v>0</v>
      </c>
      <c r="J59" s="29">
        <f>SUMIFS(tblDaily[TransfersOut],tblDaily[Month],"&gt;="&amp;10,tblDaily[Month],"&lt;="&amp;12,tblDaily[WardCode],"MAE")</f>
        <v>0</v>
      </c>
      <c r="K59" s="41">
        <f t="shared" si="24"/>
        <v>0</v>
      </c>
      <c r="L59" s="41">
        <f t="shared" si="25"/>
        <v>0</v>
      </c>
      <c r="M59" s="41">
        <f t="shared" si="26"/>
        <v>0</v>
      </c>
      <c r="N59" s="41">
        <f t="shared" si="27"/>
        <v>0</v>
      </c>
      <c r="O59" s="41">
        <f t="shared" si="28"/>
        <v>0</v>
      </c>
      <c r="P59" s="41">
        <f t="shared" si="29"/>
        <v>0</v>
      </c>
    </row>
    <row r="60" spans="1:16" x14ac:dyDescent="0.25">
      <c r="A60" s="40" t="s">
        <v>46</v>
      </c>
      <c r="B60" s="29">
        <f>IFERROR(SUMIFS(tblDaily[Remaining],tblDaily[EntryDate],DATE(2026,9,30),tblDaily[WardCode],"FAE"),0)</f>
        <v>0</v>
      </c>
      <c r="C60" s="29">
        <f>IFERROR(INDEX(tblWardConfig[BedComplement],MATCH("FAE",tblWardConfig[WardCode],0)),0)</f>
        <v>10</v>
      </c>
      <c r="D60" s="29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60" s="29">
        <f>SUMIFS(tblDaily[Discharges],tblDaily[Month],"&gt;="&amp;10,tblDaily[Month],"&lt;="&amp;12,tblDaily[WardCode],"FAE")</f>
        <v>0</v>
      </c>
      <c r="F60" s="29">
        <f>SUMIFS(tblDaily[Deaths],tblDaily[Month],"&gt;="&amp;10,tblDaily[Month],"&lt;="&amp;12,tblDaily[WardCode],"FAE")</f>
        <v>0</v>
      </c>
      <c r="G60" s="29">
        <f>SUMIFS(tblDaily[DeathsUnder24Hrs],tblDaily[Month],"&gt;="&amp;10,tblDaily[Month],"&lt;="&amp;12,tblDaily[WardCode],"FAE")</f>
        <v>0</v>
      </c>
      <c r="H60" s="29">
        <f>SUMIFS(tblDaily[Remaining],tblDaily[Month],"&gt;="&amp;10,tblDaily[Month],"&lt;="&amp;12,tblDaily[WardCode],"FAE")</f>
        <v>0</v>
      </c>
      <c r="I60" s="29">
        <f>SUMIFS(tblDaily[TransfersIn],tblDaily[Month],"&gt;="&amp;10,tblDaily[Month],"&lt;="&amp;12,tblDaily[WardCode],"FAE")</f>
        <v>0</v>
      </c>
      <c r="J60" s="29">
        <f>SUMIFS(tblDaily[TransfersOut],tblDaily[Month],"&gt;="&amp;10,tblDaily[Month],"&lt;="&amp;12,tblDaily[WardCode],"FAE")</f>
        <v>0</v>
      </c>
      <c r="K60" s="41">
        <f t="shared" si="24"/>
        <v>0</v>
      </c>
      <c r="L60" s="41">
        <f t="shared" si="25"/>
        <v>0</v>
      </c>
      <c r="M60" s="41">
        <f t="shared" si="26"/>
        <v>0</v>
      </c>
      <c r="N60" s="41">
        <f t="shared" si="27"/>
        <v>0</v>
      </c>
      <c r="O60" s="41">
        <f t="shared" si="28"/>
        <v>0</v>
      </c>
      <c r="P60" s="41">
        <f t="shared" si="29"/>
        <v>0</v>
      </c>
    </row>
    <row r="61" spans="1:16" x14ac:dyDescent="0.25">
      <c r="A61" s="40" t="s">
        <v>48</v>
      </c>
      <c r="B61" s="29">
        <f>IFERROR(SUMIFS(tblDaily[Remaining],tblDaily[EntryDate],DATE(2026,9,30),tblDaily[WardCode],"ICU"),0)</f>
        <v>0</v>
      </c>
      <c r="C61" s="29">
        <f>IFERROR(INDEX(tblWardConfig[BedComplement],MATCH("ICU",tblWardConfig[WardCode],0)),0)</f>
        <v>4</v>
      </c>
      <c r="D61" s="29">
        <f>SUMIFS(tblDaily[Admissions],tblDaily[Month],"&gt;="&amp;10,tblDaily[Month],"&lt;="&amp;12,tblDaily[WardCode],"ICU") - SUMIFS(tblDaily[DeathsUnder24Hrs],tblDaily[Month],"&gt;="&amp;10,tblDaily[Month],"&lt;="&amp;12,tblDaily[WardCode],"ICU")</f>
        <v>0</v>
      </c>
      <c r="E61" s="29">
        <f>SUMIFS(tblDaily[Discharges],tblDaily[Month],"&gt;="&amp;10,tblDaily[Month],"&lt;="&amp;12,tblDaily[WardCode],"ICU")</f>
        <v>0</v>
      </c>
      <c r="F61" s="29">
        <f>SUMIFS(tblDaily[Deaths],tblDaily[Month],"&gt;="&amp;10,tblDaily[Month],"&lt;="&amp;12,tblDaily[WardCode],"ICU")</f>
        <v>0</v>
      </c>
      <c r="G61" s="29">
        <f>SUMIFS(tblDaily[DeathsUnder24Hrs],tblDaily[Month],"&gt;="&amp;10,tblDaily[Month],"&lt;="&amp;12,tblDaily[WardCode],"ICU")</f>
        <v>0</v>
      </c>
      <c r="H61" s="29">
        <f>SUMIFS(tblDaily[Remaining],tblDaily[Month],"&gt;="&amp;10,tblDaily[Month],"&lt;="&amp;12,tblDaily[WardCode],"ICU")</f>
        <v>0</v>
      </c>
      <c r="I61" s="29">
        <f>SUMIFS(tblDaily[TransfersIn],tblDaily[Month],"&gt;="&amp;10,tblDaily[Month],"&lt;="&amp;12,tblDaily[WardCode],"ICU")</f>
        <v>0</v>
      </c>
      <c r="J61" s="29">
        <f>SUMIFS(tblDaily[TransfersOut],tblDaily[Month],"&gt;="&amp;10,tblDaily[Month],"&lt;="&amp;12,tblDaily[WardCode],"ICU")</f>
        <v>0</v>
      </c>
      <c r="K61" s="41">
        <f t="shared" si="24"/>
        <v>0</v>
      </c>
      <c r="L61" s="41">
        <f t="shared" si="25"/>
        <v>0</v>
      </c>
      <c r="M61" s="41">
        <f t="shared" si="26"/>
        <v>0</v>
      </c>
      <c r="N61" s="41">
        <f t="shared" si="27"/>
        <v>0</v>
      </c>
      <c r="O61" s="41">
        <f t="shared" si="28"/>
        <v>0</v>
      </c>
      <c r="P61" s="41">
        <f t="shared" si="29"/>
        <v>0</v>
      </c>
    </row>
    <row r="62" spans="1:16" x14ac:dyDescent="0.25">
      <c r="A62" s="30" t="s">
        <v>115</v>
      </c>
      <c r="B62" s="30">
        <f t="shared" ref="B62:J62" si="30">SUM(B52:B61)</f>
        <v>0</v>
      </c>
      <c r="C62" s="30">
        <f t="shared" si="30"/>
        <v>182</v>
      </c>
      <c r="D62" s="30">
        <f t="shared" si="30"/>
        <v>0</v>
      </c>
      <c r="E62" s="30">
        <f t="shared" si="30"/>
        <v>0</v>
      </c>
      <c r="F62" s="30">
        <f t="shared" si="30"/>
        <v>0</v>
      </c>
      <c r="G62" s="30">
        <f t="shared" si="30"/>
        <v>0</v>
      </c>
      <c r="H62" s="30">
        <f t="shared" si="30"/>
        <v>0</v>
      </c>
      <c r="I62" s="30">
        <f t="shared" si="30"/>
        <v>0</v>
      </c>
      <c r="J62" s="30">
        <f t="shared" si="30"/>
        <v>0</v>
      </c>
      <c r="K62" s="42">
        <f t="shared" si="24"/>
        <v>0</v>
      </c>
      <c r="L62" s="42">
        <f t="shared" si="25"/>
        <v>0</v>
      </c>
      <c r="M62" s="42">
        <f t="shared" si="26"/>
        <v>0</v>
      </c>
      <c r="N62" s="42">
        <f t="shared" si="27"/>
        <v>0</v>
      </c>
      <c r="O62" s="42">
        <f t="shared" si="28"/>
        <v>0</v>
      </c>
      <c r="P62" s="42">
        <f t="shared" si="29"/>
        <v>0</v>
      </c>
    </row>
    <row r="63" spans="1:16" x14ac:dyDescent="0.25">
      <c r="A63" s="43" t="s">
        <v>148</v>
      </c>
      <c r="B63" s="43">
        <f t="shared" ref="B63:J63" si="31">B59+B60</f>
        <v>0</v>
      </c>
      <c r="C63" s="43">
        <f t="shared" si="31"/>
        <v>20</v>
      </c>
      <c r="D63" s="43">
        <f t="shared" si="31"/>
        <v>0</v>
      </c>
      <c r="E63" s="43">
        <f t="shared" si="31"/>
        <v>0</v>
      </c>
      <c r="F63" s="43">
        <f t="shared" si="31"/>
        <v>0</v>
      </c>
      <c r="G63" s="43">
        <f t="shared" si="31"/>
        <v>0</v>
      </c>
      <c r="H63" s="43">
        <f t="shared" si="31"/>
        <v>0</v>
      </c>
      <c r="I63" s="43">
        <f t="shared" si="31"/>
        <v>0</v>
      </c>
      <c r="J63" s="43">
        <f t="shared" si="31"/>
        <v>0</v>
      </c>
      <c r="K63" s="44">
        <f t="shared" si="24"/>
        <v>0</v>
      </c>
      <c r="L63" s="44">
        <f t="shared" si="25"/>
        <v>0</v>
      </c>
      <c r="M63" s="44">
        <f t="shared" si="26"/>
        <v>0</v>
      </c>
      <c r="N63" s="44">
        <f t="shared" si="27"/>
        <v>0</v>
      </c>
      <c r="O63" s="44">
        <f t="shared" si="28"/>
        <v>0</v>
      </c>
      <c r="P63" s="44">
        <f t="shared" si="29"/>
        <v>0</v>
      </c>
    </row>
  </sheetData>
  <sheetProtection sheet="1"/>
  <mergeCells count="8">
    <mergeCell ref="A50:P50"/>
    <mergeCell ref="A33:P33"/>
    <mergeCell ref="A49:P49"/>
    <mergeCell ref="A1:P1"/>
    <mergeCell ref="A17:P17"/>
    <mergeCell ref="A18:P18"/>
    <mergeCell ref="A2:P2"/>
    <mergeCell ref="A34:P34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548235"/>
    <pageSetUpPr fitToPage="1"/>
  </sheetPr>
  <dimension ref="A1:P31"/>
  <sheetViews>
    <sheetView workbookViewId="0"/>
  </sheetViews>
  <sheetFormatPr defaultRowHeight="15" x14ac:dyDescent="0.25"/>
  <cols>
    <col min="1" max="1" width="18" style="16" customWidth="1"/>
    <col min="2" max="3" width="14" style="16" customWidth="1"/>
    <col min="4" max="16" width="12" style="16" customWidth="1"/>
    <col min="17" max="16384" width="9.140625" style="16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165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136</v>
      </c>
      <c r="B3" s="28" t="s">
        <v>161</v>
      </c>
      <c r="C3" s="28" t="s">
        <v>138</v>
      </c>
      <c r="D3" s="28" t="s">
        <v>77</v>
      </c>
      <c r="E3" s="28" t="s">
        <v>78</v>
      </c>
      <c r="F3" s="28" t="s">
        <v>79</v>
      </c>
      <c r="G3" s="28" t="s">
        <v>111</v>
      </c>
      <c r="H3" s="28" t="s">
        <v>139</v>
      </c>
      <c r="I3" s="28" t="s">
        <v>140</v>
      </c>
      <c r="J3" s="28" t="s">
        <v>141</v>
      </c>
      <c r="K3" s="28" t="s">
        <v>142</v>
      </c>
      <c r="L3" s="28" t="s">
        <v>143</v>
      </c>
      <c r="M3" s="28" t="s">
        <v>144</v>
      </c>
      <c r="N3" s="28" t="s">
        <v>145</v>
      </c>
      <c r="O3" s="28" t="s">
        <v>146</v>
      </c>
      <c r="P3" s="28" t="s">
        <v>147</v>
      </c>
    </row>
    <row r="4" spans="1:16" x14ac:dyDescent="0.25">
      <c r="A4" s="40" t="s">
        <v>30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SUMIFS(tblDaily[Admissions],tblDaily[Month],"&gt;="&amp;1,tblDaily[Month],"&lt;="&amp;6,tblDaily[WardCode],"MW") - SUMIFS(tblDaily[DeathsUnder24Hrs],tblDaily[Month],"&gt;="&amp;1,tblDaily[Month],"&lt;="&amp;6,tblDaily[WardCode],"MW")</f>
        <v>211</v>
      </c>
      <c r="E4" s="29">
        <f>SUMIFS(tblDaily[Discharges],tblDaily[Month],"&gt;="&amp;1,tblDaily[Month],"&lt;="&amp;6,tblDaily[WardCode],"MW")</f>
        <v>303</v>
      </c>
      <c r="F4" s="29">
        <f>SUMIFS(tblDaily[Deaths],tblDaily[Month],"&gt;="&amp;1,tblDaily[Month],"&lt;="&amp;6,tblDaily[WardCode],"MW")</f>
        <v>28</v>
      </c>
      <c r="G4" s="29">
        <f>SUMIFS(tblDaily[DeathsUnder24Hrs],tblDaily[Month],"&gt;="&amp;1,tblDaily[Month],"&lt;="&amp;6,tblDaily[WardCode],"MW")</f>
        <v>0</v>
      </c>
      <c r="H4" s="29">
        <f>SUMIFS(tblDaily[Remaining],tblDaily[Month],"&gt;="&amp;1,tblDaily[Month],"&lt;="&amp;6,tblDaily[WardCode],"MW")</f>
        <v>1768</v>
      </c>
      <c r="I4" s="29">
        <f>SUMIFS(tblDaily[TransfersIn],tblDaily[Month],"&gt;="&amp;1,tblDaily[Month],"&lt;="&amp;6,tblDaily[WardCode],"MW")</f>
        <v>109</v>
      </c>
      <c r="J4" s="29">
        <f>SUMIFS(tblDaily[TransfersOut],tblDaily[Month],"&gt;="&amp;1,tblDaily[Month],"&lt;="&amp;6,tblDaily[WardCode],"MW")</f>
        <v>0</v>
      </c>
      <c r="K4" s="41">
        <f t="shared" ref="K4:K15" si="0">IFERROR(H4/181,0)</f>
        <v>9.7679558011049732</v>
      </c>
      <c r="L4" s="41">
        <f t="shared" ref="L4:L15" si="1">IFERROR(H4/(E4+F4),0)</f>
        <v>5.3413897280966767</v>
      </c>
      <c r="M4" s="41">
        <f t="shared" ref="M4:M15" si="2">IFERROR((C4*181-H4)/(E4+F4),0)</f>
        <v>12.157099697885196</v>
      </c>
      <c r="N4" s="41">
        <f t="shared" ref="N4:N15" si="3">IFERROR((E4+F4)/C4,0)</f>
        <v>10.34375</v>
      </c>
      <c r="O4" s="41">
        <f t="shared" ref="O4:O15" si="4">IFERROR((H4/(C4*181))*100,0)</f>
        <v>30.524861878453041</v>
      </c>
      <c r="P4" s="41">
        <f t="shared" ref="P4:P15" si="5">IFERROR((F4/(D4+B4))*100,0)</f>
        <v>11.864406779661017</v>
      </c>
    </row>
    <row r="5" spans="1:16" x14ac:dyDescent="0.25">
      <c r="A5" s="40" t="s">
        <v>32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SUMIFS(tblDaily[Admissions],tblDaily[Month],"&gt;="&amp;1,tblDaily[Month],"&lt;="&amp;6,tblDaily[WardCode],"FW") - SUMIFS(tblDaily[DeathsUnder24Hrs],tblDaily[Month],"&gt;="&amp;1,tblDaily[Month],"&lt;="&amp;6,tblDaily[WardCode],"FW")</f>
        <v>228</v>
      </c>
      <c r="E5" s="29">
        <f>SUMIFS(tblDaily[Discharges],tblDaily[Month],"&gt;="&amp;1,tblDaily[Month],"&lt;="&amp;6,tblDaily[WardCode],"FW")</f>
        <v>287</v>
      </c>
      <c r="F5" s="29">
        <f>SUMIFS(tblDaily[Deaths],tblDaily[Month],"&gt;="&amp;1,tblDaily[Month],"&lt;="&amp;6,tblDaily[WardCode],"FW")</f>
        <v>24</v>
      </c>
      <c r="G5" s="29">
        <f>SUMIFS(tblDaily[DeathsUnder24Hrs],tblDaily[Month],"&gt;="&amp;1,tblDaily[Month],"&lt;="&amp;6,tblDaily[WardCode],"FW")</f>
        <v>0</v>
      </c>
      <c r="H5" s="29">
        <f>SUMIFS(tblDaily[Remaining],tblDaily[Month],"&gt;="&amp;1,tblDaily[Month],"&lt;="&amp;6,tblDaily[WardCode],"FW")</f>
        <v>1609</v>
      </c>
      <c r="I5" s="29">
        <f>SUMIFS(tblDaily[TransfersIn],tblDaily[Month],"&gt;="&amp;1,tblDaily[Month],"&lt;="&amp;6,tblDaily[WardCode],"FW")</f>
        <v>83</v>
      </c>
      <c r="J5" s="29">
        <f>SUMIFS(tblDaily[TransfersOut],tblDaily[Month],"&gt;="&amp;1,tblDaily[Month],"&lt;="&amp;6,tblDaily[WardCode],"FW")</f>
        <v>0</v>
      </c>
      <c r="K5" s="41">
        <f t="shared" si="0"/>
        <v>8.88950276243094</v>
      </c>
      <c r="L5" s="41">
        <f t="shared" si="1"/>
        <v>5.1736334405144691</v>
      </c>
      <c r="M5" s="41">
        <f t="shared" si="2"/>
        <v>11.122186495176848</v>
      </c>
      <c r="N5" s="41">
        <f t="shared" si="3"/>
        <v>11.107142857142858</v>
      </c>
      <c r="O5" s="41">
        <f t="shared" si="4"/>
        <v>31.748224151539066</v>
      </c>
      <c r="P5" s="41">
        <f t="shared" si="5"/>
        <v>9.8360655737704921</v>
      </c>
    </row>
    <row r="6" spans="1:16" x14ac:dyDescent="0.25">
      <c r="A6" s="40" t="s">
        <v>34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SUMIFS(tblDaily[Admissions],tblDaily[Month],"&gt;="&amp;1,tblDaily[Month],"&lt;="&amp;6,tblDaily[WardCode],"CW") - SUMIFS(tblDaily[DeathsUnder24Hrs],tblDaily[Month],"&gt;="&amp;1,tblDaily[Month],"&lt;="&amp;6,tblDaily[WardCode],"CW")</f>
        <v>247</v>
      </c>
      <c r="E6" s="29">
        <f>SUMIFS(tblDaily[Discharges],tblDaily[Month],"&gt;="&amp;1,tblDaily[Month],"&lt;="&amp;6,tblDaily[WardCode],"CW")</f>
        <v>259</v>
      </c>
      <c r="F6" s="29">
        <f>SUMIFS(tblDaily[Deaths],tblDaily[Month],"&gt;="&amp;1,tblDaily[Month],"&lt;="&amp;6,tblDaily[WardCode],"CW")</f>
        <v>2</v>
      </c>
      <c r="G6" s="29">
        <f>SUMIFS(tblDaily[DeathsUnder24Hrs],tblDaily[Month],"&gt;="&amp;1,tblDaily[Month],"&lt;="&amp;6,tblDaily[WardCode],"CW")</f>
        <v>2</v>
      </c>
      <c r="H6" s="29">
        <f>SUMIFS(tblDaily[Remaining],tblDaily[Month],"&gt;="&amp;1,tblDaily[Month],"&lt;="&amp;6,tblDaily[WardCode],"CW")</f>
        <v>866</v>
      </c>
      <c r="I6" s="29">
        <f>SUMIFS(tblDaily[TransfersIn],tblDaily[Month],"&gt;="&amp;1,tblDaily[Month],"&lt;="&amp;6,tblDaily[WardCode],"CW")</f>
        <v>18</v>
      </c>
      <c r="J6" s="29">
        <f>SUMIFS(tblDaily[TransfersOut],tblDaily[Month],"&gt;="&amp;1,tblDaily[Month],"&lt;="&amp;6,tblDaily[WardCode],"CW")</f>
        <v>0</v>
      </c>
      <c r="K6" s="41">
        <f t="shared" si="0"/>
        <v>4.7845303867403315</v>
      </c>
      <c r="L6" s="41">
        <f t="shared" si="1"/>
        <v>3.3180076628352491</v>
      </c>
      <c r="M6" s="41">
        <f t="shared" si="2"/>
        <v>15.406130268199234</v>
      </c>
      <c r="N6" s="41">
        <f t="shared" si="3"/>
        <v>9.6666666666666661</v>
      </c>
      <c r="O6" s="41">
        <f t="shared" si="4"/>
        <v>17.720482913853079</v>
      </c>
      <c r="P6" s="41">
        <f t="shared" si="5"/>
        <v>0.78740157480314954</v>
      </c>
    </row>
    <row r="7" spans="1:16" x14ac:dyDescent="0.25">
      <c r="A7" s="40" t="s">
        <v>36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SUMIFS(tblDaily[Admissions],tblDaily[Month],"&gt;="&amp;1,tblDaily[Month],"&lt;="&amp;6,tblDaily[WardCode],"BF") - SUMIFS(tblDaily[DeathsUnder24Hrs],tblDaily[Month],"&gt;="&amp;1,tblDaily[Month],"&lt;="&amp;6,tblDaily[WardCode],"BF")</f>
        <v>197</v>
      </c>
      <c r="E7" s="29">
        <f>SUMIFS(tblDaily[Discharges],tblDaily[Month],"&gt;="&amp;1,tblDaily[Month],"&lt;="&amp;6,tblDaily[WardCode],"BF")</f>
        <v>198</v>
      </c>
      <c r="F7" s="29">
        <f>SUMIFS(tblDaily[Deaths],tblDaily[Month],"&gt;="&amp;1,tblDaily[Month],"&lt;="&amp;6,tblDaily[WardCode],"BF")</f>
        <v>1</v>
      </c>
      <c r="G7" s="29">
        <f>SUMIFS(tblDaily[DeathsUnder24Hrs],tblDaily[Month],"&gt;="&amp;1,tblDaily[Month],"&lt;="&amp;6,tblDaily[WardCode],"BF")</f>
        <v>0</v>
      </c>
      <c r="H7" s="29">
        <f>SUMIFS(tblDaily[Remaining],tblDaily[Month],"&gt;="&amp;1,tblDaily[Month],"&lt;="&amp;6,tblDaily[WardCode],"BF")</f>
        <v>813</v>
      </c>
      <c r="I7" s="29">
        <f>SUMIFS(tblDaily[TransfersIn],tblDaily[Month],"&gt;="&amp;1,tblDaily[Month],"&lt;="&amp;6,tblDaily[WardCode],"BF")</f>
        <v>6</v>
      </c>
      <c r="J7" s="29">
        <f>SUMIFS(tblDaily[TransfersOut],tblDaily[Month],"&gt;="&amp;1,tblDaily[Month],"&lt;="&amp;6,tblDaily[WardCode],"BF")</f>
        <v>8</v>
      </c>
      <c r="K7" s="41">
        <f t="shared" si="0"/>
        <v>4.4917127071823204</v>
      </c>
      <c r="L7" s="41">
        <f t="shared" si="1"/>
        <v>4.0854271356783922</v>
      </c>
      <c r="M7" s="41">
        <f t="shared" si="2"/>
        <v>14.105527638190955</v>
      </c>
      <c r="N7" s="41">
        <f t="shared" si="3"/>
        <v>9.9499999999999993</v>
      </c>
      <c r="O7" s="41">
        <f t="shared" si="4"/>
        <v>22.458563535911601</v>
      </c>
      <c r="P7" s="41">
        <f t="shared" si="5"/>
        <v>0.48543689320388345</v>
      </c>
    </row>
    <row r="8" spans="1:16" x14ac:dyDescent="0.25">
      <c r="A8" s="40" t="s">
        <v>38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SUMIFS(tblDaily[Admissions],tblDaily[Month],"&gt;="&amp;1,tblDaily[Month],"&lt;="&amp;6,tblDaily[WardCode],"BG") - SUMIFS(tblDaily[DeathsUnder24Hrs],tblDaily[Month],"&gt;="&amp;1,tblDaily[Month],"&lt;="&amp;6,tblDaily[WardCode],"BG")</f>
        <v>416</v>
      </c>
      <c r="E8" s="29">
        <f>SUMIFS(tblDaily[Discharges],tblDaily[Month],"&gt;="&amp;1,tblDaily[Month],"&lt;="&amp;6,tblDaily[WardCode],"BG")</f>
        <v>412</v>
      </c>
      <c r="F8" s="29">
        <f>SUMIFS(tblDaily[Deaths],tblDaily[Month],"&gt;="&amp;1,tblDaily[Month],"&lt;="&amp;6,tblDaily[WardCode],"BG")</f>
        <v>0</v>
      </c>
      <c r="G8" s="29">
        <f>SUMIFS(tblDaily[DeathsUnder24Hrs],tblDaily[Month],"&gt;="&amp;1,tblDaily[Month],"&lt;="&amp;6,tblDaily[WardCode],"BG")</f>
        <v>0</v>
      </c>
      <c r="H8" s="29">
        <f>SUMIFS(tblDaily[Remaining],tblDaily[Month],"&gt;="&amp;1,tblDaily[Month],"&lt;="&amp;6,tblDaily[WardCode],"BG")</f>
        <v>1212</v>
      </c>
      <c r="I8" s="29">
        <f>SUMIFS(tblDaily[TransfersIn],tblDaily[Month],"&gt;="&amp;1,tblDaily[Month],"&lt;="&amp;6,tblDaily[WardCode],"BG")</f>
        <v>118</v>
      </c>
      <c r="J8" s="29">
        <f>SUMIFS(tblDaily[TransfersOut],tblDaily[Month],"&gt;="&amp;1,tblDaily[Month],"&lt;="&amp;6,tblDaily[WardCode],"BG")</f>
        <v>114</v>
      </c>
      <c r="K8" s="41">
        <f t="shared" si="0"/>
        <v>6.6961325966850831</v>
      </c>
      <c r="L8" s="41">
        <f t="shared" si="1"/>
        <v>2.941747572815534</v>
      </c>
      <c r="M8" s="41">
        <f t="shared" si="2"/>
        <v>3.20873786407767</v>
      </c>
      <c r="N8" s="41">
        <f t="shared" si="3"/>
        <v>29.428571428571427</v>
      </c>
      <c r="O8" s="41">
        <f t="shared" si="4"/>
        <v>47.829518547750595</v>
      </c>
      <c r="P8" s="41">
        <f t="shared" si="5"/>
        <v>0</v>
      </c>
    </row>
    <row r="9" spans="1:16" x14ac:dyDescent="0.25">
      <c r="A9" s="40" t="s">
        <v>40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SUMIFS(tblDaily[Admissions],tblDaily[Month],"&gt;="&amp;1,tblDaily[Month],"&lt;="&amp;6,tblDaily[WardCode],"BH") - SUMIFS(tblDaily[DeathsUnder24Hrs],tblDaily[Month],"&gt;="&amp;1,tblDaily[Month],"&lt;="&amp;6,tblDaily[WardCode],"BH")</f>
        <v>275</v>
      </c>
      <c r="E9" s="29">
        <f>SUMIFS(tblDaily[Discharges],tblDaily[Month],"&gt;="&amp;1,tblDaily[Month],"&lt;="&amp;6,tblDaily[WardCode],"BH")</f>
        <v>275</v>
      </c>
      <c r="F9" s="29">
        <f>SUMIFS(tblDaily[Deaths],tblDaily[Month],"&gt;="&amp;1,tblDaily[Month],"&lt;="&amp;6,tblDaily[WardCode],"BH")</f>
        <v>0</v>
      </c>
      <c r="G9" s="29">
        <f>SUMIFS(tblDaily[DeathsUnder24Hrs],tblDaily[Month],"&gt;="&amp;1,tblDaily[Month],"&lt;="&amp;6,tblDaily[WardCode],"BH")</f>
        <v>0</v>
      </c>
      <c r="H9" s="29">
        <f>SUMIFS(tblDaily[Remaining],tblDaily[Month],"&gt;="&amp;1,tblDaily[Month],"&lt;="&amp;6,tblDaily[WardCode],"BH")</f>
        <v>1585</v>
      </c>
      <c r="I9" s="29">
        <f>SUMIFS(tblDaily[TransfersIn],tblDaily[Month],"&gt;="&amp;1,tblDaily[Month],"&lt;="&amp;6,tblDaily[WardCode],"BH")</f>
        <v>118</v>
      </c>
      <c r="J9" s="29">
        <f>SUMIFS(tblDaily[TransfersOut],tblDaily[Month],"&gt;="&amp;1,tblDaily[Month],"&lt;="&amp;6,tblDaily[WardCode],"BH")</f>
        <v>117</v>
      </c>
      <c r="K9" s="41">
        <f t="shared" si="0"/>
        <v>8.7569060773480665</v>
      </c>
      <c r="L9" s="41">
        <f t="shared" si="1"/>
        <v>5.7636363636363637</v>
      </c>
      <c r="M9" s="41">
        <f t="shared" si="2"/>
        <v>8.7163636363636368</v>
      </c>
      <c r="N9" s="41">
        <f t="shared" si="3"/>
        <v>12.5</v>
      </c>
      <c r="O9" s="41">
        <f t="shared" si="4"/>
        <v>39.804118533400299</v>
      </c>
      <c r="P9" s="41">
        <f t="shared" si="5"/>
        <v>0</v>
      </c>
    </row>
    <row r="10" spans="1:16" x14ac:dyDescent="0.25">
      <c r="A10" s="40" t="s">
        <v>42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SUMIFS(tblDaily[Admissions],tblDaily[Month],"&gt;="&amp;1,tblDaily[Month],"&lt;="&amp;6,tblDaily[WardCode],"NICU") - SUMIFS(tblDaily[DeathsUnder24Hrs],tblDaily[Month],"&gt;="&amp;1,tblDaily[Month],"&lt;="&amp;6,tblDaily[WardCode],"NICU")</f>
        <v>161</v>
      </c>
      <c r="E10" s="29">
        <f>SUMIFS(tblDaily[Discharges],tblDaily[Month],"&gt;="&amp;1,tblDaily[Month],"&lt;="&amp;6,tblDaily[WardCode],"NICU")</f>
        <v>153</v>
      </c>
      <c r="F10" s="29">
        <f>SUMIFS(tblDaily[Deaths],tblDaily[Month],"&gt;="&amp;1,tblDaily[Month],"&lt;="&amp;6,tblDaily[WardCode],"NICU")</f>
        <v>15</v>
      </c>
      <c r="G10" s="29">
        <f>SUMIFS(tblDaily[DeathsUnder24Hrs],tblDaily[Month],"&gt;="&amp;1,tblDaily[Month],"&lt;="&amp;6,tblDaily[WardCode],"NICU")</f>
        <v>0</v>
      </c>
      <c r="H10" s="29">
        <f>SUMIFS(tblDaily[Remaining],tblDaily[Month],"&gt;="&amp;1,tblDaily[Month],"&lt;="&amp;6,tblDaily[WardCode],"NICU")</f>
        <v>1263</v>
      </c>
      <c r="I10" s="29">
        <f>SUMIFS(tblDaily[TransfersIn],tblDaily[Month],"&gt;="&amp;1,tblDaily[Month],"&lt;="&amp;6,tblDaily[WardCode],"NICU")</f>
        <v>0</v>
      </c>
      <c r="J10" s="29">
        <f>SUMIFS(tblDaily[TransfersOut],tblDaily[Month],"&gt;="&amp;1,tblDaily[Month],"&lt;="&amp;6,tblDaily[WardCode],"NICU")</f>
        <v>0</v>
      </c>
      <c r="K10" s="41">
        <f t="shared" si="0"/>
        <v>6.9779005524861875</v>
      </c>
      <c r="L10" s="41">
        <f t="shared" si="1"/>
        <v>7.5178571428571432</v>
      </c>
      <c r="M10" s="41">
        <f t="shared" si="2"/>
        <v>8.6428571428571423</v>
      </c>
      <c r="N10" s="41">
        <f t="shared" si="3"/>
        <v>11.2</v>
      </c>
      <c r="O10" s="41">
        <f t="shared" si="4"/>
        <v>46.519337016574589</v>
      </c>
      <c r="P10" s="41">
        <f t="shared" si="5"/>
        <v>8.5714285714285712</v>
      </c>
    </row>
    <row r="11" spans="1:16" x14ac:dyDescent="0.25">
      <c r="A11" s="40" t="s">
        <v>44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SUMIFS(tblDaily[Admissions],tblDaily[Month],"&gt;="&amp;1,tblDaily[Month],"&lt;="&amp;6,tblDaily[WardCode],"MAE") - SUMIFS(tblDaily[DeathsUnder24Hrs],tblDaily[Month],"&gt;="&amp;1,tblDaily[Month],"&lt;="&amp;6,tblDaily[WardCode],"MAE")</f>
        <v>223</v>
      </c>
      <c r="E11" s="29">
        <f>SUMIFS(tblDaily[Discharges],tblDaily[Month],"&gt;="&amp;1,tblDaily[Month],"&lt;="&amp;6,tblDaily[WardCode],"MAE")</f>
        <v>99</v>
      </c>
      <c r="F11" s="29">
        <f>SUMIFS(tblDaily[Deaths],tblDaily[Month],"&gt;="&amp;1,tblDaily[Month],"&lt;="&amp;6,tblDaily[WardCode],"MAE")</f>
        <v>13</v>
      </c>
      <c r="G11" s="29">
        <f>SUMIFS(tblDaily[DeathsUnder24Hrs],tblDaily[Month],"&gt;="&amp;1,tblDaily[Month],"&lt;="&amp;6,tblDaily[WardCode],"MAE")</f>
        <v>15</v>
      </c>
      <c r="H11" s="29">
        <f>SUMIFS(tblDaily[Remaining],tblDaily[Month],"&gt;="&amp;1,tblDaily[Month],"&lt;="&amp;6,tblDaily[WardCode],"MAE")</f>
        <v>319</v>
      </c>
      <c r="I11" s="29">
        <f>SUMIFS(tblDaily[TransfersIn],tblDaily[Month],"&gt;="&amp;1,tblDaily[Month],"&lt;="&amp;6,tblDaily[WardCode],"MAE")</f>
        <v>0</v>
      </c>
      <c r="J11" s="29">
        <f>SUMIFS(tblDaily[TransfersOut],tblDaily[Month],"&gt;="&amp;1,tblDaily[Month],"&lt;="&amp;6,tblDaily[WardCode],"MAE")</f>
        <v>116</v>
      </c>
      <c r="K11" s="41">
        <f t="shared" si="0"/>
        <v>1.7624309392265194</v>
      </c>
      <c r="L11" s="41">
        <f t="shared" si="1"/>
        <v>2.8482142857142856</v>
      </c>
      <c r="M11" s="41">
        <f t="shared" si="2"/>
        <v>13.3125</v>
      </c>
      <c r="N11" s="41">
        <f t="shared" si="3"/>
        <v>11.2</v>
      </c>
      <c r="O11" s="41">
        <f t="shared" si="4"/>
        <v>17.624309392265193</v>
      </c>
      <c r="P11" s="41">
        <f t="shared" si="5"/>
        <v>5.6034482758620694</v>
      </c>
    </row>
    <row r="12" spans="1:16" x14ac:dyDescent="0.25">
      <c r="A12" s="40" t="s">
        <v>46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SUMIFS(tblDaily[Admissions],tblDaily[Month],"&gt;="&amp;1,tblDaily[Month],"&lt;="&amp;6,tblDaily[WardCode],"FAE") - SUMIFS(tblDaily[DeathsUnder24Hrs],tblDaily[Month],"&gt;="&amp;1,tblDaily[Month],"&lt;="&amp;6,tblDaily[WardCode],"FAE")</f>
        <v>158</v>
      </c>
      <c r="E12" s="29">
        <f>SUMIFS(tblDaily[Discharges],tblDaily[Month],"&gt;="&amp;1,tblDaily[Month],"&lt;="&amp;6,tblDaily[WardCode],"FAE")</f>
        <v>57</v>
      </c>
      <c r="F12" s="29">
        <f>SUMIFS(tblDaily[Deaths],tblDaily[Month],"&gt;="&amp;1,tblDaily[Month],"&lt;="&amp;6,tblDaily[WardCode],"FAE")</f>
        <v>9</v>
      </c>
      <c r="G12" s="29">
        <f>SUMIFS(tblDaily[DeathsUnder24Hrs],tblDaily[Month],"&gt;="&amp;1,tblDaily[Month],"&lt;="&amp;6,tblDaily[WardCode],"FAE")</f>
        <v>10</v>
      </c>
      <c r="H12" s="29">
        <f>SUMIFS(tblDaily[Remaining],tblDaily[Month],"&gt;="&amp;1,tblDaily[Month],"&lt;="&amp;6,tblDaily[WardCode],"FAE")</f>
        <v>247</v>
      </c>
      <c r="I12" s="29">
        <f>SUMIFS(tblDaily[TransfersIn],tblDaily[Month],"&gt;="&amp;1,tblDaily[Month],"&lt;="&amp;6,tblDaily[WardCode],"FAE")</f>
        <v>0</v>
      </c>
      <c r="J12" s="29">
        <f>SUMIFS(tblDaily[TransfersOut],tblDaily[Month],"&gt;="&amp;1,tblDaily[Month],"&lt;="&amp;6,tblDaily[WardCode],"FAE")</f>
        <v>93</v>
      </c>
      <c r="K12" s="41">
        <f t="shared" si="0"/>
        <v>1.3646408839779005</v>
      </c>
      <c r="L12" s="41">
        <f t="shared" si="1"/>
        <v>3.7424242424242422</v>
      </c>
      <c r="M12" s="41">
        <f t="shared" si="2"/>
        <v>23.681818181818183</v>
      </c>
      <c r="N12" s="41">
        <f t="shared" si="3"/>
        <v>6.6</v>
      </c>
      <c r="O12" s="41">
        <f t="shared" si="4"/>
        <v>13.646408839779006</v>
      </c>
      <c r="P12" s="41">
        <f t="shared" si="5"/>
        <v>5.6603773584905666</v>
      </c>
    </row>
    <row r="13" spans="1:16" x14ac:dyDescent="0.25">
      <c r="A13" s="40" t="s">
        <v>48</v>
      </c>
      <c r="B13" s="29">
        <f>IFERROR(INDEX(tblWardConfig[PrevYearRemaining],MATCH("ICU",tblWardConfig[WardCode],0)),0)</f>
        <v>0</v>
      </c>
      <c r="C13" s="29">
        <f>IFERROR(INDEX(tblWardConfig[BedComplement],MATCH("ICU",tblWardConfig[WardCode],0)),0)</f>
        <v>4</v>
      </c>
      <c r="D13" s="29">
        <f>SUMIFS(tblDaily[Admissions],tblDaily[Month],"&gt;="&amp;1,tblDaily[Month],"&lt;="&amp;6,tblDaily[WardCode],"ICU") - SUMIFS(tblDaily[DeathsUnder24Hrs],tblDaily[Month],"&gt;="&amp;1,tblDaily[Month],"&lt;="&amp;6,tblDaily[WardCode],"ICU")</f>
        <v>0</v>
      </c>
      <c r="E13" s="29">
        <f>SUMIFS(tblDaily[Discharges],tblDaily[Month],"&gt;="&amp;1,tblDaily[Month],"&lt;="&amp;6,tblDaily[WardCode],"ICU")</f>
        <v>0</v>
      </c>
      <c r="F13" s="29">
        <f>SUMIFS(tblDaily[Deaths],tblDaily[Month],"&gt;="&amp;1,tblDaily[Month],"&lt;="&amp;6,tblDaily[WardCode],"ICU")</f>
        <v>0</v>
      </c>
      <c r="G13" s="29">
        <f>SUMIFS(tblDaily[DeathsUnder24Hrs],tblDaily[Month],"&gt;="&amp;1,tblDaily[Month],"&lt;="&amp;6,tblDaily[WardCode],"ICU")</f>
        <v>0</v>
      </c>
      <c r="H13" s="29">
        <f>SUMIFS(tblDaily[Remaining],tblDaily[Month],"&gt;="&amp;1,tblDaily[Month],"&lt;="&amp;6,tblDaily[WardCode],"ICU")</f>
        <v>0</v>
      </c>
      <c r="I13" s="29">
        <f>SUMIFS(tblDaily[TransfersIn],tblDaily[Month],"&gt;="&amp;1,tblDaily[Month],"&lt;="&amp;6,tblDaily[WardCode],"ICU")</f>
        <v>0</v>
      </c>
      <c r="J13" s="29">
        <f>SUMIFS(tblDaily[TransfersOut],tblDaily[Month],"&gt;="&amp;1,tblDaily[Month],"&lt;="&amp;6,tblDaily[WardCode],"ICU")</f>
        <v>0</v>
      </c>
      <c r="K13" s="41">
        <f t="shared" si="0"/>
        <v>0</v>
      </c>
      <c r="L13" s="41">
        <f t="shared" si="1"/>
        <v>0</v>
      </c>
      <c r="M13" s="41">
        <f t="shared" si="2"/>
        <v>0</v>
      </c>
      <c r="N13" s="41">
        <f t="shared" si="3"/>
        <v>0</v>
      </c>
      <c r="O13" s="41">
        <f t="shared" si="4"/>
        <v>0</v>
      </c>
      <c r="P13" s="41">
        <f t="shared" si="5"/>
        <v>0</v>
      </c>
    </row>
    <row r="14" spans="1:16" x14ac:dyDescent="0.25">
      <c r="A14" s="30" t="s">
        <v>115</v>
      </c>
      <c r="B14" s="30">
        <f t="shared" ref="B14:J14" si="6">SUM(B4:B13)</f>
        <v>102</v>
      </c>
      <c r="C14" s="30">
        <f t="shared" si="6"/>
        <v>182</v>
      </c>
      <c r="D14" s="30">
        <f t="shared" si="6"/>
        <v>2116</v>
      </c>
      <c r="E14" s="30">
        <f t="shared" si="6"/>
        <v>2043</v>
      </c>
      <c r="F14" s="30">
        <f t="shared" si="6"/>
        <v>92</v>
      </c>
      <c r="G14" s="30">
        <f t="shared" si="6"/>
        <v>27</v>
      </c>
      <c r="H14" s="30">
        <f t="shared" si="6"/>
        <v>9682</v>
      </c>
      <c r="I14" s="30">
        <f t="shared" si="6"/>
        <v>452</v>
      </c>
      <c r="J14" s="30">
        <f t="shared" si="6"/>
        <v>448</v>
      </c>
      <c r="K14" s="42">
        <f t="shared" si="0"/>
        <v>53.491712707182323</v>
      </c>
      <c r="L14" s="42">
        <f t="shared" si="1"/>
        <v>4.5348946135831385</v>
      </c>
      <c r="M14" s="42">
        <f t="shared" si="2"/>
        <v>10.894613583138174</v>
      </c>
      <c r="N14" s="42">
        <f t="shared" si="3"/>
        <v>11.73076923076923</v>
      </c>
      <c r="O14" s="42">
        <f t="shared" si="4"/>
        <v>29.391050938012263</v>
      </c>
      <c r="P14" s="42">
        <f t="shared" si="5"/>
        <v>4.1478809738503148</v>
      </c>
    </row>
    <row r="15" spans="1:16" x14ac:dyDescent="0.25">
      <c r="A15" s="43" t="s">
        <v>148</v>
      </c>
      <c r="B15" s="43">
        <f t="shared" ref="B15:J15" si="7">B11+B12</f>
        <v>10</v>
      </c>
      <c r="C15" s="43">
        <f t="shared" si="7"/>
        <v>20</v>
      </c>
      <c r="D15" s="43">
        <f t="shared" si="7"/>
        <v>381</v>
      </c>
      <c r="E15" s="43">
        <f t="shared" si="7"/>
        <v>156</v>
      </c>
      <c r="F15" s="43">
        <f t="shared" si="7"/>
        <v>22</v>
      </c>
      <c r="G15" s="43">
        <f t="shared" si="7"/>
        <v>25</v>
      </c>
      <c r="H15" s="43">
        <f t="shared" si="7"/>
        <v>566</v>
      </c>
      <c r="I15" s="43">
        <f t="shared" si="7"/>
        <v>0</v>
      </c>
      <c r="J15" s="43">
        <f t="shared" si="7"/>
        <v>209</v>
      </c>
      <c r="K15" s="44">
        <f t="shared" si="0"/>
        <v>3.1270718232044197</v>
      </c>
      <c r="L15" s="44">
        <f t="shared" si="1"/>
        <v>3.1797752808988764</v>
      </c>
      <c r="M15" s="44">
        <f t="shared" si="2"/>
        <v>17.157303370786519</v>
      </c>
      <c r="N15" s="44">
        <f t="shared" si="3"/>
        <v>8.9</v>
      </c>
      <c r="O15" s="44">
        <f t="shared" si="4"/>
        <v>15.6353591160221</v>
      </c>
      <c r="P15" s="44">
        <f t="shared" si="5"/>
        <v>5.6265984654731458</v>
      </c>
    </row>
    <row r="17" spans="1:16" ht="18.75" x14ac:dyDescent="0.25">
      <c r="A17" s="21" t="s">
        <v>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15.75" x14ac:dyDescent="0.25">
      <c r="A18" s="23" t="s">
        <v>166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1:16" ht="38.25" x14ac:dyDescent="0.25">
      <c r="A19" s="28" t="s">
        <v>136</v>
      </c>
      <c r="B19" s="28" t="s">
        <v>161</v>
      </c>
      <c r="C19" s="28" t="s">
        <v>138</v>
      </c>
      <c r="D19" s="28" t="s">
        <v>77</v>
      </c>
      <c r="E19" s="28" t="s">
        <v>78</v>
      </c>
      <c r="F19" s="28" t="s">
        <v>79</v>
      </c>
      <c r="G19" s="28" t="s">
        <v>111</v>
      </c>
      <c r="H19" s="28" t="s">
        <v>139</v>
      </c>
      <c r="I19" s="28" t="s">
        <v>140</v>
      </c>
      <c r="J19" s="28" t="s">
        <v>141</v>
      </c>
      <c r="K19" s="28" t="s">
        <v>142</v>
      </c>
      <c r="L19" s="28" t="s">
        <v>143</v>
      </c>
      <c r="M19" s="28" t="s">
        <v>144</v>
      </c>
      <c r="N19" s="28" t="s">
        <v>145</v>
      </c>
      <c r="O19" s="28" t="s">
        <v>146</v>
      </c>
      <c r="P19" s="28" t="s">
        <v>147</v>
      </c>
    </row>
    <row r="20" spans="1:16" x14ac:dyDescent="0.25">
      <c r="A20" s="40" t="s">
        <v>30</v>
      </c>
      <c r="B20" s="29">
        <f>IFERROR(SUMIFS(tblDaily[Remaining],tblDaily[EntryDate],DATE(2026,6,30),tblDaily[WardCode],"MW"),0)</f>
        <v>0</v>
      </c>
      <c r="C20" s="29">
        <f>IFERROR(INDEX(tblWardConfig[BedComplement],MATCH("MW",tblWardConfig[WardCode],0)),0)</f>
        <v>32</v>
      </c>
      <c r="D20" s="29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20" s="29">
        <f>SUMIFS(tblDaily[Discharges],tblDaily[Month],"&gt;="&amp;7,tblDaily[Month],"&lt;="&amp;12,tblDaily[WardCode],"MW")</f>
        <v>0</v>
      </c>
      <c r="F20" s="29">
        <f>SUMIFS(tblDaily[Deaths],tblDaily[Month],"&gt;="&amp;7,tblDaily[Month],"&lt;="&amp;12,tblDaily[WardCode],"MW")</f>
        <v>0</v>
      </c>
      <c r="G20" s="29">
        <f>SUMIFS(tblDaily[DeathsUnder24Hrs],tblDaily[Month],"&gt;="&amp;7,tblDaily[Month],"&lt;="&amp;12,tblDaily[WardCode],"MW")</f>
        <v>0</v>
      </c>
      <c r="H20" s="29">
        <f>SUMIFS(tblDaily[Remaining],tblDaily[Month],"&gt;="&amp;7,tblDaily[Month],"&lt;="&amp;12,tblDaily[WardCode],"MW")</f>
        <v>0</v>
      </c>
      <c r="I20" s="29">
        <f>SUMIFS(tblDaily[TransfersIn],tblDaily[Month],"&gt;="&amp;7,tblDaily[Month],"&lt;="&amp;12,tblDaily[WardCode],"MW")</f>
        <v>0</v>
      </c>
      <c r="J20" s="29">
        <f>SUMIFS(tblDaily[TransfersOut],tblDaily[Month],"&gt;="&amp;7,tblDaily[Month],"&lt;="&amp;12,tblDaily[WardCode],"MW")</f>
        <v>0</v>
      </c>
      <c r="K20" s="41">
        <f t="shared" ref="K20:K31" si="8">IFERROR(H20/184,0)</f>
        <v>0</v>
      </c>
      <c r="L20" s="41">
        <f t="shared" ref="L20:L31" si="9">IFERROR(H20/(E20+F20),0)</f>
        <v>0</v>
      </c>
      <c r="M20" s="41">
        <f t="shared" ref="M20:M31" si="10">IFERROR((C20*184-H20)/(E20+F20),0)</f>
        <v>0</v>
      </c>
      <c r="N20" s="41">
        <f t="shared" ref="N20:N31" si="11">IFERROR((E20+F20)/C20,0)</f>
        <v>0</v>
      </c>
      <c r="O20" s="41">
        <f t="shared" ref="O20:O31" si="12">IFERROR((H20/(C20*184))*100,0)</f>
        <v>0</v>
      </c>
      <c r="P20" s="41">
        <f t="shared" ref="P20:P31" si="13">IFERROR((F20/(D20+B20))*100,0)</f>
        <v>0</v>
      </c>
    </row>
    <row r="21" spans="1:16" x14ac:dyDescent="0.25">
      <c r="A21" s="40" t="s">
        <v>32</v>
      </c>
      <c r="B21" s="29">
        <f>IFERROR(SUMIFS(tblDaily[Remaining],tblDaily[EntryDate],DATE(2026,6,30),tblDaily[WardCode],"FW"),0)</f>
        <v>0</v>
      </c>
      <c r="C21" s="29">
        <f>IFERROR(INDEX(tblWardConfig[BedComplement],MATCH("FW",tblWardConfig[WardCode],0)),0)</f>
        <v>28</v>
      </c>
      <c r="D21" s="29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1" s="29">
        <f>SUMIFS(tblDaily[Discharges],tblDaily[Month],"&gt;="&amp;7,tblDaily[Month],"&lt;="&amp;12,tblDaily[WardCode],"FW")</f>
        <v>0</v>
      </c>
      <c r="F21" s="29">
        <f>SUMIFS(tblDaily[Deaths],tblDaily[Month],"&gt;="&amp;7,tblDaily[Month],"&lt;="&amp;12,tblDaily[WardCode],"FW")</f>
        <v>0</v>
      </c>
      <c r="G21" s="29">
        <f>SUMIFS(tblDaily[DeathsUnder24Hrs],tblDaily[Month],"&gt;="&amp;7,tblDaily[Month],"&lt;="&amp;12,tblDaily[WardCode],"FW")</f>
        <v>0</v>
      </c>
      <c r="H21" s="29">
        <f>SUMIFS(tblDaily[Remaining],tblDaily[Month],"&gt;="&amp;7,tblDaily[Month],"&lt;="&amp;12,tblDaily[WardCode],"FW")</f>
        <v>0</v>
      </c>
      <c r="I21" s="29">
        <f>SUMIFS(tblDaily[TransfersIn],tblDaily[Month],"&gt;="&amp;7,tblDaily[Month],"&lt;="&amp;12,tblDaily[WardCode],"FW")</f>
        <v>0</v>
      </c>
      <c r="J21" s="29">
        <f>SUMIFS(tblDaily[TransfersOut],tblDaily[Month],"&gt;="&amp;7,tblDaily[Month],"&lt;="&amp;12,tblDaily[WardCode],"FW")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34</v>
      </c>
      <c r="B22" s="29">
        <f>IFERROR(SUMIFS(tblDaily[Remaining],tblDaily[EntryDate],DATE(2026,6,30),tblDaily[WardCode],"CW"),0)</f>
        <v>0</v>
      </c>
      <c r="C22" s="29">
        <f>IFERROR(INDEX(tblWardConfig[BedComplement],MATCH("CW",tblWardConfig[WardCode],0)),0)</f>
        <v>27</v>
      </c>
      <c r="D22" s="29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2" s="29">
        <f>SUMIFS(tblDaily[Discharges],tblDaily[Month],"&gt;="&amp;7,tblDaily[Month],"&lt;="&amp;12,tblDaily[WardCode],"CW")</f>
        <v>0</v>
      </c>
      <c r="F22" s="29">
        <f>SUMIFS(tblDaily[Deaths],tblDaily[Month],"&gt;="&amp;7,tblDaily[Month],"&lt;="&amp;12,tblDaily[WardCode],"CW")</f>
        <v>0</v>
      </c>
      <c r="G22" s="29">
        <f>SUMIFS(tblDaily[DeathsUnder24Hrs],tblDaily[Month],"&gt;="&amp;7,tblDaily[Month],"&lt;="&amp;12,tblDaily[WardCode],"CW")</f>
        <v>0</v>
      </c>
      <c r="H22" s="29">
        <f>SUMIFS(tblDaily[Remaining],tblDaily[Month],"&gt;="&amp;7,tblDaily[Month],"&lt;="&amp;12,tblDaily[WardCode],"CW")</f>
        <v>0</v>
      </c>
      <c r="I22" s="29">
        <f>SUMIFS(tblDaily[TransfersIn],tblDaily[Month],"&gt;="&amp;7,tblDaily[Month],"&lt;="&amp;12,tblDaily[WardCode],"CW")</f>
        <v>0</v>
      </c>
      <c r="J22" s="29">
        <f>SUMIFS(tblDaily[TransfersOut],tblDaily[Month],"&gt;="&amp;7,tblDaily[Month],"&lt;="&amp;12,tblDaily[WardCode],"CW")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36</v>
      </c>
      <c r="B23" s="29">
        <f>IFERROR(SUMIFS(tblDaily[Remaining],tblDaily[EntryDate],DATE(2026,6,30),tblDaily[WardCode],"BF"),0)</f>
        <v>0</v>
      </c>
      <c r="C23" s="29">
        <f>IFERROR(INDEX(tblWardConfig[BedComplement],MATCH("BF",tblWardConfig[WardCode],0)),0)</f>
        <v>20</v>
      </c>
      <c r="D23" s="29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3" s="29">
        <f>SUMIFS(tblDaily[Discharges],tblDaily[Month],"&gt;="&amp;7,tblDaily[Month],"&lt;="&amp;12,tblDaily[WardCode],"BF")</f>
        <v>0</v>
      </c>
      <c r="F23" s="29">
        <f>SUMIFS(tblDaily[Deaths],tblDaily[Month],"&gt;="&amp;7,tblDaily[Month],"&lt;="&amp;12,tblDaily[WardCode],"BF")</f>
        <v>0</v>
      </c>
      <c r="G23" s="29">
        <f>SUMIFS(tblDaily[DeathsUnder24Hrs],tblDaily[Month],"&gt;="&amp;7,tblDaily[Month],"&lt;="&amp;12,tblDaily[WardCode],"BF")</f>
        <v>0</v>
      </c>
      <c r="H23" s="29">
        <f>SUMIFS(tblDaily[Remaining],tblDaily[Month],"&gt;="&amp;7,tblDaily[Month],"&lt;="&amp;12,tblDaily[WardCode],"BF")</f>
        <v>0</v>
      </c>
      <c r="I23" s="29">
        <f>SUMIFS(tblDaily[TransfersIn],tblDaily[Month],"&gt;="&amp;7,tblDaily[Month],"&lt;="&amp;12,tblDaily[WardCode],"BF")</f>
        <v>0</v>
      </c>
      <c r="J23" s="29">
        <f>SUMIFS(tblDaily[TransfersOut],tblDaily[Month],"&gt;="&amp;7,tblDaily[Month],"&lt;="&amp;12,tblDaily[WardCode],"BF")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38</v>
      </c>
      <c r="B24" s="29">
        <f>IFERROR(SUMIFS(tblDaily[Remaining],tblDaily[EntryDate],DATE(2026,6,30),tblDaily[WardCode],"BG"),0)</f>
        <v>0</v>
      </c>
      <c r="C24" s="29">
        <f>IFERROR(INDEX(tblWardConfig[BedComplement],MATCH("BG",tblWardConfig[WardCode],0)),0)</f>
        <v>14</v>
      </c>
      <c r="D24" s="29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4" s="29">
        <f>SUMIFS(tblDaily[Discharges],tblDaily[Month],"&gt;="&amp;7,tblDaily[Month],"&lt;="&amp;12,tblDaily[WardCode],"BG")</f>
        <v>0</v>
      </c>
      <c r="F24" s="29">
        <f>SUMIFS(tblDaily[Deaths],tblDaily[Month],"&gt;="&amp;7,tblDaily[Month],"&lt;="&amp;12,tblDaily[WardCode],"BG")</f>
        <v>0</v>
      </c>
      <c r="G24" s="29">
        <f>SUMIFS(tblDaily[DeathsUnder24Hrs],tblDaily[Month],"&gt;="&amp;7,tblDaily[Month],"&lt;="&amp;12,tblDaily[WardCode],"BG")</f>
        <v>0</v>
      </c>
      <c r="H24" s="29">
        <f>SUMIFS(tblDaily[Remaining],tblDaily[Month],"&gt;="&amp;7,tblDaily[Month],"&lt;="&amp;12,tblDaily[WardCode],"BG")</f>
        <v>0</v>
      </c>
      <c r="I24" s="29">
        <f>SUMIFS(tblDaily[TransfersIn],tblDaily[Month],"&gt;="&amp;7,tblDaily[Month],"&lt;="&amp;12,tblDaily[WardCode],"BG")</f>
        <v>0</v>
      </c>
      <c r="J24" s="29">
        <f>SUMIFS(tblDaily[TransfersOut],tblDaily[Month],"&gt;="&amp;7,tblDaily[Month],"&lt;="&amp;12,tblDaily[WardCode],"BG")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40</v>
      </c>
      <c r="B25" s="29">
        <f>IFERROR(SUMIFS(tblDaily[Remaining],tblDaily[EntryDate],DATE(2026,6,30),tblDaily[WardCode],"BH"),0)</f>
        <v>0</v>
      </c>
      <c r="C25" s="29">
        <f>IFERROR(INDEX(tblWardConfig[BedComplement],MATCH("BH",tblWardConfig[WardCode],0)),0)</f>
        <v>22</v>
      </c>
      <c r="D25" s="29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5" s="29">
        <f>SUMIFS(tblDaily[Discharges],tblDaily[Month],"&gt;="&amp;7,tblDaily[Month],"&lt;="&amp;12,tblDaily[WardCode],"BH")</f>
        <v>0</v>
      </c>
      <c r="F25" s="29">
        <f>SUMIFS(tblDaily[Deaths],tblDaily[Month],"&gt;="&amp;7,tblDaily[Month],"&lt;="&amp;12,tblDaily[WardCode],"BH")</f>
        <v>0</v>
      </c>
      <c r="G25" s="29">
        <f>SUMIFS(tblDaily[DeathsUnder24Hrs],tblDaily[Month],"&gt;="&amp;7,tblDaily[Month],"&lt;="&amp;12,tblDaily[WardCode],"BH")</f>
        <v>0</v>
      </c>
      <c r="H25" s="29">
        <f>SUMIFS(tblDaily[Remaining],tblDaily[Month],"&gt;="&amp;7,tblDaily[Month],"&lt;="&amp;12,tblDaily[WardCode],"BH")</f>
        <v>0</v>
      </c>
      <c r="I25" s="29">
        <f>SUMIFS(tblDaily[TransfersIn],tblDaily[Month],"&gt;="&amp;7,tblDaily[Month],"&lt;="&amp;12,tblDaily[WardCode],"BH")</f>
        <v>0</v>
      </c>
      <c r="J25" s="29">
        <f>SUMIFS(tblDaily[TransfersOut],tblDaily[Month],"&gt;="&amp;7,tblDaily[Month],"&lt;="&amp;12,tblDaily[WardCode],"BH")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42</v>
      </c>
      <c r="B26" s="29">
        <f>IFERROR(SUMIFS(tblDaily[Remaining],tblDaily[EntryDate],DATE(2026,6,30),tblDaily[WardCode],"NICU"),0)</f>
        <v>0</v>
      </c>
      <c r="C26" s="29">
        <f>IFERROR(INDEX(tblWardConfig[BedComplement],MATCH("NICU",tblWardConfig[WardCode],0)),0)</f>
        <v>15</v>
      </c>
      <c r="D26" s="29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6" s="29">
        <f>SUMIFS(tblDaily[Discharges],tblDaily[Month],"&gt;="&amp;7,tblDaily[Month],"&lt;="&amp;12,tblDaily[WardCode],"NICU")</f>
        <v>0</v>
      </c>
      <c r="F26" s="29">
        <f>SUMIFS(tblDaily[Deaths],tblDaily[Month],"&gt;="&amp;7,tblDaily[Month],"&lt;="&amp;12,tblDaily[WardCode],"NICU")</f>
        <v>0</v>
      </c>
      <c r="G26" s="29">
        <f>SUMIFS(tblDaily[DeathsUnder24Hrs],tblDaily[Month],"&gt;="&amp;7,tblDaily[Month],"&lt;="&amp;12,tblDaily[WardCode],"NICU")</f>
        <v>0</v>
      </c>
      <c r="H26" s="29">
        <f>SUMIFS(tblDaily[Remaining],tblDaily[Month],"&gt;="&amp;7,tblDaily[Month],"&lt;="&amp;12,tblDaily[WardCode],"NICU")</f>
        <v>0</v>
      </c>
      <c r="I26" s="29">
        <f>SUMIFS(tblDaily[TransfersIn],tblDaily[Month],"&gt;="&amp;7,tblDaily[Month],"&lt;="&amp;12,tblDaily[WardCode],"NICU")</f>
        <v>0</v>
      </c>
      <c r="J26" s="29">
        <f>SUMIFS(tblDaily[TransfersOut],tblDaily[Month],"&gt;="&amp;7,tblDaily[Month],"&lt;="&amp;12,tblDaily[WardCode],"NICU")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44</v>
      </c>
      <c r="B27" s="29">
        <f>IFERROR(SUMIFS(tblDaily[Remaining],tblDaily[EntryDate],DATE(2026,6,30),tblDaily[WardCode],"MAE"),0)</f>
        <v>0</v>
      </c>
      <c r="C27" s="29">
        <f>IFERROR(INDEX(tblWardConfig[BedComplement],MATCH("MAE",tblWardConfig[WardCode],0)),0)</f>
        <v>10</v>
      </c>
      <c r="D27" s="29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7" s="29">
        <f>SUMIFS(tblDaily[Discharges],tblDaily[Month],"&gt;="&amp;7,tblDaily[Month],"&lt;="&amp;12,tblDaily[WardCode],"MAE")</f>
        <v>0</v>
      </c>
      <c r="F27" s="29">
        <f>SUMIFS(tblDaily[Deaths],tblDaily[Month],"&gt;="&amp;7,tblDaily[Month],"&lt;="&amp;12,tblDaily[WardCode],"MAE")</f>
        <v>0</v>
      </c>
      <c r="G27" s="29">
        <f>SUMIFS(tblDaily[DeathsUnder24Hrs],tblDaily[Month],"&gt;="&amp;7,tblDaily[Month],"&lt;="&amp;12,tblDaily[WardCode],"MAE")</f>
        <v>0</v>
      </c>
      <c r="H27" s="29">
        <f>SUMIFS(tblDaily[Remaining],tblDaily[Month],"&gt;="&amp;7,tblDaily[Month],"&lt;="&amp;12,tblDaily[WardCode],"MAE")</f>
        <v>0</v>
      </c>
      <c r="I27" s="29">
        <f>SUMIFS(tblDaily[TransfersIn],tblDaily[Month],"&gt;="&amp;7,tblDaily[Month],"&lt;="&amp;12,tblDaily[WardCode],"MAE")</f>
        <v>0</v>
      </c>
      <c r="J27" s="29">
        <f>SUMIFS(tblDaily[TransfersOut],tblDaily[Month],"&gt;="&amp;7,tblDaily[Month],"&lt;="&amp;12,tblDaily[WardCode],"MAE")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40" t="s">
        <v>46</v>
      </c>
      <c r="B28" s="29">
        <f>IFERROR(SUMIFS(tblDaily[Remaining],tblDaily[EntryDate],DATE(2026,6,30),tblDaily[WardCode],"FAE"),0)</f>
        <v>0</v>
      </c>
      <c r="C28" s="29">
        <f>IFERROR(INDEX(tblWardConfig[BedComplement],MATCH("FAE",tblWardConfig[WardCode],0)),0)</f>
        <v>10</v>
      </c>
      <c r="D28" s="29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8" s="29">
        <f>SUMIFS(tblDaily[Discharges],tblDaily[Month],"&gt;="&amp;7,tblDaily[Month],"&lt;="&amp;12,tblDaily[WardCode],"FAE")</f>
        <v>0</v>
      </c>
      <c r="F28" s="29">
        <f>SUMIFS(tblDaily[Deaths],tblDaily[Month],"&gt;="&amp;7,tblDaily[Month],"&lt;="&amp;12,tblDaily[WardCode],"FAE")</f>
        <v>0</v>
      </c>
      <c r="G28" s="29">
        <f>SUMIFS(tblDaily[DeathsUnder24Hrs],tblDaily[Month],"&gt;="&amp;7,tblDaily[Month],"&lt;="&amp;12,tblDaily[WardCode],"FAE")</f>
        <v>0</v>
      </c>
      <c r="H28" s="29">
        <f>SUMIFS(tblDaily[Remaining],tblDaily[Month],"&gt;="&amp;7,tblDaily[Month],"&lt;="&amp;12,tblDaily[WardCode],"FAE")</f>
        <v>0</v>
      </c>
      <c r="I28" s="29">
        <f>SUMIFS(tblDaily[TransfersIn],tblDaily[Month],"&gt;="&amp;7,tblDaily[Month],"&lt;="&amp;12,tblDaily[WardCode],"FAE")</f>
        <v>0</v>
      </c>
      <c r="J28" s="29">
        <f>SUMIFS(tblDaily[TransfersOut],tblDaily[Month],"&gt;="&amp;7,tblDaily[Month],"&lt;="&amp;12,tblDaily[WardCode],"FAE")</f>
        <v>0</v>
      </c>
      <c r="K28" s="41">
        <f t="shared" si="8"/>
        <v>0</v>
      </c>
      <c r="L28" s="41">
        <f t="shared" si="9"/>
        <v>0</v>
      </c>
      <c r="M28" s="41">
        <f t="shared" si="10"/>
        <v>0</v>
      </c>
      <c r="N28" s="41">
        <f t="shared" si="11"/>
        <v>0</v>
      </c>
      <c r="O28" s="41">
        <f t="shared" si="12"/>
        <v>0</v>
      </c>
      <c r="P28" s="41">
        <f t="shared" si="13"/>
        <v>0</v>
      </c>
    </row>
    <row r="29" spans="1:16" x14ac:dyDescent="0.25">
      <c r="A29" s="40" t="s">
        <v>48</v>
      </c>
      <c r="B29" s="29">
        <f>IFERROR(SUMIFS(tblDaily[Remaining],tblDaily[EntryDate],DATE(2026,6,30),tblDaily[WardCode],"ICU"),0)</f>
        <v>0</v>
      </c>
      <c r="C29" s="29">
        <f>IFERROR(INDEX(tblWardConfig[BedComplement],MATCH("ICU",tblWardConfig[WardCode],0)),0)</f>
        <v>4</v>
      </c>
      <c r="D29" s="29">
        <f>SUMIFS(tblDaily[Admissions],tblDaily[Month],"&gt;="&amp;7,tblDaily[Month],"&lt;="&amp;12,tblDaily[WardCode],"ICU") - SUMIFS(tblDaily[DeathsUnder24Hrs],tblDaily[Month],"&gt;="&amp;7,tblDaily[Month],"&lt;="&amp;12,tblDaily[WardCode],"ICU")</f>
        <v>0</v>
      </c>
      <c r="E29" s="29">
        <f>SUMIFS(tblDaily[Discharges],tblDaily[Month],"&gt;="&amp;7,tblDaily[Month],"&lt;="&amp;12,tblDaily[WardCode],"ICU")</f>
        <v>0</v>
      </c>
      <c r="F29" s="29">
        <f>SUMIFS(tblDaily[Deaths],tblDaily[Month],"&gt;="&amp;7,tblDaily[Month],"&lt;="&amp;12,tblDaily[WardCode],"ICU")</f>
        <v>0</v>
      </c>
      <c r="G29" s="29">
        <f>SUMIFS(tblDaily[DeathsUnder24Hrs],tblDaily[Month],"&gt;="&amp;7,tblDaily[Month],"&lt;="&amp;12,tblDaily[WardCode],"ICU")</f>
        <v>0</v>
      </c>
      <c r="H29" s="29">
        <f>SUMIFS(tblDaily[Remaining],tblDaily[Month],"&gt;="&amp;7,tblDaily[Month],"&lt;="&amp;12,tblDaily[WardCode],"ICU")</f>
        <v>0</v>
      </c>
      <c r="I29" s="29">
        <f>SUMIFS(tblDaily[TransfersIn],tblDaily[Month],"&gt;="&amp;7,tblDaily[Month],"&lt;="&amp;12,tblDaily[WardCode],"ICU")</f>
        <v>0</v>
      </c>
      <c r="J29" s="29">
        <f>SUMIFS(tblDaily[TransfersOut],tblDaily[Month],"&gt;="&amp;7,tblDaily[Month],"&lt;="&amp;12,tblDaily[WardCode],"ICU")</f>
        <v>0</v>
      </c>
      <c r="K29" s="41">
        <f t="shared" si="8"/>
        <v>0</v>
      </c>
      <c r="L29" s="41">
        <f t="shared" si="9"/>
        <v>0</v>
      </c>
      <c r="M29" s="41">
        <f t="shared" si="10"/>
        <v>0</v>
      </c>
      <c r="N29" s="41">
        <f t="shared" si="11"/>
        <v>0</v>
      </c>
      <c r="O29" s="41">
        <f t="shared" si="12"/>
        <v>0</v>
      </c>
      <c r="P29" s="41">
        <f t="shared" si="13"/>
        <v>0</v>
      </c>
    </row>
    <row r="30" spans="1:16" x14ac:dyDescent="0.25">
      <c r="A30" s="30" t="s">
        <v>115</v>
      </c>
      <c r="B30" s="30">
        <f t="shared" ref="B30:J30" si="14">SUM(B20:B29)</f>
        <v>0</v>
      </c>
      <c r="C30" s="30">
        <f t="shared" si="14"/>
        <v>182</v>
      </c>
      <c r="D30" s="30">
        <f t="shared" si="14"/>
        <v>0</v>
      </c>
      <c r="E30" s="30">
        <f t="shared" si="14"/>
        <v>0</v>
      </c>
      <c r="F30" s="30">
        <f t="shared" si="14"/>
        <v>0</v>
      </c>
      <c r="G30" s="30">
        <f t="shared" si="14"/>
        <v>0</v>
      </c>
      <c r="H30" s="30">
        <f t="shared" si="14"/>
        <v>0</v>
      </c>
      <c r="I30" s="30">
        <f t="shared" si="14"/>
        <v>0</v>
      </c>
      <c r="J30" s="30">
        <f t="shared" si="14"/>
        <v>0</v>
      </c>
      <c r="K30" s="42">
        <f t="shared" si="8"/>
        <v>0</v>
      </c>
      <c r="L30" s="42">
        <f t="shared" si="9"/>
        <v>0</v>
      </c>
      <c r="M30" s="42">
        <f t="shared" si="10"/>
        <v>0</v>
      </c>
      <c r="N30" s="42">
        <f t="shared" si="11"/>
        <v>0</v>
      </c>
      <c r="O30" s="42">
        <f t="shared" si="12"/>
        <v>0</v>
      </c>
      <c r="P30" s="42">
        <f t="shared" si="13"/>
        <v>0</v>
      </c>
    </row>
    <row r="31" spans="1:16" x14ac:dyDescent="0.25">
      <c r="A31" s="43" t="s">
        <v>148</v>
      </c>
      <c r="B31" s="43">
        <f t="shared" ref="B31:J31" si="15">B27+B28</f>
        <v>0</v>
      </c>
      <c r="C31" s="43">
        <f t="shared" si="15"/>
        <v>20</v>
      </c>
      <c r="D31" s="43">
        <f t="shared" si="15"/>
        <v>0</v>
      </c>
      <c r="E31" s="43">
        <f t="shared" si="15"/>
        <v>0</v>
      </c>
      <c r="F31" s="43">
        <f t="shared" si="15"/>
        <v>0</v>
      </c>
      <c r="G31" s="43">
        <f t="shared" si="15"/>
        <v>0</v>
      </c>
      <c r="H31" s="43">
        <f t="shared" si="15"/>
        <v>0</v>
      </c>
      <c r="I31" s="43">
        <f t="shared" si="15"/>
        <v>0</v>
      </c>
      <c r="J31" s="43">
        <f t="shared" si="15"/>
        <v>0</v>
      </c>
      <c r="K31" s="44">
        <f t="shared" si="8"/>
        <v>0</v>
      </c>
      <c r="L31" s="44">
        <f t="shared" si="9"/>
        <v>0</v>
      </c>
      <c r="M31" s="44">
        <f t="shared" si="10"/>
        <v>0</v>
      </c>
      <c r="N31" s="44">
        <f t="shared" si="11"/>
        <v>0</v>
      </c>
      <c r="O31" s="44">
        <f t="shared" si="12"/>
        <v>0</v>
      </c>
      <c r="P31" s="44">
        <f t="shared" si="13"/>
        <v>0</v>
      </c>
    </row>
  </sheetData>
  <sheetProtection sheet="1"/>
  <mergeCells count="4">
    <mergeCell ref="A1:P1"/>
    <mergeCell ref="A17:P17"/>
    <mergeCell ref="A18:P18"/>
    <mergeCell ref="A2:P2"/>
  </mergeCells>
  <pageMargins left="0.75" right="0.75" top="1" bottom="1" header="0.5" footer="0.5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1:CF16"/>
  <sheetViews>
    <sheetView workbookViewId="0"/>
  </sheetViews>
  <sheetFormatPr defaultRowHeight="15" x14ac:dyDescent="0.25"/>
  <cols>
    <col min="1" max="1" width="8" style="16" customWidth="1"/>
    <col min="2" max="7" width="10" style="16" customWidth="1"/>
    <col min="8" max="8" width="8" style="16" customWidth="1"/>
    <col min="9" max="14" width="10" style="16" customWidth="1"/>
    <col min="15" max="15" width="8" style="16" customWidth="1"/>
    <col min="16" max="21" width="10" style="16" customWidth="1"/>
    <col min="22" max="22" width="8" style="16" customWidth="1"/>
    <col min="23" max="28" width="10" style="16" customWidth="1"/>
    <col min="29" max="29" width="8" style="16" customWidth="1"/>
    <col min="30" max="35" width="10" style="16" customWidth="1"/>
    <col min="36" max="36" width="8" style="16" customWidth="1"/>
    <col min="37" max="42" width="10" style="16" customWidth="1"/>
    <col min="43" max="43" width="8" style="16" customWidth="1"/>
    <col min="44" max="49" width="10" style="16" customWidth="1"/>
    <col min="50" max="50" width="8" style="16" customWidth="1"/>
    <col min="51" max="56" width="10" style="16" customWidth="1"/>
    <col min="57" max="57" width="8" style="16" customWidth="1"/>
    <col min="58" max="63" width="10" style="16" customWidth="1"/>
    <col min="64" max="64" width="8" style="16" customWidth="1"/>
    <col min="65" max="70" width="10" style="16" customWidth="1"/>
    <col min="71" max="71" width="8" style="16" customWidth="1"/>
    <col min="72" max="77" width="10" style="16" customWidth="1"/>
    <col min="78" max="78" width="8" style="16" customWidth="1"/>
    <col min="79" max="84" width="10" style="16" customWidth="1"/>
    <col min="85" max="16384" width="9.140625" style="16"/>
  </cols>
  <sheetData>
    <row r="1" spans="1:84" x14ac:dyDescent="0.25">
      <c r="A1" s="45" t="s">
        <v>63</v>
      </c>
      <c r="B1" s="22"/>
      <c r="C1" s="22"/>
      <c r="D1" s="22"/>
      <c r="E1" s="22"/>
      <c r="F1" s="22"/>
      <c r="G1" s="22"/>
      <c r="H1" s="45" t="s">
        <v>64</v>
      </c>
      <c r="I1" s="22"/>
      <c r="J1" s="22"/>
      <c r="K1" s="22"/>
      <c r="L1" s="22"/>
      <c r="M1" s="22"/>
      <c r="N1" s="22"/>
      <c r="O1" s="45" t="s">
        <v>65</v>
      </c>
      <c r="P1" s="22"/>
      <c r="Q1" s="22"/>
      <c r="R1" s="22"/>
      <c r="S1" s="22"/>
      <c r="T1" s="22"/>
      <c r="U1" s="22"/>
      <c r="V1" s="45" t="s">
        <v>66</v>
      </c>
      <c r="W1" s="22"/>
      <c r="X1" s="22"/>
      <c r="Y1" s="22"/>
      <c r="Z1" s="22"/>
      <c r="AA1" s="22"/>
      <c r="AB1" s="22"/>
      <c r="AC1" s="45" t="s">
        <v>67</v>
      </c>
      <c r="AD1" s="22"/>
      <c r="AE1" s="22"/>
      <c r="AF1" s="22"/>
      <c r="AG1" s="22"/>
      <c r="AH1" s="22"/>
      <c r="AI1" s="22"/>
      <c r="AJ1" s="45" t="s">
        <v>68</v>
      </c>
      <c r="AK1" s="22"/>
      <c r="AL1" s="22"/>
      <c r="AM1" s="22"/>
      <c r="AN1" s="22"/>
      <c r="AO1" s="22"/>
      <c r="AP1" s="22"/>
      <c r="AQ1" s="45" t="s">
        <v>69</v>
      </c>
      <c r="AR1" s="22"/>
      <c r="AS1" s="22"/>
      <c r="AT1" s="22"/>
      <c r="AU1" s="22"/>
      <c r="AV1" s="22"/>
      <c r="AW1" s="22"/>
      <c r="AX1" s="45" t="s">
        <v>70</v>
      </c>
      <c r="AY1" s="22"/>
      <c r="AZ1" s="22"/>
      <c r="BA1" s="22"/>
      <c r="BB1" s="22"/>
      <c r="BC1" s="22"/>
      <c r="BD1" s="22"/>
      <c r="BE1" s="45" t="s">
        <v>71</v>
      </c>
      <c r="BF1" s="22"/>
      <c r="BG1" s="22"/>
      <c r="BH1" s="22"/>
      <c r="BI1" s="22"/>
      <c r="BJ1" s="22"/>
      <c r="BK1" s="22"/>
      <c r="BL1" s="45" t="s">
        <v>72</v>
      </c>
      <c r="BM1" s="22"/>
      <c r="BN1" s="22"/>
      <c r="BO1" s="22"/>
      <c r="BP1" s="22"/>
      <c r="BQ1" s="22"/>
      <c r="BR1" s="22"/>
      <c r="BS1" s="45" t="s">
        <v>73</v>
      </c>
      <c r="BT1" s="22"/>
      <c r="BU1" s="22"/>
      <c r="BV1" s="22"/>
      <c r="BW1" s="22"/>
      <c r="BX1" s="22"/>
      <c r="BY1" s="22"/>
      <c r="BZ1" s="45" t="s">
        <v>74</v>
      </c>
      <c r="CA1" s="22"/>
      <c r="CB1" s="22"/>
      <c r="CC1" s="22"/>
      <c r="CD1" s="22"/>
      <c r="CE1" s="22"/>
      <c r="CF1" s="22"/>
    </row>
    <row r="2" spans="1:84" x14ac:dyDescent="0.25">
      <c r="B2" s="46" t="s">
        <v>167</v>
      </c>
      <c r="C2" s="22"/>
      <c r="D2" s="47" t="s">
        <v>168</v>
      </c>
      <c r="E2" s="22"/>
      <c r="F2" s="48" t="s">
        <v>169</v>
      </c>
      <c r="G2" s="22"/>
      <c r="I2" s="46" t="s">
        <v>167</v>
      </c>
      <c r="J2" s="22"/>
      <c r="K2" s="47" t="s">
        <v>168</v>
      </c>
      <c r="L2" s="22"/>
      <c r="M2" s="48" t="s">
        <v>169</v>
      </c>
      <c r="N2" s="22"/>
      <c r="P2" s="46" t="s">
        <v>167</v>
      </c>
      <c r="Q2" s="22"/>
      <c r="R2" s="47" t="s">
        <v>168</v>
      </c>
      <c r="S2" s="22"/>
      <c r="T2" s="48" t="s">
        <v>169</v>
      </c>
      <c r="U2" s="22"/>
      <c r="W2" s="46" t="s">
        <v>167</v>
      </c>
      <c r="X2" s="22"/>
      <c r="Y2" s="47" t="s">
        <v>168</v>
      </c>
      <c r="Z2" s="22"/>
      <c r="AA2" s="48" t="s">
        <v>169</v>
      </c>
      <c r="AB2" s="22"/>
      <c r="AD2" s="46" t="s">
        <v>167</v>
      </c>
      <c r="AE2" s="22"/>
      <c r="AF2" s="47" t="s">
        <v>168</v>
      </c>
      <c r="AG2" s="22"/>
      <c r="AH2" s="48" t="s">
        <v>169</v>
      </c>
      <c r="AI2" s="22"/>
      <c r="AK2" s="46" t="s">
        <v>167</v>
      </c>
      <c r="AL2" s="22"/>
      <c r="AM2" s="47" t="s">
        <v>168</v>
      </c>
      <c r="AN2" s="22"/>
      <c r="AO2" s="48" t="s">
        <v>169</v>
      </c>
      <c r="AP2" s="22"/>
      <c r="AR2" s="46" t="s">
        <v>167</v>
      </c>
      <c r="AS2" s="22"/>
      <c r="AT2" s="47" t="s">
        <v>168</v>
      </c>
      <c r="AU2" s="22"/>
      <c r="AV2" s="48" t="s">
        <v>169</v>
      </c>
      <c r="AW2" s="22"/>
      <c r="AY2" s="46" t="s">
        <v>167</v>
      </c>
      <c r="AZ2" s="22"/>
      <c r="BA2" s="47" t="s">
        <v>168</v>
      </c>
      <c r="BB2" s="22"/>
      <c r="BC2" s="48" t="s">
        <v>169</v>
      </c>
      <c r="BD2" s="22"/>
      <c r="BF2" s="46" t="s">
        <v>167</v>
      </c>
      <c r="BG2" s="22"/>
      <c r="BH2" s="47" t="s">
        <v>168</v>
      </c>
      <c r="BI2" s="22"/>
      <c r="BJ2" s="48" t="s">
        <v>169</v>
      </c>
      <c r="BK2" s="22"/>
      <c r="BM2" s="46" t="s">
        <v>167</v>
      </c>
      <c r="BN2" s="22"/>
      <c r="BO2" s="47" t="s">
        <v>168</v>
      </c>
      <c r="BP2" s="22"/>
      <c r="BQ2" s="48" t="s">
        <v>169</v>
      </c>
      <c r="BR2" s="22"/>
      <c r="BT2" s="46" t="s">
        <v>167</v>
      </c>
      <c r="BU2" s="22"/>
      <c r="BV2" s="47" t="s">
        <v>168</v>
      </c>
      <c r="BW2" s="22"/>
      <c r="BX2" s="48" t="s">
        <v>169</v>
      </c>
      <c r="BY2" s="22"/>
      <c r="CA2" s="46" t="s">
        <v>167</v>
      </c>
      <c r="CB2" s="22"/>
      <c r="CC2" s="47" t="s">
        <v>168</v>
      </c>
      <c r="CD2" s="22"/>
      <c r="CE2" s="48" t="s">
        <v>169</v>
      </c>
      <c r="CF2" s="22"/>
    </row>
    <row r="3" spans="1:84" x14ac:dyDescent="0.25">
      <c r="A3" s="40" t="s">
        <v>170</v>
      </c>
      <c r="B3" s="40" t="s">
        <v>171</v>
      </c>
      <c r="C3" s="40" t="s">
        <v>172</v>
      </c>
      <c r="D3" s="40" t="s">
        <v>173</v>
      </c>
      <c r="E3" s="40" t="s">
        <v>174</v>
      </c>
      <c r="F3" s="40" t="s">
        <v>173</v>
      </c>
      <c r="G3" s="40" t="s">
        <v>174</v>
      </c>
      <c r="H3" s="40" t="s">
        <v>170</v>
      </c>
      <c r="I3" s="40" t="s">
        <v>171</v>
      </c>
      <c r="J3" s="40" t="s">
        <v>172</v>
      </c>
      <c r="K3" s="40" t="s">
        <v>173</v>
      </c>
      <c r="L3" s="40" t="s">
        <v>174</v>
      </c>
      <c r="M3" s="40" t="s">
        <v>173</v>
      </c>
      <c r="N3" s="40" t="s">
        <v>174</v>
      </c>
      <c r="O3" s="40" t="s">
        <v>170</v>
      </c>
      <c r="P3" s="40" t="s">
        <v>171</v>
      </c>
      <c r="Q3" s="40" t="s">
        <v>172</v>
      </c>
      <c r="R3" s="40" t="s">
        <v>173</v>
      </c>
      <c r="S3" s="40" t="s">
        <v>174</v>
      </c>
      <c r="T3" s="40" t="s">
        <v>173</v>
      </c>
      <c r="U3" s="40" t="s">
        <v>174</v>
      </c>
      <c r="V3" s="40" t="s">
        <v>170</v>
      </c>
      <c r="W3" s="40" t="s">
        <v>171</v>
      </c>
      <c r="X3" s="40" t="s">
        <v>172</v>
      </c>
      <c r="Y3" s="40" t="s">
        <v>173</v>
      </c>
      <c r="Z3" s="40" t="s">
        <v>174</v>
      </c>
      <c r="AA3" s="40" t="s">
        <v>173</v>
      </c>
      <c r="AB3" s="40" t="s">
        <v>174</v>
      </c>
      <c r="AC3" s="40" t="s">
        <v>170</v>
      </c>
      <c r="AD3" s="40" t="s">
        <v>171</v>
      </c>
      <c r="AE3" s="40" t="s">
        <v>172</v>
      </c>
      <c r="AF3" s="40" t="s">
        <v>173</v>
      </c>
      <c r="AG3" s="40" t="s">
        <v>174</v>
      </c>
      <c r="AH3" s="40" t="s">
        <v>173</v>
      </c>
      <c r="AI3" s="40" t="s">
        <v>174</v>
      </c>
      <c r="AJ3" s="40" t="s">
        <v>170</v>
      </c>
      <c r="AK3" s="40" t="s">
        <v>171</v>
      </c>
      <c r="AL3" s="40" t="s">
        <v>172</v>
      </c>
      <c r="AM3" s="40" t="s">
        <v>173</v>
      </c>
      <c r="AN3" s="40" t="s">
        <v>174</v>
      </c>
      <c r="AO3" s="40" t="s">
        <v>173</v>
      </c>
      <c r="AP3" s="40" t="s">
        <v>174</v>
      </c>
      <c r="AQ3" s="40" t="s">
        <v>170</v>
      </c>
      <c r="AR3" s="40" t="s">
        <v>171</v>
      </c>
      <c r="AS3" s="40" t="s">
        <v>172</v>
      </c>
      <c r="AT3" s="40" t="s">
        <v>173</v>
      </c>
      <c r="AU3" s="40" t="s">
        <v>174</v>
      </c>
      <c r="AV3" s="40" t="s">
        <v>173</v>
      </c>
      <c r="AW3" s="40" t="s">
        <v>174</v>
      </c>
      <c r="AX3" s="40" t="s">
        <v>170</v>
      </c>
      <c r="AY3" s="40" t="s">
        <v>171</v>
      </c>
      <c r="AZ3" s="40" t="s">
        <v>172</v>
      </c>
      <c r="BA3" s="40" t="s">
        <v>173</v>
      </c>
      <c r="BB3" s="40" t="s">
        <v>174</v>
      </c>
      <c r="BC3" s="40" t="s">
        <v>173</v>
      </c>
      <c r="BD3" s="40" t="s">
        <v>174</v>
      </c>
      <c r="BE3" s="40" t="s">
        <v>170</v>
      </c>
      <c r="BF3" s="40" t="s">
        <v>171</v>
      </c>
      <c r="BG3" s="40" t="s">
        <v>172</v>
      </c>
      <c r="BH3" s="40" t="s">
        <v>173</v>
      </c>
      <c r="BI3" s="40" t="s">
        <v>174</v>
      </c>
      <c r="BJ3" s="40" t="s">
        <v>173</v>
      </c>
      <c r="BK3" s="40" t="s">
        <v>174</v>
      </c>
      <c r="BL3" s="40" t="s">
        <v>170</v>
      </c>
      <c r="BM3" s="40" t="s">
        <v>171</v>
      </c>
      <c r="BN3" s="40" t="s">
        <v>172</v>
      </c>
      <c r="BO3" s="40" t="s">
        <v>173</v>
      </c>
      <c r="BP3" s="40" t="s">
        <v>174</v>
      </c>
      <c r="BQ3" s="40" t="s">
        <v>173</v>
      </c>
      <c r="BR3" s="40" t="s">
        <v>174</v>
      </c>
      <c r="BS3" s="40" t="s">
        <v>170</v>
      </c>
      <c r="BT3" s="40" t="s">
        <v>171</v>
      </c>
      <c r="BU3" s="40" t="s">
        <v>172</v>
      </c>
      <c r="BV3" s="40" t="s">
        <v>173</v>
      </c>
      <c r="BW3" s="40" t="s">
        <v>174</v>
      </c>
      <c r="BX3" s="40" t="s">
        <v>173</v>
      </c>
      <c r="BY3" s="40" t="s">
        <v>174</v>
      </c>
      <c r="BZ3" s="40" t="s">
        <v>170</v>
      </c>
      <c r="CA3" s="40" t="s">
        <v>171</v>
      </c>
      <c r="CB3" s="40" t="s">
        <v>172</v>
      </c>
      <c r="CC3" s="40" t="s">
        <v>173</v>
      </c>
      <c r="CD3" s="40" t="s">
        <v>174</v>
      </c>
      <c r="CE3" s="40" t="s">
        <v>173</v>
      </c>
      <c r="CF3" s="40" t="s">
        <v>174</v>
      </c>
    </row>
    <row r="4" spans="1:84" x14ac:dyDescent="0.25">
      <c r="A4" s="29" t="s">
        <v>175</v>
      </c>
      <c r="B4" s="29">
        <f>COUNTIFS(tblAdmissions[Month],1,tblAdmissions[AgeUnit],"Days",tblAdmissions[Age],"&gt;="&amp;0,tblAdmissions[Age],"&lt;="&amp;28,tblAdmissions[Sex],"M")</f>
        <v>28</v>
      </c>
      <c r="C4" s="29">
        <f>COUNTIFS(tblAdmissions[Month],1,tblAdmissions[AgeUnit],"Days",tblAdmissions[Age],"&gt;="&amp;0,tblAdmissions[Age],"&lt;="&amp;28,tblAdmissions[Sex],"F")</f>
        <v>18</v>
      </c>
      <c r="D4" s="29">
        <f>COUNTIFS(tblAdmissions[Month],1,tblAdmissions[AgeUnit],"Days",tblAdmissions[Age],"&gt;="&amp;0,tblAdmissions[Age],"&lt;="&amp;28,tblAdmissions[Sex],"M",tblAdmissions[NHIS],"Non-Insured")</f>
        <v>0</v>
      </c>
      <c r="E4" s="29">
        <f>COUNTIFS(tblAdmissions[Month],1,tblAdmissions[AgeUnit],"Days",tblAdmissions[Age],"&gt;="&amp;0,tblAdmissions[Age],"&lt;="&amp;28,tblAdmissions[Sex],"F",tblAdmissions[NHIS],"Non-Insured")</f>
        <v>0</v>
      </c>
      <c r="F4" s="29">
        <f>COUNTIFS(tblAdmissions[Month],1,tblAdmissions[AgeUnit],"Days",tblAdmissions[Age],"&gt;="&amp;0,tblAdmissions[Age],"&lt;="&amp;28,tblAdmissions[Sex],"M",tblAdmissions[NHIS],"Insured")</f>
        <v>28</v>
      </c>
      <c r="G4" s="29">
        <f>COUNTIFS(tblAdmissions[Month],1,tblAdmissions[AgeUnit],"Days",tblAdmissions[Age],"&gt;="&amp;0,tblAdmissions[Age],"&lt;="&amp;28,tblAdmissions[Sex],"F",tblAdmissions[NHIS],"Insured")</f>
        <v>18</v>
      </c>
      <c r="H4" s="29" t="s">
        <v>175</v>
      </c>
      <c r="I4" s="29">
        <f>COUNTIFS(tblAdmissions[Month],2,tblAdmissions[AgeUnit],"Days",tblAdmissions[Age],"&gt;="&amp;0,tblAdmissions[Age],"&lt;="&amp;28,tblAdmissions[Sex],"M")</f>
        <v>31</v>
      </c>
      <c r="J4" s="29">
        <f>COUNTIFS(tblAdmissions[Month],2,tblAdmissions[AgeUnit],"Days",tblAdmissions[Age],"&gt;="&amp;0,tblAdmissions[Age],"&lt;="&amp;28,tblAdmissions[Sex],"F")</f>
        <v>22</v>
      </c>
      <c r="K4" s="29">
        <f>COUNTIFS(tblAdmissions[Month],2,tblAdmissions[AgeUnit],"Days",tblAdmissions[Age],"&gt;="&amp;0,tblAdmissions[Age],"&lt;="&amp;28,tblAdmissions[Sex],"M",tblAdmissions[NHIS],"Non-Insured")</f>
        <v>0</v>
      </c>
      <c r="L4" s="29">
        <f>COUNTIFS(tblAdmissions[Month],2,tblAdmissions[AgeUnit],"Days",tblAdmissions[Age],"&gt;="&amp;0,tblAdmissions[Age],"&lt;="&amp;28,tblAdmissions[Sex],"F",tblAdmissions[NHIS],"Non-Insured")</f>
        <v>0</v>
      </c>
      <c r="M4" s="29">
        <f>COUNTIFS(tblAdmissions[Month],2,tblAdmissions[AgeUnit],"Days",tblAdmissions[Age],"&gt;="&amp;0,tblAdmissions[Age],"&lt;="&amp;28,tblAdmissions[Sex],"M",tblAdmissions[NHIS],"Insured")</f>
        <v>31</v>
      </c>
      <c r="N4" s="29">
        <f>COUNTIFS(tblAdmissions[Month],2,tblAdmissions[AgeUnit],"Days",tblAdmissions[Age],"&gt;="&amp;0,tblAdmissions[Age],"&lt;="&amp;28,tblAdmissions[Sex],"F",tblAdmissions[NHIS],"Insured")</f>
        <v>22</v>
      </c>
      <c r="O4" s="29" t="s">
        <v>175</v>
      </c>
      <c r="P4" s="29">
        <f>COUNTIFS(tblAdmissions[Month],3,tblAdmissions[AgeUnit],"Days",tblAdmissions[Age],"&gt;="&amp;0,tblAdmissions[Age],"&lt;="&amp;28,tblAdmissions[Sex],"M")</f>
        <v>29</v>
      </c>
      <c r="Q4" s="29">
        <f>COUNTIFS(tblAdmissions[Month],3,tblAdmissions[AgeUnit],"Days",tblAdmissions[Age],"&gt;="&amp;0,tblAdmissions[Age],"&lt;="&amp;28,tblAdmissions[Sex],"F")</f>
        <v>25</v>
      </c>
      <c r="R4" s="29">
        <f>COUNTIFS(tblAdmissions[Month],3,tblAdmissions[AgeUnit],"Days",tblAdmissions[Age],"&gt;="&amp;0,tblAdmissions[Age],"&lt;="&amp;28,tblAdmissions[Sex],"M",tblAdmissions[NHIS],"Non-Insured")</f>
        <v>0</v>
      </c>
      <c r="S4" s="29">
        <f>COUNTIFS(tblAdmissions[Month],3,tblAdmissions[AgeUnit],"Days",tblAdmissions[Age],"&gt;="&amp;0,tblAdmissions[Age],"&lt;="&amp;28,tblAdmissions[Sex],"F",tblAdmissions[NHIS],"Non-Insured")</f>
        <v>0</v>
      </c>
      <c r="T4" s="29">
        <f>COUNTIFS(tblAdmissions[Month],3,tblAdmissions[AgeUnit],"Days",tblAdmissions[Age],"&gt;="&amp;0,tblAdmissions[Age],"&lt;="&amp;28,tblAdmissions[Sex],"M",tblAdmissions[NHIS],"Insured")</f>
        <v>29</v>
      </c>
      <c r="U4" s="29">
        <f>COUNTIFS(tblAdmissions[Month],3,tblAdmissions[AgeUnit],"Days",tblAdmissions[Age],"&gt;="&amp;0,tblAdmissions[Age],"&lt;="&amp;28,tblAdmissions[Sex],"F",tblAdmissions[NHIS],"Insured")</f>
        <v>25</v>
      </c>
      <c r="V4" s="29" t="s">
        <v>175</v>
      </c>
      <c r="W4" s="29">
        <f>COUNTIFS(tblAdmissions[Month],4,tblAdmissions[AgeUnit],"Days",tblAdmissions[Age],"&gt;="&amp;0,tblAdmissions[Age],"&lt;="&amp;28,tblAdmissions[Sex],"M")</f>
        <v>0</v>
      </c>
      <c r="X4" s="29">
        <f>COUNTIFS(tblAdmissions[Month],4,tblAdmissions[AgeUnit],"Days",tblAdmissions[Age],"&gt;="&amp;0,tblAdmissions[Age],"&lt;="&amp;28,tblAdmissions[Sex],"F")</f>
        <v>0</v>
      </c>
      <c r="Y4" s="29">
        <f>COUNTIFS(tblAdmissions[Month],4,tblAdmissions[AgeUnit],"Days",tblAdmissions[Age],"&gt;="&amp;0,tblAdmissions[Age],"&lt;="&amp;28,tblAdmissions[Sex],"M",tblAdmissions[NHIS],"Non-Insured")</f>
        <v>0</v>
      </c>
      <c r="Z4" s="29">
        <f>COUNTIFS(tblAdmissions[Month],4,tblAdmissions[AgeUnit],"Days",tblAdmissions[Age],"&gt;="&amp;0,tblAdmissions[Age],"&lt;="&amp;28,tblAdmissions[Sex],"F",tblAdmissions[NHIS],"Non-Insured")</f>
        <v>0</v>
      </c>
      <c r="AA4" s="29">
        <f>COUNTIFS(tblAdmissions[Month],4,tblAdmissions[AgeUnit],"Days",tblAdmissions[Age],"&gt;="&amp;0,tblAdmissions[Age],"&lt;="&amp;28,tblAdmissions[Sex],"M",tblAdmissions[NHIS],"Insured")</f>
        <v>0</v>
      </c>
      <c r="AB4" s="29">
        <f>COUNTIFS(tblAdmissions[Month],4,tblAdmissions[AgeUnit],"Days",tblAdmissions[Age],"&gt;="&amp;0,tblAdmissions[Age],"&lt;="&amp;28,tblAdmissions[Sex],"F",tblAdmissions[NHIS],"Insured")</f>
        <v>0</v>
      </c>
      <c r="AC4" s="29" t="s">
        <v>175</v>
      </c>
      <c r="AD4" s="29">
        <f>COUNTIFS(tblAdmissions[Month],5,tblAdmissions[AgeUnit],"Days",tblAdmissions[Age],"&gt;="&amp;0,tblAdmissions[Age],"&lt;="&amp;28,tblAdmissions[Sex],"M")</f>
        <v>0</v>
      </c>
      <c r="AE4" s="29">
        <f>COUNTIFS(tblAdmissions[Month],5,tblAdmissions[AgeUnit],"Days",tblAdmissions[Age],"&gt;="&amp;0,tblAdmissions[Age],"&lt;="&amp;28,tblAdmissions[Sex],"F")</f>
        <v>0</v>
      </c>
      <c r="AF4" s="29">
        <f>COUNTIFS(tblAdmissions[Month],5,tblAdmissions[AgeUnit],"Days",tblAdmissions[Age],"&gt;="&amp;0,tblAdmissions[Age],"&lt;="&amp;28,tblAdmissions[Sex],"M",tblAdmissions[NHIS],"Non-Insured")</f>
        <v>0</v>
      </c>
      <c r="AG4" s="29">
        <f>COUNTIFS(tblAdmissions[Month],5,tblAdmissions[AgeUnit],"Days",tblAdmissions[Age],"&gt;="&amp;0,tblAdmissions[Age],"&lt;="&amp;28,tblAdmissions[Sex],"F",tblAdmissions[NHIS],"Non-Insured")</f>
        <v>0</v>
      </c>
      <c r="AH4" s="29">
        <f>COUNTIFS(tblAdmissions[Month],5,tblAdmissions[AgeUnit],"Days",tblAdmissions[Age],"&gt;="&amp;0,tblAdmissions[Age],"&lt;="&amp;28,tblAdmissions[Sex],"M",tblAdmissions[NHIS],"Insured")</f>
        <v>0</v>
      </c>
      <c r="AI4" s="29">
        <f>COUNTIFS(tblAdmissions[Month],5,tblAdmissions[AgeUnit],"Days",tblAdmissions[Age],"&gt;="&amp;0,tblAdmissions[Age],"&lt;="&amp;28,tblAdmissions[Sex],"F",tblAdmissions[NHIS],"Insured")</f>
        <v>0</v>
      </c>
      <c r="AJ4" s="29" t="s">
        <v>175</v>
      </c>
      <c r="AK4" s="29">
        <f>COUNTIFS(tblAdmissions[Month],6,tblAdmissions[AgeUnit],"Days",tblAdmissions[Age],"&gt;="&amp;0,tblAdmissions[Age],"&lt;="&amp;28,tblAdmissions[Sex],"M")</f>
        <v>0</v>
      </c>
      <c r="AL4" s="29">
        <f>COUNTIFS(tblAdmissions[Month],6,tblAdmissions[AgeUnit],"Days",tblAdmissions[Age],"&gt;="&amp;0,tblAdmissions[Age],"&lt;="&amp;28,tblAdmissions[Sex],"F")</f>
        <v>0</v>
      </c>
      <c r="AM4" s="29">
        <f>COUNTIFS(tblAdmissions[Month],6,tblAdmissions[AgeUnit],"Days",tblAdmissions[Age],"&gt;="&amp;0,tblAdmissions[Age],"&lt;="&amp;28,tblAdmissions[Sex],"M",tblAdmissions[NHIS],"Non-Insured")</f>
        <v>0</v>
      </c>
      <c r="AN4" s="29">
        <f>COUNTIFS(tblAdmissions[Month],6,tblAdmissions[AgeUnit],"Days",tblAdmissions[Age],"&gt;="&amp;0,tblAdmissions[Age],"&lt;="&amp;28,tblAdmissions[Sex],"F",tblAdmissions[NHIS],"Non-Insured")</f>
        <v>0</v>
      </c>
      <c r="AO4" s="29">
        <f>COUNTIFS(tblAdmissions[Month],6,tblAdmissions[AgeUnit],"Days",tblAdmissions[Age],"&gt;="&amp;0,tblAdmissions[Age],"&lt;="&amp;28,tblAdmissions[Sex],"M",tblAdmissions[NHIS],"Insured")</f>
        <v>0</v>
      </c>
      <c r="AP4" s="29">
        <f>COUNTIFS(tblAdmissions[Month],6,tblAdmissions[AgeUnit],"Days",tblAdmissions[Age],"&gt;="&amp;0,tblAdmissions[Age],"&lt;="&amp;28,tblAdmissions[Sex],"F",tblAdmissions[NHIS],"Insured")</f>
        <v>0</v>
      </c>
      <c r="AQ4" s="29" t="s">
        <v>175</v>
      </c>
      <c r="AR4" s="29">
        <f>COUNTIFS(tblAdmissions[Month],7,tblAdmissions[AgeUnit],"Days",tblAdmissions[Age],"&gt;="&amp;0,tblAdmissions[Age],"&lt;="&amp;28,tblAdmissions[Sex],"M")</f>
        <v>0</v>
      </c>
      <c r="AS4" s="29">
        <f>COUNTIFS(tblAdmissions[Month],7,tblAdmissions[AgeUnit],"Days",tblAdmissions[Age],"&gt;="&amp;0,tblAdmissions[Age],"&lt;="&amp;28,tblAdmissions[Sex],"F")</f>
        <v>0</v>
      </c>
      <c r="AT4" s="29">
        <f>COUNTIFS(tblAdmissions[Month],7,tblAdmissions[AgeUnit],"Days",tblAdmissions[Age],"&gt;="&amp;0,tblAdmissions[Age],"&lt;="&amp;28,tblAdmissions[Sex],"M",tblAdmissions[NHIS],"Non-Insured")</f>
        <v>0</v>
      </c>
      <c r="AU4" s="29">
        <f>COUNTIFS(tblAdmissions[Month],7,tblAdmissions[AgeUnit],"Days",tblAdmissions[Age],"&gt;="&amp;0,tblAdmissions[Age],"&lt;="&amp;28,tblAdmissions[Sex],"F",tblAdmissions[NHIS],"Non-Insured")</f>
        <v>0</v>
      </c>
      <c r="AV4" s="29">
        <f>COUNTIFS(tblAdmissions[Month],7,tblAdmissions[AgeUnit],"Days",tblAdmissions[Age],"&gt;="&amp;0,tblAdmissions[Age],"&lt;="&amp;28,tblAdmissions[Sex],"M",tblAdmissions[NHIS],"Insured")</f>
        <v>0</v>
      </c>
      <c r="AW4" s="29">
        <f>COUNTIFS(tblAdmissions[Month],7,tblAdmissions[AgeUnit],"Days",tblAdmissions[Age],"&gt;="&amp;0,tblAdmissions[Age],"&lt;="&amp;28,tblAdmissions[Sex],"F",tblAdmissions[NHIS],"Insured")</f>
        <v>0</v>
      </c>
      <c r="AX4" s="29" t="s">
        <v>175</v>
      </c>
      <c r="AY4" s="29">
        <f>COUNTIFS(tblAdmissions[Month],8,tblAdmissions[AgeUnit],"Days",tblAdmissions[Age],"&gt;="&amp;0,tblAdmissions[Age],"&lt;="&amp;28,tblAdmissions[Sex],"M")</f>
        <v>0</v>
      </c>
      <c r="AZ4" s="29">
        <f>COUNTIFS(tblAdmissions[Month],8,tblAdmissions[AgeUnit],"Days",tblAdmissions[Age],"&gt;="&amp;0,tblAdmissions[Age],"&lt;="&amp;28,tblAdmissions[Sex],"F")</f>
        <v>0</v>
      </c>
      <c r="BA4" s="29">
        <f>COUNTIFS(tblAdmissions[Month],8,tblAdmissions[AgeUnit],"Days",tblAdmissions[Age],"&gt;="&amp;0,tblAdmissions[Age],"&lt;="&amp;28,tblAdmissions[Sex],"M",tblAdmissions[NHIS],"Non-Insured")</f>
        <v>0</v>
      </c>
      <c r="BB4" s="29">
        <f>COUNTIFS(tblAdmissions[Month],8,tblAdmissions[AgeUnit],"Days",tblAdmissions[Age],"&gt;="&amp;0,tblAdmissions[Age],"&lt;="&amp;28,tblAdmissions[Sex],"F",tblAdmissions[NHIS],"Non-Insured")</f>
        <v>0</v>
      </c>
      <c r="BC4" s="29">
        <f>COUNTIFS(tblAdmissions[Month],8,tblAdmissions[AgeUnit],"Days",tblAdmissions[Age],"&gt;="&amp;0,tblAdmissions[Age],"&lt;="&amp;28,tblAdmissions[Sex],"M",tblAdmissions[NHIS],"Insured")</f>
        <v>0</v>
      </c>
      <c r="BD4" s="29">
        <f>COUNTIFS(tblAdmissions[Month],8,tblAdmissions[AgeUnit],"Days",tblAdmissions[Age],"&gt;="&amp;0,tblAdmissions[Age],"&lt;="&amp;28,tblAdmissions[Sex],"F",tblAdmissions[NHIS],"Insured")</f>
        <v>0</v>
      </c>
      <c r="BE4" s="29" t="s">
        <v>175</v>
      </c>
      <c r="BF4" s="29">
        <f>COUNTIFS(tblAdmissions[Month],9,tblAdmissions[AgeUnit],"Days",tblAdmissions[Age],"&gt;="&amp;0,tblAdmissions[Age],"&lt;="&amp;28,tblAdmissions[Sex],"M")</f>
        <v>0</v>
      </c>
      <c r="BG4" s="29">
        <f>COUNTIFS(tblAdmissions[Month],9,tblAdmissions[AgeUnit],"Days",tblAdmissions[Age],"&gt;="&amp;0,tblAdmissions[Age],"&lt;="&amp;28,tblAdmissions[Sex],"F")</f>
        <v>0</v>
      </c>
      <c r="BH4" s="29">
        <f>COUNTIFS(tblAdmissions[Month],9,tblAdmissions[AgeUnit],"Days",tblAdmissions[Age],"&gt;="&amp;0,tblAdmissions[Age],"&lt;="&amp;28,tblAdmissions[Sex],"M",tblAdmissions[NHIS],"Non-Insured")</f>
        <v>0</v>
      </c>
      <c r="BI4" s="29">
        <f>COUNTIFS(tblAdmissions[Month],9,tblAdmissions[AgeUnit],"Days",tblAdmissions[Age],"&gt;="&amp;0,tblAdmissions[Age],"&lt;="&amp;28,tblAdmissions[Sex],"F",tblAdmissions[NHIS],"Non-Insured")</f>
        <v>0</v>
      </c>
      <c r="BJ4" s="29">
        <f>COUNTIFS(tblAdmissions[Month],9,tblAdmissions[AgeUnit],"Days",tblAdmissions[Age],"&gt;="&amp;0,tblAdmissions[Age],"&lt;="&amp;28,tblAdmissions[Sex],"M",tblAdmissions[NHIS],"Insured")</f>
        <v>0</v>
      </c>
      <c r="BK4" s="29">
        <f>COUNTIFS(tblAdmissions[Month],9,tblAdmissions[AgeUnit],"Days",tblAdmissions[Age],"&gt;="&amp;0,tblAdmissions[Age],"&lt;="&amp;28,tblAdmissions[Sex],"F",tblAdmissions[NHIS],"Insured")</f>
        <v>0</v>
      </c>
      <c r="BL4" s="29" t="s">
        <v>175</v>
      </c>
      <c r="BM4" s="29">
        <f>COUNTIFS(tblAdmissions[Month],10,tblAdmissions[AgeUnit],"Days",tblAdmissions[Age],"&gt;="&amp;0,tblAdmissions[Age],"&lt;="&amp;28,tblAdmissions[Sex],"M")</f>
        <v>0</v>
      </c>
      <c r="BN4" s="29">
        <f>COUNTIFS(tblAdmissions[Month],10,tblAdmissions[AgeUnit],"Days",tblAdmissions[Age],"&gt;="&amp;0,tblAdmissions[Age],"&lt;="&amp;28,tblAdmissions[Sex],"F")</f>
        <v>0</v>
      </c>
      <c r="BO4" s="29">
        <f>COUNTIFS(tblAdmissions[Month],10,tblAdmissions[AgeUnit],"Days",tblAdmissions[Age],"&gt;="&amp;0,tblAdmissions[Age],"&lt;="&amp;28,tblAdmissions[Sex],"M",tblAdmissions[NHIS],"Non-Insured")</f>
        <v>0</v>
      </c>
      <c r="BP4" s="29">
        <f>COUNTIFS(tblAdmissions[Month],10,tblAdmissions[AgeUnit],"Days",tblAdmissions[Age],"&gt;="&amp;0,tblAdmissions[Age],"&lt;="&amp;28,tblAdmissions[Sex],"F",tblAdmissions[NHIS],"Non-Insured")</f>
        <v>0</v>
      </c>
      <c r="BQ4" s="29">
        <f>COUNTIFS(tblAdmissions[Month],10,tblAdmissions[AgeUnit],"Days",tblAdmissions[Age],"&gt;="&amp;0,tblAdmissions[Age],"&lt;="&amp;28,tblAdmissions[Sex],"M",tblAdmissions[NHIS],"Insured")</f>
        <v>0</v>
      </c>
      <c r="BR4" s="29">
        <f>COUNTIFS(tblAdmissions[Month],10,tblAdmissions[AgeUnit],"Days",tblAdmissions[Age],"&gt;="&amp;0,tblAdmissions[Age],"&lt;="&amp;28,tblAdmissions[Sex],"F",tblAdmissions[NHIS],"Insured")</f>
        <v>0</v>
      </c>
      <c r="BS4" s="29" t="s">
        <v>175</v>
      </c>
      <c r="BT4" s="29">
        <f>COUNTIFS(tblAdmissions[Month],11,tblAdmissions[AgeUnit],"Days",tblAdmissions[Age],"&gt;="&amp;0,tblAdmissions[Age],"&lt;="&amp;28,tblAdmissions[Sex],"M")</f>
        <v>0</v>
      </c>
      <c r="BU4" s="29">
        <f>COUNTIFS(tblAdmissions[Month],11,tblAdmissions[AgeUnit],"Days",tblAdmissions[Age],"&gt;="&amp;0,tblAdmissions[Age],"&lt;="&amp;28,tblAdmissions[Sex],"F")</f>
        <v>0</v>
      </c>
      <c r="BV4" s="29">
        <f>COUNTIFS(tblAdmissions[Month],11,tblAdmissions[AgeUnit],"Days",tblAdmissions[Age],"&gt;="&amp;0,tblAdmissions[Age],"&lt;="&amp;28,tblAdmissions[Sex],"M",tblAdmissions[NHIS],"Non-Insured")</f>
        <v>0</v>
      </c>
      <c r="BW4" s="29">
        <f>COUNTIFS(tblAdmissions[Month],11,tblAdmissions[AgeUnit],"Days",tblAdmissions[Age],"&gt;="&amp;0,tblAdmissions[Age],"&lt;="&amp;28,tblAdmissions[Sex],"F",tblAdmissions[NHIS],"Non-Insured")</f>
        <v>0</v>
      </c>
      <c r="BX4" s="29">
        <f>COUNTIFS(tblAdmissions[Month],11,tblAdmissions[AgeUnit],"Days",tblAdmissions[Age],"&gt;="&amp;0,tblAdmissions[Age],"&lt;="&amp;28,tblAdmissions[Sex],"M",tblAdmissions[NHIS],"Insured")</f>
        <v>0</v>
      </c>
      <c r="BY4" s="29">
        <f>COUNTIFS(tblAdmissions[Month],11,tblAdmissions[AgeUnit],"Days",tblAdmissions[Age],"&gt;="&amp;0,tblAdmissions[Age],"&lt;="&amp;28,tblAdmissions[Sex],"F",tblAdmissions[NHIS],"Insured")</f>
        <v>0</v>
      </c>
      <c r="BZ4" s="29" t="s">
        <v>175</v>
      </c>
      <c r="CA4" s="29">
        <f>COUNTIFS(tblAdmissions[Month],12,tblAdmissions[AgeUnit],"Days",tblAdmissions[Age],"&gt;="&amp;0,tblAdmissions[Age],"&lt;="&amp;28,tblAdmissions[Sex],"M")</f>
        <v>0</v>
      </c>
      <c r="CB4" s="29">
        <f>COUNTIFS(tblAdmissions[Month],12,tblAdmissions[AgeUnit],"Days",tblAdmissions[Age],"&gt;="&amp;0,tblAdmissions[Age],"&lt;="&amp;28,tblAdmissions[Sex],"F")</f>
        <v>0</v>
      </c>
      <c r="CC4" s="29">
        <f>COUNTIFS(tblAdmissions[Month],12,tblAdmissions[AgeUnit],"Days",tblAdmissions[Age],"&gt;="&amp;0,tblAdmissions[Age],"&lt;="&amp;28,tblAdmissions[Sex],"M",tblAdmissions[NHIS],"Non-Insured")</f>
        <v>0</v>
      </c>
      <c r="CD4" s="29">
        <f>COUNTIFS(tblAdmissions[Month],12,tblAdmissions[AgeUnit],"Days",tblAdmissions[Age],"&gt;="&amp;0,tblAdmissions[Age],"&lt;="&amp;28,tblAdmissions[Sex],"F",tblAdmissions[NHIS],"Non-Insured")</f>
        <v>0</v>
      </c>
      <c r="CE4" s="29">
        <f>COUNTIFS(tblAdmissions[Month],12,tblAdmissions[AgeUnit],"Days",tblAdmissions[Age],"&gt;="&amp;0,tblAdmissions[Age],"&lt;="&amp;28,tblAdmissions[Sex],"M",tblAdmissions[NHIS],"Insured")</f>
        <v>0</v>
      </c>
      <c r="CF4" s="29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29" t="s">
        <v>176</v>
      </c>
      <c r="B5" s="29">
        <f>COUNTIFS(tblAdmissions[Month],1,tblAdmissions[AgeUnit],"Months",tblAdmissions[Age],"&gt;="&amp;1,tblAdmissions[Age],"&lt;="&amp;11,tblAdmissions[Sex],"M")</f>
        <v>9</v>
      </c>
      <c r="C5" s="29">
        <f>COUNTIFS(tblAdmissions[Month],1,tblAdmissions[AgeUnit],"Months",tblAdmissions[Age],"&gt;="&amp;1,tblAdmissions[Age],"&lt;="&amp;11,tblAdmissions[Sex],"F")</f>
        <v>3</v>
      </c>
      <c r="D5" s="29">
        <f>COUNTIFS(tblAdmissions[Month],1,tblAdmissions[AgeUnit],"Months",tblAdmissions[Age],"&gt;="&amp;1,tblAdmissions[Age],"&lt;="&amp;11,tblAdmissions[Sex],"M",tblAdmissions[NHIS],"Non-Insured")</f>
        <v>0</v>
      </c>
      <c r="E5" s="29">
        <f>COUNTIFS(tblAdmissions[Month],1,tblAdmissions[AgeUnit],"Months",tblAdmissions[Age],"&gt;="&amp;1,tblAdmissions[Age],"&lt;="&amp;11,tblAdmissions[Sex],"F",tblAdmissions[NHIS],"Non-Insured")</f>
        <v>0</v>
      </c>
      <c r="F5" s="29">
        <f>COUNTIFS(tblAdmissions[Month],1,tblAdmissions[AgeUnit],"Months",tblAdmissions[Age],"&gt;="&amp;1,tblAdmissions[Age],"&lt;="&amp;11,tblAdmissions[Sex],"M",tblAdmissions[NHIS],"Insured")</f>
        <v>9</v>
      </c>
      <c r="G5" s="29">
        <f>COUNTIFS(tblAdmissions[Month],1,tblAdmissions[AgeUnit],"Months",tblAdmissions[Age],"&gt;="&amp;1,tblAdmissions[Age],"&lt;="&amp;11,tblAdmissions[Sex],"F",tblAdmissions[NHIS],"Insured")</f>
        <v>3</v>
      </c>
      <c r="H5" s="29" t="s">
        <v>176</v>
      </c>
      <c r="I5" s="29">
        <f>COUNTIFS(tblAdmissions[Month],2,tblAdmissions[AgeUnit],"Months",tblAdmissions[Age],"&gt;="&amp;1,tblAdmissions[Age],"&lt;="&amp;11,tblAdmissions[Sex],"M")</f>
        <v>12</v>
      </c>
      <c r="J5" s="29">
        <f>COUNTIFS(tblAdmissions[Month],2,tblAdmissions[AgeUnit],"Months",tblAdmissions[Age],"&gt;="&amp;1,tblAdmissions[Age],"&lt;="&amp;11,tblAdmissions[Sex],"F")</f>
        <v>3</v>
      </c>
      <c r="K5" s="29">
        <f>COUNTIFS(tblAdmissions[Month],2,tblAdmissions[AgeUnit],"Months",tblAdmissions[Age],"&gt;="&amp;1,tblAdmissions[Age],"&lt;="&amp;11,tblAdmissions[Sex],"M",tblAdmissions[NHIS],"Non-Insured")</f>
        <v>0</v>
      </c>
      <c r="L5" s="29">
        <f>COUNTIFS(tblAdmissions[Month],2,tblAdmissions[AgeUnit],"Months",tblAdmissions[Age],"&gt;="&amp;1,tblAdmissions[Age],"&lt;="&amp;11,tblAdmissions[Sex],"F",tblAdmissions[NHIS],"Non-Insured")</f>
        <v>0</v>
      </c>
      <c r="M5" s="29">
        <f>COUNTIFS(tblAdmissions[Month],2,tblAdmissions[AgeUnit],"Months",tblAdmissions[Age],"&gt;="&amp;1,tblAdmissions[Age],"&lt;="&amp;11,tblAdmissions[Sex],"M",tblAdmissions[NHIS],"Insured")</f>
        <v>12</v>
      </c>
      <c r="N5" s="29">
        <f>COUNTIFS(tblAdmissions[Month],2,tblAdmissions[AgeUnit],"Months",tblAdmissions[Age],"&gt;="&amp;1,tblAdmissions[Age],"&lt;="&amp;11,tblAdmissions[Sex],"F",tblAdmissions[NHIS],"Insured")</f>
        <v>3</v>
      </c>
      <c r="O5" s="29" t="s">
        <v>176</v>
      </c>
      <c r="P5" s="29">
        <f>COUNTIFS(tblAdmissions[Month],3,tblAdmissions[AgeUnit],"Months",tblAdmissions[Age],"&gt;="&amp;1,tblAdmissions[Age],"&lt;="&amp;11,tblAdmissions[Sex],"M")</f>
        <v>8</v>
      </c>
      <c r="Q5" s="29">
        <f>COUNTIFS(tblAdmissions[Month],3,tblAdmissions[AgeUnit],"Months",tblAdmissions[Age],"&gt;="&amp;1,tblAdmissions[Age],"&lt;="&amp;11,tblAdmissions[Sex],"F")</f>
        <v>8</v>
      </c>
      <c r="R5" s="29">
        <f>COUNTIFS(tblAdmissions[Month],3,tblAdmissions[AgeUnit],"Months",tblAdmissions[Age],"&gt;="&amp;1,tblAdmissions[Age],"&lt;="&amp;11,tblAdmissions[Sex],"M",tblAdmissions[NHIS],"Non-Insured")</f>
        <v>0</v>
      </c>
      <c r="S5" s="29">
        <f>COUNTIFS(tblAdmissions[Month],3,tblAdmissions[AgeUnit],"Months",tblAdmissions[Age],"&gt;="&amp;1,tblAdmissions[Age],"&lt;="&amp;11,tblAdmissions[Sex],"F",tblAdmissions[NHIS],"Non-Insured")</f>
        <v>0</v>
      </c>
      <c r="T5" s="29">
        <f>COUNTIFS(tblAdmissions[Month],3,tblAdmissions[AgeUnit],"Months",tblAdmissions[Age],"&gt;="&amp;1,tblAdmissions[Age],"&lt;="&amp;11,tblAdmissions[Sex],"M",tblAdmissions[NHIS],"Insured")</f>
        <v>8</v>
      </c>
      <c r="U5" s="29">
        <f>COUNTIFS(tblAdmissions[Month],3,tblAdmissions[AgeUnit],"Months",tblAdmissions[Age],"&gt;="&amp;1,tblAdmissions[Age],"&lt;="&amp;11,tblAdmissions[Sex],"F",tblAdmissions[NHIS],"Insured")</f>
        <v>8</v>
      </c>
      <c r="V5" s="29" t="s">
        <v>176</v>
      </c>
      <c r="W5" s="29">
        <f>COUNTIFS(tblAdmissions[Month],4,tblAdmissions[AgeUnit],"Months",tblAdmissions[Age],"&gt;="&amp;1,tblAdmissions[Age],"&lt;="&amp;11,tblAdmissions[Sex],"M")</f>
        <v>0</v>
      </c>
      <c r="X5" s="29">
        <f>COUNTIFS(tblAdmissions[Month],4,tblAdmissions[AgeUnit],"Months",tblAdmissions[Age],"&gt;="&amp;1,tblAdmissions[Age],"&lt;="&amp;11,tblAdmissions[Sex],"F")</f>
        <v>0</v>
      </c>
      <c r="Y5" s="29">
        <f>COUNTIFS(tblAdmissions[Month],4,tblAdmissions[AgeUnit],"Months",tblAdmissions[Age],"&gt;="&amp;1,tblAdmissions[Age],"&lt;="&amp;11,tblAdmissions[Sex],"M",tblAdmissions[NHIS],"Non-Insured")</f>
        <v>0</v>
      </c>
      <c r="Z5" s="29">
        <f>COUNTIFS(tblAdmissions[Month],4,tblAdmissions[AgeUnit],"Months",tblAdmissions[Age],"&gt;="&amp;1,tblAdmissions[Age],"&lt;="&amp;11,tblAdmissions[Sex],"F",tblAdmissions[NHIS],"Non-Insured")</f>
        <v>0</v>
      </c>
      <c r="AA5" s="29">
        <f>COUNTIFS(tblAdmissions[Month],4,tblAdmissions[AgeUnit],"Months",tblAdmissions[Age],"&gt;="&amp;1,tblAdmissions[Age],"&lt;="&amp;11,tblAdmissions[Sex],"M",tblAdmissions[NHIS],"Insured")</f>
        <v>0</v>
      </c>
      <c r="AB5" s="29">
        <f>COUNTIFS(tblAdmissions[Month],4,tblAdmissions[AgeUnit],"Months",tblAdmissions[Age],"&gt;="&amp;1,tblAdmissions[Age],"&lt;="&amp;11,tblAdmissions[Sex],"F",tblAdmissions[NHIS],"Insured")</f>
        <v>0</v>
      </c>
      <c r="AC5" s="29" t="s">
        <v>176</v>
      </c>
      <c r="AD5" s="29">
        <f>COUNTIFS(tblAdmissions[Month],5,tblAdmissions[AgeUnit],"Months",tblAdmissions[Age],"&gt;="&amp;1,tblAdmissions[Age],"&lt;="&amp;11,tblAdmissions[Sex],"M")</f>
        <v>0</v>
      </c>
      <c r="AE5" s="29">
        <f>COUNTIFS(tblAdmissions[Month],5,tblAdmissions[AgeUnit],"Months",tblAdmissions[Age],"&gt;="&amp;1,tblAdmissions[Age],"&lt;="&amp;11,tblAdmissions[Sex],"F")</f>
        <v>0</v>
      </c>
      <c r="AF5" s="29">
        <f>COUNTIFS(tblAdmissions[Month],5,tblAdmissions[AgeUnit],"Months",tblAdmissions[Age],"&gt;="&amp;1,tblAdmissions[Age],"&lt;="&amp;11,tblAdmissions[Sex],"M",tblAdmissions[NHIS],"Non-Insured")</f>
        <v>0</v>
      </c>
      <c r="AG5" s="29">
        <f>COUNTIFS(tblAdmissions[Month],5,tblAdmissions[AgeUnit],"Months",tblAdmissions[Age],"&gt;="&amp;1,tblAdmissions[Age],"&lt;="&amp;11,tblAdmissions[Sex],"F",tblAdmissions[NHIS],"Non-Insured")</f>
        <v>0</v>
      </c>
      <c r="AH5" s="29">
        <f>COUNTIFS(tblAdmissions[Month],5,tblAdmissions[AgeUnit],"Months",tblAdmissions[Age],"&gt;="&amp;1,tblAdmissions[Age],"&lt;="&amp;11,tblAdmissions[Sex],"M",tblAdmissions[NHIS],"Insured")</f>
        <v>0</v>
      </c>
      <c r="AI5" s="29">
        <f>COUNTIFS(tblAdmissions[Month],5,tblAdmissions[AgeUnit],"Months",tblAdmissions[Age],"&gt;="&amp;1,tblAdmissions[Age],"&lt;="&amp;11,tblAdmissions[Sex],"F",tblAdmissions[NHIS],"Insured")</f>
        <v>0</v>
      </c>
      <c r="AJ5" s="29" t="s">
        <v>176</v>
      </c>
      <c r="AK5" s="29">
        <f>COUNTIFS(tblAdmissions[Month],6,tblAdmissions[AgeUnit],"Months",tblAdmissions[Age],"&gt;="&amp;1,tblAdmissions[Age],"&lt;="&amp;11,tblAdmissions[Sex],"M")</f>
        <v>0</v>
      </c>
      <c r="AL5" s="29">
        <f>COUNTIFS(tblAdmissions[Month],6,tblAdmissions[AgeUnit],"Months",tblAdmissions[Age],"&gt;="&amp;1,tblAdmissions[Age],"&lt;="&amp;11,tblAdmissions[Sex],"F")</f>
        <v>0</v>
      </c>
      <c r="AM5" s="29">
        <f>COUNTIFS(tblAdmissions[Month],6,tblAdmissions[AgeUnit],"Months",tblAdmissions[Age],"&gt;="&amp;1,tblAdmissions[Age],"&lt;="&amp;11,tblAdmissions[Sex],"M",tblAdmissions[NHIS],"Non-Insured")</f>
        <v>0</v>
      </c>
      <c r="AN5" s="29">
        <f>COUNTIFS(tblAdmissions[Month],6,tblAdmissions[AgeUnit],"Months",tblAdmissions[Age],"&gt;="&amp;1,tblAdmissions[Age],"&lt;="&amp;11,tblAdmissions[Sex],"F",tblAdmissions[NHIS],"Non-Insured")</f>
        <v>0</v>
      </c>
      <c r="AO5" s="29">
        <f>COUNTIFS(tblAdmissions[Month],6,tblAdmissions[AgeUnit],"Months",tblAdmissions[Age],"&gt;="&amp;1,tblAdmissions[Age],"&lt;="&amp;11,tblAdmissions[Sex],"M",tblAdmissions[NHIS],"Insured")</f>
        <v>0</v>
      </c>
      <c r="AP5" s="29">
        <f>COUNTIFS(tblAdmissions[Month],6,tblAdmissions[AgeUnit],"Months",tblAdmissions[Age],"&gt;="&amp;1,tblAdmissions[Age],"&lt;="&amp;11,tblAdmissions[Sex],"F",tblAdmissions[NHIS],"Insured")</f>
        <v>0</v>
      </c>
      <c r="AQ5" s="29" t="s">
        <v>176</v>
      </c>
      <c r="AR5" s="29">
        <f>COUNTIFS(tblAdmissions[Month],7,tblAdmissions[AgeUnit],"Months",tblAdmissions[Age],"&gt;="&amp;1,tblAdmissions[Age],"&lt;="&amp;11,tblAdmissions[Sex],"M")</f>
        <v>0</v>
      </c>
      <c r="AS5" s="29">
        <f>COUNTIFS(tblAdmissions[Month],7,tblAdmissions[AgeUnit],"Months",tblAdmissions[Age],"&gt;="&amp;1,tblAdmissions[Age],"&lt;="&amp;11,tblAdmissions[Sex],"F")</f>
        <v>0</v>
      </c>
      <c r="AT5" s="29">
        <f>COUNTIFS(tblAdmissions[Month],7,tblAdmissions[AgeUnit],"Months",tblAdmissions[Age],"&gt;="&amp;1,tblAdmissions[Age],"&lt;="&amp;11,tblAdmissions[Sex],"M",tblAdmissions[NHIS],"Non-Insured")</f>
        <v>0</v>
      </c>
      <c r="AU5" s="29">
        <f>COUNTIFS(tblAdmissions[Month],7,tblAdmissions[AgeUnit],"Months",tblAdmissions[Age],"&gt;="&amp;1,tblAdmissions[Age],"&lt;="&amp;11,tblAdmissions[Sex],"F",tblAdmissions[NHIS],"Non-Insured")</f>
        <v>0</v>
      </c>
      <c r="AV5" s="29">
        <f>COUNTIFS(tblAdmissions[Month],7,tblAdmissions[AgeUnit],"Months",tblAdmissions[Age],"&gt;="&amp;1,tblAdmissions[Age],"&lt;="&amp;11,tblAdmissions[Sex],"M",tblAdmissions[NHIS],"Insured")</f>
        <v>0</v>
      </c>
      <c r="AW5" s="29">
        <f>COUNTIFS(tblAdmissions[Month],7,tblAdmissions[AgeUnit],"Months",tblAdmissions[Age],"&gt;="&amp;1,tblAdmissions[Age],"&lt;="&amp;11,tblAdmissions[Sex],"F",tblAdmissions[NHIS],"Insured")</f>
        <v>0</v>
      </c>
      <c r="AX5" s="29" t="s">
        <v>176</v>
      </c>
      <c r="AY5" s="29">
        <f>COUNTIFS(tblAdmissions[Month],8,tblAdmissions[AgeUnit],"Months",tblAdmissions[Age],"&gt;="&amp;1,tblAdmissions[Age],"&lt;="&amp;11,tblAdmissions[Sex],"M")</f>
        <v>0</v>
      </c>
      <c r="AZ5" s="29">
        <f>COUNTIFS(tblAdmissions[Month],8,tblAdmissions[AgeUnit],"Months",tblAdmissions[Age],"&gt;="&amp;1,tblAdmissions[Age],"&lt;="&amp;11,tblAdmissions[Sex],"F")</f>
        <v>0</v>
      </c>
      <c r="BA5" s="29">
        <f>COUNTIFS(tblAdmissions[Month],8,tblAdmissions[AgeUnit],"Months",tblAdmissions[Age],"&gt;="&amp;1,tblAdmissions[Age],"&lt;="&amp;11,tblAdmissions[Sex],"M",tblAdmissions[NHIS],"Non-Insured")</f>
        <v>0</v>
      </c>
      <c r="BB5" s="29">
        <f>COUNTIFS(tblAdmissions[Month],8,tblAdmissions[AgeUnit],"Months",tblAdmissions[Age],"&gt;="&amp;1,tblAdmissions[Age],"&lt;="&amp;11,tblAdmissions[Sex],"F",tblAdmissions[NHIS],"Non-Insured")</f>
        <v>0</v>
      </c>
      <c r="BC5" s="29">
        <f>COUNTIFS(tblAdmissions[Month],8,tblAdmissions[AgeUnit],"Months",tblAdmissions[Age],"&gt;="&amp;1,tblAdmissions[Age],"&lt;="&amp;11,tblAdmissions[Sex],"M",tblAdmissions[NHIS],"Insured")</f>
        <v>0</v>
      </c>
      <c r="BD5" s="29">
        <f>COUNTIFS(tblAdmissions[Month],8,tblAdmissions[AgeUnit],"Months",tblAdmissions[Age],"&gt;="&amp;1,tblAdmissions[Age],"&lt;="&amp;11,tblAdmissions[Sex],"F",tblAdmissions[NHIS],"Insured")</f>
        <v>0</v>
      </c>
      <c r="BE5" s="29" t="s">
        <v>176</v>
      </c>
      <c r="BF5" s="29">
        <f>COUNTIFS(tblAdmissions[Month],9,tblAdmissions[AgeUnit],"Months",tblAdmissions[Age],"&gt;="&amp;1,tblAdmissions[Age],"&lt;="&amp;11,tblAdmissions[Sex],"M")</f>
        <v>0</v>
      </c>
      <c r="BG5" s="29">
        <f>COUNTIFS(tblAdmissions[Month],9,tblAdmissions[AgeUnit],"Months",tblAdmissions[Age],"&gt;="&amp;1,tblAdmissions[Age],"&lt;="&amp;11,tblAdmissions[Sex],"F")</f>
        <v>0</v>
      </c>
      <c r="BH5" s="29">
        <f>COUNTIFS(tblAdmissions[Month],9,tblAdmissions[AgeUnit],"Months",tblAdmissions[Age],"&gt;="&amp;1,tblAdmissions[Age],"&lt;="&amp;11,tblAdmissions[Sex],"M",tblAdmissions[NHIS],"Non-Insured")</f>
        <v>0</v>
      </c>
      <c r="BI5" s="29">
        <f>COUNTIFS(tblAdmissions[Month],9,tblAdmissions[AgeUnit],"Months",tblAdmissions[Age],"&gt;="&amp;1,tblAdmissions[Age],"&lt;="&amp;11,tblAdmissions[Sex],"F",tblAdmissions[NHIS],"Non-Insured")</f>
        <v>0</v>
      </c>
      <c r="BJ5" s="29">
        <f>COUNTIFS(tblAdmissions[Month],9,tblAdmissions[AgeUnit],"Months",tblAdmissions[Age],"&gt;="&amp;1,tblAdmissions[Age],"&lt;="&amp;11,tblAdmissions[Sex],"M",tblAdmissions[NHIS],"Insured")</f>
        <v>0</v>
      </c>
      <c r="BK5" s="29">
        <f>COUNTIFS(tblAdmissions[Month],9,tblAdmissions[AgeUnit],"Months",tblAdmissions[Age],"&gt;="&amp;1,tblAdmissions[Age],"&lt;="&amp;11,tblAdmissions[Sex],"F",tblAdmissions[NHIS],"Insured")</f>
        <v>0</v>
      </c>
      <c r="BL5" s="29" t="s">
        <v>176</v>
      </c>
      <c r="BM5" s="29">
        <f>COUNTIFS(tblAdmissions[Month],10,tblAdmissions[AgeUnit],"Months",tblAdmissions[Age],"&gt;="&amp;1,tblAdmissions[Age],"&lt;="&amp;11,tblAdmissions[Sex],"M")</f>
        <v>0</v>
      </c>
      <c r="BN5" s="29">
        <f>COUNTIFS(tblAdmissions[Month],10,tblAdmissions[AgeUnit],"Months",tblAdmissions[Age],"&gt;="&amp;1,tblAdmissions[Age],"&lt;="&amp;11,tblAdmissions[Sex],"F")</f>
        <v>0</v>
      </c>
      <c r="BO5" s="29">
        <f>COUNTIFS(tblAdmissions[Month],10,tblAdmissions[AgeUnit],"Months",tblAdmissions[Age],"&gt;="&amp;1,tblAdmissions[Age],"&lt;="&amp;11,tblAdmissions[Sex],"M",tblAdmissions[NHIS],"Non-Insured")</f>
        <v>0</v>
      </c>
      <c r="BP5" s="29">
        <f>COUNTIFS(tblAdmissions[Month],10,tblAdmissions[AgeUnit],"Months",tblAdmissions[Age],"&gt;="&amp;1,tblAdmissions[Age],"&lt;="&amp;11,tblAdmissions[Sex],"F",tblAdmissions[NHIS],"Non-Insured")</f>
        <v>0</v>
      </c>
      <c r="BQ5" s="29">
        <f>COUNTIFS(tblAdmissions[Month],10,tblAdmissions[AgeUnit],"Months",tblAdmissions[Age],"&gt;="&amp;1,tblAdmissions[Age],"&lt;="&amp;11,tblAdmissions[Sex],"M",tblAdmissions[NHIS],"Insured")</f>
        <v>0</v>
      </c>
      <c r="BR5" s="29">
        <f>COUNTIFS(tblAdmissions[Month],10,tblAdmissions[AgeUnit],"Months",tblAdmissions[Age],"&gt;="&amp;1,tblAdmissions[Age],"&lt;="&amp;11,tblAdmissions[Sex],"F",tblAdmissions[NHIS],"Insured")</f>
        <v>0</v>
      </c>
      <c r="BS5" s="29" t="s">
        <v>176</v>
      </c>
      <c r="BT5" s="29">
        <f>COUNTIFS(tblAdmissions[Month],11,tblAdmissions[AgeUnit],"Months",tblAdmissions[Age],"&gt;="&amp;1,tblAdmissions[Age],"&lt;="&amp;11,tblAdmissions[Sex],"M")</f>
        <v>0</v>
      </c>
      <c r="BU5" s="29">
        <f>COUNTIFS(tblAdmissions[Month],11,tblAdmissions[AgeUnit],"Months",tblAdmissions[Age],"&gt;="&amp;1,tblAdmissions[Age],"&lt;="&amp;11,tblAdmissions[Sex],"F")</f>
        <v>0</v>
      </c>
      <c r="BV5" s="29">
        <f>COUNTIFS(tblAdmissions[Month],11,tblAdmissions[AgeUnit],"Months",tblAdmissions[Age],"&gt;="&amp;1,tblAdmissions[Age],"&lt;="&amp;11,tblAdmissions[Sex],"M",tblAdmissions[NHIS],"Non-Insured")</f>
        <v>0</v>
      </c>
      <c r="BW5" s="29">
        <f>COUNTIFS(tblAdmissions[Month],11,tblAdmissions[AgeUnit],"Months",tblAdmissions[Age],"&gt;="&amp;1,tblAdmissions[Age],"&lt;="&amp;11,tblAdmissions[Sex],"F",tblAdmissions[NHIS],"Non-Insured")</f>
        <v>0</v>
      </c>
      <c r="BX5" s="29">
        <f>COUNTIFS(tblAdmissions[Month],11,tblAdmissions[AgeUnit],"Months",tblAdmissions[Age],"&gt;="&amp;1,tblAdmissions[Age],"&lt;="&amp;11,tblAdmissions[Sex],"M",tblAdmissions[NHIS],"Insured")</f>
        <v>0</v>
      </c>
      <c r="BY5" s="29">
        <f>COUNTIFS(tblAdmissions[Month],11,tblAdmissions[AgeUnit],"Months",tblAdmissions[Age],"&gt;="&amp;1,tblAdmissions[Age],"&lt;="&amp;11,tblAdmissions[Sex],"F",tblAdmissions[NHIS],"Insured")</f>
        <v>0</v>
      </c>
      <c r="BZ5" s="29" t="s">
        <v>176</v>
      </c>
      <c r="CA5" s="29">
        <f>COUNTIFS(tblAdmissions[Month],12,tblAdmissions[AgeUnit],"Months",tblAdmissions[Age],"&gt;="&amp;1,tblAdmissions[Age],"&lt;="&amp;11,tblAdmissions[Sex],"M")</f>
        <v>0</v>
      </c>
      <c r="CB5" s="29">
        <f>COUNTIFS(tblAdmissions[Month],12,tblAdmissions[AgeUnit],"Months",tblAdmissions[Age],"&gt;="&amp;1,tblAdmissions[Age],"&lt;="&amp;11,tblAdmissions[Sex],"F")</f>
        <v>0</v>
      </c>
      <c r="CC5" s="29">
        <f>COUNTIFS(tblAdmissions[Month],12,tblAdmissions[AgeUnit],"Months",tblAdmissions[Age],"&gt;="&amp;1,tblAdmissions[Age],"&lt;="&amp;11,tblAdmissions[Sex],"M",tblAdmissions[NHIS],"Non-Insured")</f>
        <v>0</v>
      </c>
      <c r="CD5" s="29">
        <f>COUNTIFS(tblAdmissions[Month],12,tblAdmissions[AgeUnit],"Months",tblAdmissions[Age],"&gt;="&amp;1,tblAdmissions[Age],"&lt;="&amp;11,tblAdmissions[Sex],"F",tblAdmissions[NHIS],"Non-Insured")</f>
        <v>0</v>
      </c>
      <c r="CE5" s="29">
        <f>COUNTIFS(tblAdmissions[Month],12,tblAdmissions[AgeUnit],"Months",tblAdmissions[Age],"&gt;="&amp;1,tblAdmissions[Age],"&lt;="&amp;11,tblAdmissions[Sex],"M",tblAdmissions[NHIS],"Insured")</f>
        <v>0</v>
      </c>
      <c r="CF5" s="29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29" t="s">
        <v>177</v>
      </c>
      <c r="B6" s="29">
        <f>COUNTIFS(tblAdmissions[Month],1,tblAdmissions[AgeUnit],"Years",tblAdmissions[Age],"&gt;="&amp;1,tblAdmissions[Age],"&lt;="&amp;4,tblAdmissions[Sex],"M")</f>
        <v>25</v>
      </c>
      <c r="C6" s="29">
        <f>COUNTIFS(tblAdmissions[Month],1,tblAdmissions[AgeUnit],"Years",tblAdmissions[Age],"&gt;="&amp;1,tblAdmissions[Age],"&lt;="&amp;4,tblAdmissions[Sex],"F")</f>
        <v>16</v>
      </c>
      <c r="D6" s="29">
        <f>COUNTIFS(tblAdmissions[Month],1,tblAdmissions[AgeUnit],"Years",tblAdmissions[Age],"&gt;="&amp;1,tblAdmissions[Age],"&lt;="&amp;4,tblAdmissions[Sex],"M",tblAdmissions[NHIS],"Non-Insured")</f>
        <v>0</v>
      </c>
      <c r="E6" s="29">
        <f>COUNTIFS(tblAdmissions[Month],1,tblAdmissions[AgeUnit],"Years",tblAdmissions[Age],"&gt;="&amp;1,tblAdmissions[Age],"&lt;="&amp;4,tblAdmissions[Sex],"F",tblAdmissions[NHIS],"Non-Insured")</f>
        <v>0</v>
      </c>
      <c r="F6" s="29">
        <f>COUNTIFS(tblAdmissions[Month],1,tblAdmissions[AgeUnit],"Years",tblAdmissions[Age],"&gt;="&amp;1,tblAdmissions[Age],"&lt;="&amp;4,tblAdmissions[Sex],"M",tblAdmissions[NHIS],"Insured")</f>
        <v>25</v>
      </c>
      <c r="G6" s="29">
        <f>COUNTIFS(tblAdmissions[Month],1,tblAdmissions[AgeUnit],"Years",tblAdmissions[Age],"&gt;="&amp;1,tblAdmissions[Age],"&lt;="&amp;4,tblAdmissions[Sex],"F",tblAdmissions[NHIS],"Insured")</f>
        <v>16</v>
      </c>
      <c r="H6" s="29" t="s">
        <v>177</v>
      </c>
      <c r="I6" s="29">
        <f>COUNTIFS(tblAdmissions[Month],2,tblAdmissions[AgeUnit],"Years",tblAdmissions[Age],"&gt;="&amp;1,tblAdmissions[Age],"&lt;="&amp;4,tblAdmissions[Sex],"M")</f>
        <v>26</v>
      </c>
      <c r="J6" s="29">
        <f>COUNTIFS(tblAdmissions[Month],2,tblAdmissions[AgeUnit],"Years",tblAdmissions[Age],"&gt;="&amp;1,tblAdmissions[Age],"&lt;="&amp;4,tblAdmissions[Sex],"F")</f>
        <v>18</v>
      </c>
      <c r="K6" s="29">
        <f>COUNTIFS(tblAdmissions[Month],2,tblAdmissions[AgeUnit],"Years",tblAdmissions[Age],"&gt;="&amp;1,tblAdmissions[Age],"&lt;="&amp;4,tblAdmissions[Sex],"M",tblAdmissions[NHIS],"Non-Insured")</f>
        <v>0</v>
      </c>
      <c r="L6" s="29">
        <f>COUNTIFS(tblAdmissions[Month],2,tblAdmissions[AgeUnit],"Years",tblAdmissions[Age],"&gt;="&amp;1,tblAdmissions[Age],"&lt;="&amp;4,tblAdmissions[Sex],"F",tblAdmissions[NHIS],"Non-Insured")</f>
        <v>0</v>
      </c>
      <c r="M6" s="29">
        <f>COUNTIFS(tblAdmissions[Month],2,tblAdmissions[AgeUnit],"Years",tblAdmissions[Age],"&gt;="&amp;1,tblAdmissions[Age],"&lt;="&amp;4,tblAdmissions[Sex],"M",tblAdmissions[NHIS],"Insured")</f>
        <v>26</v>
      </c>
      <c r="N6" s="29">
        <f>COUNTIFS(tblAdmissions[Month],2,tblAdmissions[AgeUnit],"Years",tblAdmissions[Age],"&gt;="&amp;1,tblAdmissions[Age],"&lt;="&amp;4,tblAdmissions[Sex],"F",tblAdmissions[NHIS],"Insured")</f>
        <v>18</v>
      </c>
      <c r="O6" s="29" t="s">
        <v>177</v>
      </c>
      <c r="P6" s="29">
        <f>COUNTIFS(tblAdmissions[Month],3,tblAdmissions[AgeUnit],"Years",tblAdmissions[Age],"&gt;="&amp;1,tblAdmissions[Age],"&lt;="&amp;4,tblAdmissions[Sex],"M")</f>
        <v>23</v>
      </c>
      <c r="Q6" s="29">
        <f>COUNTIFS(tblAdmissions[Month],3,tblAdmissions[AgeUnit],"Years",tblAdmissions[Age],"&gt;="&amp;1,tblAdmissions[Age],"&lt;="&amp;4,tblAdmissions[Sex],"F")</f>
        <v>17</v>
      </c>
      <c r="R6" s="29">
        <f>COUNTIFS(tblAdmissions[Month],3,tblAdmissions[AgeUnit],"Years",tblAdmissions[Age],"&gt;="&amp;1,tblAdmissions[Age],"&lt;="&amp;4,tblAdmissions[Sex],"M",tblAdmissions[NHIS],"Non-Insured")</f>
        <v>0</v>
      </c>
      <c r="S6" s="29">
        <f>COUNTIFS(tblAdmissions[Month],3,tblAdmissions[AgeUnit],"Years",tblAdmissions[Age],"&gt;="&amp;1,tblAdmissions[Age],"&lt;="&amp;4,tblAdmissions[Sex],"F",tblAdmissions[NHIS],"Non-Insured")</f>
        <v>0</v>
      </c>
      <c r="T6" s="29">
        <f>COUNTIFS(tblAdmissions[Month],3,tblAdmissions[AgeUnit],"Years",tblAdmissions[Age],"&gt;="&amp;1,tblAdmissions[Age],"&lt;="&amp;4,tblAdmissions[Sex],"M",tblAdmissions[NHIS],"Insured")</f>
        <v>23</v>
      </c>
      <c r="U6" s="29">
        <f>COUNTIFS(tblAdmissions[Month],3,tblAdmissions[AgeUnit],"Years",tblAdmissions[Age],"&gt;="&amp;1,tblAdmissions[Age],"&lt;="&amp;4,tblAdmissions[Sex],"F",tblAdmissions[NHIS],"Insured")</f>
        <v>17</v>
      </c>
      <c r="V6" s="29" t="s">
        <v>177</v>
      </c>
      <c r="W6" s="29">
        <f>COUNTIFS(tblAdmissions[Month],4,tblAdmissions[AgeUnit],"Years",tblAdmissions[Age],"&gt;="&amp;1,tblAdmissions[Age],"&lt;="&amp;4,tblAdmissions[Sex],"M")</f>
        <v>0</v>
      </c>
      <c r="X6" s="29">
        <f>COUNTIFS(tblAdmissions[Month],4,tblAdmissions[AgeUnit],"Years",tblAdmissions[Age],"&gt;="&amp;1,tblAdmissions[Age],"&lt;="&amp;4,tblAdmissions[Sex],"F")</f>
        <v>0</v>
      </c>
      <c r="Y6" s="29">
        <f>COUNTIFS(tblAdmissions[Month],4,tblAdmissions[AgeUnit],"Years",tblAdmissions[Age],"&gt;="&amp;1,tblAdmissions[Age],"&lt;="&amp;4,tblAdmissions[Sex],"M",tblAdmissions[NHIS],"Non-Insured")</f>
        <v>0</v>
      </c>
      <c r="Z6" s="29">
        <f>COUNTIFS(tblAdmissions[Month],4,tblAdmissions[AgeUnit],"Years",tblAdmissions[Age],"&gt;="&amp;1,tblAdmissions[Age],"&lt;="&amp;4,tblAdmissions[Sex],"F",tblAdmissions[NHIS],"Non-Insured")</f>
        <v>0</v>
      </c>
      <c r="AA6" s="29">
        <f>COUNTIFS(tblAdmissions[Month],4,tblAdmissions[AgeUnit],"Years",tblAdmissions[Age],"&gt;="&amp;1,tblAdmissions[Age],"&lt;="&amp;4,tblAdmissions[Sex],"M",tblAdmissions[NHIS],"Insured")</f>
        <v>0</v>
      </c>
      <c r="AB6" s="29">
        <f>COUNTIFS(tblAdmissions[Month],4,tblAdmissions[AgeUnit],"Years",tblAdmissions[Age],"&gt;="&amp;1,tblAdmissions[Age],"&lt;="&amp;4,tblAdmissions[Sex],"F",tblAdmissions[NHIS],"Insured")</f>
        <v>0</v>
      </c>
      <c r="AC6" s="29" t="s">
        <v>177</v>
      </c>
      <c r="AD6" s="29">
        <f>COUNTIFS(tblAdmissions[Month],5,tblAdmissions[AgeUnit],"Years",tblAdmissions[Age],"&gt;="&amp;1,tblAdmissions[Age],"&lt;="&amp;4,tblAdmissions[Sex],"M")</f>
        <v>0</v>
      </c>
      <c r="AE6" s="29">
        <f>COUNTIFS(tblAdmissions[Month],5,tblAdmissions[AgeUnit],"Years",tblAdmissions[Age],"&gt;="&amp;1,tblAdmissions[Age],"&lt;="&amp;4,tblAdmissions[Sex],"F")</f>
        <v>0</v>
      </c>
      <c r="AF6" s="29">
        <f>COUNTIFS(tblAdmissions[Month],5,tblAdmissions[AgeUnit],"Years",tblAdmissions[Age],"&gt;="&amp;1,tblAdmissions[Age],"&lt;="&amp;4,tblAdmissions[Sex],"M",tblAdmissions[NHIS],"Non-Insured")</f>
        <v>0</v>
      </c>
      <c r="AG6" s="29">
        <f>COUNTIFS(tblAdmissions[Month],5,tblAdmissions[AgeUnit],"Years",tblAdmissions[Age],"&gt;="&amp;1,tblAdmissions[Age],"&lt;="&amp;4,tblAdmissions[Sex],"F",tblAdmissions[NHIS],"Non-Insured")</f>
        <v>0</v>
      </c>
      <c r="AH6" s="29">
        <f>COUNTIFS(tblAdmissions[Month],5,tblAdmissions[AgeUnit],"Years",tblAdmissions[Age],"&gt;="&amp;1,tblAdmissions[Age],"&lt;="&amp;4,tblAdmissions[Sex],"M",tblAdmissions[NHIS],"Insured")</f>
        <v>0</v>
      </c>
      <c r="AI6" s="29">
        <f>COUNTIFS(tblAdmissions[Month],5,tblAdmissions[AgeUnit],"Years",tblAdmissions[Age],"&gt;="&amp;1,tblAdmissions[Age],"&lt;="&amp;4,tblAdmissions[Sex],"F",tblAdmissions[NHIS],"Insured")</f>
        <v>0</v>
      </c>
      <c r="AJ6" s="29" t="s">
        <v>177</v>
      </c>
      <c r="AK6" s="29">
        <f>COUNTIFS(tblAdmissions[Month],6,tblAdmissions[AgeUnit],"Years",tblAdmissions[Age],"&gt;="&amp;1,tblAdmissions[Age],"&lt;="&amp;4,tblAdmissions[Sex],"M")</f>
        <v>0</v>
      </c>
      <c r="AL6" s="29">
        <f>COUNTIFS(tblAdmissions[Month],6,tblAdmissions[AgeUnit],"Years",tblAdmissions[Age],"&gt;="&amp;1,tblAdmissions[Age],"&lt;="&amp;4,tblAdmissions[Sex],"F")</f>
        <v>0</v>
      </c>
      <c r="AM6" s="29">
        <f>COUNTIFS(tblAdmissions[Month],6,tblAdmissions[AgeUnit],"Years",tblAdmissions[Age],"&gt;="&amp;1,tblAdmissions[Age],"&lt;="&amp;4,tblAdmissions[Sex],"M",tblAdmissions[NHIS],"Non-Insured")</f>
        <v>0</v>
      </c>
      <c r="AN6" s="29">
        <f>COUNTIFS(tblAdmissions[Month],6,tblAdmissions[AgeUnit],"Years",tblAdmissions[Age],"&gt;="&amp;1,tblAdmissions[Age],"&lt;="&amp;4,tblAdmissions[Sex],"F",tblAdmissions[NHIS],"Non-Insured")</f>
        <v>0</v>
      </c>
      <c r="AO6" s="29">
        <f>COUNTIFS(tblAdmissions[Month],6,tblAdmissions[AgeUnit],"Years",tblAdmissions[Age],"&gt;="&amp;1,tblAdmissions[Age],"&lt;="&amp;4,tblAdmissions[Sex],"M",tblAdmissions[NHIS],"Insured")</f>
        <v>0</v>
      </c>
      <c r="AP6" s="29">
        <f>COUNTIFS(tblAdmissions[Month],6,tblAdmissions[AgeUnit],"Years",tblAdmissions[Age],"&gt;="&amp;1,tblAdmissions[Age],"&lt;="&amp;4,tblAdmissions[Sex],"F",tblAdmissions[NHIS],"Insured")</f>
        <v>0</v>
      </c>
      <c r="AQ6" s="29" t="s">
        <v>177</v>
      </c>
      <c r="AR6" s="29">
        <f>COUNTIFS(tblAdmissions[Month],7,tblAdmissions[AgeUnit],"Years",tblAdmissions[Age],"&gt;="&amp;1,tblAdmissions[Age],"&lt;="&amp;4,tblAdmissions[Sex],"M")</f>
        <v>0</v>
      </c>
      <c r="AS6" s="29">
        <f>COUNTIFS(tblAdmissions[Month],7,tblAdmissions[AgeUnit],"Years",tblAdmissions[Age],"&gt;="&amp;1,tblAdmissions[Age],"&lt;="&amp;4,tblAdmissions[Sex],"F")</f>
        <v>0</v>
      </c>
      <c r="AT6" s="29">
        <f>COUNTIFS(tblAdmissions[Month],7,tblAdmissions[AgeUnit],"Years",tblAdmissions[Age],"&gt;="&amp;1,tblAdmissions[Age],"&lt;="&amp;4,tblAdmissions[Sex],"M",tblAdmissions[NHIS],"Non-Insured")</f>
        <v>0</v>
      </c>
      <c r="AU6" s="29">
        <f>COUNTIFS(tblAdmissions[Month],7,tblAdmissions[AgeUnit],"Years",tblAdmissions[Age],"&gt;="&amp;1,tblAdmissions[Age],"&lt;="&amp;4,tblAdmissions[Sex],"F",tblAdmissions[NHIS],"Non-Insured")</f>
        <v>0</v>
      </c>
      <c r="AV6" s="29">
        <f>COUNTIFS(tblAdmissions[Month],7,tblAdmissions[AgeUnit],"Years",tblAdmissions[Age],"&gt;="&amp;1,tblAdmissions[Age],"&lt;="&amp;4,tblAdmissions[Sex],"M",tblAdmissions[NHIS],"Insured")</f>
        <v>0</v>
      </c>
      <c r="AW6" s="29">
        <f>COUNTIFS(tblAdmissions[Month],7,tblAdmissions[AgeUnit],"Years",tblAdmissions[Age],"&gt;="&amp;1,tblAdmissions[Age],"&lt;="&amp;4,tblAdmissions[Sex],"F",tblAdmissions[NHIS],"Insured")</f>
        <v>0</v>
      </c>
      <c r="AX6" s="29" t="s">
        <v>177</v>
      </c>
      <c r="AY6" s="29">
        <f>COUNTIFS(tblAdmissions[Month],8,tblAdmissions[AgeUnit],"Years",tblAdmissions[Age],"&gt;="&amp;1,tblAdmissions[Age],"&lt;="&amp;4,tblAdmissions[Sex],"M")</f>
        <v>0</v>
      </c>
      <c r="AZ6" s="29">
        <f>COUNTIFS(tblAdmissions[Month],8,tblAdmissions[AgeUnit],"Years",tblAdmissions[Age],"&gt;="&amp;1,tblAdmissions[Age],"&lt;="&amp;4,tblAdmissions[Sex],"F")</f>
        <v>0</v>
      </c>
      <c r="BA6" s="29">
        <f>COUNTIFS(tblAdmissions[Month],8,tblAdmissions[AgeUnit],"Years",tblAdmissions[Age],"&gt;="&amp;1,tblAdmissions[Age],"&lt;="&amp;4,tblAdmissions[Sex],"M",tblAdmissions[NHIS],"Non-Insured")</f>
        <v>0</v>
      </c>
      <c r="BB6" s="29">
        <f>COUNTIFS(tblAdmissions[Month],8,tblAdmissions[AgeUnit],"Years",tblAdmissions[Age],"&gt;="&amp;1,tblAdmissions[Age],"&lt;="&amp;4,tblAdmissions[Sex],"F",tblAdmissions[NHIS],"Non-Insured")</f>
        <v>0</v>
      </c>
      <c r="BC6" s="29">
        <f>COUNTIFS(tblAdmissions[Month],8,tblAdmissions[AgeUnit],"Years",tblAdmissions[Age],"&gt;="&amp;1,tblAdmissions[Age],"&lt;="&amp;4,tblAdmissions[Sex],"M",tblAdmissions[NHIS],"Insured")</f>
        <v>0</v>
      </c>
      <c r="BD6" s="29">
        <f>COUNTIFS(tblAdmissions[Month],8,tblAdmissions[AgeUnit],"Years",tblAdmissions[Age],"&gt;="&amp;1,tblAdmissions[Age],"&lt;="&amp;4,tblAdmissions[Sex],"F",tblAdmissions[NHIS],"Insured")</f>
        <v>0</v>
      </c>
      <c r="BE6" s="29" t="s">
        <v>177</v>
      </c>
      <c r="BF6" s="29">
        <f>COUNTIFS(tblAdmissions[Month],9,tblAdmissions[AgeUnit],"Years",tblAdmissions[Age],"&gt;="&amp;1,tblAdmissions[Age],"&lt;="&amp;4,tblAdmissions[Sex],"M")</f>
        <v>0</v>
      </c>
      <c r="BG6" s="29">
        <f>COUNTIFS(tblAdmissions[Month],9,tblAdmissions[AgeUnit],"Years",tblAdmissions[Age],"&gt;="&amp;1,tblAdmissions[Age],"&lt;="&amp;4,tblAdmissions[Sex],"F")</f>
        <v>0</v>
      </c>
      <c r="BH6" s="29">
        <f>COUNTIFS(tblAdmissions[Month],9,tblAdmissions[AgeUnit],"Years",tblAdmissions[Age],"&gt;="&amp;1,tblAdmissions[Age],"&lt;="&amp;4,tblAdmissions[Sex],"M",tblAdmissions[NHIS],"Non-Insured")</f>
        <v>0</v>
      </c>
      <c r="BI6" s="29">
        <f>COUNTIFS(tblAdmissions[Month],9,tblAdmissions[AgeUnit],"Years",tblAdmissions[Age],"&gt;="&amp;1,tblAdmissions[Age],"&lt;="&amp;4,tblAdmissions[Sex],"F",tblAdmissions[NHIS],"Non-Insured")</f>
        <v>0</v>
      </c>
      <c r="BJ6" s="29">
        <f>COUNTIFS(tblAdmissions[Month],9,tblAdmissions[AgeUnit],"Years",tblAdmissions[Age],"&gt;="&amp;1,tblAdmissions[Age],"&lt;="&amp;4,tblAdmissions[Sex],"M",tblAdmissions[NHIS],"Insured")</f>
        <v>0</v>
      </c>
      <c r="BK6" s="29">
        <f>COUNTIFS(tblAdmissions[Month],9,tblAdmissions[AgeUnit],"Years",tblAdmissions[Age],"&gt;="&amp;1,tblAdmissions[Age],"&lt;="&amp;4,tblAdmissions[Sex],"F",tblAdmissions[NHIS],"Insured")</f>
        <v>0</v>
      </c>
      <c r="BL6" s="29" t="s">
        <v>177</v>
      </c>
      <c r="BM6" s="29">
        <f>COUNTIFS(tblAdmissions[Month],10,tblAdmissions[AgeUnit],"Years",tblAdmissions[Age],"&gt;="&amp;1,tblAdmissions[Age],"&lt;="&amp;4,tblAdmissions[Sex],"M")</f>
        <v>0</v>
      </c>
      <c r="BN6" s="29">
        <f>COUNTIFS(tblAdmissions[Month],10,tblAdmissions[AgeUnit],"Years",tblAdmissions[Age],"&gt;="&amp;1,tblAdmissions[Age],"&lt;="&amp;4,tblAdmissions[Sex],"F")</f>
        <v>0</v>
      </c>
      <c r="BO6" s="29">
        <f>COUNTIFS(tblAdmissions[Month],10,tblAdmissions[AgeUnit],"Years",tblAdmissions[Age],"&gt;="&amp;1,tblAdmissions[Age],"&lt;="&amp;4,tblAdmissions[Sex],"M",tblAdmissions[NHIS],"Non-Insured")</f>
        <v>0</v>
      </c>
      <c r="BP6" s="29">
        <f>COUNTIFS(tblAdmissions[Month],10,tblAdmissions[AgeUnit],"Years",tblAdmissions[Age],"&gt;="&amp;1,tblAdmissions[Age],"&lt;="&amp;4,tblAdmissions[Sex],"F",tblAdmissions[NHIS],"Non-Insured")</f>
        <v>0</v>
      </c>
      <c r="BQ6" s="29">
        <f>COUNTIFS(tblAdmissions[Month],10,tblAdmissions[AgeUnit],"Years",tblAdmissions[Age],"&gt;="&amp;1,tblAdmissions[Age],"&lt;="&amp;4,tblAdmissions[Sex],"M",tblAdmissions[NHIS],"Insured")</f>
        <v>0</v>
      </c>
      <c r="BR6" s="29">
        <f>COUNTIFS(tblAdmissions[Month],10,tblAdmissions[AgeUnit],"Years",tblAdmissions[Age],"&gt;="&amp;1,tblAdmissions[Age],"&lt;="&amp;4,tblAdmissions[Sex],"F",tblAdmissions[NHIS],"Insured")</f>
        <v>0</v>
      </c>
      <c r="BS6" s="29" t="s">
        <v>177</v>
      </c>
      <c r="BT6" s="29">
        <f>COUNTIFS(tblAdmissions[Month],11,tblAdmissions[AgeUnit],"Years",tblAdmissions[Age],"&gt;="&amp;1,tblAdmissions[Age],"&lt;="&amp;4,tblAdmissions[Sex],"M")</f>
        <v>0</v>
      </c>
      <c r="BU6" s="29">
        <f>COUNTIFS(tblAdmissions[Month],11,tblAdmissions[AgeUnit],"Years",tblAdmissions[Age],"&gt;="&amp;1,tblAdmissions[Age],"&lt;="&amp;4,tblAdmissions[Sex],"F")</f>
        <v>0</v>
      </c>
      <c r="BV6" s="29">
        <f>COUNTIFS(tblAdmissions[Month],11,tblAdmissions[AgeUnit],"Years",tblAdmissions[Age],"&gt;="&amp;1,tblAdmissions[Age],"&lt;="&amp;4,tblAdmissions[Sex],"M",tblAdmissions[NHIS],"Non-Insured")</f>
        <v>0</v>
      </c>
      <c r="BW6" s="29">
        <f>COUNTIFS(tblAdmissions[Month],11,tblAdmissions[AgeUnit],"Years",tblAdmissions[Age],"&gt;="&amp;1,tblAdmissions[Age],"&lt;="&amp;4,tblAdmissions[Sex],"F",tblAdmissions[NHIS],"Non-Insured")</f>
        <v>0</v>
      </c>
      <c r="BX6" s="29">
        <f>COUNTIFS(tblAdmissions[Month],11,tblAdmissions[AgeUnit],"Years",tblAdmissions[Age],"&gt;="&amp;1,tblAdmissions[Age],"&lt;="&amp;4,tblAdmissions[Sex],"M",tblAdmissions[NHIS],"Insured")</f>
        <v>0</v>
      </c>
      <c r="BY6" s="29">
        <f>COUNTIFS(tblAdmissions[Month],11,tblAdmissions[AgeUnit],"Years",tblAdmissions[Age],"&gt;="&amp;1,tblAdmissions[Age],"&lt;="&amp;4,tblAdmissions[Sex],"F",tblAdmissions[NHIS],"Insured")</f>
        <v>0</v>
      </c>
      <c r="BZ6" s="29" t="s">
        <v>177</v>
      </c>
      <c r="CA6" s="29">
        <f>COUNTIFS(tblAdmissions[Month],12,tblAdmissions[AgeUnit],"Years",tblAdmissions[Age],"&gt;="&amp;1,tblAdmissions[Age],"&lt;="&amp;4,tblAdmissions[Sex],"M")</f>
        <v>0</v>
      </c>
      <c r="CB6" s="29">
        <f>COUNTIFS(tblAdmissions[Month],12,tblAdmissions[AgeUnit],"Years",tblAdmissions[Age],"&gt;="&amp;1,tblAdmissions[Age],"&lt;="&amp;4,tblAdmissions[Sex],"F")</f>
        <v>0</v>
      </c>
      <c r="CC6" s="29">
        <f>COUNTIFS(tblAdmissions[Month],12,tblAdmissions[AgeUnit],"Years",tblAdmissions[Age],"&gt;="&amp;1,tblAdmissions[Age],"&lt;="&amp;4,tblAdmissions[Sex],"M",tblAdmissions[NHIS],"Non-Insured")</f>
        <v>0</v>
      </c>
      <c r="CD6" s="29">
        <f>COUNTIFS(tblAdmissions[Month],12,tblAdmissions[AgeUnit],"Years",tblAdmissions[Age],"&gt;="&amp;1,tblAdmissions[Age],"&lt;="&amp;4,tblAdmissions[Sex],"F",tblAdmissions[NHIS],"Non-Insured")</f>
        <v>0</v>
      </c>
      <c r="CE6" s="29">
        <f>COUNTIFS(tblAdmissions[Month],12,tblAdmissions[AgeUnit],"Years",tblAdmissions[Age],"&gt;="&amp;1,tblAdmissions[Age],"&lt;="&amp;4,tblAdmissions[Sex],"M",tblAdmissions[NHIS],"Insured")</f>
        <v>0</v>
      </c>
      <c r="CF6" s="29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29" t="s">
        <v>178</v>
      </c>
      <c r="B7" s="29">
        <f>COUNTIFS(tblAdmissions[Month],1,tblAdmissions[AgeUnit],"Years",tblAdmissions[Age],"&gt;="&amp;5,tblAdmissions[Age],"&lt;="&amp;9,tblAdmissions[Sex],"M")</f>
        <v>16</v>
      </c>
      <c r="C7" s="29">
        <f>COUNTIFS(tblAdmissions[Month],1,tblAdmissions[AgeUnit],"Years",tblAdmissions[Age],"&gt;="&amp;5,tblAdmissions[Age],"&lt;="&amp;9,tblAdmissions[Sex],"F")</f>
        <v>11</v>
      </c>
      <c r="D7" s="29">
        <f>COUNTIFS(tblAdmissions[Month],1,tblAdmissions[AgeUnit],"Years",tblAdmissions[Age],"&gt;="&amp;5,tblAdmissions[Age],"&lt;="&amp;9,tblAdmissions[Sex],"M",tblAdmissions[NHIS],"Non-Insured")</f>
        <v>0</v>
      </c>
      <c r="E7" s="29">
        <f>COUNTIFS(tblAdmissions[Month],1,tblAdmissions[AgeUnit],"Years",tblAdmissions[Age],"&gt;="&amp;5,tblAdmissions[Age],"&lt;="&amp;9,tblAdmissions[Sex],"F",tblAdmissions[NHIS],"Non-Insured")</f>
        <v>0</v>
      </c>
      <c r="F7" s="29">
        <f>COUNTIFS(tblAdmissions[Month],1,tblAdmissions[AgeUnit],"Years",tblAdmissions[Age],"&gt;="&amp;5,tblAdmissions[Age],"&lt;="&amp;9,tblAdmissions[Sex],"M",tblAdmissions[NHIS],"Insured")</f>
        <v>16</v>
      </c>
      <c r="G7" s="29">
        <f>COUNTIFS(tblAdmissions[Month],1,tblAdmissions[AgeUnit],"Years",tblAdmissions[Age],"&gt;="&amp;5,tblAdmissions[Age],"&lt;="&amp;9,tblAdmissions[Sex],"F",tblAdmissions[NHIS],"Insured")</f>
        <v>11</v>
      </c>
      <c r="H7" s="29" t="s">
        <v>178</v>
      </c>
      <c r="I7" s="29">
        <f>COUNTIFS(tblAdmissions[Month],2,tblAdmissions[AgeUnit],"Years",tblAdmissions[Age],"&gt;="&amp;5,tblAdmissions[Age],"&lt;="&amp;9,tblAdmissions[Sex],"M")</f>
        <v>13</v>
      </c>
      <c r="J7" s="29">
        <f>COUNTIFS(tblAdmissions[Month],2,tblAdmissions[AgeUnit],"Years",tblAdmissions[Age],"&gt;="&amp;5,tblAdmissions[Age],"&lt;="&amp;9,tblAdmissions[Sex],"F")</f>
        <v>8</v>
      </c>
      <c r="K7" s="29">
        <f>COUNTIFS(tblAdmissions[Month],2,tblAdmissions[AgeUnit],"Years",tblAdmissions[Age],"&gt;="&amp;5,tblAdmissions[Age],"&lt;="&amp;9,tblAdmissions[Sex],"M",tblAdmissions[NHIS],"Non-Insured")</f>
        <v>0</v>
      </c>
      <c r="L7" s="29">
        <f>COUNTIFS(tblAdmissions[Month],2,tblAdmissions[AgeUnit],"Years",tblAdmissions[Age],"&gt;="&amp;5,tblAdmissions[Age],"&lt;="&amp;9,tblAdmissions[Sex],"F",tblAdmissions[NHIS],"Non-Insured")</f>
        <v>0</v>
      </c>
      <c r="M7" s="29">
        <f>COUNTIFS(tblAdmissions[Month],2,tblAdmissions[AgeUnit],"Years",tblAdmissions[Age],"&gt;="&amp;5,tblAdmissions[Age],"&lt;="&amp;9,tblAdmissions[Sex],"M",tblAdmissions[NHIS],"Insured")</f>
        <v>13</v>
      </c>
      <c r="N7" s="29">
        <f>COUNTIFS(tblAdmissions[Month],2,tblAdmissions[AgeUnit],"Years",tblAdmissions[Age],"&gt;="&amp;5,tblAdmissions[Age],"&lt;="&amp;9,tblAdmissions[Sex],"F",tblAdmissions[NHIS],"Insured")</f>
        <v>8</v>
      </c>
      <c r="O7" s="29" t="s">
        <v>178</v>
      </c>
      <c r="P7" s="29">
        <f>COUNTIFS(tblAdmissions[Month],3,tblAdmissions[AgeUnit],"Years",tblAdmissions[Age],"&gt;="&amp;5,tblAdmissions[Age],"&lt;="&amp;9,tblAdmissions[Sex],"M")</f>
        <v>9</v>
      </c>
      <c r="Q7" s="29">
        <f>COUNTIFS(tblAdmissions[Month],3,tblAdmissions[AgeUnit],"Years",tblAdmissions[Age],"&gt;="&amp;5,tblAdmissions[Age],"&lt;="&amp;9,tblAdmissions[Sex],"F")</f>
        <v>6</v>
      </c>
      <c r="R7" s="29">
        <f>COUNTIFS(tblAdmissions[Month],3,tblAdmissions[AgeUnit],"Years",tblAdmissions[Age],"&gt;="&amp;5,tblAdmissions[Age],"&lt;="&amp;9,tblAdmissions[Sex],"M",tblAdmissions[NHIS],"Non-Insured")</f>
        <v>0</v>
      </c>
      <c r="S7" s="29">
        <f>COUNTIFS(tblAdmissions[Month],3,tblAdmissions[AgeUnit],"Years",tblAdmissions[Age],"&gt;="&amp;5,tblAdmissions[Age],"&lt;="&amp;9,tblAdmissions[Sex],"F",tblAdmissions[NHIS],"Non-Insured")</f>
        <v>0</v>
      </c>
      <c r="T7" s="29">
        <f>COUNTIFS(tblAdmissions[Month],3,tblAdmissions[AgeUnit],"Years",tblAdmissions[Age],"&gt;="&amp;5,tblAdmissions[Age],"&lt;="&amp;9,tblAdmissions[Sex],"M",tblAdmissions[NHIS],"Insured")</f>
        <v>9</v>
      </c>
      <c r="U7" s="29">
        <f>COUNTIFS(tblAdmissions[Month],3,tblAdmissions[AgeUnit],"Years",tblAdmissions[Age],"&gt;="&amp;5,tblAdmissions[Age],"&lt;="&amp;9,tblAdmissions[Sex],"F",tblAdmissions[NHIS],"Insured")</f>
        <v>6</v>
      </c>
      <c r="V7" s="29" t="s">
        <v>178</v>
      </c>
      <c r="W7" s="29">
        <f>COUNTIFS(tblAdmissions[Month],4,tblAdmissions[AgeUnit],"Years",tblAdmissions[Age],"&gt;="&amp;5,tblAdmissions[Age],"&lt;="&amp;9,tblAdmissions[Sex],"M")</f>
        <v>0</v>
      </c>
      <c r="X7" s="29">
        <f>COUNTIFS(tblAdmissions[Month],4,tblAdmissions[AgeUnit],"Years",tblAdmissions[Age],"&gt;="&amp;5,tblAdmissions[Age],"&lt;="&amp;9,tblAdmissions[Sex],"F")</f>
        <v>0</v>
      </c>
      <c r="Y7" s="29">
        <f>COUNTIFS(tblAdmissions[Month],4,tblAdmissions[AgeUnit],"Years",tblAdmissions[Age],"&gt;="&amp;5,tblAdmissions[Age],"&lt;="&amp;9,tblAdmissions[Sex],"M",tblAdmissions[NHIS],"Non-Insured")</f>
        <v>0</v>
      </c>
      <c r="Z7" s="29">
        <f>COUNTIFS(tblAdmissions[Month],4,tblAdmissions[AgeUnit],"Years",tblAdmissions[Age],"&gt;="&amp;5,tblAdmissions[Age],"&lt;="&amp;9,tblAdmissions[Sex],"F",tblAdmissions[NHIS],"Non-Insured")</f>
        <v>0</v>
      </c>
      <c r="AA7" s="29">
        <f>COUNTIFS(tblAdmissions[Month],4,tblAdmissions[AgeUnit],"Years",tblAdmissions[Age],"&gt;="&amp;5,tblAdmissions[Age],"&lt;="&amp;9,tblAdmissions[Sex],"M",tblAdmissions[NHIS],"Insured")</f>
        <v>0</v>
      </c>
      <c r="AB7" s="29">
        <f>COUNTIFS(tblAdmissions[Month],4,tblAdmissions[AgeUnit],"Years",tblAdmissions[Age],"&gt;="&amp;5,tblAdmissions[Age],"&lt;="&amp;9,tblAdmissions[Sex],"F",tblAdmissions[NHIS],"Insured")</f>
        <v>0</v>
      </c>
      <c r="AC7" s="29" t="s">
        <v>178</v>
      </c>
      <c r="AD7" s="29">
        <f>COUNTIFS(tblAdmissions[Month],5,tblAdmissions[AgeUnit],"Years",tblAdmissions[Age],"&gt;="&amp;5,tblAdmissions[Age],"&lt;="&amp;9,tblAdmissions[Sex],"M")</f>
        <v>0</v>
      </c>
      <c r="AE7" s="29">
        <f>COUNTIFS(tblAdmissions[Month],5,tblAdmissions[AgeUnit],"Years",tblAdmissions[Age],"&gt;="&amp;5,tblAdmissions[Age],"&lt;="&amp;9,tblAdmissions[Sex],"F")</f>
        <v>0</v>
      </c>
      <c r="AF7" s="29">
        <f>COUNTIFS(tblAdmissions[Month],5,tblAdmissions[AgeUnit],"Years",tblAdmissions[Age],"&gt;="&amp;5,tblAdmissions[Age],"&lt;="&amp;9,tblAdmissions[Sex],"M",tblAdmissions[NHIS],"Non-Insured")</f>
        <v>0</v>
      </c>
      <c r="AG7" s="29">
        <f>COUNTIFS(tblAdmissions[Month],5,tblAdmissions[AgeUnit],"Years",tblAdmissions[Age],"&gt;="&amp;5,tblAdmissions[Age],"&lt;="&amp;9,tblAdmissions[Sex],"F",tblAdmissions[NHIS],"Non-Insured")</f>
        <v>0</v>
      </c>
      <c r="AH7" s="29">
        <f>COUNTIFS(tblAdmissions[Month],5,tblAdmissions[AgeUnit],"Years",tblAdmissions[Age],"&gt;="&amp;5,tblAdmissions[Age],"&lt;="&amp;9,tblAdmissions[Sex],"M",tblAdmissions[NHIS],"Insured")</f>
        <v>0</v>
      </c>
      <c r="AI7" s="29">
        <f>COUNTIFS(tblAdmissions[Month],5,tblAdmissions[AgeUnit],"Years",tblAdmissions[Age],"&gt;="&amp;5,tblAdmissions[Age],"&lt;="&amp;9,tblAdmissions[Sex],"F",tblAdmissions[NHIS],"Insured")</f>
        <v>0</v>
      </c>
      <c r="AJ7" s="29" t="s">
        <v>178</v>
      </c>
      <c r="AK7" s="29">
        <f>COUNTIFS(tblAdmissions[Month],6,tblAdmissions[AgeUnit],"Years",tblAdmissions[Age],"&gt;="&amp;5,tblAdmissions[Age],"&lt;="&amp;9,tblAdmissions[Sex],"M")</f>
        <v>0</v>
      </c>
      <c r="AL7" s="29">
        <f>COUNTIFS(tblAdmissions[Month],6,tblAdmissions[AgeUnit],"Years",tblAdmissions[Age],"&gt;="&amp;5,tblAdmissions[Age],"&lt;="&amp;9,tblAdmissions[Sex],"F")</f>
        <v>0</v>
      </c>
      <c r="AM7" s="29">
        <f>COUNTIFS(tblAdmissions[Month],6,tblAdmissions[AgeUnit],"Years",tblAdmissions[Age],"&gt;="&amp;5,tblAdmissions[Age],"&lt;="&amp;9,tblAdmissions[Sex],"M",tblAdmissions[NHIS],"Non-Insured")</f>
        <v>0</v>
      </c>
      <c r="AN7" s="29">
        <f>COUNTIFS(tblAdmissions[Month],6,tblAdmissions[AgeUnit],"Years",tblAdmissions[Age],"&gt;="&amp;5,tblAdmissions[Age],"&lt;="&amp;9,tblAdmissions[Sex],"F",tblAdmissions[NHIS],"Non-Insured")</f>
        <v>0</v>
      </c>
      <c r="AO7" s="29">
        <f>COUNTIFS(tblAdmissions[Month],6,tblAdmissions[AgeUnit],"Years",tblAdmissions[Age],"&gt;="&amp;5,tblAdmissions[Age],"&lt;="&amp;9,tblAdmissions[Sex],"M",tblAdmissions[NHIS],"Insured")</f>
        <v>0</v>
      </c>
      <c r="AP7" s="29">
        <f>COUNTIFS(tblAdmissions[Month],6,tblAdmissions[AgeUnit],"Years",tblAdmissions[Age],"&gt;="&amp;5,tblAdmissions[Age],"&lt;="&amp;9,tblAdmissions[Sex],"F",tblAdmissions[NHIS],"Insured")</f>
        <v>0</v>
      </c>
      <c r="AQ7" s="29" t="s">
        <v>178</v>
      </c>
      <c r="AR7" s="29">
        <f>COUNTIFS(tblAdmissions[Month],7,tblAdmissions[AgeUnit],"Years",tblAdmissions[Age],"&gt;="&amp;5,tblAdmissions[Age],"&lt;="&amp;9,tblAdmissions[Sex],"M")</f>
        <v>0</v>
      </c>
      <c r="AS7" s="29">
        <f>COUNTIFS(tblAdmissions[Month],7,tblAdmissions[AgeUnit],"Years",tblAdmissions[Age],"&gt;="&amp;5,tblAdmissions[Age],"&lt;="&amp;9,tblAdmissions[Sex],"F")</f>
        <v>0</v>
      </c>
      <c r="AT7" s="29">
        <f>COUNTIFS(tblAdmissions[Month],7,tblAdmissions[AgeUnit],"Years",tblAdmissions[Age],"&gt;="&amp;5,tblAdmissions[Age],"&lt;="&amp;9,tblAdmissions[Sex],"M",tblAdmissions[NHIS],"Non-Insured")</f>
        <v>0</v>
      </c>
      <c r="AU7" s="29">
        <f>COUNTIFS(tblAdmissions[Month],7,tblAdmissions[AgeUnit],"Years",tblAdmissions[Age],"&gt;="&amp;5,tblAdmissions[Age],"&lt;="&amp;9,tblAdmissions[Sex],"F",tblAdmissions[NHIS],"Non-Insured")</f>
        <v>0</v>
      </c>
      <c r="AV7" s="29">
        <f>COUNTIFS(tblAdmissions[Month],7,tblAdmissions[AgeUnit],"Years",tblAdmissions[Age],"&gt;="&amp;5,tblAdmissions[Age],"&lt;="&amp;9,tblAdmissions[Sex],"M",tblAdmissions[NHIS],"Insured")</f>
        <v>0</v>
      </c>
      <c r="AW7" s="29">
        <f>COUNTIFS(tblAdmissions[Month],7,tblAdmissions[AgeUnit],"Years",tblAdmissions[Age],"&gt;="&amp;5,tblAdmissions[Age],"&lt;="&amp;9,tblAdmissions[Sex],"F",tblAdmissions[NHIS],"Insured")</f>
        <v>0</v>
      </c>
      <c r="AX7" s="29" t="s">
        <v>178</v>
      </c>
      <c r="AY7" s="29">
        <f>COUNTIFS(tblAdmissions[Month],8,tblAdmissions[AgeUnit],"Years",tblAdmissions[Age],"&gt;="&amp;5,tblAdmissions[Age],"&lt;="&amp;9,tblAdmissions[Sex],"M")</f>
        <v>0</v>
      </c>
      <c r="AZ7" s="29">
        <f>COUNTIFS(tblAdmissions[Month],8,tblAdmissions[AgeUnit],"Years",tblAdmissions[Age],"&gt;="&amp;5,tblAdmissions[Age],"&lt;="&amp;9,tblAdmissions[Sex],"F")</f>
        <v>0</v>
      </c>
      <c r="BA7" s="29">
        <f>COUNTIFS(tblAdmissions[Month],8,tblAdmissions[AgeUnit],"Years",tblAdmissions[Age],"&gt;="&amp;5,tblAdmissions[Age],"&lt;="&amp;9,tblAdmissions[Sex],"M",tblAdmissions[NHIS],"Non-Insured")</f>
        <v>0</v>
      </c>
      <c r="BB7" s="29">
        <f>COUNTIFS(tblAdmissions[Month],8,tblAdmissions[AgeUnit],"Years",tblAdmissions[Age],"&gt;="&amp;5,tblAdmissions[Age],"&lt;="&amp;9,tblAdmissions[Sex],"F",tblAdmissions[NHIS],"Non-Insured")</f>
        <v>0</v>
      </c>
      <c r="BC7" s="29">
        <f>COUNTIFS(tblAdmissions[Month],8,tblAdmissions[AgeUnit],"Years",tblAdmissions[Age],"&gt;="&amp;5,tblAdmissions[Age],"&lt;="&amp;9,tblAdmissions[Sex],"M",tblAdmissions[NHIS],"Insured")</f>
        <v>0</v>
      </c>
      <c r="BD7" s="29">
        <f>COUNTIFS(tblAdmissions[Month],8,tblAdmissions[AgeUnit],"Years",tblAdmissions[Age],"&gt;="&amp;5,tblAdmissions[Age],"&lt;="&amp;9,tblAdmissions[Sex],"F",tblAdmissions[NHIS],"Insured")</f>
        <v>0</v>
      </c>
      <c r="BE7" s="29" t="s">
        <v>178</v>
      </c>
      <c r="BF7" s="29">
        <f>COUNTIFS(tblAdmissions[Month],9,tblAdmissions[AgeUnit],"Years",tblAdmissions[Age],"&gt;="&amp;5,tblAdmissions[Age],"&lt;="&amp;9,tblAdmissions[Sex],"M")</f>
        <v>0</v>
      </c>
      <c r="BG7" s="29">
        <f>COUNTIFS(tblAdmissions[Month],9,tblAdmissions[AgeUnit],"Years",tblAdmissions[Age],"&gt;="&amp;5,tblAdmissions[Age],"&lt;="&amp;9,tblAdmissions[Sex],"F")</f>
        <v>0</v>
      </c>
      <c r="BH7" s="29">
        <f>COUNTIFS(tblAdmissions[Month],9,tblAdmissions[AgeUnit],"Years",tblAdmissions[Age],"&gt;="&amp;5,tblAdmissions[Age],"&lt;="&amp;9,tblAdmissions[Sex],"M",tblAdmissions[NHIS],"Non-Insured")</f>
        <v>0</v>
      </c>
      <c r="BI7" s="29">
        <f>COUNTIFS(tblAdmissions[Month],9,tblAdmissions[AgeUnit],"Years",tblAdmissions[Age],"&gt;="&amp;5,tblAdmissions[Age],"&lt;="&amp;9,tblAdmissions[Sex],"F",tblAdmissions[NHIS],"Non-Insured")</f>
        <v>0</v>
      </c>
      <c r="BJ7" s="29">
        <f>COUNTIFS(tblAdmissions[Month],9,tblAdmissions[AgeUnit],"Years",tblAdmissions[Age],"&gt;="&amp;5,tblAdmissions[Age],"&lt;="&amp;9,tblAdmissions[Sex],"M",tblAdmissions[NHIS],"Insured")</f>
        <v>0</v>
      </c>
      <c r="BK7" s="29">
        <f>COUNTIFS(tblAdmissions[Month],9,tblAdmissions[AgeUnit],"Years",tblAdmissions[Age],"&gt;="&amp;5,tblAdmissions[Age],"&lt;="&amp;9,tblAdmissions[Sex],"F",tblAdmissions[NHIS],"Insured")</f>
        <v>0</v>
      </c>
      <c r="BL7" s="29" t="s">
        <v>178</v>
      </c>
      <c r="BM7" s="29">
        <f>COUNTIFS(tblAdmissions[Month],10,tblAdmissions[AgeUnit],"Years",tblAdmissions[Age],"&gt;="&amp;5,tblAdmissions[Age],"&lt;="&amp;9,tblAdmissions[Sex],"M")</f>
        <v>0</v>
      </c>
      <c r="BN7" s="29">
        <f>COUNTIFS(tblAdmissions[Month],10,tblAdmissions[AgeUnit],"Years",tblAdmissions[Age],"&gt;="&amp;5,tblAdmissions[Age],"&lt;="&amp;9,tblAdmissions[Sex],"F")</f>
        <v>0</v>
      </c>
      <c r="BO7" s="29">
        <f>COUNTIFS(tblAdmissions[Month],10,tblAdmissions[AgeUnit],"Years",tblAdmissions[Age],"&gt;="&amp;5,tblAdmissions[Age],"&lt;="&amp;9,tblAdmissions[Sex],"M",tblAdmissions[NHIS],"Non-Insured")</f>
        <v>0</v>
      </c>
      <c r="BP7" s="29">
        <f>COUNTIFS(tblAdmissions[Month],10,tblAdmissions[AgeUnit],"Years",tblAdmissions[Age],"&gt;="&amp;5,tblAdmissions[Age],"&lt;="&amp;9,tblAdmissions[Sex],"F",tblAdmissions[NHIS],"Non-Insured")</f>
        <v>0</v>
      </c>
      <c r="BQ7" s="29">
        <f>COUNTIFS(tblAdmissions[Month],10,tblAdmissions[AgeUnit],"Years",tblAdmissions[Age],"&gt;="&amp;5,tblAdmissions[Age],"&lt;="&amp;9,tblAdmissions[Sex],"M",tblAdmissions[NHIS],"Insured")</f>
        <v>0</v>
      </c>
      <c r="BR7" s="29">
        <f>COUNTIFS(tblAdmissions[Month],10,tblAdmissions[AgeUnit],"Years",tblAdmissions[Age],"&gt;="&amp;5,tblAdmissions[Age],"&lt;="&amp;9,tblAdmissions[Sex],"F",tblAdmissions[NHIS],"Insured")</f>
        <v>0</v>
      </c>
      <c r="BS7" s="29" t="s">
        <v>178</v>
      </c>
      <c r="BT7" s="29">
        <f>COUNTIFS(tblAdmissions[Month],11,tblAdmissions[AgeUnit],"Years",tblAdmissions[Age],"&gt;="&amp;5,tblAdmissions[Age],"&lt;="&amp;9,tblAdmissions[Sex],"M")</f>
        <v>0</v>
      </c>
      <c r="BU7" s="29">
        <f>COUNTIFS(tblAdmissions[Month],11,tblAdmissions[AgeUnit],"Years",tblAdmissions[Age],"&gt;="&amp;5,tblAdmissions[Age],"&lt;="&amp;9,tblAdmissions[Sex],"F")</f>
        <v>0</v>
      </c>
      <c r="BV7" s="29">
        <f>COUNTIFS(tblAdmissions[Month],11,tblAdmissions[AgeUnit],"Years",tblAdmissions[Age],"&gt;="&amp;5,tblAdmissions[Age],"&lt;="&amp;9,tblAdmissions[Sex],"M",tblAdmissions[NHIS],"Non-Insured")</f>
        <v>0</v>
      </c>
      <c r="BW7" s="29">
        <f>COUNTIFS(tblAdmissions[Month],11,tblAdmissions[AgeUnit],"Years",tblAdmissions[Age],"&gt;="&amp;5,tblAdmissions[Age],"&lt;="&amp;9,tblAdmissions[Sex],"F",tblAdmissions[NHIS],"Non-Insured")</f>
        <v>0</v>
      </c>
      <c r="BX7" s="29">
        <f>COUNTIFS(tblAdmissions[Month],11,tblAdmissions[AgeUnit],"Years",tblAdmissions[Age],"&gt;="&amp;5,tblAdmissions[Age],"&lt;="&amp;9,tblAdmissions[Sex],"M",tblAdmissions[NHIS],"Insured")</f>
        <v>0</v>
      </c>
      <c r="BY7" s="29">
        <f>COUNTIFS(tblAdmissions[Month],11,tblAdmissions[AgeUnit],"Years",tblAdmissions[Age],"&gt;="&amp;5,tblAdmissions[Age],"&lt;="&amp;9,tblAdmissions[Sex],"F",tblAdmissions[NHIS],"Insured")</f>
        <v>0</v>
      </c>
      <c r="BZ7" s="29" t="s">
        <v>178</v>
      </c>
      <c r="CA7" s="29">
        <f>COUNTIFS(tblAdmissions[Month],12,tblAdmissions[AgeUnit],"Years",tblAdmissions[Age],"&gt;="&amp;5,tblAdmissions[Age],"&lt;="&amp;9,tblAdmissions[Sex],"M")</f>
        <v>0</v>
      </c>
      <c r="CB7" s="29">
        <f>COUNTIFS(tblAdmissions[Month],12,tblAdmissions[AgeUnit],"Years",tblAdmissions[Age],"&gt;="&amp;5,tblAdmissions[Age],"&lt;="&amp;9,tblAdmissions[Sex],"F")</f>
        <v>0</v>
      </c>
      <c r="CC7" s="29">
        <f>COUNTIFS(tblAdmissions[Month],12,tblAdmissions[AgeUnit],"Years",tblAdmissions[Age],"&gt;="&amp;5,tblAdmissions[Age],"&lt;="&amp;9,tblAdmissions[Sex],"M",tblAdmissions[NHIS],"Non-Insured")</f>
        <v>0</v>
      </c>
      <c r="CD7" s="29">
        <f>COUNTIFS(tblAdmissions[Month],12,tblAdmissions[AgeUnit],"Years",tblAdmissions[Age],"&gt;="&amp;5,tblAdmissions[Age],"&lt;="&amp;9,tblAdmissions[Sex],"F",tblAdmissions[NHIS],"Non-Insured")</f>
        <v>0</v>
      </c>
      <c r="CE7" s="29">
        <f>COUNTIFS(tblAdmissions[Month],12,tblAdmissions[AgeUnit],"Years",tblAdmissions[Age],"&gt;="&amp;5,tblAdmissions[Age],"&lt;="&amp;9,tblAdmissions[Sex],"M",tblAdmissions[NHIS],"Insured")</f>
        <v>0</v>
      </c>
      <c r="CF7" s="29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29" t="s">
        <v>179</v>
      </c>
      <c r="B8" s="29">
        <f>COUNTIFS(tblAdmissions[Month],1,tblAdmissions[AgeUnit],"Years",tblAdmissions[Age],"&gt;="&amp;10,tblAdmissions[Age],"&lt;="&amp;14,tblAdmissions[Sex],"M")</f>
        <v>11</v>
      </c>
      <c r="C8" s="29">
        <f>COUNTIFS(tblAdmissions[Month],1,tblAdmissions[AgeUnit],"Years",tblAdmissions[Age],"&gt;="&amp;10,tblAdmissions[Age],"&lt;="&amp;14,tblAdmissions[Sex],"F")</f>
        <v>5</v>
      </c>
      <c r="D8" s="29">
        <f>COUNTIFS(tblAdmissions[Month],1,tblAdmissions[AgeUnit],"Years",tblAdmissions[Age],"&gt;="&amp;10,tblAdmissions[Age],"&lt;="&amp;14,tblAdmissions[Sex],"M",tblAdmissions[NHIS],"Non-Insured")</f>
        <v>0</v>
      </c>
      <c r="E8" s="29">
        <f>COUNTIFS(tblAdmissions[Month],1,tblAdmissions[AgeUnit],"Years",tblAdmissions[Age],"&gt;="&amp;10,tblAdmissions[Age],"&lt;="&amp;14,tblAdmissions[Sex],"F",tblAdmissions[NHIS],"Non-Insured")</f>
        <v>0</v>
      </c>
      <c r="F8" s="29">
        <f>COUNTIFS(tblAdmissions[Month],1,tblAdmissions[AgeUnit],"Years",tblAdmissions[Age],"&gt;="&amp;10,tblAdmissions[Age],"&lt;="&amp;14,tblAdmissions[Sex],"M",tblAdmissions[NHIS],"Insured")</f>
        <v>11</v>
      </c>
      <c r="G8" s="29">
        <f>COUNTIFS(tblAdmissions[Month],1,tblAdmissions[AgeUnit],"Years",tblAdmissions[Age],"&gt;="&amp;10,tblAdmissions[Age],"&lt;="&amp;14,tblAdmissions[Sex],"F",tblAdmissions[NHIS],"Insured")</f>
        <v>5</v>
      </c>
      <c r="H8" s="29" t="s">
        <v>179</v>
      </c>
      <c r="I8" s="29">
        <f>COUNTIFS(tblAdmissions[Month],2,tblAdmissions[AgeUnit],"Years",tblAdmissions[Age],"&gt;="&amp;10,tblAdmissions[Age],"&lt;="&amp;14,tblAdmissions[Sex],"M")</f>
        <v>15</v>
      </c>
      <c r="J8" s="29">
        <f>COUNTIFS(tblAdmissions[Month],2,tblAdmissions[AgeUnit],"Years",tblAdmissions[Age],"&gt;="&amp;10,tblAdmissions[Age],"&lt;="&amp;14,tblAdmissions[Sex],"F")</f>
        <v>5</v>
      </c>
      <c r="K8" s="29">
        <f>COUNTIFS(tblAdmissions[Month],2,tblAdmissions[AgeUnit],"Years",tblAdmissions[Age],"&gt;="&amp;10,tblAdmissions[Age],"&lt;="&amp;14,tblAdmissions[Sex],"M",tblAdmissions[NHIS],"Non-Insured")</f>
        <v>0</v>
      </c>
      <c r="L8" s="29">
        <f>COUNTIFS(tblAdmissions[Month],2,tblAdmissions[AgeUnit],"Years",tblAdmissions[Age],"&gt;="&amp;10,tblAdmissions[Age],"&lt;="&amp;14,tblAdmissions[Sex],"F",tblAdmissions[NHIS],"Non-Insured")</f>
        <v>0</v>
      </c>
      <c r="M8" s="29">
        <f>COUNTIFS(tblAdmissions[Month],2,tblAdmissions[AgeUnit],"Years",tblAdmissions[Age],"&gt;="&amp;10,tblAdmissions[Age],"&lt;="&amp;14,tblAdmissions[Sex],"M",tblAdmissions[NHIS],"Insured")</f>
        <v>15</v>
      </c>
      <c r="N8" s="29">
        <f>COUNTIFS(tblAdmissions[Month],2,tblAdmissions[AgeUnit],"Years",tblAdmissions[Age],"&gt;="&amp;10,tblAdmissions[Age],"&lt;="&amp;14,tblAdmissions[Sex],"F",tblAdmissions[NHIS],"Insured")</f>
        <v>5</v>
      </c>
      <c r="O8" s="29" t="s">
        <v>179</v>
      </c>
      <c r="P8" s="29">
        <f>COUNTIFS(tblAdmissions[Month],3,tblAdmissions[AgeUnit],"Years",tblAdmissions[Age],"&gt;="&amp;10,tblAdmissions[Age],"&lt;="&amp;14,tblAdmissions[Sex],"M")</f>
        <v>8</v>
      </c>
      <c r="Q8" s="29">
        <f>COUNTIFS(tblAdmissions[Month],3,tblAdmissions[AgeUnit],"Years",tblAdmissions[Age],"&gt;="&amp;10,tblAdmissions[Age],"&lt;="&amp;14,tblAdmissions[Sex],"F")</f>
        <v>10</v>
      </c>
      <c r="R8" s="29">
        <f>COUNTIFS(tblAdmissions[Month],3,tblAdmissions[AgeUnit],"Years",tblAdmissions[Age],"&gt;="&amp;10,tblAdmissions[Age],"&lt;="&amp;14,tblAdmissions[Sex],"M",tblAdmissions[NHIS],"Non-Insured")</f>
        <v>0</v>
      </c>
      <c r="S8" s="29">
        <f>COUNTIFS(tblAdmissions[Month],3,tblAdmissions[AgeUnit],"Years",tblAdmissions[Age],"&gt;="&amp;10,tblAdmissions[Age],"&lt;="&amp;14,tblAdmissions[Sex],"F",tblAdmissions[NHIS],"Non-Insured")</f>
        <v>0</v>
      </c>
      <c r="T8" s="29">
        <f>COUNTIFS(tblAdmissions[Month],3,tblAdmissions[AgeUnit],"Years",tblAdmissions[Age],"&gt;="&amp;10,tblAdmissions[Age],"&lt;="&amp;14,tblAdmissions[Sex],"M",tblAdmissions[NHIS],"Insured")</f>
        <v>8</v>
      </c>
      <c r="U8" s="29">
        <f>COUNTIFS(tblAdmissions[Month],3,tblAdmissions[AgeUnit],"Years",tblAdmissions[Age],"&gt;="&amp;10,tblAdmissions[Age],"&lt;="&amp;14,tblAdmissions[Sex],"F",tblAdmissions[NHIS],"Insured")</f>
        <v>10</v>
      </c>
      <c r="V8" s="29" t="s">
        <v>179</v>
      </c>
      <c r="W8" s="29">
        <f>COUNTIFS(tblAdmissions[Month],4,tblAdmissions[AgeUnit],"Years",tblAdmissions[Age],"&gt;="&amp;10,tblAdmissions[Age],"&lt;="&amp;14,tblAdmissions[Sex],"M")</f>
        <v>0</v>
      </c>
      <c r="X8" s="29">
        <f>COUNTIFS(tblAdmissions[Month],4,tblAdmissions[AgeUnit],"Years",tblAdmissions[Age],"&gt;="&amp;10,tblAdmissions[Age],"&lt;="&amp;14,tblAdmissions[Sex],"F")</f>
        <v>0</v>
      </c>
      <c r="Y8" s="29">
        <f>COUNTIFS(tblAdmissions[Month],4,tblAdmissions[AgeUnit],"Years",tblAdmissions[Age],"&gt;="&amp;10,tblAdmissions[Age],"&lt;="&amp;14,tblAdmissions[Sex],"M",tblAdmissions[NHIS],"Non-Insured")</f>
        <v>0</v>
      </c>
      <c r="Z8" s="29">
        <f>COUNTIFS(tblAdmissions[Month],4,tblAdmissions[AgeUnit],"Years",tblAdmissions[Age],"&gt;="&amp;10,tblAdmissions[Age],"&lt;="&amp;14,tblAdmissions[Sex],"F",tblAdmissions[NHIS],"Non-Insured")</f>
        <v>0</v>
      </c>
      <c r="AA8" s="29">
        <f>COUNTIFS(tblAdmissions[Month],4,tblAdmissions[AgeUnit],"Years",tblAdmissions[Age],"&gt;="&amp;10,tblAdmissions[Age],"&lt;="&amp;14,tblAdmissions[Sex],"M",tblAdmissions[NHIS],"Insured")</f>
        <v>0</v>
      </c>
      <c r="AB8" s="29">
        <f>COUNTIFS(tblAdmissions[Month],4,tblAdmissions[AgeUnit],"Years",tblAdmissions[Age],"&gt;="&amp;10,tblAdmissions[Age],"&lt;="&amp;14,tblAdmissions[Sex],"F",tblAdmissions[NHIS],"Insured")</f>
        <v>0</v>
      </c>
      <c r="AC8" s="29" t="s">
        <v>179</v>
      </c>
      <c r="AD8" s="29">
        <f>COUNTIFS(tblAdmissions[Month],5,tblAdmissions[AgeUnit],"Years",tblAdmissions[Age],"&gt;="&amp;10,tblAdmissions[Age],"&lt;="&amp;14,tblAdmissions[Sex],"M")</f>
        <v>0</v>
      </c>
      <c r="AE8" s="29">
        <f>COUNTIFS(tblAdmissions[Month],5,tblAdmissions[AgeUnit],"Years",tblAdmissions[Age],"&gt;="&amp;10,tblAdmissions[Age],"&lt;="&amp;14,tblAdmissions[Sex],"F")</f>
        <v>0</v>
      </c>
      <c r="AF8" s="29">
        <f>COUNTIFS(tblAdmissions[Month],5,tblAdmissions[AgeUnit],"Years",tblAdmissions[Age],"&gt;="&amp;10,tblAdmissions[Age],"&lt;="&amp;14,tblAdmissions[Sex],"M",tblAdmissions[NHIS],"Non-Insured")</f>
        <v>0</v>
      </c>
      <c r="AG8" s="29">
        <f>COUNTIFS(tblAdmissions[Month],5,tblAdmissions[AgeUnit],"Years",tblAdmissions[Age],"&gt;="&amp;10,tblAdmissions[Age],"&lt;="&amp;14,tblAdmissions[Sex],"F",tblAdmissions[NHIS],"Non-Insured")</f>
        <v>0</v>
      </c>
      <c r="AH8" s="29">
        <f>COUNTIFS(tblAdmissions[Month],5,tblAdmissions[AgeUnit],"Years",tblAdmissions[Age],"&gt;="&amp;10,tblAdmissions[Age],"&lt;="&amp;14,tblAdmissions[Sex],"M",tblAdmissions[NHIS],"Insured")</f>
        <v>0</v>
      </c>
      <c r="AI8" s="29">
        <f>COUNTIFS(tblAdmissions[Month],5,tblAdmissions[AgeUnit],"Years",tblAdmissions[Age],"&gt;="&amp;10,tblAdmissions[Age],"&lt;="&amp;14,tblAdmissions[Sex],"F",tblAdmissions[NHIS],"Insured")</f>
        <v>0</v>
      </c>
      <c r="AJ8" s="29" t="s">
        <v>179</v>
      </c>
      <c r="AK8" s="29">
        <f>COUNTIFS(tblAdmissions[Month],6,tblAdmissions[AgeUnit],"Years",tblAdmissions[Age],"&gt;="&amp;10,tblAdmissions[Age],"&lt;="&amp;14,tblAdmissions[Sex],"M")</f>
        <v>0</v>
      </c>
      <c r="AL8" s="29">
        <f>COUNTIFS(tblAdmissions[Month],6,tblAdmissions[AgeUnit],"Years",tblAdmissions[Age],"&gt;="&amp;10,tblAdmissions[Age],"&lt;="&amp;14,tblAdmissions[Sex],"F")</f>
        <v>0</v>
      </c>
      <c r="AM8" s="29">
        <f>COUNTIFS(tblAdmissions[Month],6,tblAdmissions[AgeUnit],"Years",tblAdmissions[Age],"&gt;="&amp;10,tblAdmissions[Age],"&lt;="&amp;14,tblAdmissions[Sex],"M",tblAdmissions[NHIS],"Non-Insured")</f>
        <v>0</v>
      </c>
      <c r="AN8" s="29">
        <f>COUNTIFS(tblAdmissions[Month],6,tblAdmissions[AgeUnit],"Years",tblAdmissions[Age],"&gt;="&amp;10,tblAdmissions[Age],"&lt;="&amp;14,tblAdmissions[Sex],"F",tblAdmissions[NHIS],"Non-Insured")</f>
        <v>0</v>
      </c>
      <c r="AO8" s="29">
        <f>COUNTIFS(tblAdmissions[Month],6,tblAdmissions[AgeUnit],"Years",tblAdmissions[Age],"&gt;="&amp;10,tblAdmissions[Age],"&lt;="&amp;14,tblAdmissions[Sex],"M",tblAdmissions[NHIS],"Insured")</f>
        <v>0</v>
      </c>
      <c r="AP8" s="29">
        <f>COUNTIFS(tblAdmissions[Month],6,tblAdmissions[AgeUnit],"Years",tblAdmissions[Age],"&gt;="&amp;10,tblAdmissions[Age],"&lt;="&amp;14,tblAdmissions[Sex],"F",tblAdmissions[NHIS],"Insured")</f>
        <v>0</v>
      </c>
      <c r="AQ8" s="29" t="s">
        <v>179</v>
      </c>
      <c r="AR8" s="29">
        <f>COUNTIFS(tblAdmissions[Month],7,tblAdmissions[AgeUnit],"Years",tblAdmissions[Age],"&gt;="&amp;10,tblAdmissions[Age],"&lt;="&amp;14,tblAdmissions[Sex],"M")</f>
        <v>0</v>
      </c>
      <c r="AS8" s="29">
        <f>COUNTIFS(tblAdmissions[Month],7,tblAdmissions[AgeUnit],"Years",tblAdmissions[Age],"&gt;="&amp;10,tblAdmissions[Age],"&lt;="&amp;14,tblAdmissions[Sex],"F")</f>
        <v>0</v>
      </c>
      <c r="AT8" s="29">
        <f>COUNTIFS(tblAdmissions[Month],7,tblAdmissions[AgeUnit],"Years",tblAdmissions[Age],"&gt;="&amp;10,tblAdmissions[Age],"&lt;="&amp;14,tblAdmissions[Sex],"M",tblAdmissions[NHIS],"Non-Insured")</f>
        <v>0</v>
      </c>
      <c r="AU8" s="29">
        <f>COUNTIFS(tblAdmissions[Month],7,tblAdmissions[AgeUnit],"Years",tblAdmissions[Age],"&gt;="&amp;10,tblAdmissions[Age],"&lt;="&amp;14,tblAdmissions[Sex],"F",tblAdmissions[NHIS],"Non-Insured")</f>
        <v>0</v>
      </c>
      <c r="AV8" s="29">
        <f>COUNTIFS(tblAdmissions[Month],7,tblAdmissions[AgeUnit],"Years",tblAdmissions[Age],"&gt;="&amp;10,tblAdmissions[Age],"&lt;="&amp;14,tblAdmissions[Sex],"M",tblAdmissions[NHIS],"Insured")</f>
        <v>0</v>
      </c>
      <c r="AW8" s="29">
        <f>COUNTIFS(tblAdmissions[Month],7,tblAdmissions[AgeUnit],"Years",tblAdmissions[Age],"&gt;="&amp;10,tblAdmissions[Age],"&lt;="&amp;14,tblAdmissions[Sex],"F",tblAdmissions[NHIS],"Insured")</f>
        <v>0</v>
      </c>
      <c r="AX8" s="29" t="s">
        <v>179</v>
      </c>
      <c r="AY8" s="29">
        <f>COUNTIFS(tblAdmissions[Month],8,tblAdmissions[AgeUnit],"Years",tblAdmissions[Age],"&gt;="&amp;10,tblAdmissions[Age],"&lt;="&amp;14,tblAdmissions[Sex],"M")</f>
        <v>0</v>
      </c>
      <c r="AZ8" s="29">
        <f>COUNTIFS(tblAdmissions[Month],8,tblAdmissions[AgeUnit],"Years",tblAdmissions[Age],"&gt;="&amp;10,tblAdmissions[Age],"&lt;="&amp;14,tblAdmissions[Sex],"F")</f>
        <v>0</v>
      </c>
      <c r="BA8" s="29">
        <f>COUNTIFS(tblAdmissions[Month],8,tblAdmissions[AgeUnit],"Years",tblAdmissions[Age],"&gt;="&amp;10,tblAdmissions[Age],"&lt;="&amp;14,tblAdmissions[Sex],"M",tblAdmissions[NHIS],"Non-Insured")</f>
        <v>0</v>
      </c>
      <c r="BB8" s="29">
        <f>COUNTIFS(tblAdmissions[Month],8,tblAdmissions[AgeUnit],"Years",tblAdmissions[Age],"&gt;="&amp;10,tblAdmissions[Age],"&lt;="&amp;14,tblAdmissions[Sex],"F",tblAdmissions[NHIS],"Non-Insured")</f>
        <v>0</v>
      </c>
      <c r="BC8" s="29">
        <f>COUNTIFS(tblAdmissions[Month],8,tblAdmissions[AgeUnit],"Years",tblAdmissions[Age],"&gt;="&amp;10,tblAdmissions[Age],"&lt;="&amp;14,tblAdmissions[Sex],"M",tblAdmissions[NHIS],"Insured")</f>
        <v>0</v>
      </c>
      <c r="BD8" s="29">
        <f>COUNTIFS(tblAdmissions[Month],8,tblAdmissions[AgeUnit],"Years",tblAdmissions[Age],"&gt;="&amp;10,tblAdmissions[Age],"&lt;="&amp;14,tblAdmissions[Sex],"F",tblAdmissions[NHIS],"Insured")</f>
        <v>0</v>
      </c>
      <c r="BE8" s="29" t="s">
        <v>179</v>
      </c>
      <c r="BF8" s="29">
        <f>COUNTIFS(tblAdmissions[Month],9,tblAdmissions[AgeUnit],"Years",tblAdmissions[Age],"&gt;="&amp;10,tblAdmissions[Age],"&lt;="&amp;14,tblAdmissions[Sex],"M")</f>
        <v>0</v>
      </c>
      <c r="BG8" s="29">
        <f>COUNTIFS(tblAdmissions[Month],9,tblAdmissions[AgeUnit],"Years",tblAdmissions[Age],"&gt;="&amp;10,tblAdmissions[Age],"&lt;="&amp;14,tblAdmissions[Sex],"F")</f>
        <v>0</v>
      </c>
      <c r="BH8" s="29">
        <f>COUNTIFS(tblAdmissions[Month],9,tblAdmissions[AgeUnit],"Years",tblAdmissions[Age],"&gt;="&amp;10,tblAdmissions[Age],"&lt;="&amp;14,tblAdmissions[Sex],"M",tblAdmissions[NHIS],"Non-Insured")</f>
        <v>0</v>
      </c>
      <c r="BI8" s="29">
        <f>COUNTIFS(tblAdmissions[Month],9,tblAdmissions[AgeUnit],"Years",tblAdmissions[Age],"&gt;="&amp;10,tblAdmissions[Age],"&lt;="&amp;14,tblAdmissions[Sex],"F",tblAdmissions[NHIS],"Non-Insured")</f>
        <v>0</v>
      </c>
      <c r="BJ8" s="29">
        <f>COUNTIFS(tblAdmissions[Month],9,tblAdmissions[AgeUnit],"Years",tblAdmissions[Age],"&gt;="&amp;10,tblAdmissions[Age],"&lt;="&amp;14,tblAdmissions[Sex],"M",tblAdmissions[NHIS],"Insured")</f>
        <v>0</v>
      </c>
      <c r="BK8" s="29">
        <f>COUNTIFS(tblAdmissions[Month],9,tblAdmissions[AgeUnit],"Years",tblAdmissions[Age],"&gt;="&amp;10,tblAdmissions[Age],"&lt;="&amp;14,tblAdmissions[Sex],"F",tblAdmissions[NHIS],"Insured")</f>
        <v>0</v>
      </c>
      <c r="BL8" s="29" t="s">
        <v>179</v>
      </c>
      <c r="BM8" s="29">
        <f>COUNTIFS(tblAdmissions[Month],10,tblAdmissions[AgeUnit],"Years",tblAdmissions[Age],"&gt;="&amp;10,tblAdmissions[Age],"&lt;="&amp;14,tblAdmissions[Sex],"M")</f>
        <v>0</v>
      </c>
      <c r="BN8" s="29">
        <f>COUNTIFS(tblAdmissions[Month],10,tblAdmissions[AgeUnit],"Years",tblAdmissions[Age],"&gt;="&amp;10,tblAdmissions[Age],"&lt;="&amp;14,tblAdmissions[Sex],"F")</f>
        <v>0</v>
      </c>
      <c r="BO8" s="29">
        <f>COUNTIFS(tblAdmissions[Month],10,tblAdmissions[AgeUnit],"Years",tblAdmissions[Age],"&gt;="&amp;10,tblAdmissions[Age],"&lt;="&amp;14,tblAdmissions[Sex],"M",tblAdmissions[NHIS],"Non-Insured")</f>
        <v>0</v>
      </c>
      <c r="BP8" s="29">
        <f>COUNTIFS(tblAdmissions[Month],10,tblAdmissions[AgeUnit],"Years",tblAdmissions[Age],"&gt;="&amp;10,tblAdmissions[Age],"&lt;="&amp;14,tblAdmissions[Sex],"F",tblAdmissions[NHIS],"Non-Insured")</f>
        <v>0</v>
      </c>
      <c r="BQ8" s="29">
        <f>COUNTIFS(tblAdmissions[Month],10,tblAdmissions[AgeUnit],"Years",tblAdmissions[Age],"&gt;="&amp;10,tblAdmissions[Age],"&lt;="&amp;14,tblAdmissions[Sex],"M",tblAdmissions[NHIS],"Insured")</f>
        <v>0</v>
      </c>
      <c r="BR8" s="29">
        <f>COUNTIFS(tblAdmissions[Month],10,tblAdmissions[AgeUnit],"Years",tblAdmissions[Age],"&gt;="&amp;10,tblAdmissions[Age],"&lt;="&amp;14,tblAdmissions[Sex],"F",tblAdmissions[NHIS],"Insured")</f>
        <v>0</v>
      </c>
      <c r="BS8" s="29" t="s">
        <v>179</v>
      </c>
      <c r="BT8" s="29">
        <f>COUNTIFS(tblAdmissions[Month],11,tblAdmissions[AgeUnit],"Years",tblAdmissions[Age],"&gt;="&amp;10,tblAdmissions[Age],"&lt;="&amp;14,tblAdmissions[Sex],"M")</f>
        <v>0</v>
      </c>
      <c r="BU8" s="29">
        <f>COUNTIFS(tblAdmissions[Month],11,tblAdmissions[AgeUnit],"Years",tblAdmissions[Age],"&gt;="&amp;10,tblAdmissions[Age],"&lt;="&amp;14,tblAdmissions[Sex],"F")</f>
        <v>0</v>
      </c>
      <c r="BV8" s="29">
        <f>COUNTIFS(tblAdmissions[Month],11,tblAdmissions[AgeUnit],"Years",tblAdmissions[Age],"&gt;="&amp;10,tblAdmissions[Age],"&lt;="&amp;14,tblAdmissions[Sex],"M",tblAdmissions[NHIS],"Non-Insured")</f>
        <v>0</v>
      </c>
      <c r="BW8" s="29">
        <f>COUNTIFS(tblAdmissions[Month],11,tblAdmissions[AgeUnit],"Years",tblAdmissions[Age],"&gt;="&amp;10,tblAdmissions[Age],"&lt;="&amp;14,tblAdmissions[Sex],"F",tblAdmissions[NHIS],"Non-Insured")</f>
        <v>0</v>
      </c>
      <c r="BX8" s="29">
        <f>COUNTIFS(tblAdmissions[Month],11,tblAdmissions[AgeUnit],"Years",tblAdmissions[Age],"&gt;="&amp;10,tblAdmissions[Age],"&lt;="&amp;14,tblAdmissions[Sex],"M",tblAdmissions[NHIS],"Insured")</f>
        <v>0</v>
      </c>
      <c r="BY8" s="29">
        <f>COUNTIFS(tblAdmissions[Month],11,tblAdmissions[AgeUnit],"Years",tblAdmissions[Age],"&gt;="&amp;10,tblAdmissions[Age],"&lt;="&amp;14,tblAdmissions[Sex],"F",tblAdmissions[NHIS],"Insured")</f>
        <v>0</v>
      </c>
      <c r="BZ8" s="29" t="s">
        <v>179</v>
      </c>
      <c r="CA8" s="29">
        <f>COUNTIFS(tblAdmissions[Month],12,tblAdmissions[AgeUnit],"Years",tblAdmissions[Age],"&gt;="&amp;10,tblAdmissions[Age],"&lt;="&amp;14,tblAdmissions[Sex],"M")</f>
        <v>0</v>
      </c>
      <c r="CB8" s="29">
        <f>COUNTIFS(tblAdmissions[Month],12,tblAdmissions[AgeUnit],"Years",tblAdmissions[Age],"&gt;="&amp;10,tblAdmissions[Age],"&lt;="&amp;14,tblAdmissions[Sex],"F")</f>
        <v>0</v>
      </c>
      <c r="CC8" s="29">
        <f>COUNTIFS(tblAdmissions[Month],12,tblAdmissions[AgeUnit],"Years",tblAdmissions[Age],"&gt;="&amp;10,tblAdmissions[Age],"&lt;="&amp;14,tblAdmissions[Sex],"M",tblAdmissions[NHIS],"Non-Insured")</f>
        <v>0</v>
      </c>
      <c r="CD8" s="29">
        <f>COUNTIFS(tblAdmissions[Month],12,tblAdmissions[AgeUnit],"Years",tblAdmissions[Age],"&gt;="&amp;10,tblAdmissions[Age],"&lt;="&amp;14,tblAdmissions[Sex],"F",tblAdmissions[NHIS],"Non-Insured")</f>
        <v>0</v>
      </c>
      <c r="CE8" s="29">
        <f>COUNTIFS(tblAdmissions[Month],12,tblAdmissions[AgeUnit],"Years",tblAdmissions[Age],"&gt;="&amp;10,tblAdmissions[Age],"&lt;="&amp;14,tblAdmissions[Sex],"M",tblAdmissions[NHIS],"Insured")</f>
        <v>0</v>
      </c>
      <c r="CF8" s="29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29" t="s">
        <v>180</v>
      </c>
      <c r="B9" s="29">
        <f>COUNTIFS(tblAdmissions[Month],1,tblAdmissions[AgeUnit],"Years",tblAdmissions[Age],"&gt;="&amp;15,tblAdmissions[Age],"&lt;="&amp;17,tblAdmissions[Sex],"M")</f>
        <v>8</v>
      </c>
      <c r="C9" s="29">
        <f>COUNTIFS(tblAdmissions[Month],1,tblAdmissions[AgeUnit],"Years",tblAdmissions[Age],"&gt;="&amp;15,tblAdmissions[Age],"&lt;="&amp;17,tblAdmissions[Sex],"F")</f>
        <v>16</v>
      </c>
      <c r="D9" s="29">
        <f>COUNTIFS(tblAdmissions[Month],1,tblAdmissions[AgeUnit],"Years",tblAdmissions[Age],"&gt;="&amp;15,tblAdmissions[Age],"&lt;="&amp;17,tblAdmissions[Sex],"M",tblAdmissions[NHIS],"Non-Insured")</f>
        <v>0</v>
      </c>
      <c r="E9" s="29">
        <f>COUNTIFS(tblAdmissions[Month],1,tblAdmissions[AgeUnit],"Years",tblAdmissions[Age],"&gt;="&amp;15,tblAdmissions[Age],"&lt;="&amp;17,tblAdmissions[Sex],"F",tblAdmissions[NHIS],"Non-Insured")</f>
        <v>0</v>
      </c>
      <c r="F9" s="29">
        <f>COUNTIFS(tblAdmissions[Month],1,tblAdmissions[AgeUnit],"Years",tblAdmissions[Age],"&gt;="&amp;15,tblAdmissions[Age],"&lt;="&amp;17,tblAdmissions[Sex],"M",tblAdmissions[NHIS],"Insured")</f>
        <v>8</v>
      </c>
      <c r="G9" s="29">
        <f>COUNTIFS(tblAdmissions[Month],1,tblAdmissions[AgeUnit],"Years",tblAdmissions[Age],"&gt;="&amp;15,tblAdmissions[Age],"&lt;="&amp;17,tblAdmissions[Sex],"F",tblAdmissions[NHIS],"Insured")</f>
        <v>16</v>
      </c>
      <c r="H9" s="29" t="s">
        <v>180</v>
      </c>
      <c r="I9" s="29">
        <f>COUNTIFS(tblAdmissions[Month],2,tblAdmissions[AgeUnit],"Years",tblAdmissions[Age],"&gt;="&amp;15,tblAdmissions[Age],"&lt;="&amp;17,tblAdmissions[Sex],"M")</f>
        <v>4</v>
      </c>
      <c r="J9" s="29">
        <f>COUNTIFS(tblAdmissions[Month],2,tblAdmissions[AgeUnit],"Years",tblAdmissions[Age],"&gt;="&amp;15,tblAdmissions[Age],"&lt;="&amp;17,tblAdmissions[Sex],"F")</f>
        <v>10</v>
      </c>
      <c r="K9" s="29">
        <f>COUNTIFS(tblAdmissions[Month],2,tblAdmissions[AgeUnit],"Years",tblAdmissions[Age],"&gt;="&amp;15,tblAdmissions[Age],"&lt;="&amp;17,tblAdmissions[Sex],"M",tblAdmissions[NHIS],"Non-Insured")</f>
        <v>0</v>
      </c>
      <c r="L9" s="29">
        <f>COUNTIFS(tblAdmissions[Month],2,tblAdmissions[AgeUnit],"Years",tblAdmissions[Age],"&gt;="&amp;15,tblAdmissions[Age],"&lt;="&amp;17,tblAdmissions[Sex],"F",tblAdmissions[NHIS],"Non-Insured")</f>
        <v>0</v>
      </c>
      <c r="M9" s="29">
        <f>COUNTIFS(tblAdmissions[Month],2,tblAdmissions[AgeUnit],"Years",tblAdmissions[Age],"&gt;="&amp;15,tblAdmissions[Age],"&lt;="&amp;17,tblAdmissions[Sex],"M",tblAdmissions[NHIS],"Insured")</f>
        <v>4</v>
      </c>
      <c r="N9" s="29">
        <f>COUNTIFS(tblAdmissions[Month],2,tblAdmissions[AgeUnit],"Years",tblAdmissions[Age],"&gt;="&amp;15,tblAdmissions[Age],"&lt;="&amp;17,tblAdmissions[Sex],"F",tblAdmissions[NHIS],"Insured")</f>
        <v>10</v>
      </c>
      <c r="O9" s="29" t="s">
        <v>180</v>
      </c>
      <c r="P9" s="29">
        <f>COUNTIFS(tblAdmissions[Month],3,tblAdmissions[AgeUnit],"Years",tblAdmissions[Age],"&gt;="&amp;15,tblAdmissions[Age],"&lt;="&amp;17,tblAdmissions[Sex],"M")</f>
        <v>7</v>
      </c>
      <c r="Q9" s="29">
        <f>COUNTIFS(tblAdmissions[Month],3,tblAdmissions[AgeUnit],"Years",tblAdmissions[Age],"&gt;="&amp;15,tblAdmissions[Age],"&lt;="&amp;17,tblAdmissions[Sex],"F")</f>
        <v>12</v>
      </c>
      <c r="R9" s="29">
        <f>COUNTIFS(tblAdmissions[Month],3,tblAdmissions[AgeUnit],"Years",tblAdmissions[Age],"&gt;="&amp;15,tblAdmissions[Age],"&lt;="&amp;17,tblAdmissions[Sex],"M",tblAdmissions[NHIS],"Non-Insured")</f>
        <v>0</v>
      </c>
      <c r="S9" s="29">
        <f>COUNTIFS(tblAdmissions[Month],3,tblAdmissions[AgeUnit],"Years",tblAdmissions[Age],"&gt;="&amp;15,tblAdmissions[Age],"&lt;="&amp;17,tblAdmissions[Sex],"F",tblAdmissions[NHIS],"Non-Insured")</f>
        <v>0</v>
      </c>
      <c r="T9" s="29">
        <f>COUNTIFS(tblAdmissions[Month],3,tblAdmissions[AgeUnit],"Years",tblAdmissions[Age],"&gt;="&amp;15,tblAdmissions[Age],"&lt;="&amp;17,tblAdmissions[Sex],"M",tblAdmissions[NHIS],"Insured")</f>
        <v>7</v>
      </c>
      <c r="U9" s="29">
        <f>COUNTIFS(tblAdmissions[Month],3,tblAdmissions[AgeUnit],"Years",tblAdmissions[Age],"&gt;="&amp;15,tblAdmissions[Age],"&lt;="&amp;17,tblAdmissions[Sex],"F",tblAdmissions[NHIS],"Insured")</f>
        <v>12</v>
      </c>
      <c r="V9" s="29" t="s">
        <v>180</v>
      </c>
      <c r="W9" s="29">
        <f>COUNTIFS(tblAdmissions[Month],4,tblAdmissions[AgeUnit],"Years",tblAdmissions[Age],"&gt;="&amp;15,tblAdmissions[Age],"&lt;="&amp;17,tblAdmissions[Sex],"M")</f>
        <v>0</v>
      </c>
      <c r="X9" s="29">
        <f>COUNTIFS(tblAdmissions[Month],4,tblAdmissions[AgeUnit],"Years",tblAdmissions[Age],"&gt;="&amp;15,tblAdmissions[Age],"&lt;="&amp;17,tblAdmissions[Sex],"F")</f>
        <v>0</v>
      </c>
      <c r="Y9" s="29">
        <f>COUNTIFS(tblAdmissions[Month],4,tblAdmissions[AgeUnit],"Years",tblAdmissions[Age],"&gt;="&amp;15,tblAdmissions[Age],"&lt;="&amp;17,tblAdmissions[Sex],"M",tblAdmissions[NHIS],"Non-Insured")</f>
        <v>0</v>
      </c>
      <c r="Z9" s="29">
        <f>COUNTIFS(tblAdmissions[Month],4,tblAdmissions[AgeUnit],"Years",tblAdmissions[Age],"&gt;="&amp;15,tblAdmissions[Age],"&lt;="&amp;17,tblAdmissions[Sex],"F",tblAdmissions[NHIS],"Non-Insured")</f>
        <v>0</v>
      </c>
      <c r="AA9" s="29">
        <f>COUNTIFS(tblAdmissions[Month],4,tblAdmissions[AgeUnit],"Years",tblAdmissions[Age],"&gt;="&amp;15,tblAdmissions[Age],"&lt;="&amp;17,tblAdmissions[Sex],"M",tblAdmissions[NHIS],"Insured")</f>
        <v>0</v>
      </c>
      <c r="AB9" s="29">
        <f>COUNTIFS(tblAdmissions[Month],4,tblAdmissions[AgeUnit],"Years",tblAdmissions[Age],"&gt;="&amp;15,tblAdmissions[Age],"&lt;="&amp;17,tblAdmissions[Sex],"F",tblAdmissions[NHIS],"Insured")</f>
        <v>0</v>
      </c>
      <c r="AC9" s="29" t="s">
        <v>180</v>
      </c>
      <c r="AD9" s="29">
        <f>COUNTIFS(tblAdmissions[Month],5,tblAdmissions[AgeUnit],"Years",tblAdmissions[Age],"&gt;="&amp;15,tblAdmissions[Age],"&lt;="&amp;17,tblAdmissions[Sex],"M")</f>
        <v>0</v>
      </c>
      <c r="AE9" s="29">
        <f>COUNTIFS(tblAdmissions[Month],5,tblAdmissions[AgeUnit],"Years",tblAdmissions[Age],"&gt;="&amp;15,tblAdmissions[Age],"&lt;="&amp;17,tblAdmissions[Sex],"F")</f>
        <v>0</v>
      </c>
      <c r="AF9" s="29">
        <f>COUNTIFS(tblAdmissions[Month],5,tblAdmissions[AgeUnit],"Years",tblAdmissions[Age],"&gt;="&amp;15,tblAdmissions[Age],"&lt;="&amp;17,tblAdmissions[Sex],"M",tblAdmissions[NHIS],"Non-Insured")</f>
        <v>0</v>
      </c>
      <c r="AG9" s="29">
        <f>COUNTIFS(tblAdmissions[Month],5,tblAdmissions[AgeUnit],"Years",tblAdmissions[Age],"&gt;="&amp;15,tblAdmissions[Age],"&lt;="&amp;17,tblAdmissions[Sex],"F",tblAdmissions[NHIS],"Non-Insured")</f>
        <v>0</v>
      </c>
      <c r="AH9" s="29">
        <f>COUNTIFS(tblAdmissions[Month],5,tblAdmissions[AgeUnit],"Years",tblAdmissions[Age],"&gt;="&amp;15,tblAdmissions[Age],"&lt;="&amp;17,tblAdmissions[Sex],"M",tblAdmissions[NHIS],"Insured")</f>
        <v>0</v>
      </c>
      <c r="AI9" s="29">
        <f>COUNTIFS(tblAdmissions[Month],5,tblAdmissions[AgeUnit],"Years",tblAdmissions[Age],"&gt;="&amp;15,tblAdmissions[Age],"&lt;="&amp;17,tblAdmissions[Sex],"F",tblAdmissions[NHIS],"Insured")</f>
        <v>0</v>
      </c>
      <c r="AJ9" s="29" t="s">
        <v>180</v>
      </c>
      <c r="AK9" s="29">
        <f>COUNTIFS(tblAdmissions[Month],6,tblAdmissions[AgeUnit],"Years",tblAdmissions[Age],"&gt;="&amp;15,tblAdmissions[Age],"&lt;="&amp;17,tblAdmissions[Sex],"M")</f>
        <v>0</v>
      </c>
      <c r="AL9" s="29">
        <f>COUNTIFS(tblAdmissions[Month],6,tblAdmissions[AgeUnit],"Years",tblAdmissions[Age],"&gt;="&amp;15,tblAdmissions[Age],"&lt;="&amp;17,tblAdmissions[Sex],"F")</f>
        <v>0</v>
      </c>
      <c r="AM9" s="29">
        <f>COUNTIFS(tblAdmissions[Month],6,tblAdmissions[AgeUnit],"Years",tblAdmissions[Age],"&gt;="&amp;15,tblAdmissions[Age],"&lt;="&amp;17,tblAdmissions[Sex],"M",tblAdmissions[NHIS],"Non-Insured")</f>
        <v>0</v>
      </c>
      <c r="AN9" s="29">
        <f>COUNTIFS(tblAdmissions[Month],6,tblAdmissions[AgeUnit],"Years",tblAdmissions[Age],"&gt;="&amp;15,tblAdmissions[Age],"&lt;="&amp;17,tblAdmissions[Sex],"F",tblAdmissions[NHIS],"Non-Insured")</f>
        <v>0</v>
      </c>
      <c r="AO9" s="29">
        <f>COUNTIFS(tblAdmissions[Month],6,tblAdmissions[AgeUnit],"Years",tblAdmissions[Age],"&gt;="&amp;15,tblAdmissions[Age],"&lt;="&amp;17,tblAdmissions[Sex],"M",tblAdmissions[NHIS],"Insured")</f>
        <v>0</v>
      </c>
      <c r="AP9" s="29">
        <f>COUNTIFS(tblAdmissions[Month],6,tblAdmissions[AgeUnit],"Years",tblAdmissions[Age],"&gt;="&amp;15,tblAdmissions[Age],"&lt;="&amp;17,tblAdmissions[Sex],"F",tblAdmissions[NHIS],"Insured")</f>
        <v>0</v>
      </c>
      <c r="AQ9" s="29" t="s">
        <v>180</v>
      </c>
      <c r="AR9" s="29">
        <f>COUNTIFS(tblAdmissions[Month],7,tblAdmissions[AgeUnit],"Years",tblAdmissions[Age],"&gt;="&amp;15,tblAdmissions[Age],"&lt;="&amp;17,tblAdmissions[Sex],"M")</f>
        <v>0</v>
      </c>
      <c r="AS9" s="29">
        <f>COUNTIFS(tblAdmissions[Month],7,tblAdmissions[AgeUnit],"Years",tblAdmissions[Age],"&gt;="&amp;15,tblAdmissions[Age],"&lt;="&amp;17,tblAdmissions[Sex],"F")</f>
        <v>0</v>
      </c>
      <c r="AT9" s="29">
        <f>COUNTIFS(tblAdmissions[Month],7,tblAdmissions[AgeUnit],"Years",tblAdmissions[Age],"&gt;="&amp;15,tblAdmissions[Age],"&lt;="&amp;17,tblAdmissions[Sex],"M",tblAdmissions[NHIS],"Non-Insured")</f>
        <v>0</v>
      </c>
      <c r="AU9" s="29">
        <f>COUNTIFS(tblAdmissions[Month],7,tblAdmissions[AgeUnit],"Years",tblAdmissions[Age],"&gt;="&amp;15,tblAdmissions[Age],"&lt;="&amp;17,tblAdmissions[Sex],"F",tblAdmissions[NHIS],"Non-Insured")</f>
        <v>0</v>
      </c>
      <c r="AV9" s="29">
        <f>COUNTIFS(tblAdmissions[Month],7,tblAdmissions[AgeUnit],"Years",tblAdmissions[Age],"&gt;="&amp;15,tblAdmissions[Age],"&lt;="&amp;17,tblAdmissions[Sex],"M",tblAdmissions[NHIS],"Insured")</f>
        <v>0</v>
      </c>
      <c r="AW9" s="29">
        <f>COUNTIFS(tblAdmissions[Month],7,tblAdmissions[AgeUnit],"Years",tblAdmissions[Age],"&gt;="&amp;15,tblAdmissions[Age],"&lt;="&amp;17,tblAdmissions[Sex],"F",tblAdmissions[NHIS],"Insured")</f>
        <v>0</v>
      </c>
      <c r="AX9" s="29" t="s">
        <v>180</v>
      </c>
      <c r="AY9" s="29">
        <f>COUNTIFS(tblAdmissions[Month],8,tblAdmissions[AgeUnit],"Years",tblAdmissions[Age],"&gt;="&amp;15,tblAdmissions[Age],"&lt;="&amp;17,tblAdmissions[Sex],"M")</f>
        <v>0</v>
      </c>
      <c r="AZ9" s="29">
        <f>COUNTIFS(tblAdmissions[Month],8,tblAdmissions[AgeUnit],"Years",tblAdmissions[Age],"&gt;="&amp;15,tblAdmissions[Age],"&lt;="&amp;17,tblAdmissions[Sex],"F")</f>
        <v>0</v>
      </c>
      <c r="BA9" s="29">
        <f>COUNTIFS(tblAdmissions[Month],8,tblAdmissions[AgeUnit],"Years",tblAdmissions[Age],"&gt;="&amp;15,tblAdmissions[Age],"&lt;="&amp;17,tblAdmissions[Sex],"M",tblAdmissions[NHIS],"Non-Insured")</f>
        <v>0</v>
      </c>
      <c r="BB9" s="29">
        <f>COUNTIFS(tblAdmissions[Month],8,tblAdmissions[AgeUnit],"Years",tblAdmissions[Age],"&gt;="&amp;15,tblAdmissions[Age],"&lt;="&amp;17,tblAdmissions[Sex],"F",tblAdmissions[NHIS],"Non-Insured")</f>
        <v>0</v>
      </c>
      <c r="BC9" s="29">
        <f>COUNTIFS(tblAdmissions[Month],8,tblAdmissions[AgeUnit],"Years",tblAdmissions[Age],"&gt;="&amp;15,tblAdmissions[Age],"&lt;="&amp;17,tblAdmissions[Sex],"M",tblAdmissions[NHIS],"Insured")</f>
        <v>0</v>
      </c>
      <c r="BD9" s="29">
        <f>COUNTIFS(tblAdmissions[Month],8,tblAdmissions[AgeUnit],"Years",tblAdmissions[Age],"&gt;="&amp;15,tblAdmissions[Age],"&lt;="&amp;17,tblAdmissions[Sex],"F",tblAdmissions[NHIS],"Insured")</f>
        <v>0</v>
      </c>
      <c r="BE9" s="29" t="s">
        <v>180</v>
      </c>
      <c r="BF9" s="29">
        <f>COUNTIFS(tblAdmissions[Month],9,tblAdmissions[AgeUnit],"Years",tblAdmissions[Age],"&gt;="&amp;15,tblAdmissions[Age],"&lt;="&amp;17,tblAdmissions[Sex],"M")</f>
        <v>0</v>
      </c>
      <c r="BG9" s="29">
        <f>COUNTIFS(tblAdmissions[Month],9,tblAdmissions[AgeUnit],"Years",tblAdmissions[Age],"&gt;="&amp;15,tblAdmissions[Age],"&lt;="&amp;17,tblAdmissions[Sex],"F")</f>
        <v>0</v>
      </c>
      <c r="BH9" s="29">
        <f>COUNTIFS(tblAdmissions[Month],9,tblAdmissions[AgeUnit],"Years",tblAdmissions[Age],"&gt;="&amp;15,tblAdmissions[Age],"&lt;="&amp;17,tblAdmissions[Sex],"M",tblAdmissions[NHIS],"Non-Insured")</f>
        <v>0</v>
      </c>
      <c r="BI9" s="29">
        <f>COUNTIFS(tblAdmissions[Month],9,tblAdmissions[AgeUnit],"Years",tblAdmissions[Age],"&gt;="&amp;15,tblAdmissions[Age],"&lt;="&amp;17,tblAdmissions[Sex],"F",tblAdmissions[NHIS],"Non-Insured")</f>
        <v>0</v>
      </c>
      <c r="BJ9" s="29">
        <f>COUNTIFS(tblAdmissions[Month],9,tblAdmissions[AgeUnit],"Years",tblAdmissions[Age],"&gt;="&amp;15,tblAdmissions[Age],"&lt;="&amp;17,tblAdmissions[Sex],"M",tblAdmissions[NHIS],"Insured")</f>
        <v>0</v>
      </c>
      <c r="BK9" s="29">
        <f>COUNTIFS(tblAdmissions[Month],9,tblAdmissions[AgeUnit],"Years",tblAdmissions[Age],"&gt;="&amp;15,tblAdmissions[Age],"&lt;="&amp;17,tblAdmissions[Sex],"F",tblAdmissions[NHIS],"Insured")</f>
        <v>0</v>
      </c>
      <c r="BL9" s="29" t="s">
        <v>180</v>
      </c>
      <c r="BM9" s="29">
        <f>COUNTIFS(tblAdmissions[Month],10,tblAdmissions[AgeUnit],"Years",tblAdmissions[Age],"&gt;="&amp;15,tblAdmissions[Age],"&lt;="&amp;17,tblAdmissions[Sex],"M")</f>
        <v>0</v>
      </c>
      <c r="BN9" s="29">
        <f>COUNTIFS(tblAdmissions[Month],10,tblAdmissions[AgeUnit],"Years",tblAdmissions[Age],"&gt;="&amp;15,tblAdmissions[Age],"&lt;="&amp;17,tblAdmissions[Sex],"F")</f>
        <v>0</v>
      </c>
      <c r="BO9" s="29">
        <f>COUNTIFS(tblAdmissions[Month],10,tblAdmissions[AgeUnit],"Years",tblAdmissions[Age],"&gt;="&amp;15,tblAdmissions[Age],"&lt;="&amp;17,tblAdmissions[Sex],"M",tblAdmissions[NHIS],"Non-Insured")</f>
        <v>0</v>
      </c>
      <c r="BP9" s="29">
        <f>COUNTIFS(tblAdmissions[Month],10,tblAdmissions[AgeUnit],"Years",tblAdmissions[Age],"&gt;="&amp;15,tblAdmissions[Age],"&lt;="&amp;17,tblAdmissions[Sex],"F",tblAdmissions[NHIS],"Non-Insured")</f>
        <v>0</v>
      </c>
      <c r="BQ9" s="29">
        <f>COUNTIFS(tblAdmissions[Month],10,tblAdmissions[AgeUnit],"Years",tblAdmissions[Age],"&gt;="&amp;15,tblAdmissions[Age],"&lt;="&amp;17,tblAdmissions[Sex],"M",tblAdmissions[NHIS],"Insured")</f>
        <v>0</v>
      </c>
      <c r="BR9" s="29">
        <f>COUNTIFS(tblAdmissions[Month],10,tblAdmissions[AgeUnit],"Years",tblAdmissions[Age],"&gt;="&amp;15,tblAdmissions[Age],"&lt;="&amp;17,tblAdmissions[Sex],"F",tblAdmissions[NHIS],"Insured")</f>
        <v>0</v>
      </c>
      <c r="BS9" s="29" t="s">
        <v>180</v>
      </c>
      <c r="BT9" s="29">
        <f>COUNTIFS(tblAdmissions[Month],11,tblAdmissions[AgeUnit],"Years",tblAdmissions[Age],"&gt;="&amp;15,tblAdmissions[Age],"&lt;="&amp;17,tblAdmissions[Sex],"M")</f>
        <v>0</v>
      </c>
      <c r="BU9" s="29">
        <f>COUNTIFS(tblAdmissions[Month],11,tblAdmissions[AgeUnit],"Years",tblAdmissions[Age],"&gt;="&amp;15,tblAdmissions[Age],"&lt;="&amp;17,tblAdmissions[Sex],"F")</f>
        <v>0</v>
      </c>
      <c r="BV9" s="29">
        <f>COUNTIFS(tblAdmissions[Month],11,tblAdmissions[AgeUnit],"Years",tblAdmissions[Age],"&gt;="&amp;15,tblAdmissions[Age],"&lt;="&amp;17,tblAdmissions[Sex],"M",tblAdmissions[NHIS],"Non-Insured")</f>
        <v>0</v>
      </c>
      <c r="BW9" s="29">
        <f>COUNTIFS(tblAdmissions[Month],11,tblAdmissions[AgeUnit],"Years",tblAdmissions[Age],"&gt;="&amp;15,tblAdmissions[Age],"&lt;="&amp;17,tblAdmissions[Sex],"F",tblAdmissions[NHIS],"Non-Insured")</f>
        <v>0</v>
      </c>
      <c r="BX9" s="29">
        <f>COUNTIFS(tblAdmissions[Month],11,tblAdmissions[AgeUnit],"Years",tblAdmissions[Age],"&gt;="&amp;15,tblAdmissions[Age],"&lt;="&amp;17,tblAdmissions[Sex],"M",tblAdmissions[NHIS],"Insured")</f>
        <v>0</v>
      </c>
      <c r="BY9" s="29">
        <f>COUNTIFS(tblAdmissions[Month],11,tblAdmissions[AgeUnit],"Years",tblAdmissions[Age],"&gt;="&amp;15,tblAdmissions[Age],"&lt;="&amp;17,tblAdmissions[Sex],"F",tblAdmissions[NHIS],"Insured")</f>
        <v>0</v>
      </c>
      <c r="BZ9" s="29" t="s">
        <v>180</v>
      </c>
      <c r="CA9" s="29">
        <f>COUNTIFS(tblAdmissions[Month],12,tblAdmissions[AgeUnit],"Years",tblAdmissions[Age],"&gt;="&amp;15,tblAdmissions[Age],"&lt;="&amp;17,tblAdmissions[Sex],"M")</f>
        <v>0</v>
      </c>
      <c r="CB9" s="29">
        <f>COUNTIFS(tblAdmissions[Month],12,tblAdmissions[AgeUnit],"Years",tblAdmissions[Age],"&gt;="&amp;15,tblAdmissions[Age],"&lt;="&amp;17,tblAdmissions[Sex],"F")</f>
        <v>0</v>
      </c>
      <c r="CC9" s="29">
        <f>COUNTIFS(tblAdmissions[Month],12,tblAdmissions[AgeUnit],"Years",tblAdmissions[Age],"&gt;="&amp;15,tblAdmissions[Age],"&lt;="&amp;17,tblAdmissions[Sex],"M",tblAdmissions[NHIS],"Non-Insured")</f>
        <v>0</v>
      </c>
      <c r="CD9" s="29">
        <f>COUNTIFS(tblAdmissions[Month],12,tblAdmissions[AgeUnit],"Years",tblAdmissions[Age],"&gt;="&amp;15,tblAdmissions[Age],"&lt;="&amp;17,tblAdmissions[Sex],"F",tblAdmissions[NHIS],"Non-Insured")</f>
        <v>0</v>
      </c>
      <c r="CE9" s="29">
        <f>COUNTIFS(tblAdmissions[Month],12,tblAdmissions[AgeUnit],"Years",tblAdmissions[Age],"&gt;="&amp;15,tblAdmissions[Age],"&lt;="&amp;17,tblAdmissions[Sex],"M",tblAdmissions[NHIS],"Insured")</f>
        <v>0</v>
      </c>
      <c r="CF9" s="29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29" t="s">
        <v>181</v>
      </c>
      <c r="B10" s="29">
        <f>COUNTIFS(tblAdmissions[Month],1,tblAdmissions[AgeUnit],"Years",tblAdmissions[Age],"&gt;="&amp;18,tblAdmissions[Age],"&lt;="&amp;19,tblAdmissions[Sex],"M")</f>
        <v>4</v>
      </c>
      <c r="C10" s="29">
        <f>COUNTIFS(tblAdmissions[Month],1,tblAdmissions[AgeUnit],"Years",tblAdmissions[Age],"&gt;="&amp;18,tblAdmissions[Age],"&lt;="&amp;19,tblAdmissions[Sex],"F")</f>
        <v>24</v>
      </c>
      <c r="D10" s="29">
        <f>COUNTIFS(tblAdmissions[Month],1,tblAdmissions[AgeUnit],"Years",tblAdmissions[Age],"&gt;="&amp;18,tblAdmissions[Age],"&lt;="&amp;19,tblAdmissions[Sex],"M",tblAdmissions[NHIS],"Non-Insured")</f>
        <v>0</v>
      </c>
      <c r="E10" s="29">
        <f>COUNTIFS(tblAdmissions[Month],1,tblAdmissions[AgeUnit],"Years",tblAdmissions[Age],"&gt;="&amp;18,tblAdmissions[Age],"&lt;="&amp;19,tblAdmissions[Sex],"F",tblAdmissions[NHIS],"Non-Insured")</f>
        <v>0</v>
      </c>
      <c r="F10" s="29">
        <f>COUNTIFS(tblAdmissions[Month],1,tblAdmissions[AgeUnit],"Years",tblAdmissions[Age],"&gt;="&amp;18,tblAdmissions[Age],"&lt;="&amp;19,tblAdmissions[Sex],"M",tblAdmissions[NHIS],"Insured")</f>
        <v>4</v>
      </c>
      <c r="G10" s="29">
        <f>COUNTIFS(tblAdmissions[Month],1,tblAdmissions[AgeUnit],"Years",tblAdmissions[Age],"&gt;="&amp;18,tblAdmissions[Age],"&lt;="&amp;19,tblAdmissions[Sex],"F",tblAdmissions[NHIS],"Insured")</f>
        <v>24</v>
      </c>
      <c r="H10" s="29" t="s">
        <v>181</v>
      </c>
      <c r="I10" s="29">
        <f>COUNTIFS(tblAdmissions[Month],2,tblAdmissions[AgeUnit],"Years",tblAdmissions[Age],"&gt;="&amp;18,tblAdmissions[Age],"&lt;="&amp;19,tblAdmissions[Sex],"M")</f>
        <v>7</v>
      </c>
      <c r="J10" s="29">
        <f>COUNTIFS(tblAdmissions[Month],2,tblAdmissions[AgeUnit],"Years",tblAdmissions[Age],"&gt;="&amp;18,tblAdmissions[Age],"&lt;="&amp;19,tblAdmissions[Sex],"F")</f>
        <v>16</v>
      </c>
      <c r="K10" s="29">
        <f>COUNTIFS(tblAdmissions[Month],2,tblAdmissions[AgeUnit],"Years",tblAdmissions[Age],"&gt;="&amp;18,tblAdmissions[Age],"&lt;="&amp;19,tblAdmissions[Sex],"M",tblAdmissions[NHIS],"Non-Insured")</f>
        <v>0</v>
      </c>
      <c r="L10" s="29">
        <f>COUNTIFS(tblAdmissions[Month],2,tblAdmissions[AgeUnit],"Years",tblAdmissions[Age],"&gt;="&amp;18,tblAdmissions[Age],"&lt;="&amp;19,tblAdmissions[Sex],"F",tblAdmissions[NHIS],"Non-Insured")</f>
        <v>0</v>
      </c>
      <c r="M10" s="29">
        <f>COUNTIFS(tblAdmissions[Month],2,tblAdmissions[AgeUnit],"Years",tblAdmissions[Age],"&gt;="&amp;18,tblAdmissions[Age],"&lt;="&amp;19,tblAdmissions[Sex],"M",tblAdmissions[NHIS],"Insured")</f>
        <v>7</v>
      </c>
      <c r="N10" s="29">
        <f>COUNTIFS(tblAdmissions[Month],2,tblAdmissions[AgeUnit],"Years",tblAdmissions[Age],"&gt;="&amp;18,tblAdmissions[Age],"&lt;="&amp;19,tblAdmissions[Sex],"F",tblAdmissions[NHIS],"Insured")</f>
        <v>16</v>
      </c>
      <c r="O10" s="29" t="s">
        <v>181</v>
      </c>
      <c r="P10" s="29">
        <f>COUNTIFS(tblAdmissions[Month],3,tblAdmissions[AgeUnit],"Years",tblAdmissions[Age],"&gt;="&amp;18,tblAdmissions[Age],"&lt;="&amp;19,tblAdmissions[Sex],"M")</f>
        <v>2</v>
      </c>
      <c r="Q10" s="29">
        <f>COUNTIFS(tblAdmissions[Month],3,tblAdmissions[AgeUnit],"Years",tblAdmissions[Age],"&gt;="&amp;18,tblAdmissions[Age],"&lt;="&amp;19,tblAdmissions[Sex],"F")</f>
        <v>19</v>
      </c>
      <c r="R10" s="29">
        <f>COUNTIFS(tblAdmissions[Month],3,tblAdmissions[AgeUnit],"Years",tblAdmissions[Age],"&gt;="&amp;18,tblAdmissions[Age],"&lt;="&amp;19,tblAdmissions[Sex],"M",tblAdmissions[NHIS],"Non-Insured")</f>
        <v>0</v>
      </c>
      <c r="S10" s="29">
        <f>COUNTIFS(tblAdmissions[Month],3,tblAdmissions[AgeUnit],"Years",tblAdmissions[Age],"&gt;="&amp;18,tblAdmissions[Age],"&lt;="&amp;19,tblAdmissions[Sex],"F",tblAdmissions[NHIS],"Non-Insured")</f>
        <v>0</v>
      </c>
      <c r="T10" s="29">
        <f>COUNTIFS(tblAdmissions[Month],3,tblAdmissions[AgeUnit],"Years",tblAdmissions[Age],"&gt;="&amp;18,tblAdmissions[Age],"&lt;="&amp;19,tblAdmissions[Sex],"M",tblAdmissions[NHIS],"Insured")</f>
        <v>2</v>
      </c>
      <c r="U10" s="29">
        <f>COUNTIFS(tblAdmissions[Month],3,tblAdmissions[AgeUnit],"Years",tblAdmissions[Age],"&gt;="&amp;18,tblAdmissions[Age],"&lt;="&amp;19,tblAdmissions[Sex],"F",tblAdmissions[NHIS],"Insured")</f>
        <v>19</v>
      </c>
      <c r="V10" s="29" t="s">
        <v>181</v>
      </c>
      <c r="W10" s="29">
        <f>COUNTIFS(tblAdmissions[Month],4,tblAdmissions[AgeUnit],"Years",tblAdmissions[Age],"&gt;="&amp;18,tblAdmissions[Age],"&lt;="&amp;19,tblAdmissions[Sex],"M")</f>
        <v>0</v>
      </c>
      <c r="X10" s="29">
        <f>COUNTIFS(tblAdmissions[Month],4,tblAdmissions[AgeUnit],"Years",tblAdmissions[Age],"&gt;="&amp;18,tblAdmissions[Age],"&lt;="&amp;19,tblAdmissions[Sex],"F")</f>
        <v>0</v>
      </c>
      <c r="Y10" s="29">
        <f>COUNTIFS(tblAdmissions[Month],4,tblAdmissions[AgeUnit],"Years",tblAdmissions[Age],"&gt;="&amp;18,tblAdmissions[Age],"&lt;="&amp;19,tblAdmissions[Sex],"M",tblAdmissions[NHIS],"Non-Insured")</f>
        <v>0</v>
      </c>
      <c r="Z10" s="29">
        <f>COUNTIFS(tblAdmissions[Month],4,tblAdmissions[AgeUnit],"Years",tblAdmissions[Age],"&gt;="&amp;18,tblAdmissions[Age],"&lt;="&amp;19,tblAdmissions[Sex],"F",tblAdmissions[NHIS],"Non-Insured")</f>
        <v>0</v>
      </c>
      <c r="AA10" s="29">
        <f>COUNTIFS(tblAdmissions[Month],4,tblAdmissions[AgeUnit],"Years",tblAdmissions[Age],"&gt;="&amp;18,tblAdmissions[Age],"&lt;="&amp;19,tblAdmissions[Sex],"M",tblAdmissions[NHIS],"Insured")</f>
        <v>0</v>
      </c>
      <c r="AB10" s="29">
        <f>COUNTIFS(tblAdmissions[Month],4,tblAdmissions[AgeUnit],"Years",tblAdmissions[Age],"&gt;="&amp;18,tblAdmissions[Age],"&lt;="&amp;19,tblAdmissions[Sex],"F",tblAdmissions[NHIS],"Insured")</f>
        <v>0</v>
      </c>
      <c r="AC10" s="29" t="s">
        <v>181</v>
      </c>
      <c r="AD10" s="29">
        <f>COUNTIFS(tblAdmissions[Month],5,tblAdmissions[AgeUnit],"Years",tblAdmissions[Age],"&gt;="&amp;18,tblAdmissions[Age],"&lt;="&amp;19,tblAdmissions[Sex],"M")</f>
        <v>0</v>
      </c>
      <c r="AE10" s="29">
        <f>COUNTIFS(tblAdmissions[Month],5,tblAdmissions[AgeUnit],"Years",tblAdmissions[Age],"&gt;="&amp;18,tblAdmissions[Age],"&lt;="&amp;19,tblAdmissions[Sex],"F")</f>
        <v>0</v>
      </c>
      <c r="AF10" s="29">
        <f>COUNTIFS(tblAdmissions[Month],5,tblAdmissions[AgeUnit],"Years",tblAdmissions[Age],"&gt;="&amp;18,tblAdmissions[Age],"&lt;="&amp;19,tblAdmissions[Sex],"M",tblAdmissions[NHIS],"Non-Insured")</f>
        <v>0</v>
      </c>
      <c r="AG10" s="29">
        <f>COUNTIFS(tblAdmissions[Month],5,tblAdmissions[AgeUnit],"Years",tblAdmissions[Age],"&gt;="&amp;18,tblAdmissions[Age],"&lt;="&amp;19,tblAdmissions[Sex],"F",tblAdmissions[NHIS],"Non-Insured")</f>
        <v>0</v>
      </c>
      <c r="AH10" s="29">
        <f>COUNTIFS(tblAdmissions[Month],5,tblAdmissions[AgeUnit],"Years",tblAdmissions[Age],"&gt;="&amp;18,tblAdmissions[Age],"&lt;="&amp;19,tblAdmissions[Sex],"M",tblAdmissions[NHIS],"Insured")</f>
        <v>0</v>
      </c>
      <c r="AI10" s="29">
        <f>COUNTIFS(tblAdmissions[Month],5,tblAdmissions[AgeUnit],"Years",tblAdmissions[Age],"&gt;="&amp;18,tblAdmissions[Age],"&lt;="&amp;19,tblAdmissions[Sex],"F",tblAdmissions[NHIS],"Insured")</f>
        <v>0</v>
      </c>
      <c r="AJ10" s="29" t="s">
        <v>181</v>
      </c>
      <c r="AK10" s="29">
        <f>COUNTIFS(tblAdmissions[Month],6,tblAdmissions[AgeUnit],"Years",tblAdmissions[Age],"&gt;="&amp;18,tblAdmissions[Age],"&lt;="&amp;19,tblAdmissions[Sex],"M")</f>
        <v>0</v>
      </c>
      <c r="AL10" s="29">
        <f>COUNTIFS(tblAdmissions[Month],6,tblAdmissions[AgeUnit],"Years",tblAdmissions[Age],"&gt;="&amp;18,tblAdmissions[Age],"&lt;="&amp;19,tblAdmissions[Sex],"F")</f>
        <v>0</v>
      </c>
      <c r="AM10" s="29">
        <f>COUNTIFS(tblAdmissions[Month],6,tblAdmissions[AgeUnit],"Years",tblAdmissions[Age],"&gt;="&amp;18,tblAdmissions[Age],"&lt;="&amp;19,tblAdmissions[Sex],"M",tblAdmissions[NHIS],"Non-Insured")</f>
        <v>0</v>
      </c>
      <c r="AN10" s="29">
        <f>COUNTIFS(tblAdmissions[Month],6,tblAdmissions[AgeUnit],"Years",tblAdmissions[Age],"&gt;="&amp;18,tblAdmissions[Age],"&lt;="&amp;19,tblAdmissions[Sex],"F",tblAdmissions[NHIS],"Non-Insured")</f>
        <v>0</v>
      </c>
      <c r="AO10" s="29">
        <f>COUNTIFS(tblAdmissions[Month],6,tblAdmissions[AgeUnit],"Years",tblAdmissions[Age],"&gt;="&amp;18,tblAdmissions[Age],"&lt;="&amp;19,tblAdmissions[Sex],"M",tblAdmissions[NHIS],"Insured")</f>
        <v>0</v>
      </c>
      <c r="AP10" s="29">
        <f>COUNTIFS(tblAdmissions[Month],6,tblAdmissions[AgeUnit],"Years",tblAdmissions[Age],"&gt;="&amp;18,tblAdmissions[Age],"&lt;="&amp;19,tblAdmissions[Sex],"F",tblAdmissions[NHIS],"Insured")</f>
        <v>0</v>
      </c>
      <c r="AQ10" s="29" t="s">
        <v>181</v>
      </c>
      <c r="AR10" s="29">
        <f>COUNTIFS(tblAdmissions[Month],7,tblAdmissions[AgeUnit],"Years",tblAdmissions[Age],"&gt;="&amp;18,tblAdmissions[Age],"&lt;="&amp;19,tblAdmissions[Sex],"M")</f>
        <v>0</v>
      </c>
      <c r="AS10" s="29">
        <f>COUNTIFS(tblAdmissions[Month],7,tblAdmissions[AgeUnit],"Years",tblAdmissions[Age],"&gt;="&amp;18,tblAdmissions[Age],"&lt;="&amp;19,tblAdmissions[Sex],"F")</f>
        <v>0</v>
      </c>
      <c r="AT10" s="29">
        <f>COUNTIFS(tblAdmissions[Month],7,tblAdmissions[AgeUnit],"Years",tblAdmissions[Age],"&gt;="&amp;18,tblAdmissions[Age],"&lt;="&amp;19,tblAdmissions[Sex],"M",tblAdmissions[NHIS],"Non-Insured")</f>
        <v>0</v>
      </c>
      <c r="AU10" s="29">
        <f>COUNTIFS(tblAdmissions[Month],7,tblAdmissions[AgeUnit],"Years",tblAdmissions[Age],"&gt;="&amp;18,tblAdmissions[Age],"&lt;="&amp;19,tblAdmissions[Sex],"F",tblAdmissions[NHIS],"Non-Insured")</f>
        <v>0</v>
      </c>
      <c r="AV10" s="29">
        <f>COUNTIFS(tblAdmissions[Month],7,tblAdmissions[AgeUnit],"Years",tblAdmissions[Age],"&gt;="&amp;18,tblAdmissions[Age],"&lt;="&amp;19,tblAdmissions[Sex],"M",tblAdmissions[NHIS],"Insured")</f>
        <v>0</v>
      </c>
      <c r="AW10" s="29">
        <f>COUNTIFS(tblAdmissions[Month],7,tblAdmissions[AgeUnit],"Years",tblAdmissions[Age],"&gt;="&amp;18,tblAdmissions[Age],"&lt;="&amp;19,tblAdmissions[Sex],"F",tblAdmissions[NHIS],"Insured")</f>
        <v>0</v>
      </c>
      <c r="AX10" s="29" t="s">
        <v>181</v>
      </c>
      <c r="AY10" s="29">
        <f>COUNTIFS(tblAdmissions[Month],8,tblAdmissions[AgeUnit],"Years",tblAdmissions[Age],"&gt;="&amp;18,tblAdmissions[Age],"&lt;="&amp;19,tblAdmissions[Sex],"M")</f>
        <v>0</v>
      </c>
      <c r="AZ10" s="29">
        <f>COUNTIFS(tblAdmissions[Month],8,tblAdmissions[AgeUnit],"Years",tblAdmissions[Age],"&gt;="&amp;18,tblAdmissions[Age],"&lt;="&amp;19,tblAdmissions[Sex],"F")</f>
        <v>0</v>
      </c>
      <c r="BA10" s="29">
        <f>COUNTIFS(tblAdmissions[Month],8,tblAdmissions[AgeUnit],"Years",tblAdmissions[Age],"&gt;="&amp;18,tblAdmissions[Age],"&lt;="&amp;19,tblAdmissions[Sex],"M",tblAdmissions[NHIS],"Non-Insured")</f>
        <v>0</v>
      </c>
      <c r="BB10" s="29">
        <f>COUNTIFS(tblAdmissions[Month],8,tblAdmissions[AgeUnit],"Years",tblAdmissions[Age],"&gt;="&amp;18,tblAdmissions[Age],"&lt;="&amp;19,tblAdmissions[Sex],"F",tblAdmissions[NHIS],"Non-Insured")</f>
        <v>0</v>
      </c>
      <c r="BC10" s="29">
        <f>COUNTIFS(tblAdmissions[Month],8,tblAdmissions[AgeUnit],"Years",tblAdmissions[Age],"&gt;="&amp;18,tblAdmissions[Age],"&lt;="&amp;19,tblAdmissions[Sex],"M",tblAdmissions[NHIS],"Insured")</f>
        <v>0</v>
      </c>
      <c r="BD10" s="29">
        <f>COUNTIFS(tblAdmissions[Month],8,tblAdmissions[AgeUnit],"Years",tblAdmissions[Age],"&gt;="&amp;18,tblAdmissions[Age],"&lt;="&amp;19,tblAdmissions[Sex],"F",tblAdmissions[NHIS],"Insured")</f>
        <v>0</v>
      </c>
      <c r="BE10" s="29" t="s">
        <v>181</v>
      </c>
      <c r="BF10" s="29">
        <f>COUNTIFS(tblAdmissions[Month],9,tblAdmissions[AgeUnit],"Years",tblAdmissions[Age],"&gt;="&amp;18,tblAdmissions[Age],"&lt;="&amp;19,tblAdmissions[Sex],"M")</f>
        <v>0</v>
      </c>
      <c r="BG10" s="29">
        <f>COUNTIFS(tblAdmissions[Month],9,tblAdmissions[AgeUnit],"Years",tblAdmissions[Age],"&gt;="&amp;18,tblAdmissions[Age],"&lt;="&amp;19,tblAdmissions[Sex],"F")</f>
        <v>0</v>
      </c>
      <c r="BH10" s="29">
        <f>COUNTIFS(tblAdmissions[Month],9,tblAdmissions[AgeUnit],"Years",tblAdmissions[Age],"&gt;="&amp;18,tblAdmissions[Age],"&lt;="&amp;19,tblAdmissions[Sex],"M",tblAdmissions[NHIS],"Non-Insured")</f>
        <v>0</v>
      </c>
      <c r="BI10" s="29">
        <f>COUNTIFS(tblAdmissions[Month],9,tblAdmissions[AgeUnit],"Years",tblAdmissions[Age],"&gt;="&amp;18,tblAdmissions[Age],"&lt;="&amp;19,tblAdmissions[Sex],"F",tblAdmissions[NHIS],"Non-Insured")</f>
        <v>0</v>
      </c>
      <c r="BJ10" s="29">
        <f>COUNTIFS(tblAdmissions[Month],9,tblAdmissions[AgeUnit],"Years",tblAdmissions[Age],"&gt;="&amp;18,tblAdmissions[Age],"&lt;="&amp;19,tblAdmissions[Sex],"M",tblAdmissions[NHIS],"Insured")</f>
        <v>0</v>
      </c>
      <c r="BK10" s="29">
        <f>COUNTIFS(tblAdmissions[Month],9,tblAdmissions[AgeUnit],"Years",tblAdmissions[Age],"&gt;="&amp;18,tblAdmissions[Age],"&lt;="&amp;19,tblAdmissions[Sex],"F",tblAdmissions[NHIS],"Insured")</f>
        <v>0</v>
      </c>
      <c r="BL10" s="29" t="s">
        <v>181</v>
      </c>
      <c r="BM10" s="29">
        <f>COUNTIFS(tblAdmissions[Month],10,tblAdmissions[AgeUnit],"Years",tblAdmissions[Age],"&gt;="&amp;18,tblAdmissions[Age],"&lt;="&amp;19,tblAdmissions[Sex],"M")</f>
        <v>0</v>
      </c>
      <c r="BN10" s="29">
        <f>COUNTIFS(tblAdmissions[Month],10,tblAdmissions[AgeUnit],"Years",tblAdmissions[Age],"&gt;="&amp;18,tblAdmissions[Age],"&lt;="&amp;19,tblAdmissions[Sex],"F")</f>
        <v>0</v>
      </c>
      <c r="BO10" s="29">
        <f>COUNTIFS(tblAdmissions[Month],10,tblAdmissions[AgeUnit],"Years",tblAdmissions[Age],"&gt;="&amp;18,tblAdmissions[Age],"&lt;="&amp;19,tblAdmissions[Sex],"M",tblAdmissions[NHIS],"Non-Insured")</f>
        <v>0</v>
      </c>
      <c r="BP10" s="29">
        <f>COUNTIFS(tblAdmissions[Month],10,tblAdmissions[AgeUnit],"Years",tblAdmissions[Age],"&gt;="&amp;18,tblAdmissions[Age],"&lt;="&amp;19,tblAdmissions[Sex],"F",tblAdmissions[NHIS],"Non-Insured")</f>
        <v>0</v>
      </c>
      <c r="BQ10" s="29">
        <f>COUNTIFS(tblAdmissions[Month],10,tblAdmissions[AgeUnit],"Years",tblAdmissions[Age],"&gt;="&amp;18,tblAdmissions[Age],"&lt;="&amp;19,tblAdmissions[Sex],"M",tblAdmissions[NHIS],"Insured")</f>
        <v>0</v>
      </c>
      <c r="BR10" s="29">
        <f>COUNTIFS(tblAdmissions[Month],10,tblAdmissions[AgeUnit],"Years",tblAdmissions[Age],"&gt;="&amp;18,tblAdmissions[Age],"&lt;="&amp;19,tblAdmissions[Sex],"F",tblAdmissions[NHIS],"Insured")</f>
        <v>0</v>
      </c>
      <c r="BS10" s="29" t="s">
        <v>181</v>
      </c>
      <c r="BT10" s="29">
        <f>COUNTIFS(tblAdmissions[Month],11,tblAdmissions[AgeUnit],"Years",tblAdmissions[Age],"&gt;="&amp;18,tblAdmissions[Age],"&lt;="&amp;19,tblAdmissions[Sex],"M")</f>
        <v>0</v>
      </c>
      <c r="BU10" s="29">
        <f>COUNTIFS(tblAdmissions[Month],11,tblAdmissions[AgeUnit],"Years",tblAdmissions[Age],"&gt;="&amp;18,tblAdmissions[Age],"&lt;="&amp;19,tblAdmissions[Sex],"F")</f>
        <v>0</v>
      </c>
      <c r="BV10" s="29">
        <f>COUNTIFS(tblAdmissions[Month],11,tblAdmissions[AgeUnit],"Years",tblAdmissions[Age],"&gt;="&amp;18,tblAdmissions[Age],"&lt;="&amp;19,tblAdmissions[Sex],"M",tblAdmissions[NHIS],"Non-Insured")</f>
        <v>0</v>
      </c>
      <c r="BW10" s="29">
        <f>COUNTIFS(tblAdmissions[Month],11,tblAdmissions[AgeUnit],"Years",tblAdmissions[Age],"&gt;="&amp;18,tblAdmissions[Age],"&lt;="&amp;19,tblAdmissions[Sex],"F",tblAdmissions[NHIS],"Non-Insured")</f>
        <v>0</v>
      </c>
      <c r="BX10" s="29">
        <f>COUNTIFS(tblAdmissions[Month],11,tblAdmissions[AgeUnit],"Years",tblAdmissions[Age],"&gt;="&amp;18,tblAdmissions[Age],"&lt;="&amp;19,tblAdmissions[Sex],"M",tblAdmissions[NHIS],"Insured")</f>
        <v>0</v>
      </c>
      <c r="BY10" s="29">
        <f>COUNTIFS(tblAdmissions[Month],11,tblAdmissions[AgeUnit],"Years",tblAdmissions[Age],"&gt;="&amp;18,tblAdmissions[Age],"&lt;="&amp;19,tblAdmissions[Sex],"F",tblAdmissions[NHIS],"Insured")</f>
        <v>0</v>
      </c>
      <c r="BZ10" s="29" t="s">
        <v>181</v>
      </c>
      <c r="CA10" s="29">
        <f>COUNTIFS(tblAdmissions[Month],12,tblAdmissions[AgeUnit],"Years",tblAdmissions[Age],"&gt;="&amp;18,tblAdmissions[Age],"&lt;="&amp;19,tblAdmissions[Sex],"M")</f>
        <v>0</v>
      </c>
      <c r="CB10" s="29">
        <f>COUNTIFS(tblAdmissions[Month],12,tblAdmissions[AgeUnit],"Years",tblAdmissions[Age],"&gt;="&amp;18,tblAdmissions[Age],"&lt;="&amp;19,tblAdmissions[Sex],"F")</f>
        <v>0</v>
      </c>
      <c r="CC10" s="29">
        <f>COUNTIFS(tblAdmissions[Month],12,tblAdmissions[AgeUnit],"Years",tblAdmissions[Age],"&gt;="&amp;18,tblAdmissions[Age],"&lt;="&amp;19,tblAdmissions[Sex],"M",tblAdmissions[NHIS],"Non-Insured")</f>
        <v>0</v>
      </c>
      <c r="CD10" s="29">
        <f>COUNTIFS(tblAdmissions[Month],12,tblAdmissions[AgeUnit],"Years",tblAdmissions[Age],"&gt;="&amp;18,tblAdmissions[Age],"&lt;="&amp;19,tblAdmissions[Sex],"F",tblAdmissions[NHIS],"Non-Insured")</f>
        <v>0</v>
      </c>
      <c r="CE10" s="29">
        <f>COUNTIFS(tblAdmissions[Month],12,tblAdmissions[AgeUnit],"Years",tblAdmissions[Age],"&gt;="&amp;18,tblAdmissions[Age],"&lt;="&amp;19,tblAdmissions[Sex],"M",tblAdmissions[NHIS],"Insured")</f>
        <v>0</v>
      </c>
      <c r="CF10" s="29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29" t="s">
        <v>182</v>
      </c>
      <c r="B11" s="29">
        <f>COUNTIFS(tblAdmissions[Month],1,tblAdmissions[AgeUnit],"Years",tblAdmissions[Age],"&gt;="&amp;20,tblAdmissions[Age],"&lt;="&amp;34,tblAdmissions[Sex],"M")</f>
        <v>33</v>
      </c>
      <c r="C11" s="29">
        <f>COUNTIFS(tblAdmissions[Month],1,tblAdmissions[AgeUnit],"Years",tblAdmissions[Age],"&gt;="&amp;20,tblAdmissions[Age],"&lt;="&amp;34,tblAdmissions[Sex],"F")</f>
        <v>200</v>
      </c>
      <c r="D11" s="29">
        <f>COUNTIFS(tblAdmissions[Month],1,tblAdmissions[AgeUnit],"Years",tblAdmissions[Age],"&gt;="&amp;20,tblAdmissions[Age],"&lt;="&amp;34,tblAdmissions[Sex],"M",tblAdmissions[NHIS],"Non-Insured")</f>
        <v>0</v>
      </c>
      <c r="E11" s="29">
        <f>COUNTIFS(tblAdmissions[Month],1,tblAdmissions[AgeUnit],"Years",tblAdmissions[Age],"&gt;="&amp;20,tblAdmissions[Age],"&lt;="&amp;34,tblAdmissions[Sex],"F",tblAdmissions[NHIS],"Non-Insured")</f>
        <v>0</v>
      </c>
      <c r="F11" s="29">
        <f>COUNTIFS(tblAdmissions[Month],1,tblAdmissions[AgeUnit],"Years",tblAdmissions[Age],"&gt;="&amp;20,tblAdmissions[Age],"&lt;="&amp;34,tblAdmissions[Sex],"M",tblAdmissions[NHIS],"Insured")</f>
        <v>33</v>
      </c>
      <c r="G11" s="29">
        <f>COUNTIFS(tblAdmissions[Month],1,tblAdmissions[AgeUnit],"Years",tblAdmissions[Age],"&gt;="&amp;20,tblAdmissions[Age],"&lt;="&amp;34,tblAdmissions[Sex],"F",tblAdmissions[NHIS],"Insured")</f>
        <v>200</v>
      </c>
      <c r="H11" s="29" t="s">
        <v>182</v>
      </c>
      <c r="I11" s="29">
        <f>COUNTIFS(tblAdmissions[Month],2,tblAdmissions[AgeUnit],"Years",tblAdmissions[Age],"&gt;="&amp;20,tblAdmissions[Age],"&lt;="&amp;34,tblAdmissions[Sex],"M")</f>
        <v>29</v>
      </c>
      <c r="J11" s="29">
        <f>COUNTIFS(tblAdmissions[Month],2,tblAdmissions[AgeUnit],"Years",tblAdmissions[Age],"&gt;="&amp;20,tblAdmissions[Age],"&lt;="&amp;34,tblAdmissions[Sex],"F")</f>
        <v>207</v>
      </c>
      <c r="K11" s="29">
        <f>COUNTIFS(tblAdmissions[Month],2,tblAdmissions[AgeUnit],"Years",tblAdmissions[Age],"&gt;="&amp;20,tblAdmissions[Age],"&lt;="&amp;34,tblAdmissions[Sex],"M",tblAdmissions[NHIS],"Non-Insured")</f>
        <v>0</v>
      </c>
      <c r="L11" s="29">
        <f>COUNTIFS(tblAdmissions[Month],2,tblAdmissions[AgeUnit],"Years",tblAdmissions[Age],"&gt;="&amp;20,tblAdmissions[Age],"&lt;="&amp;34,tblAdmissions[Sex],"F",tblAdmissions[NHIS],"Non-Insured")</f>
        <v>0</v>
      </c>
      <c r="M11" s="29">
        <f>COUNTIFS(tblAdmissions[Month],2,tblAdmissions[AgeUnit],"Years",tblAdmissions[Age],"&gt;="&amp;20,tblAdmissions[Age],"&lt;="&amp;34,tblAdmissions[Sex],"M",tblAdmissions[NHIS],"Insured")</f>
        <v>29</v>
      </c>
      <c r="N11" s="29">
        <f>COUNTIFS(tblAdmissions[Month],2,tblAdmissions[AgeUnit],"Years",tblAdmissions[Age],"&gt;="&amp;20,tblAdmissions[Age],"&lt;="&amp;34,tblAdmissions[Sex],"F",tblAdmissions[NHIS],"Insured")</f>
        <v>207</v>
      </c>
      <c r="O11" s="29" t="s">
        <v>182</v>
      </c>
      <c r="P11" s="29">
        <f>COUNTIFS(tblAdmissions[Month],3,tblAdmissions[AgeUnit],"Years",tblAdmissions[Age],"&gt;="&amp;20,tblAdmissions[Age],"&lt;="&amp;34,tblAdmissions[Sex],"M")</f>
        <v>33</v>
      </c>
      <c r="Q11" s="29">
        <f>COUNTIFS(tblAdmissions[Month],3,tblAdmissions[AgeUnit],"Years",tblAdmissions[Age],"&gt;="&amp;20,tblAdmissions[Age],"&lt;="&amp;34,tblAdmissions[Sex],"F")</f>
        <v>258</v>
      </c>
      <c r="R11" s="29">
        <f>COUNTIFS(tblAdmissions[Month],3,tblAdmissions[AgeUnit],"Years",tblAdmissions[Age],"&gt;="&amp;20,tblAdmissions[Age],"&lt;="&amp;34,tblAdmissions[Sex],"M",tblAdmissions[NHIS],"Non-Insured")</f>
        <v>0</v>
      </c>
      <c r="S11" s="29">
        <f>COUNTIFS(tblAdmissions[Month],3,tblAdmissions[AgeUnit],"Years",tblAdmissions[Age],"&gt;="&amp;20,tblAdmissions[Age],"&lt;="&amp;34,tblAdmissions[Sex],"F",tblAdmissions[NHIS],"Non-Insured")</f>
        <v>0</v>
      </c>
      <c r="T11" s="29">
        <f>COUNTIFS(tblAdmissions[Month],3,tblAdmissions[AgeUnit],"Years",tblAdmissions[Age],"&gt;="&amp;20,tblAdmissions[Age],"&lt;="&amp;34,tblAdmissions[Sex],"M",tblAdmissions[NHIS],"Insured")</f>
        <v>33</v>
      </c>
      <c r="U11" s="29">
        <f>COUNTIFS(tblAdmissions[Month],3,tblAdmissions[AgeUnit],"Years",tblAdmissions[Age],"&gt;="&amp;20,tblAdmissions[Age],"&lt;="&amp;34,tblAdmissions[Sex],"F",tblAdmissions[NHIS],"Insured")</f>
        <v>258</v>
      </c>
      <c r="V11" s="29" t="s">
        <v>182</v>
      </c>
      <c r="W11" s="29">
        <f>COUNTIFS(tblAdmissions[Month],4,tblAdmissions[AgeUnit],"Years",tblAdmissions[Age],"&gt;="&amp;20,tblAdmissions[Age],"&lt;="&amp;34,tblAdmissions[Sex],"M")</f>
        <v>0</v>
      </c>
      <c r="X11" s="29">
        <f>COUNTIFS(tblAdmissions[Month],4,tblAdmissions[AgeUnit],"Years",tblAdmissions[Age],"&gt;="&amp;20,tblAdmissions[Age],"&lt;="&amp;34,tblAdmissions[Sex],"F")</f>
        <v>0</v>
      </c>
      <c r="Y11" s="29">
        <f>COUNTIFS(tblAdmissions[Month],4,tblAdmissions[AgeUnit],"Years",tblAdmissions[Age],"&gt;="&amp;20,tblAdmissions[Age],"&lt;="&amp;34,tblAdmissions[Sex],"M",tblAdmissions[NHIS],"Non-Insured")</f>
        <v>0</v>
      </c>
      <c r="Z11" s="29">
        <f>COUNTIFS(tblAdmissions[Month],4,tblAdmissions[AgeUnit],"Years",tblAdmissions[Age],"&gt;="&amp;20,tblAdmissions[Age],"&lt;="&amp;34,tblAdmissions[Sex],"F",tblAdmissions[NHIS],"Non-Insured")</f>
        <v>0</v>
      </c>
      <c r="AA11" s="29">
        <f>COUNTIFS(tblAdmissions[Month],4,tblAdmissions[AgeUnit],"Years",tblAdmissions[Age],"&gt;="&amp;20,tblAdmissions[Age],"&lt;="&amp;34,tblAdmissions[Sex],"M",tblAdmissions[NHIS],"Insured")</f>
        <v>0</v>
      </c>
      <c r="AB11" s="29">
        <f>COUNTIFS(tblAdmissions[Month],4,tblAdmissions[AgeUnit],"Years",tblAdmissions[Age],"&gt;="&amp;20,tblAdmissions[Age],"&lt;="&amp;34,tblAdmissions[Sex],"F",tblAdmissions[NHIS],"Insured")</f>
        <v>0</v>
      </c>
      <c r="AC11" s="29" t="s">
        <v>182</v>
      </c>
      <c r="AD11" s="29">
        <f>COUNTIFS(tblAdmissions[Month],5,tblAdmissions[AgeUnit],"Years",tblAdmissions[Age],"&gt;="&amp;20,tblAdmissions[Age],"&lt;="&amp;34,tblAdmissions[Sex],"M")</f>
        <v>0</v>
      </c>
      <c r="AE11" s="29">
        <f>COUNTIFS(tblAdmissions[Month],5,tblAdmissions[AgeUnit],"Years",tblAdmissions[Age],"&gt;="&amp;20,tblAdmissions[Age],"&lt;="&amp;34,tblAdmissions[Sex],"F")</f>
        <v>0</v>
      </c>
      <c r="AF11" s="29">
        <f>COUNTIFS(tblAdmissions[Month],5,tblAdmissions[AgeUnit],"Years",tblAdmissions[Age],"&gt;="&amp;20,tblAdmissions[Age],"&lt;="&amp;34,tblAdmissions[Sex],"M",tblAdmissions[NHIS],"Non-Insured")</f>
        <v>0</v>
      </c>
      <c r="AG11" s="29">
        <f>COUNTIFS(tblAdmissions[Month],5,tblAdmissions[AgeUnit],"Years",tblAdmissions[Age],"&gt;="&amp;20,tblAdmissions[Age],"&lt;="&amp;34,tblAdmissions[Sex],"F",tblAdmissions[NHIS],"Non-Insured")</f>
        <v>0</v>
      </c>
      <c r="AH11" s="29">
        <f>COUNTIFS(tblAdmissions[Month],5,tblAdmissions[AgeUnit],"Years",tblAdmissions[Age],"&gt;="&amp;20,tblAdmissions[Age],"&lt;="&amp;34,tblAdmissions[Sex],"M",tblAdmissions[NHIS],"Insured")</f>
        <v>0</v>
      </c>
      <c r="AI11" s="29">
        <f>COUNTIFS(tblAdmissions[Month],5,tblAdmissions[AgeUnit],"Years",tblAdmissions[Age],"&gt;="&amp;20,tblAdmissions[Age],"&lt;="&amp;34,tblAdmissions[Sex],"F",tblAdmissions[NHIS],"Insured")</f>
        <v>0</v>
      </c>
      <c r="AJ11" s="29" t="s">
        <v>182</v>
      </c>
      <c r="AK11" s="29">
        <f>COUNTIFS(tblAdmissions[Month],6,tblAdmissions[AgeUnit],"Years",tblAdmissions[Age],"&gt;="&amp;20,tblAdmissions[Age],"&lt;="&amp;34,tblAdmissions[Sex],"M")</f>
        <v>0</v>
      </c>
      <c r="AL11" s="29">
        <f>COUNTIFS(tblAdmissions[Month],6,tblAdmissions[AgeUnit],"Years",tblAdmissions[Age],"&gt;="&amp;20,tblAdmissions[Age],"&lt;="&amp;34,tblAdmissions[Sex],"F")</f>
        <v>0</v>
      </c>
      <c r="AM11" s="29">
        <f>COUNTIFS(tblAdmissions[Month],6,tblAdmissions[AgeUnit],"Years",tblAdmissions[Age],"&gt;="&amp;20,tblAdmissions[Age],"&lt;="&amp;34,tblAdmissions[Sex],"M",tblAdmissions[NHIS],"Non-Insured")</f>
        <v>0</v>
      </c>
      <c r="AN11" s="29">
        <f>COUNTIFS(tblAdmissions[Month],6,tblAdmissions[AgeUnit],"Years",tblAdmissions[Age],"&gt;="&amp;20,tblAdmissions[Age],"&lt;="&amp;34,tblAdmissions[Sex],"F",tblAdmissions[NHIS],"Non-Insured")</f>
        <v>0</v>
      </c>
      <c r="AO11" s="29">
        <f>COUNTIFS(tblAdmissions[Month],6,tblAdmissions[AgeUnit],"Years",tblAdmissions[Age],"&gt;="&amp;20,tblAdmissions[Age],"&lt;="&amp;34,tblAdmissions[Sex],"M",tblAdmissions[NHIS],"Insured")</f>
        <v>0</v>
      </c>
      <c r="AP11" s="29">
        <f>COUNTIFS(tblAdmissions[Month],6,tblAdmissions[AgeUnit],"Years",tblAdmissions[Age],"&gt;="&amp;20,tblAdmissions[Age],"&lt;="&amp;34,tblAdmissions[Sex],"F",tblAdmissions[NHIS],"Insured")</f>
        <v>0</v>
      </c>
      <c r="AQ11" s="29" t="s">
        <v>182</v>
      </c>
      <c r="AR11" s="29">
        <f>COUNTIFS(tblAdmissions[Month],7,tblAdmissions[AgeUnit],"Years",tblAdmissions[Age],"&gt;="&amp;20,tblAdmissions[Age],"&lt;="&amp;34,tblAdmissions[Sex],"M")</f>
        <v>0</v>
      </c>
      <c r="AS11" s="29">
        <f>COUNTIFS(tblAdmissions[Month],7,tblAdmissions[AgeUnit],"Years",tblAdmissions[Age],"&gt;="&amp;20,tblAdmissions[Age],"&lt;="&amp;34,tblAdmissions[Sex],"F")</f>
        <v>0</v>
      </c>
      <c r="AT11" s="29">
        <f>COUNTIFS(tblAdmissions[Month],7,tblAdmissions[AgeUnit],"Years",tblAdmissions[Age],"&gt;="&amp;20,tblAdmissions[Age],"&lt;="&amp;34,tblAdmissions[Sex],"M",tblAdmissions[NHIS],"Non-Insured")</f>
        <v>0</v>
      </c>
      <c r="AU11" s="29">
        <f>COUNTIFS(tblAdmissions[Month],7,tblAdmissions[AgeUnit],"Years",tblAdmissions[Age],"&gt;="&amp;20,tblAdmissions[Age],"&lt;="&amp;34,tblAdmissions[Sex],"F",tblAdmissions[NHIS],"Non-Insured")</f>
        <v>0</v>
      </c>
      <c r="AV11" s="29">
        <f>COUNTIFS(tblAdmissions[Month],7,tblAdmissions[AgeUnit],"Years",tblAdmissions[Age],"&gt;="&amp;20,tblAdmissions[Age],"&lt;="&amp;34,tblAdmissions[Sex],"M",tblAdmissions[NHIS],"Insured")</f>
        <v>0</v>
      </c>
      <c r="AW11" s="29">
        <f>COUNTIFS(tblAdmissions[Month],7,tblAdmissions[AgeUnit],"Years",tblAdmissions[Age],"&gt;="&amp;20,tblAdmissions[Age],"&lt;="&amp;34,tblAdmissions[Sex],"F",tblAdmissions[NHIS],"Insured")</f>
        <v>0</v>
      </c>
      <c r="AX11" s="29" t="s">
        <v>182</v>
      </c>
      <c r="AY11" s="29">
        <f>COUNTIFS(tblAdmissions[Month],8,tblAdmissions[AgeUnit],"Years",tblAdmissions[Age],"&gt;="&amp;20,tblAdmissions[Age],"&lt;="&amp;34,tblAdmissions[Sex],"M")</f>
        <v>0</v>
      </c>
      <c r="AZ11" s="29">
        <f>COUNTIFS(tblAdmissions[Month],8,tblAdmissions[AgeUnit],"Years",tblAdmissions[Age],"&gt;="&amp;20,tblAdmissions[Age],"&lt;="&amp;34,tblAdmissions[Sex],"F")</f>
        <v>0</v>
      </c>
      <c r="BA11" s="29">
        <f>COUNTIFS(tblAdmissions[Month],8,tblAdmissions[AgeUnit],"Years",tblAdmissions[Age],"&gt;="&amp;20,tblAdmissions[Age],"&lt;="&amp;34,tblAdmissions[Sex],"M",tblAdmissions[NHIS],"Non-Insured")</f>
        <v>0</v>
      </c>
      <c r="BB11" s="29">
        <f>COUNTIFS(tblAdmissions[Month],8,tblAdmissions[AgeUnit],"Years",tblAdmissions[Age],"&gt;="&amp;20,tblAdmissions[Age],"&lt;="&amp;34,tblAdmissions[Sex],"F",tblAdmissions[NHIS],"Non-Insured")</f>
        <v>0</v>
      </c>
      <c r="BC11" s="29">
        <f>COUNTIFS(tblAdmissions[Month],8,tblAdmissions[AgeUnit],"Years",tblAdmissions[Age],"&gt;="&amp;20,tblAdmissions[Age],"&lt;="&amp;34,tblAdmissions[Sex],"M",tblAdmissions[NHIS],"Insured")</f>
        <v>0</v>
      </c>
      <c r="BD11" s="29">
        <f>COUNTIFS(tblAdmissions[Month],8,tblAdmissions[AgeUnit],"Years",tblAdmissions[Age],"&gt;="&amp;20,tblAdmissions[Age],"&lt;="&amp;34,tblAdmissions[Sex],"F",tblAdmissions[NHIS],"Insured")</f>
        <v>0</v>
      </c>
      <c r="BE11" s="29" t="s">
        <v>182</v>
      </c>
      <c r="BF11" s="29">
        <f>COUNTIFS(tblAdmissions[Month],9,tblAdmissions[AgeUnit],"Years",tblAdmissions[Age],"&gt;="&amp;20,tblAdmissions[Age],"&lt;="&amp;34,tblAdmissions[Sex],"M")</f>
        <v>0</v>
      </c>
      <c r="BG11" s="29">
        <f>COUNTIFS(tblAdmissions[Month],9,tblAdmissions[AgeUnit],"Years",tblAdmissions[Age],"&gt;="&amp;20,tblAdmissions[Age],"&lt;="&amp;34,tblAdmissions[Sex],"F")</f>
        <v>0</v>
      </c>
      <c r="BH11" s="29">
        <f>COUNTIFS(tblAdmissions[Month],9,tblAdmissions[AgeUnit],"Years",tblAdmissions[Age],"&gt;="&amp;20,tblAdmissions[Age],"&lt;="&amp;34,tblAdmissions[Sex],"M",tblAdmissions[NHIS],"Non-Insured")</f>
        <v>0</v>
      </c>
      <c r="BI11" s="29">
        <f>COUNTIFS(tblAdmissions[Month],9,tblAdmissions[AgeUnit],"Years",tblAdmissions[Age],"&gt;="&amp;20,tblAdmissions[Age],"&lt;="&amp;34,tblAdmissions[Sex],"F",tblAdmissions[NHIS],"Non-Insured")</f>
        <v>0</v>
      </c>
      <c r="BJ11" s="29">
        <f>COUNTIFS(tblAdmissions[Month],9,tblAdmissions[AgeUnit],"Years",tblAdmissions[Age],"&gt;="&amp;20,tblAdmissions[Age],"&lt;="&amp;34,tblAdmissions[Sex],"M",tblAdmissions[NHIS],"Insured")</f>
        <v>0</v>
      </c>
      <c r="BK11" s="29">
        <f>COUNTIFS(tblAdmissions[Month],9,tblAdmissions[AgeUnit],"Years",tblAdmissions[Age],"&gt;="&amp;20,tblAdmissions[Age],"&lt;="&amp;34,tblAdmissions[Sex],"F",tblAdmissions[NHIS],"Insured")</f>
        <v>0</v>
      </c>
      <c r="BL11" s="29" t="s">
        <v>182</v>
      </c>
      <c r="BM11" s="29">
        <f>COUNTIFS(tblAdmissions[Month],10,tblAdmissions[AgeUnit],"Years",tblAdmissions[Age],"&gt;="&amp;20,tblAdmissions[Age],"&lt;="&amp;34,tblAdmissions[Sex],"M")</f>
        <v>0</v>
      </c>
      <c r="BN11" s="29">
        <f>COUNTIFS(tblAdmissions[Month],10,tblAdmissions[AgeUnit],"Years",tblAdmissions[Age],"&gt;="&amp;20,tblAdmissions[Age],"&lt;="&amp;34,tblAdmissions[Sex],"F")</f>
        <v>0</v>
      </c>
      <c r="BO11" s="29">
        <f>COUNTIFS(tblAdmissions[Month],10,tblAdmissions[AgeUnit],"Years",tblAdmissions[Age],"&gt;="&amp;20,tblAdmissions[Age],"&lt;="&amp;34,tblAdmissions[Sex],"M",tblAdmissions[NHIS],"Non-Insured")</f>
        <v>0</v>
      </c>
      <c r="BP11" s="29">
        <f>COUNTIFS(tblAdmissions[Month],10,tblAdmissions[AgeUnit],"Years",tblAdmissions[Age],"&gt;="&amp;20,tblAdmissions[Age],"&lt;="&amp;34,tblAdmissions[Sex],"F",tblAdmissions[NHIS],"Non-Insured")</f>
        <v>0</v>
      </c>
      <c r="BQ11" s="29">
        <f>COUNTIFS(tblAdmissions[Month],10,tblAdmissions[AgeUnit],"Years",tblAdmissions[Age],"&gt;="&amp;20,tblAdmissions[Age],"&lt;="&amp;34,tblAdmissions[Sex],"M",tblAdmissions[NHIS],"Insured")</f>
        <v>0</v>
      </c>
      <c r="BR11" s="29">
        <f>COUNTIFS(tblAdmissions[Month],10,tblAdmissions[AgeUnit],"Years",tblAdmissions[Age],"&gt;="&amp;20,tblAdmissions[Age],"&lt;="&amp;34,tblAdmissions[Sex],"F",tblAdmissions[NHIS],"Insured")</f>
        <v>0</v>
      </c>
      <c r="BS11" s="29" t="s">
        <v>182</v>
      </c>
      <c r="BT11" s="29">
        <f>COUNTIFS(tblAdmissions[Month],11,tblAdmissions[AgeUnit],"Years",tblAdmissions[Age],"&gt;="&amp;20,tblAdmissions[Age],"&lt;="&amp;34,tblAdmissions[Sex],"M")</f>
        <v>0</v>
      </c>
      <c r="BU11" s="29">
        <f>COUNTIFS(tblAdmissions[Month],11,tblAdmissions[AgeUnit],"Years",tblAdmissions[Age],"&gt;="&amp;20,tblAdmissions[Age],"&lt;="&amp;34,tblAdmissions[Sex],"F")</f>
        <v>0</v>
      </c>
      <c r="BV11" s="29">
        <f>COUNTIFS(tblAdmissions[Month],11,tblAdmissions[AgeUnit],"Years",tblAdmissions[Age],"&gt;="&amp;20,tblAdmissions[Age],"&lt;="&amp;34,tblAdmissions[Sex],"M",tblAdmissions[NHIS],"Non-Insured")</f>
        <v>0</v>
      </c>
      <c r="BW11" s="29">
        <f>COUNTIFS(tblAdmissions[Month],11,tblAdmissions[AgeUnit],"Years",tblAdmissions[Age],"&gt;="&amp;20,tblAdmissions[Age],"&lt;="&amp;34,tblAdmissions[Sex],"F",tblAdmissions[NHIS],"Non-Insured")</f>
        <v>0</v>
      </c>
      <c r="BX11" s="29">
        <f>COUNTIFS(tblAdmissions[Month],11,tblAdmissions[AgeUnit],"Years",tblAdmissions[Age],"&gt;="&amp;20,tblAdmissions[Age],"&lt;="&amp;34,tblAdmissions[Sex],"M",tblAdmissions[NHIS],"Insured")</f>
        <v>0</v>
      </c>
      <c r="BY11" s="29">
        <f>COUNTIFS(tblAdmissions[Month],11,tblAdmissions[AgeUnit],"Years",tblAdmissions[Age],"&gt;="&amp;20,tblAdmissions[Age],"&lt;="&amp;34,tblAdmissions[Sex],"F",tblAdmissions[NHIS],"Insured")</f>
        <v>0</v>
      </c>
      <c r="BZ11" s="29" t="s">
        <v>182</v>
      </c>
      <c r="CA11" s="29">
        <f>COUNTIFS(tblAdmissions[Month],12,tblAdmissions[AgeUnit],"Years",tblAdmissions[Age],"&gt;="&amp;20,tblAdmissions[Age],"&lt;="&amp;34,tblAdmissions[Sex],"M")</f>
        <v>0</v>
      </c>
      <c r="CB11" s="29">
        <f>COUNTIFS(tblAdmissions[Month],12,tblAdmissions[AgeUnit],"Years",tblAdmissions[Age],"&gt;="&amp;20,tblAdmissions[Age],"&lt;="&amp;34,tblAdmissions[Sex],"F")</f>
        <v>0</v>
      </c>
      <c r="CC11" s="29">
        <f>COUNTIFS(tblAdmissions[Month],12,tblAdmissions[AgeUnit],"Years",tblAdmissions[Age],"&gt;="&amp;20,tblAdmissions[Age],"&lt;="&amp;34,tblAdmissions[Sex],"M",tblAdmissions[NHIS],"Non-Insured")</f>
        <v>0</v>
      </c>
      <c r="CD11" s="29">
        <f>COUNTIFS(tblAdmissions[Month],12,tblAdmissions[AgeUnit],"Years",tblAdmissions[Age],"&gt;="&amp;20,tblAdmissions[Age],"&lt;="&amp;34,tblAdmissions[Sex],"F",tblAdmissions[NHIS],"Non-Insured")</f>
        <v>0</v>
      </c>
      <c r="CE11" s="29">
        <f>COUNTIFS(tblAdmissions[Month],12,tblAdmissions[AgeUnit],"Years",tblAdmissions[Age],"&gt;="&amp;20,tblAdmissions[Age],"&lt;="&amp;34,tblAdmissions[Sex],"M",tblAdmissions[NHIS],"Insured")</f>
        <v>0</v>
      </c>
      <c r="CF11" s="29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29" t="s">
        <v>183</v>
      </c>
      <c r="B12" s="29">
        <f>COUNTIFS(tblAdmissions[Month],1,tblAdmissions[AgeUnit],"Years",tblAdmissions[Age],"&gt;="&amp;35,tblAdmissions[Age],"&lt;="&amp;49,tblAdmissions[Sex],"M")</f>
        <v>31</v>
      </c>
      <c r="C12" s="29">
        <f>COUNTIFS(tblAdmissions[Month],1,tblAdmissions[AgeUnit],"Years",tblAdmissions[Age],"&gt;="&amp;35,tblAdmissions[Age],"&lt;="&amp;49,tblAdmissions[Sex],"F")</f>
        <v>80</v>
      </c>
      <c r="D12" s="29">
        <f>COUNTIFS(tblAdmissions[Month],1,tblAdmissions[AgeUnit],"Years",tblAdmissions[Age],"&gt;="&amp;35,tblAdmissions[Age],"&lt;="&amp;49,tblAdmissions[Sex],"M",tblAdmissions[NHIS],"Non-Insured")</f>
        <v>0</v>
      </c>
      <c r="E12" s="29">
        <f>COUNTIFS(tblAdmissions[Month],1,tblAdmissions[AgeUnit],"Years",tblAdmissions[Age],"&gt;="&amp;35,tblAdmissions[Age],"&lt;="&amp;49,tblAdmissions[Sex],"F",tblAdmissions[NHIS],"Non-Insured")</f>
        <v>0</v>
      </c>
      <c r="F12" s="29">
        <f>COUNTIFS(tblAdmissions[Month],1,tblAdmissions[AgeUnit],"Years",tblAdmissions[Age],"&gt;="&amp;35,tblAdmissions[Age],"&lt;="&amp;49,tblAdmissions[Sex],"M",tblAdmissions[NHIS],"Insured")</f>
        <v>31</v>
      </c>
      <c r="G12" s="29">
        <f>COUNTIFS(tblAdmissions[Month],1,tblAdmissions[AgeUnit],"Years",tblAdmissions[Age],"&gt;="&amp;35,tblAdmissions[Age],"&lt;="&amp;49,tblAdmissions[Sex],"F",tblAdmissions[NHIS],"Insured")</f>
        <v>80</v>
      </c>
      <c r="H12" s="29" t="s">
        <v>183</v>
      </c>
      <c r="I12" s="29">
        <f>COUNTIFS(tblAdmissions[Month],2,tblAdmissions[AgeUnit],"Years",tblAdmissions[Age],"&gt;="&amp;35,tblAdmissions[Age],"&lt;="&amp;49,tblAdmissions[Sex],"M")</f>
        <v>23</v>
      </c>
      <c r="J12" s="29">
        <f>COUNTIFS(tblAdmissions[Month],2,tblAdmissions[AgeUnit],"Years",tblAdmissions[Age],"&gt;="&amp;35,tblAdmissions[Age],"&lt;="&amp;49,tblAdmissions[Sex],"F")</f>
        <v>88</v>
      </c>
      <c r="K12" s="29">
        <f>COUNTIFS(tblAdmissions[Month],2,tblAdmissions[AgeUnit],"Years",tblAdmissions[Age],"&gt;="&amp;35,tblAdmissions[Age],"&lt;="&amp;49,tblAdmissions[Sex],"M",tblAdmissions[NHIS],"Non-Insured")</f>
        <v>0</v>
      </c>
      <c r="L12" s="29">
        <f>COUNTIFS(tblAdmissions[Month],2,tblAdmissions[AgeUnit],"Years",tblAdmissions[Age],"&gt;="&amp;35,tblAdmissions[Age],"&lt;="&amp;49,tblAdmissions[Sex],"F",tblAdmissions[NHIS],"Non-Insured")</f>
        <v>0</v>
      </c>
      <c r="M12" s="29">
        <f>COUNTIFS(tblAdmissions[Month],2,tblAdmissions[AgeUnit],"Years",tblAdmissions[Age],"&gt;="&amp;35,tblAdmissions[Age],"&lt;="&amp;49,tblAdmissions[Sex],"M",tblAdmissions[NHIS],"Insured")</f>
        <v>23</v>
      </c>
      <c r="N12" s="29">
        <f>COUNTIFS(tblAdmissions[Month],2,tblAdmissions[AgeUnit],"Years",tblAdmissions[Age],"&gt;="&amp;35,tblAdmissions[Age],"&lt;="&amp;49,tblAdmissions[Sex],"F",tblAdmissions[NHIS],"Insured")</f>
        <v>88</v>
      </c>
      <c r="O12" s="29" t="s">
        <v>183</v>
      </c>
      <c r="P12" s="29">
        <f>COUNTIFS(tblAdmissions[Month],3,tblAdmissions[AgeUnit],"Years",tblAdmissions[Age],"&gt;="&amp;35,tblAdmissions[Age],"&lt;="&amp;49,tblAdmissions[Sex],"M")</f>
        <v>22</v>
      </c>
      <c r="Q12" s="29">
        <f>COUNTIFS(tblAdmissions[Month],3,tblAdmissions[AgeUnit],"Years",tblAdmissions[Age],"&gt;="&amp;35,tblAdmissions[Age],"&lt;="&amp;49,tblAdmissions[Sex],"F")</f>
        <v>82</v>
      </c>
      <c r="R12" s="29">
        <f>COUNTIFS(tblAdmissions[Month],3,tblAdmissions[AgeUnit],"Years",tblAdmissions[Age],"&gt;="&amp;35,tblAdmissions[Age],"&lt;="&amp;49,tblAdmissions[Sex],"M",tblAdmissions[NHIS],"Non-Insured")</f>
        <v>0</v>
      </c>
      <c r="S12" s="29">
        <f>COUNTIFS(tblAdmissions[Month],3,tblAdmissions[AgeUnit],"Years",tblAdmissions[Age],"&gt;="&amp;35,tblAdmissions[Age],"&lt;="&amp;49,tblAdmissions[Sex],"F",tblAdmissions[NHIS],"Non-Insured")</f>
        <v>0</v>
      </c>
      <c r="T12" s="29">
        <f>COUNTIFS(tblAdmissions[Month],3,tblAdmissions[AgeUnit],"Years",tblAdmissions[Age],"&gt;="&amp;35,tblAdmissions[Age],"&lt;="&amp;49,tblAdmissions[Sex],"M",tblAdmissions[NHIS],"Insured")</f>
        <v>22</v>
      </c>
      <c r="U12" s="29">
        <f>COUNTIFS(tblAdmissions[Month],3,tblAdmissions[AgeUnit],"Years",tblAdmissions[Age],"&gt;="&amp;35,tblAdmissions[Age],"&lt;="&amp;49,tblAdmissions[Sex],"F",tblAdmissions[NHIS],"Insured")</f>
        <v>82</v>
      </c>
      <c r="V12" s="29" t="s">
        <v>183</v>
      </c>
      <c r="W12" s="29">
        <f>COUNTIFS(tblAdmissions[Month],4,tblAdmissions[AgeUnit],"Years",tblAdmissions[Age],"&gt;="&amp;35,tblAdmissions[Age],"&lt;="&amp;49,tblAdmissions[Sex],"M")</f>
        <v>0</v>
      </c>
      <c r="X12" s="29">
        <f>COUNTIFS(tblAdmissions[Month],4,tblAdmissions[AgeUnit],"Years",tblAdmissions[Age],"&gt;="&amp;35,tblAdmissions[Age],"&lt;="&amp;49,tblAdmissions[Sex],"F")</f>
        <v>0</v>
      </c>
      <c r="Y12" s="29">
        <f>COUNTIFS(tblAdmissions[Month],4,tblAdmissions[AgeUnit],"Years",tblAdmissions[Age],"&gt;="&amp;35,tblAdmissions[Age],"&lt;="&amp;49,tblAdmissions[Sex],"M",tblAdmissions[NHIS],"Non-Insured")</f>
        <v>0</v>
      </c>
      <c r="Z12" s="29">
        <f>COUNTIFS(tblAdmissions[Month],4,tblAdmissions[AgeUnit],"Years",tblAdmissions[Age],"&gt;="&amp;35,tblAdmissions[Age],"&lt;="&amp;49,tblAdmissions[Sex],"F",tblAdmissions[NHIS],"Non-Insured")</f>
        <v>0</v>
      </c>
      <c r="AA12" s="29">
        <f>COUNTIFS(tblAdmissions[Month],4,tblAdmissions[AgeUnit],"Years",tblAdmissions[Age],"&gt;="&amp;35,tblAdmissions[Age],"&lt;="&amp;49,tblAdmissions[Sex],"M",tblAdmissions[NHIS],"Insured")</f>
        <v>0</v>
      </c>
      <c r="AB12" s="29">
        <f>COUNTIFS(tblAdmissions[Month],4,tblAdmissions[AgeUnit],"Years",tblAdmissions[Age],"&gt;="&amp;35,tblAdmissions[Age],"&lt;="&amp;49,tblAdmissions[Sex],"F",tblAdmissions[NHIS],"Insured")</f>
        <v>0</v>
      </c>
      <c r="AC12" s="29" t="s">
        <v>183</v>
      </c>
      <c r="AD12" s="29">
        <f>COUNTIFS(tblAdmissions[Month],5,tblAdmissions[AgeUnit],"Years",tblAdmissions[Age],"&gt;="&amp;35,tblAdmissions[Age],"&lt;="&amp;49,tblAdmissions[Sex],"M")</f>
        <v>0</v>
      </c>
      <c r="AE12" s="29">
        <f>COUNTIFS(tblAdmissions[Month],5,tblAdmissions[AgeUnit],"Years",tblAdmissions[Age],"&gt;="&amp;35,tblAdmissions[Age],"&lt;="&amp;49,tblAdmissions[Sex],"F")</f>
        <v>0</v>
      </c>
      <c r="AF12" s="29">
        <f>COUNTIFS(tblAdmissions[Month],5,tblAdmissions[AgeUnit],"Years",tblAdmissions[Age],"&gt;="&amp;35,tblAdmissions[Age],"&lt;="&amp;49,tblAdmissions[Sex],"M",tblAdmissions[NHIS],"Non-Insured")</f>
        <v>0</v>
      </c>
      <c r="AG12" s="29">
        <f>COUNTIFS(tblAdmissions[Month],5,tblAdmissions[AgeUnit],"Years",tblAdmissions[Age],"&gt;="&amp;35,tblAdmissions[Age],"&lt;="&amp;49,tblAdmissions[Sex],"F",tblAdmissions[NHIS],"Non-Insured")</f>
        <v>0</v>
      </c>
      <c r="AH12" s="29">
        <f>COUNTIFS(tblAdmissions[Month],5,tblAdmissions[AgeUnit],"Years",tblAdmissions[Age],"&gt;="&amp;35,tblAdmissions[Age],"&lt;="&amp;49,tblAdmissions[Sex],"M",tblAdmissions[NHIS],"Insured")</f>
        <v>0</v>
      </c>
      <c r="AI12" s="29">
        <f>COUNTIFS(tblAdmissions[Month],5,tblAdmissions[AgeUnit],"Years",tblAdmissions[Age],"&gt;="&amp;35,tblAdmissions[Age],"&lt;="&amp;49,tblAdmissions[Sex],"F",tblAdmissions[NHIS],"Insured")</f>
        <v>0</v>
      </c>
      <c r="AJ12" s="29" t="s">
        <v>183</v>
      </c>
      <c r="AK12" s="29">
        <f>COUNTIFS(tblAdmissions[Month],6,tblAdmissions[AgeUnit],"Years",tblAdmissions[Age],"&gt;="&amp;35,tblAdmissions[Age],"&lt;="&amp;49,tblAdmissions[Sex],"M")</f>
        <v>0</v>
      </c>
      <c r="AL12" s="29">
        <f>COUNTIFS(tblAdmissions[Month],6,tblAdmissions[AgeUnit],"Years",tblAdmissions[Age],"&gt;="&amp;35,tblAdmissions[Age],"&lt;="&amp;49,tblAdmissions[Sex],"F")</f>
        <v>0</v>
      </c>
      <c r="AM12" s="29">
        <f>COUNTIFS(tblAdmissions[Month],6,tblAdmissions[AgeUnit],"Years",tblAdmissions[Age],"&gt;="&amp;35,tblAdmissions[Age],"&lt;="&amp;49,tblAdmissions[Sex],"M",tblAdmissions[NHIS],"Non-Insured")</f>
        <v>0</v>
      </c>
      <c r="AN12" s="29">
        <f>COUNTIFS(tblAdmissions[Month],6,tblAdmissions[AgeUnit],"Years",tblAdmissions[Age],"&gt;="&amp;35,tblAdmissions[Age],"&lt;="&amp;49,tblAdmissions[Sex],"F",tblAdmissions[NHIS],"Non-Insured")</f>
        <v>0</v>
      </c>
      <c r="AO12" s="29">
        <f>COUNTIFS(tblAdmissions[Month],6,tblAdmissions[AgeUnit],"Years",tblAdmissions[Age],"&gt;="&amp;35,tblAdmissions[Age],"&lt;="&amp;49,tblAdmissions[Sex],"M",tblAdmissions[NHIS],"Insured")</f>
        <v>0</v>
      </c>
      <c r="AP12" s="29">
        <f>COUNTIFS(tblAdmissions[Month],6,tblAdmissions[AgeUnit],"Years",tblAdmissions[Age],"&gt;="&amp;35,tblAdmissions[Age],"&lt;="&amp;49,tblAdmissions[Sex],"F",tblAdmissions[NHIS],"Insured")</f>
        <v>0</v>
      </c>
      <c r="AQ12" s="29" t="s">
        <v>183</v>
      </c>
      <c r="AR12" s="29">
        <f>COUNTIFS(tblAdmissions[Month],7,tblAdmissions[AgeUnit],"Years",tblAdmissions[Age],"&gt;="&amp;35,tblAdmissions[Age],"&lt;="&amp;49,tblAdmissions[Sex],"M")</f>
        <v>0</v>
      </c>
      <c r="AS12" s="29">
        <f>COUNTIFS(tblAdmissions[Month],7,tblAdmissions[AgeUnit],"Years",tblAdmissions[Age],"&gt;="&amp;35,tblAdmissions[Age],"&lt;="&amp;49,tblAdmissions[Sex],"F")</f>
        <v>0</v>
      </c>
      <c r="AT12" s="29">
        <f>COUNTIFS(tblAdmissions[Month],7,tblAdmissions[AgeUnit],"Years",tblAdmissions[Age],"&gt;="&amp;35,tblAdmissions[Age],"&lt;="&amp;49,tblAdmissions[Sex],"M",tblAdmissions[NHIS],"Non-Insured")</f>
        <v>0</v>
      </c>
      <c r="AU12" s="29">
        <f>COUNTIFS(tblAdmissions[Month],7,tblAdmissions[AgeUnit],"Years",tblAdmissions[Age],"&gt;="&amp;35,tblAdmissions[Age],"&lt;="&amp;49,tblAdmissions[Sex],"F",tblAdmissions[NHIS],"Non-Insured")</f>
        <v>0</v>
      </c>
      <c r="AV12" s="29">
        <f>COUNTIFS(tblAdmissions[Month],7,tblAdmissions[AgeUnit],"Years",tblAdmissions[Age],"&gt;="&amp;35,tblAdmissions[Age],"&lt;="&amp;49,tblAdmissions[Sex],"M",tblAdmissions[NHIS],"Insured")</f>
        <v>0</v>
      </c>
      <c r="AW12" s="29">
        <f>COUNTIFS(tblAdmissions[Month],7,tblAdmissions[AgeUnit],"Years",tblAdmissions[Age],"&gt;="&amp;35,tblAdmissions[Age],"&lt;="&amp;49,tblAdmissions[Sex],"F",tblAdmissions[NHIS],"Insured")</f>
        <v>0</v>
      </c>
      <c r="AX12" s="29" t="s">
        <v>183</v>
      </c>
      <c r="AY12" s="29">
        <f>COUNTIFS(tblAdmissions[Month],8,tblAdmissions[AgeUnit],"Years",tblAdmissions[Age],"&gt;="&amp;35,tblAdmissions[Age],"&lt;="&amp;49,tblAdmissions[Sex],"M")</f>
        <v>0</v>
      </c>
      <c r="AZ12" s="29">
        <f>COUNTIFS(tblAdmissions[Month],8,tblAdmissions[AgeUnit],"Years",tblAdmissions[Age],"&gt;="&amp;35,tblAdmissions[Age],"&lt;="&amp;49,tblAdmissions[Sex],"F")</f>
        <v>0</v>
      </c>
      <c r="BA12" s="29">
        <f>COUNTIFS(tblAdmissions[Month],8,tblAdmissions[AgeUnit],"Years",tblAdmissions[Age],"&gt;="&amp;35,tblAdmissions[Age],"&lt;="&amp;49,tblAdmissions[Sex],"M",tblAdmissions[NHIS],"Non-Insured")</f>
        <v>0</v>
      </c>
      <c r="BB12" s="29">
        <f>COUNTIFS(tblAdmissions[Month],8,tblAdmissions[AgeUnit],"Years",tblAdmissions[Age],"&gt;="&amp;35,tblAdmissions[Age],"&lt;="&amp;49,tblAdmissions[Sex],"F",tblAdmissions[NHIS],"Non-Insured")</f>
        <v>0</v>
      </c>
      <c r="BC12" s="29">
        <f>COUNTIFS(tblAdmissions[Month],8,tblAdmissions[AgeUnit],"Years",tblAdmissions[Age],"&gt;="&amp;35,tblAdmissions[Age],"&lt;="&amp;49,tblAdmissions[Sex],"M",tblAdmissions[NHIS],"Insured")</f>
        <v>0</v>
      </c>
      <c r="BD12" s="29">
        <f>COUNTIFS(tblAdmissions[Month],8,tblAdmissions[AgeUnit],"Years",tblAdmissions[Age],"&gt;="&amp;35,tblAdmissions[Age],"&lt;="&amp;49,tblAdmissions[Sex],"F",tblAdmissions[NHIS],"Insured")</f>
        <v>0</v>
      </c>
      <c r="BE12" s="29" t="s">
        <v>183</v>
      </c>
      <c r="BF12" s="29">
        <f>COUNTIFS(tblAdmissions[Month],9,tblAdmissions[AgeUnit],"Years",tblAdmissions[Age],"&gt;="&amp;35,tblAdmissions[Age],"&lt;="&amp;49,tblAdmissions[Sex],"M")</f>
        <v>0</v>
      </c>
      <c r="BG12" s="29">
        <f>COUNTIFS(tblAdmissions[Month],9,tblAdmissions[AgeUnit],"Years",tblAdmissions[Age],"&gt;="&amp;35,tblAdmissions[Age],"&lt;="&amp;49,tblAdmissions[Sex],"F")</f>
        <v>0</v>
      </c>
      <c r="BH12" s="29">
        <f>COUNTIFS(tblAdmissions[Month],9,tblAdmissions[AgeUnit],"Years",tblAdmissions[Age],"&gt;="&amp;35,tblAdmissions[Age],"&lt;="&amp;49,tblAdmissions[Sex],"M",tblAdmissions[NHIS],"Non-Insured")</f>
        <v>0</v>
      </c>
      <c r="BI12" s="29">
        <f>COUNTIFS(tblAdmissions[Month],9,tblAdmissions[AgeUnit],"Years",tblAdmissions[Age],"&gt;="&amp;35,tblAdmissions[Age],"&lt;="&amp;49,tblAdmissions[Sex],"F",tblAdmissions[NHIS],"Non-Insured")</f>
        <v>0</v>
      </c>
      <c r="BJ12" s="29">
        <f>COUNTIFS(tblAdmissions[Month],9,tblAdmissions[AgeUnit],"Years",tblAdmissions[Age],"&gt;="&amp;35,tblAdmissions[Age],"&lt;="&amp;49,tblAdmissions[Sex],"M",tblAdmissions[NHIS],"Insured")</f>
        <v>0</v>
      </c>
      <c r="BK12" s="29">
        <f>COUNTIFS(tblAdmissions[Month],9,tblAdmissions[AgeUnit],"Years",tblAdmissions[Age],"&gt;="&amp;35,tblAdmissions[Age],"&lt;="&amp;49,tblAdmissions[Sex],"F",tblAdmissions[NHIS],"Insured")</f>
        <v>0</v>
      </c>
      <c r="BL12" s="29" t="s">
        <v>183</v>
      </c>
      <c r="BM12" s="29">
        <f>COUNTIFS(tblAdmissions[Month],10,tblAdmissions[AgeUnit],"Years",tblAdmissions[Age],"&gt;="&amp;35,tblAdmissions[Age],"&lt;="&amp;49,tblAdmissions[Sex],"M")</f>
        <v>0</v>
      </c>
      <c r="BN12" s="29">
        <f>COUNTIFS(tblAdmissions[Month],10,tblAdmissions[AgeUnit],"Years",tblAdmissions[Age],"&gt;="&amp;35,tblAdmissions[Age],"&lt;="&amp;49,tblAdmissions[Sex],"F")</f>
        <v>0</v>
      </c>
      <c r="BO12" s="29">
        <f>COUNTIFS(tblAdmissions[Month],10,tblAdmissions[AgeUnit],"Years",tblAdmissions[Age],"&gt;="&amp;35,tblAdmissions[Age],"&lt;="&amp;49,tblAdmissions[Sex],"M",tblAdmissions[NHIS],"Non-Insured")</f>
        <v>0</v>
      </c>
      <c r="BP12" s="29">
        <f>COUNTIFS(tblAdmissions[Month],10,tblAdmissions[AgeUnit],"Years",tblAdmissions[Age],"&gt;="&amp;35,tblAdmissions[Age],"&lt;="&amp;49,tblAdmissions[Sex],"F",tblAdmissions[NHIS],"Non-Insured")</f>
        <v>0</v>
      </c>
      <c r="BQ12" s="29">
        <f>COUNTIFS(tblAdmissions[Month],10,tblAdmissions[AgeUnit],"Years",tblAdmissions[Age],"&gt;="&amp;35,tblAdmissions[Age],"&lt;="&amp;49,tblAdmissions[Sex],"M",tblAdmissions[NHIS],"Insured")</f>
        <v>0</v>
      </c>
      <c r="BR12" s="29">
        <f>COUNTIFS(tblAdmissions[Month],10,tblAdmissions[AgeUnit],"Years",tblAdmissions[Age],"&gt;="&amp;35,tblAdmissions[Age],"&lt;="&amp;49,tblAdmissions[Sex],"F",tblAdmissions[NHIS],"Insured")</f>
        <v>0</v>
      </c>
      <c r="BS12" s="29" t="s">
        <v>183</v>
      </c>
      <c r="BT12" s="29">
        <f>COUNTIFS(tblAdmissions[Month],11,tblAdmissions[AgeUnit],"Years",tblAdmissions[Age],"&gt;="&amp;35,tblAdmissions[Age],"&lt;="&amp;49,tblAdmissions[Sex],"M")</f>
        <v>0</v>
      </c>
      <c r="BU12" s="29">
        <f>COUNTIFS(tblAdmissions[Month],11,tblAdmissions[AgeUnit],"Years",tblAdmissions[Age],"&gt;="&amp;35,tblAdmissions[Age],"&lt;="&amp;49,tblAdmissions[Sex],"F")</f>
        <v>0</v>
      </c>
      <c r="BV12" s="29">
        <f>COUNTIFS(tblAdmissions[Month],11,tblAdmissions[AgeUnit],"Years",tblAdmissions[Age],"&gt;="&amp;35,tblAdmissions[Age],"&lt;="&amp;49,tblAdmissions[Sex],"M",tblAdmissions[NHIS],"Non-Insured")</f>
        <v>0</v>
      </c>
      <c r="BW12" s="29">
        <f>COUNTIFS(tblAdmissions[Month],11,tblAdmissions[AgeUnit],"Years",tblAdmissions[Age],"&gt;="&amp;35,tblAdmissions[Age],"&lt;="&amp;49,tblAdmissions[Sex],"F",tblAdmissions[NHIS],"Non-Insured")</f>
        <v>0</v>
      </c>
      <c r="BX12" s="29">
        <f>COUNTIFS(tblAdmissions[Month],11,tblAdmissions[AgeUnit],"Years",tblAdmissions[Age],"&gt;="&amp;35,tblAdmissions[Age],"&lt;="&amp;49,tblAdmissions[Sex],"M",tblAdmissions[NHIS],"Insured")</f>
        <v>0</v>
      </c>
      <c r="BY12" s="29">
        <f>COUNTIFS(tblAdmissions[Month],11,tblAdmissions[AgeUnit],"Years",tblAdmissions[Age],"&gt;="&amp;35,tblAdmissions[Age],"&lt;="&amp;49,tblAdmissions[Sex],"F",tblAdmissions[NHIS],"Insured")</f>
        <v>0</v>
      </c>
      <c r="BZ12" s="29" t="s">
        <v>183</v>
      </c>
      <c r="CA12" s="29">
        <f>COUNTIFS(tblAdmissions[Month],12,tblAdmissions[AgeUnit],"Years",tblAdmissions[Age],"&gt;="&amp;35,tblAdmissions[Age],"&lt;="&amp;49,tblAdmissions[Sex],"M")</f>
        <v>0</v>
      </c>
      <c r="CB12" s="29">
        <f>COUNTIFS(tblAdmissions[Month],12,tblAdmissions[AgeUnit],"Years",tblAdmissions[Age],"&gt;="&amp;35,tblAdmissions[Age],"&lt;="&amp;49,tblAdmissions[Sex],"F")</f>
        <v>0</v>
      </c>
      <c r="CC12" s="29">
        <f>COUNTIFS(tblAdmissions[Month],12,tblAdmissions[AgeUnit],"Years",tblAdmissions[Age],"&gt;="&amp;35,tblAdmissions[Age],"&lt;="&amp;49,tblAdmissions[Sex],"M",tblAdmissions[NHIS],"Non-Insured")</f>
        <v>0</v>
      </c>
      <c r="CD12" s="29">
        <f>COUNTIFS(tblAdmissions[Month],12,tblAdmissions[AgeUnit],"Years",tblAdmissions[Age],"&gt;="&amp;35,tblAdmissions[Age],"&lt;="&amp;49,tblAdmissions[Sex],"F",tblAdmissions[NHIS],"Non-Insured")</f>
        <v>0</v>
      </c>
      <c r="CE12" s="29">
        <f>COUNTIFS(tblAdmissions[Month],12,tblAdmissions[AgeUnit],"Years",tblAdmissions[Age],"&gt;="&amp;35,tblAdmissions[Age],"&lt;="&amp;49,tblAdmissions[Sex],"M",tblAdmissions[NHIS],"Insured")</f>
        <v>0</v>
      </c>
      <c r="CF12" s="29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29" t="s">
        <v>184</v>
      </c>
      <c r="B13" s="29">
        <f>COUNTIFS(tblAdmissions[Month],1,tblAdmissions[AgeUnit],"Years",tblAdmissions[Age],"&gt;="&amp;50,tblAdmissions[Age],"&lt;="&amp;59,tblAdmissions[Sex],"M")</f>
        <v>17</v>
      </c>
      <c r="C13" s="29">
        <f>COUNTIFS(tblAdmissions[Month],1,tblAdmissions[AgeUnit],"Years",tblAdmissions[Age],"&gt;="&amp;50,tblAdmissions[Age],"&lt;="&amp;59,tblAdmissions[Sex],"F")</f>
        <v>18</v>
      </c>
      <c r="D13" s="29">
        <f>COUNTIFS(tblAdmissions[Month],1,tblAdmissions[AgeUnit],"Years",tblAdmissions[Age],"&gt;="&amp;50,tblAdmissions[Age],"&lt;="&amp;59,tblAdmissions[Sex],"M",tblAdmissions[NHIS],"Non-Insured")</f>
        <v>0</v>
      </c>
      <c r="E13" s="29">
        <f>COUNTIFS(tblAdmissions[Month],1,tblAdmissions[AgeUnit],"Years",tblAdmissions[Age],"&gt;="&amp;50,tblAdmissions[Age],"&lt;="&amp;59,tblAdmissions[Sex],"F",tblAdmissions[NHIS],"Non-Insured")</f>
        <v>0</v>
      </c>
      <c r="F13" s="29">
        <f>COUNTIFS(tblAdmissions[Month],1,tblAdmissions[AgeUnit],"Years",tblAdmissions[Age],"&gt;="&amp;50,tblAdmissions[Age],"&lt;="&amp;59,tblAdmissions[Sex],"M",tblAdmissions[NHIS],"Insured")</f>
        <v>17</v>
      </c>
      <c r="G13" s="29">
        <f>COUNTIFS(tblAdmissions[Month],1,tblAdmissions[AgeUnit],"Years",tblAdmissions[Age],"&gt;="&amp;50,tblAdmissions[Age],"&lt;="&amp;59,tblAdmissions[Sex],"F",tblAdmissions[NHIS],"Insured")</f>
        <v>18</v>
      </c>
      <c r="H13" s="29" t="s">
        <v>184</v>
      </c>
      <c r="I13" s="29">
        <f>COUNTIFS(tblAdmissions[Month],2,tblAdmissions[AgeUnit],"Years",tblAdmissions[Age],"&gt;="&amp;50,tblAdmissions[Age],"&lt;="&amp;59,tblAdmissions[Sex],"M")</f>
        <v>17</v>
      </c>
      <c r="J13" s="29">
        <f>COUNTIFS(tblAdmissions[Month],2,tblAdmissions[AgeUnit],"Years",tblAdmissions[Age],"&gt;="&amp;50,tblAdmissions[Age],"&lt;="&amp;59,tblAdmissions[Sex],"F")</f>
        <v>13</v>
      </c>
      <c r="K13" s="29">
        <f>COUNTIFS(tblAdmissions[Month],2,tblAdmissions[AgeUnit],"Years",tblAdmissions[Age],"&gt;="&amp;50,tblAdmissions[Age],"&lt;="&amp;59,tblAdmissions[Sex],"M",tblAdmissions[NHIS],"Non-Insured")</f>
        <v>0</v>
      </c>
      <c r="L13" s="29">
        <f>COUNTIFS(tblAdmissions[Month],2,tblAdmissions[AgeUnit],"Years",tblAdmissions[Age],"&gt;="&amp;50,tblAdmissions[Age],"&lt;="&amp;59,tblAdmissions[Sex],"F",tblAdmissions[NHIS],"Non-Insured")</f>
        <v>0</v>
      </c>
      <c r="M13" s="29">
        <f>COUNTIFS(tblAdmissions[Month],2,tblAdmissions[AgeUnit],"Years",tblAdmissions[Age],"&gt;="&amp;50,tblAdmissions[Age],"&lt;="&amp;59,tblAdmissions[Sex],"M",tblAdmissions[NHIS],"Insured")</f>
        <v>17</v>
      </c>
      <c r="N13" s="29">
        <f>COUNTIFS(tblAdmissions[Month],2,tblAdmissions[AgeUnit],"Years",tblAdmissions[Age],"&gt;="&amp;50,tblAdmissions[Age],"&lt;="&amp;59,tblAdmissions[Sex],"F",tblAdmissions[NHIS],"Insured")</f>
        <v>13</v>
      </c>
      <c r="O13" s="29" t="s">
        <v>184</v>
      </c>
      <c r="P13" s="29">
        <f>COUNTIFS(tblAdmissions[Month],3,tblAdmissions[AgeUnit],"Years",tblAdmissions[Age],"&gt;="&amp;50,tblAdmissions[Age],"&lt;="&amp;59,tblAdmissions[Sex],"M")</f>
        <v>24</v>
      </c>
      <c r="Q13" s="29">
        <f>COUNTIFS(tblAdmissions[Month],3,tblAdmissions[AgeUnit],"Years",tblAdmissions[Age],"&gt;="&amp;50,tblAdmissions[Age],"&lt;="&amp;59,tblAdmissions[Sex],"F")</f>
        <v>21</v>
      </c>
      <c r="R13" s="29">
        <f>COUNTIFS(tblAdmissions[Month],3,tblAdmissions[AgeUnit],"Years",tblAdmissions[Age],"&gt;="&amp;50,tblAdmissions[Age],"&lt;="&amp;59,tblAdmissions[Sex],"M",tblAdmissions[NHIS],"Non-Insured")</f>
        <v>0</v>
      </c>
      <c r="S13" s="29">
        <f>COUNTIFS(tblAdmissions[Month],3,tblAdmissions[AgeUnit],"Years",tblAdmissions[Age],"&gt;="&amp;50,tblAdmissions[Age],"&lt;="&amp;59,tblAdmissions[Sex],"F",tblAdmissions[NHIS],"Non-Insured")</f>
        <v>0</v>
      </c>
      <c r="T13" s="29">
        <f>COUNTIFS(tblAdmissions[Month],3,tblAdmissions[AgeUnit],"Years",tblAdmissions[Age],"&gt;="&amp;50,tblAdmissions[Age],"&lt;="&amp;59,tblAdmissions[Sex],"M",tblAdmissions[NHIS],"Insured")</f>
        <v>24</v>
      </c>
      <c r="U13" s="29">
        <f>COUNTIFS(tblAdmissions[Month],3,tblAdmissions[AgeUnit],"Years",tblAdmissions[Age],"&gt;="&amp;50,tblAdmissions[Age],"&lt;="&amp;59,tblAdmissions[Sex],"F",tblAdmissions[NHIS],"Insured")</f>
        <v>21</v>
      </c>
      <c r="V13" s="29" t="s">
        <v>184</v>
      </c>
      <c r="W13" s="29">
        <f>COUNTIFS(tblAdmissions[Month],4,tblAdmissions[AgeUnit],"Years",tblAdmissions[Age],"&gt;="&amp;50,tblAdmissions[Age],"&lt;="&amp;59,tblAdmissions[Sex],"M")</f>
        <v>0</v>
      </c>
      <c r="X13" s="29">
        <f>COUNTIFS(tblAdmissions[Month],4,tblAdmissions[AgeUnit],"Years",tblAdmissions[Age],"&gt;="&amp;50,tblAdmissions[Age],"&lt;="&amp;59,tblAdmissions[Sex],"F")</f>
        <v>0</v>
      </c>
      <c r="Y13" s="29">
        <f>COUNTIFS(tblAdmissions[Month],4,tblAdmissions[AgeUnit],"Years",tblAdmissions[Age],"&gt;="&amp;50,tblAdmissions[Age],"&lt;="&amp;59,tblAdmissions[Sex],"M",tblAdmissions[NHIS],"Non-Insured")</f>
        <v>0</v>
      </c>
      <c r="Z13" s="29">
        <f>COUNTIFS(tblAdmissions[Month],4,tblAdmissions[AgeUnit],"Years",tblAdmissions[Age],"&gt;="&amp;50,tblAdmissions[Age],"&lt;="&amp;59,tblAdmissions[Sex],"F",tblAdmissions[NHIS],"Non-Insured")</f>
        <v>0</v>
      </c>
      <c r="AA13" s="29">
        <f>COUNTIFS(tblAdmissions[Month],4,tblAdmissions[AgeUnit],"Years",tblAdmissions[Age],"&gt;="&amp;50,tblAdmissions[Age],"&lt;="&amp;59,tblAdmissions[Sex],"M",tblAdmissions[NHIS],"Insured")</f>
        <v>0</v>
      </c>
      <c r="AB13" s="29">
        <f>COUNTIFS(tblAdmissions[Month],4,tblAdmissions[AgeUnit],"Years",tblAdmissions[Age],"&gt;="&amp;50,tblAdmissions[Age],"&lt;="&amp;59,tblAdmissions[Sex],"F",tblAdmissions[NHIS],"Insured")</f>
        <v>0</v>
      </c>
      <c r="AC13" s="29" t="s">
        <v>184</v>
      </c>
      <c r="AD13" s="29">
        <f>COUNTIFS(tblAdmissions[Month],5,tblAdmissions[AgeUnit],"Years",tblAdmissions[Age],"&gt;="&amp;50,tblAdmissions[Age],"&lt;="&amp;59,tblAdmissions[Sex],"M")</f>
        <v>0</v>
      </c>
      <c r="AE13" s="29">
        <f>COUNTIFS(tblAdmissions[Month],5,tblAdmissions[AgeUnit],"Years",tblAdmissions[Age],"&gt;="&amp;50,tblAdmissions[Age],"&lt;="&amp;59,tblAdmissions[Sex],"F")</f>
        <v>0</v>
      </c>
      <c r="AF13" s="29">
        <f>COUNTIFS(tblAdmissions[Month],5,tblAdmissions[AgeUnit],"Years",tblAdmissions[Age],"&gt;="&amp;50,tblAdmissions[Age],"&lt;="&amp;59,tblAdmissions[Sex],"M",tblAdmissions[NHIS],"Non-Insured")</f>
        <v>0</v>
      </c>
      <c r="AG13" s="29">
        <f>COUNTIFS(tblAdmissions[Month],5,tblAdmissions[AgeUnit],"Years",tblAdmissions[Age],"&gt;="&amp;50,tblAdmissions[Age],"&lt;="&amp;59,tblAdmissions[Sex],"F",tblAdmissions[NHIS],"Non-Insured")</f>
        <v>0</v>
      </c>
      <c r="AH13" s="29">
        <f>COUNTIFS(tblAdmissions[Month],5,tblAdmissions[AgeUnit],"Years",tblAdmissions[Age],"&gt;="&amp;50,tblAdmissions[Age],"&lt;="&amp;59,tblAdmissions[Sex],"M",tblAdmissions[NHIS],"Insured")</f>
        <v>0</v>
      </c>
      <c r="AI13" s="29">
        <f>COUNTIFS(tblAdmissions[Month],5,tblAdmissions[AgeUnit],"Years",tblAdmissions[Age],"&gt;="&amp;50,tblAdmissions[Age],"&lt;="&amp;59,tblAdmissions[Sex],"F",tblAdmissions[NHIS],"Insured")</f>
        <v>0</v>
      </c>
      <c r="AJ13" s="29" t="s">
        <v>184</v>
      </c>
      <c r="AK13" s="29">
        <f>COUNTIFS(tblAdmissions[Month],6,tblAdmissions[AgeUnit],"Years",tblAdmissions[Age],"&gt;="&amp;50,tblAdmissions[Age],"&lt;="&amp;59,tblAdmissions[Sex],"M")</f>
        <v>0</v>
      </c>
      <c r="AL13" s="29">
        <f>COUNTIFS(tblAdmissions[Month],6,tblAdmissions[AgeUnit],"Years",tblAdmissions[Age],"&gt;="&amp;50,tblAdmissions[Age],"&lt;="&amp;59,tblAdmissions[Sex],"F")</f>
        <v>0</v>
      </c>
      <c r="AM13" s="29">
        <f>COUNTIFS(tblAdmissions[Month],6,tblAdmissions[AgeUnit],"Years",tblAdmissions[Age],"&gt;="&amp;50,tblAdmissions[Age],"&lt;="&amp;59,tblAdmissions[Sex],"M",tblAdmissions[NHIS],"Non-Insured")</f>
        <v>0</v>
      </c>
      <c r="AN13" s="29">
        <f>COUNTIFS(tblAdmissions[Month],6,tblAdmissions[AgeUnit],"Years",tblAdmissions[Age],"&gt;="&amp;50,tblAdmissions[Age],"&lt;="&amp;59,tblAdmissions[Sex],"F",tblAdmissions[NHIS],"Non-Insured")</f>
        <v>0</v>
      </c>
      <c r="AO13" s="29">
        <f>COUNTIFS(tblAdmissions[Month],6,tblAdmissions[AgeUnit],"Years",tblAdmissions[Age],"&gt;="&amp;50,tblAdmissions[Age],"&lt;="&amp;59,tblAdmissions[Sex],"M",tblAdmissions[NHIS],"Insured")</f>
        <v>0</v>
      </c>
      <c r="AP13" s="29">
        <f>COUNTIFS(tblAdmissions[Month],6,tblAdmissions[AgeUnit],"Years",tblAdmissions[Age],"&gt;="&amp;50,tblAdmissions[Age],"&lt;="&amp;59,tblAdmissions[Sex],"F",tblAdmissions[NHIS],"Insured")</f>
        <v>0</v>
      </c>
      <c r="AQ13" s="29" t="s">
        <v>184</v>
      </c>
      <c r="AR13" s="29">
        <f>COUNTIFS(tblAdmissions[Month],7,tblAdmissions[AgeUnit],"Years",tblAdmissions[Age],"&gt;="&amp;50,tblAdmissions[Age],"&lt;="&amp;59,tblAdmissions[Sex],"M")</f>
        <v>0</v>
      </c>
      <c r="AS13" s="29">
        <f>COUNTIFS(tblAdmissions[Month],7,tblAdmissions[AgeUnit],"Years",tblAdmissions[Age],"&gt;="&amp;50,tblAdmissions[Age],"&lt;="&amp;59,tblAdmissions[Sex],"F")</f>
        <v>0</v>
      </c>
      <c r="AT13" s="29">
        <f>COUNTIFS(tblAdmissions[Month],7,tblAdmissions[AgeUnit],"Years",tblAdmissions[Age],"&gt;="&amp;50,tblAdmissions[Age],"&lt;="&amp;59,tblAdmissions[Sex],"M",tblAdmissions[NHIS],"Non-Insured")</f>
        <v>0</v>
      </c>
      <c r="AU13" s="29">
        <f>COUNTIFS(tblAdmissions[Month],7,tblAdmissions[AgeUnit],"Years",tblAdmissions[Age],"&gt;="&amp;50,tblAdmissions[Age],"&lt;="&amp;59,tblAdmissions[Sex],"F",tblAdmissions[NHIS],"Non-Insured")</f>
        <v>0</v>
      </c>
      <c r="AV13" s="29">
        <f>COUNTIFS(tblAdmissions[Month],7,tblAdmissions[AgeUnit],"Years",tblAdmissions[Age],"&gt;="&amp;50,tblAdmissions[Age],"&lt;="&amp;59,tblAdmissions[Sex],"M",tblAdmissions[NHIS],"Insured")</f>
        <v>0</v>
      </c>
      <c r="AW13" s="29">
        <f>COUNTIFS(tblAdmissions[Month],7,tblAdmissions[AgeUnit],"Years",tblAdmissions[Age],"&gt;="&amp;50,tblAdmissions[Age],"&lt;="&amp;59,tblAdmissions[Sex],"F",tblAdmissions[NHIS],"Insured")</f>
        <v>0</v>
      </c>
      <c r="AX13" s="29" t="s">
        <v>184</v>
      </c>
      <c r="AY13" s="29">
        <f>COUNTIFS(tblAdmissions[Month],8,tblAdmissions[AgeUnit],"Years",tblAdmissions[Age],"&gt;="&amp;50,tblAdmissions[Age],"&lt;="&amp;59,tblAdmissions[Sex],"M")</f>
        <v>0</v>
      </c>
      <c r="AZ13" s="29">
        <f>COUNTIFS(tblAdmissions[Month],8,tblAdmissions[AgeUnit],"Years",tblAdmissions[Age],"&gt;="&amp;50,tblAdmissions[Age],"&lt;="&amp;59,tblAdmissions[Sex],"F")</f>
        <v>0</v>
      </c>
      <c r="BA13" s="29">
        <f>COUNTIFS(tblAdmissions[Month],8,tblAdmissions[AgeUnit],"Years",tblAdmissions[Age],"&gt;="&amp;50,tblAdmissions[Age],"&lt;="&amp;59,tblAdmissions[Sex],"M",tblAdmissions[NHIS],"Non-Insured")</f>
        <v>0</v>
      </c>
      <c r="BB13" s="29">
        <f>COUNTIFS(tblAdmissions[Month],8,tblAdmissions[AgeUnit],"Years",tblAdmissions[Age],"&gt;="&amp;50,tblAdmissions[Age],"&lt;="&amp;59,tblAdmissions[Sex],"F",tblAdmissions[NHIS],"Non-Insured")</f>
        <v>0</v>
      </c>
      <c r="BC13" s="29">
        <f>COUNTIFS(tblAdmissions[Month],8,tblAdmissions[AgeUnit],"Years",tblAdmissions[Age],"&gt;="&amp;50,tblAdmissions[Age],"&lt;="&amp;59,tblAdmissions[Sex],"M",tblAdmissions[NHIS],"Insured")</f>
        <v>0</v>
      </c>
      <c r="BD13" s="29">
        <f>COUNTIFS(tblAdmissions[Month],8,tblAdmissions[AgeUnit],"Years",tblAdmissions[Age],"&gt;="&amp;50,tblAdmissions[Age],"&lt;="&amp;59,tblAdmissions[Sex],"F",tblAdmissions[NHIS],"Insured")</f>
        <v>0</v>
      </c>
      <c r="BE13" s="29" t="s">
        <v>184</v>
      </c>
      <c r="BF13" s="29">
        <f>COUNTIFS(tblAdmissions[Month],9,tblAdmissions[AgeUnit],"Years",tblAdmissions[Age],"&gt;="&amp;50,tblAdmissions[Age],"&lt;="&amp;59,tblAdmissions[Sex],"M")</f>
        <v>0</v>
      </c>
      <c r="BG13" s="29">
        <f>COUNTIFS(tblAdmissions[Month],9,tblAdmissions[AgeUnit],"Years",tblAdmissions[Age],"&gt;="&amp;50,tblAdmissions[Age],"&lt;="&amp;59,tblAdmissions[Sex],"F")</f>
        <v>0</v>
      </c>
      <c r="BH13" s="29">
        <f>COUNTIFS(tblAdmissions[Month],9,tblAdmissions[AgeUnit],"Years",tblAdmissions[Age],"&gt;="&amp;50,tblAdmissions[Age],"&lt;="&amp;59,tblAdmissions[Sex],"M",tblAdmissions[NHIS],"Non-Insured")</f>
        <v>0</v>
      </c>
      <c r="BI13" s="29">
        <f>COUNTIFS(tblAdmissions[Month],9,tblAdmissions[AgeUnit],"Years",tblAdmissions[Age],"&gt;="&amp;50,tblAdmissions[Age],"&lt;="&amp;59,tblAdmissions[Sex],"F",tblAdmissions[NHIS],"Non-Insured")</f>
        <v>0</v>
      </c>
      <c r="BJ13" s="29">
        <f>COUNTIFS(tblAdmissions[Month],9,tblAdmissions[AgeUnit],"Years",tblAdmissions[Age],"&gt;="&amp;50,tblAdmissions[Age],"&lt;="&amp;59,tblAdmissions[Sex],"M",tblAdmissions[NHIS],"Insured")</f>
        <v>0</v>
      </c>
      <c r="BK13" s="29">
        <f>COUNTIFS(tblAdmissions[Month],9,tblAdmissions[AgeUnit],"Years",tblAdmissions[Age],"&gt;="&amp;50,tblAdmissions[Age],"&lt;="&amp;59,tblAdmissions[Sex],"F",tblAdmissions[NHIS],"Insured")</f>
        <v>0</v>
      </c>
      <c r="BL13" s="29" t="s">
        <v>184</v>
      </c>
      <c r="BM13" s="29">
        <f>COUNTIFS(tblAdmissions[Month],10,tblAdmissions[AgeUnit],"Years",tblAdmissions[Age],"&gt;="&amp;50,tblAdmissions[Age],"&lt;="&amp;59,tblAdmissions[Sex],"M")</f>
        <v>0</v>
      </c>
      <c r="BN13" s="29">
        <f>COUNTIFS(tblAdmissions[Month],10,tblAdmissions[AgeUnit],"Years",tblAdmissions[Age],"&gt;="&amp;50,tblAdmissions[Age],"&lt;="&amp;59,tblAdmissions[Sex],"F")</f>
        <v>0</v>
      </c>
      <c r="BO13" s="29">
        <f>COUNTIFS(tblAdmissions[Month],10,tblAdmissions[AgeUnit],"Years",tblAdmissions[Age],"&gt;="&amp;50,tblAdmissions[Age],"&lt;="&amp;59,tblAdmissions[Sex],"M",tblAdmissions[NHIS],"Non-Insured")</f>
        <v>0</v>
      </c>
      <c r="BP13" s="29">
        <f>COUNTIFS(tblAdmissions[Month],10,tblAdmissions[AgeUnit],"Years",tblAdmissions[Age],"&gt;="&amp;50,tblAdmissions[Age],"&lt;="&amp;59,tblAdmissions[Sex],"F",tblAdmissions[NHIS],"Non-Insured")</f>
        <v>0</v>
      </c>
      <c r="BQ13" s="29">
        <f>COUNTIFS(tblAdmissions[Month],10,tblAdmissions[AgeUnit],"Years",tblAdmissions[Age],"&gt;="&amp;50,tblAdmissions[Age],"&lt;="&amp;59,tblAdmissions[Sex],"M",tblAdmissions[NHIS],"Insured")</f>
        <v>0</v>
      </c>
      <c r="BR13" s="29">
        <f>COUNTIFS(tblAdmissions[Month],10,tblAdmissions[AgeUnit],"Years",tblAdmissions[Age],"&gt;="&amp;50,tblAdmissions[Age],"&lt;="&amp;59,tblAdmissions[Sex],"F",tblAdmissions[NHIS],"Insured")</f>
        <v>0</v>
      </c>
      <c r="BS13" s="29" t="s">
        <v>184</v>
      </c>
      <c r="BT13" s="29">
        <f>COUNTIFS(tblAdmissions[Month],11,tblAdmissions[AgeUnit],"Years",tblAdmissions[Age],"&gt;="&amp;50,tblAdmissions[Age],"&lt;="&amp;59,tblAdmissions[Sex],"M")</f>
        <v>0</v>
      </c>
      <c r="BU13" s="29">
        <f>COUNTIFS(tblAdmissions[Month],11,tblAdmissions[AgeUnit],"Years",tblAdmissions[Age],"&gt;="&amp;50,tblAdmissions[Age],"&lt;="&amp;59,tblAdmissions[Sex],"F")</f>
        <v>0</v>
      </c>
      <c r="BV13" s="29">
        <f>COUNTIFS(tblAdmissions[Month],11,tblAdmissions[AgeUnit],"Years",tblAdmissions[Age],"&gt;="&amp;50,tblAdmissions[Age],"&lt;="&amp;59,tblAdmissions[Sex],"M",tblAdmissions[NHIS],"Non-Insured")</f>
        <v>0</v>
      </c>
      <c r="BW13" s="29">
        <f>COUNTIFS(tblAdmissions[Month],11,tblAdmissions[AgeUnit],"Years",tblAdmissions[Age],"&gt;="&amp;50,tblAdmissions[Age],"&lt;="&amp;59,tblAdmissions[Sex],"F",tblAdmissions[NHIS],"Non-Insured")</f>
        <v>0</v>
      </c>
      <c r="BX13" s="29">
        <f>COUNTIFS(tblAdmissions[Month],11,tblAdmissions[AgeUnit],"Years",tblAdmissions[Age],"&gt;="&amp;50,tblAdmissions[Age],"&lt;="&amp;59,tblAdmissions[Sex],"M",tblAdmissions[NHIS],"Insured")</f>
        <v>0</v>
      </c>
      <c r="BY13" s="29">
        <f>COUNTIFS(tblAdmissions[Month],11,tblAdmissions[AgeUnit],"Years",tblAdmissions[Age],"&gt;="&amp;50,tblAdmissions[Age],"&lt;="&amp;59,tblAdmissions[Sex],"F",tblAdmissions[NHIS],"Insured")</f>
        <v>0</v>
      </c>
      <c r="BZ13" s="29" t="s">
        <v>184</v>
      </c>
      <c r="CA13" s="29">
        <f>COUNTIFS(tblAdmissions[Month],12,tblAdmissions[AgeUnit],"Years",tblAdmissions[Age],"&gt;="&amp;50,tblAdmissions[Age],"&lt;="&amp;59,tblAdmissions[Sex],"M")</f>
        <v>0</v>
      </c>
      <c r="CB13" s="29">
        <f>COUNTIFS(tblAdmissions[Month],12,tblAdmissions[AgeUnit],"Years",tblAdmissions[Age],"&gt;="&amp;50,tblAdmissions[Age],"&lt;="&amp;59,tblAdmissions[Sex],"F")</f>
        <v>0</v>
      </c>
      <c r="CC13" s="29">
        <f>COUNTIFS(tblAdmissions[Month],12,tblAdmissions[AgeUnit],"Years",tblAdmissions[Age],"&gt;="&amp;50,tblAdmissions[Age],"&lt;="&amp;59,tblAdmissions[Sex],"M",tblAdmissions[NHIS],"Non-Insured")</f>
        <v>0</v>
      </c>
      <c r="CD13" s="29">
        <f>COUNTIFS(tblAdmissions[Month],12,tblAdmissions[AgeUnit],"Years",tblAdmissions[Age],"&gt;="&amp;50,tblAdmissions[Age],"&lt;="&amp;59,tblAdmissions[Sex],"F",tblAdmissions[NHIS],"Non-Insured")</f>
        <v>0</v>
      </c>
      <c r="CE13" s="29">
        <f>COUNTIFS(tblAdmissions[Month],12,tblAdmissions[AgeUnit],"Years",tblAdmissions[Age],"&gt;="&amp;50,tblAdmissions[Age],"&lt;="&amp;59,tblAdmissions[Sex],"M",tblAdmissions[NHIS],"Insured")</f>
        <v>0</v>
      </c>
      <c r="CF13" s="29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29" t="s">
        <v>185</v>
      </c>
      <c r="B14" s="29">
        <f>COUNTIFS(tblAdmissions[Month],1,tblAdmissions[AgeUnit],"Years",tblAdmissions[Age],"&gt;="&amp;60,tblAdmissions[Age],"&lt;="&amp;69,tblAdmissions[Sex],"M")</f>
        <v>22</v>
      </c>
      <c r="C14" s="29">
        <f>COUNTIFS(tblAdmissions[Month],1,tblAdmissions[AgeUnit],"Years",tblAdmissions[Age],"&gt;="&amp;60,tblAdmissions[Age],"&lt;="&amp;69,tblAdmissions[Sex],"F")</f>
        <v>22</v>
      </c>
      <c r="D14" s="29">
        <f>COUNTIFS(tblAdmissions[Month],1,tblAdmissions[AgeUnit],"Years",tblAdmissions[Age],"&gt;="&amp;60,tblAdmissions[Age],"&lt;="&amp;69,tblAdmissions[Sex],"M",tblAdmissions[NHIS],"Non-Insured")</f>
        <v>0</v>
      </c>
      <c r="E14" s="29">
        <f>COUNTIFS(tblAdmissions[Month],1,tblAdmissions[AgeUnit],"Years",tblAdmissions[Age],"&gt;="&amp;60,tblAdmissions[Age],"&lt;="&amp;69,tblAdmissions[Sex],"F",tblAdmissions[NHIS],"Non-Insured")</f>
        <v>0</v>
      </c>
      <c r="F14" s="29">
        <f>COUNTIFS(tblAdmissions[Month],1,tblAdmissions[AgeUnit],"Years",tblAdmissions[Age],"&gt;="&amp;60,tblAdmissions[Age],"&lt;="&amp;69,tblAdmissions[Sex],"M",tblAdmissions[NHIS],"Insured")</f>
        <v>22</v>
      </c>
      <c r="G14" s="29">
        <f>COUNTIFS(tblAdmissions[Month],1,tblAdmissions[AgeUnit],"Years",tblAdmissions[Age],"&gt;="&amp;60,tblAdmissions[Age],"&lt;="&amp;69,tblAdmissions[Sex],"F",tblAdmissions[NHIS],"Insured")</f>
        <v>22</v>
      </c>
      <c r="H14" s="29" t="s">
        <v>185</v>
      </c>
      <c r="I14" s="29">
        <f>COUNTIFS(tblAdmissions[Month],2,tblAdmissions[AgeUnit],"Years",tblAdmissions[Age],"&gt;="&amp;60,tblAdmissions[Age],"&lt;="&amp;69,tblAdmissions[Sex],"M")</f>
        <v>19</v>
      </c>
      <c r="J14" s="29">
        <f>COUNTIFS(tblAdmissions[Month],2,tblAdmissions[AgeUnit],"Years",tblAdmissions[Age],"&gt;="&amp;60,tblAdmissions[Age],"&lt;="&amp;69,tblAdmissions[Sex],"F")</f>
        <v>14</v>
      </c>
      <c r="K14" s="29">
        <f>COUNTIFS(tblAdmissions[Month],2,tblAdmissions[AgeUnit],"Years",tblAdmissions[Age],"&gt;="&amp;60,tblAdmissions[Age],"&lt;="&amp;69,tblAdmissions[Sex],"M",tblAdmissions[NHIS],"Non-Insured")</f>
        <v>0</v>
      </c>
      <c r="L14" s="29">
        <f>COUNTIFS(tblAdmissions[Month],2,tblAdmissions[AgeUnit],"Years",tblAdmissions[Age],"&gt;="&amp;60,tblAdmissions[Age],"&lt;="&amp;69,tblAdmissions[Sex],"F",tblAdmissions[NHIS],"Non-Insured")</f>
        <v>0</v>
      </c>
      <c r="M14" s="29">
        <f>COUNTIFS(tblAdmissions[Month],2,tblAdmissions[AgeUnit],"Years",tblAdmissions[Age],"&gt;="&amp;60,tblAdmissions[Age],"&lt;="&amp;69,tblAdmissions[Sex],"M",tblAdmissions[NHIS],"Insured")</f>
        <v>19</v>
      </c>
      <c r="N14" s="29">
        <f>COUNTIFS(tblAdmissions[Month],2,tblAdmissions[AgeUnit],"Years",tblAdmissions[Age],"&gt;="&amp;60,tblAdmissions[Age],"&lt;="&amp;69,tblAdmissions[Sex],"F",tblAdmissions[NHIS],"Insured")</f>
        <v>14</v>
      </c>
      <c r="O14" s="29" t="s">
        <v>185</v>
      </c>
      <c r="P14" s="29">
        <f>COUNTIFS(tblAdmissions[Month],3,tblAdmissions[AgeUnit],"Years",tblAdmissions[Age],"&gt;="&amp;60,tblAdmissions[Age],"&lt;="&amp;69,tblAdmissions[Sex],"M")</f>
        <v>16</v>
      </c>
      <c r="Q14" s="29">
        <f>COUNTIFS(tblAdmissions[Month],3,tblAdmissions[AgeUnit],"Years",tblAdmissions[Age],"&gt;="&amp;60,tblAdmissions[Age],"&lt;="&amp;69,tblAdmissions[Sex],"F")</f>
        <v>21</v>
      </c>
      <c r="R14" s="29">
        <f>COUNTIFS(tblAdmissions[Month],3,tblAdmissions[AgeUnit],"Years",tblAdmissions[Age],"&gt;="&amp;60,tblAdmissions[Age],"&lt;="&amp;69,tblAdmissions[Sex],"M",tblAdmissions[NHIS],"Non-Insured")</f>
        <v>0</v>
      </c>
      <c r="S14" s="29">
        <f>COUNTIFS(tblAdmissions[Month],3,tblAdmissions[AgeUnit],"Years",tblAdmissions[Age],"&gt;="&amp;60,tblAdmissions[Age],"&lt;="&amp;69,tblAdmissions[Sex],"F",tblAdmissions[NHIS],"Non-Insured")</f>
        <v>0</v>
      </c>
      <c r="T14" s="29">
        <f>COUNTIFS(tblAdmissions[Month],3,tblAdmissions[AgeUnit],"Years",tblAdmissions[Age],"&gt;="&amp;60,tblAdmissions[Age],"&lt;="&amp;69,tblAdmissions[Sex],"M",tblAdmissions[NHIS],"Insured")</f>
        <v>16</v>
      </c>
      <c r="U14" s="29">
        <f>COUNTIFS(tblAdmissions[Month],3,tblAdmissions[AgeUnit],"Years",tblAdmissions[Age],"&gt;="&amp;60,tblAdmissions[Age],"&lt;="&amp;69,tblAdmissions[Sex],"F",tblAdmissions[NHIS],"Insured")</f>
        <v>21</v>
      </c>
      <c r="V14" s="29" t="s">
        <v>185</v>
      </c>
      <c r="W14" s="29">
        <f>COUNTIFS(tblAdmissions[Month],4,tblAdmissions[AgeUnit],"Years",tblAdmissions[Age],"&gt;="&amp;60,tblAdmissions[Age],"&lt;="&amp;69,tblAdmissions[Sex],"M")</f>
        <v>0</v>
      </c>
      <c r="X14" s="29">
        <f>COUNTIFS(tblAdmissions[Month],4,tblAdmissions[AgeUnit],"Years",tblAdmissions[Age],"&gt;="&amp;60,tblAdmissions[Age],"&lt;="&amp;69,tblAdmissions[Sex],"F")</f>
        <v>0</v>
      </c>
      <c r="Y14" s="29">
        <f>COUNTIFS(tblAdmissions[Month],4,tblAdmissions[AgeUnit],"Years",tblAdmissions[Age],"&gt;="&amp;60,tblAdmissions[Age],"&lt;="&amp;69,tblAdmissions[Sex],"M",tblAdmissions[NHIS],"Non-Insured")</f>
        <v>0</v>
      </c>
      <c r="Z14" s="29">
        <f>COUNTIFS(tblAdmissions[Month],4,tblAdmissions[AgeUnit],"Years",tblAdmissions[Age],"&gt;="&amp;60,tblAdmissions[Age],"&lt;="&amp;69,tblAdmissions[Sex],"F",tblAdmissions[NHIS],"Non-Insured")</f>
        <v>0</v>
      </c>
      <c r="AA14" s="29">
        <f>COUNTIFS(tblAdmissions[Month],4,tblAdmissions[AgeUnit],"Years",tblAdmissions[Age],"&gt;="&amp;60,tblAdmissions[Age],"&lt;="&amp;69,tblAdmissions[Sex],"M",tblAdmissions[NHIS],"Insured")</f>
        <v>0</v>
      </c>
      <c r="AB14" s="29">
        <f>COUNTIFS(tblAdmissions[Month],4,tblAdmissions[AgeUnit],"Years",tblAdmissions[Age],"&gt;="&amp;60,tblAdmissions[Age],"&lt;="&amp;69,tblAdmissions[Sex],"F",tblAdmissions[NHIS],"Insured")</f>
        <v>0</v>
      </c>
      <c r="AC14" s="29" t="s">
        <v>185</v>
      </c>
      <c r="AD14" s="29">
        <f>COUNTIFS(tblAdmissions[Month],5,tblAdmissions[AgeUnit],"Years",tblAdmissions[Age],"&gt;="&amp;60,tblAdmissions[Age],"&lt;="&amp;69,tblAdmissions[Sex],"M")</f>
        <v>0</v>
      </c>
      <c r="AE14" s="29">
        <f>COUNTIFS(tblAdmissions[Month],5,tblAdmissions[AgeUnit],"Years",tblAdmissions[Age],"&gt;="&amp;60,tblAdmissions[Age],"&lt;="&amp;69,tblAdmissions[Sex],"F")</f>
        <v>0</v>
      </c>
      <c r="AF14" s="29">
        <f>COUNTIFS(tblAdmissions[Month],5,tblAdmissions[AgeUnit],"Years",tblAdmissions[Age],"&gt;="&amp;60,tblAdmissions[Age],"&lt;="&amp;69,tblAdmissions[Sex],"M",tblAdmissions[NHIS],"Non-Insured")</f>
        <v>0</v>
      </c>
      <c r="AG14" s="29">
        <f>COUNTIFS(tblAdmissions[Month],5,tblAdmissions[AgeUnit],"Years",tblAdmissions[Age],"&gt;="&amp;60,tblAdmissions[Age],"&lt;="&amp;69,tblAdmissions[Sex],"F",tblAdmissions[NHIS],"Non-Insured")</f>
        <v>0</v>
      </c>
      <c r="AH14" s="29">
        <f>COUNTIFS(tblAdmissions[Month],5,tblAdmissions[AgeUnit],"Years",tblAdmissions[Age],"&gt;="&amp;60,tblAdmissions[Age],"&lt;="&amp;69,tblAdmissions[Sex],"M",tblAdmissions[NHIS],"Insured")</f>
        <v>0</v>
      </c>
      <c r="AI14" s="29">
        <f>COUNTIFS(tblAdmissions[Month],5,tblAdmissions[AgeUnit],"Years",tblAdmissions[Age],"&gt;="&amp;60,tblAdmissions[Age],"&lt;="&amp;69,tblAdmissions[Sex],"F",tblAdmissions[NHIS],"Insured")</f>
        <v>0</v>
      </c>
      <c r="AJ14" s="29" t="s">
        <v>185</v>
      </c>
      <c r="AK14" s="29">
        <f>COUNTIFS(tblAdmissions[Month],6,tblAdmissions[AgeUnit],"Years",tblAdmissions[Age],"&gt;="&amp;60,tblAdmissions[Age],"&lt;="&amp;69,tblAdmissions[Sex],"M")</f>
        <v>0</v>
      </c>
      <c r="AL14" s="29">
        <f>COUNTIFS(tblAdmissions[Month],6,tblAdmissions[AgeUnit],"Years",tblAdmissions[Age],"&gt;="&amp;60,tblAdmissions[Age],"&lt;="&amp;69,tblAdmissions[Sex],"F")</f>
        <v>0</v>
      </c>
      <c r="AM14" s="29">
        <f>COUNTIFS(tblAdmissions[Month],6,tblAdmissions[AgeUnit],"Years",tblAdmissions[Age],"&gt;="&amp;60,tblAdmissions[Age],"&lt;="&amp;69,tblAdmissions[Sex],"M",tblAdmissions[NHIS],"Non-Insured")</f>
        <v>0</v>
      </c>
      <c r="AN14" s="29">
        <f>COUNTIFS(tblAdmissions[Month],6,tblAdmissions[AgeUnit],"Years",tblAdmissions[Age],"&gt;="&amp;60,tblAdmissions[Age],"&lt;="&amp;69,tblAdmissions[Sex],"F",tblAdmissions[NHIS],"Non-Insured")</f>
        <v>0</v>
      </c>
      <c r="AO14" s="29">
        <f>COUNTIFS(tblAdmissions[Month],6,tblAdmissions[AgeUnit],"Years",tblAdmissions[Age],"&gt;="&amp;60,tblAdmissions[Age],"&lt;="&amp;69,tblAdmissions[Sex],"M",tblAdmissions[NHIS],"Insured")</f>
        <v>0</v>
      </c>
      <c r="AP14" s="29">
        <f>COUNTIFS(tblAdmissions[Month],6,tblAdmissions[AgeUnit],"Years",tblAdmissions[Age],"&gt;="&amp;60,tblAdmissions[Age],"&lt;="&amp;69,tblAdmissions[Sex],"F",tblAdmissions[NHIS],"Insured")</f>
        <v>0</v>
      </c>
      <c r="AQ14" s="29" t="s">
        <v>185</v>
      </c>
      <c r="AR14" s="29">
        <f>COUNTIFS(tblAdmissions[Month],7,tblAdmissions[AgeUnit],"Years",tblAdmissions[Age],"&gt;="&amp;60,tblAdmissions[Age],"&lt;="&amp;69,tblAdmissions[Sex],"M")</f>
        <v>0</v>
      </c>
      <c r="AS14" s="29">
        <f>COUNTIFS(tblAdmissions[Month],7,tblAdmissions[AgeUnit],"Years",tblAdmissions[Age],"&gt;="&amp;60,tblAdmissions[Age],"&lt;="&amp;69,tblAdmissions[Sex],"F")</f>
        <v>0</v>
      </c>
      <c r="AT14" s="29">
        <f>COUNTIFS(tblAdmissions[Month],7,tblAdmissions[AgeUnit],"Years",tblAdmissions[Age],"&gt;="&amp;60,tblAdmissions[Age],"&lt;="&amp;69,tblAdmissions[Sex],"M",tblAdmissions[NHIS],"Non-Insured")</f>
        <v>0</v>
      </c>
      <c r="AU14" s="29">
        <f>COUNTIFS(tblAdmissions[Month],7,tblAdmissions[AgeUnit],"Years",tblAdmissions[Age],"&gt;="&amp;60,tblAdmissions[Age],"&lt;="&amp;69,tblAdmissions[Sex],"F",tblAdmissions[NHIS],"Non-Insured")</f>
        <v>0</v>
      </c>
      <c r="AV14" s="29">
        <f>COUNTIFS(tblAdmissions[Month],7,tblAdmissions[AgeUnit],"Years",tblAdmissions[Age],"&gt;="&amp;60,tblAdmissions[Age],"&lt;="&amp;69,tblAdmissions[Sex],"M",tblAdmissions[NHIS],"Insured")</f>
        <v>0</v>
      </c>
      <c r="AW14" s="29">
        <f>COUNTIFS(tblAdmissions[Month],7,tblAdmissions[AgeUnit],"Years",tblAdmissions[Age],"&gt;="&amp;60,tblAdmissions[Age],"&lt;="&amp;69,tblAdmissions[Sex],"F",tblAdmissions[NHIS],"Insured")</f>
        <v>0</v>
      </c>
      <c r="AX14" s="29" t="s">
        <v>185</v>
      </c>
      <c r="AY14" s="29">
        <f>COUNTIFS(tblAdmissions[Month],8,tblAdmissions[AgeUnit],"Years",tblAdmissions[Age],"&gt;="&amp;60,tblAdmissions[Age],"&lt;="&amp;69,tblAdmissions[Sex],"M")</f>
        <v>0</v>
      </c>
      <c r="AZ14" s="29">
        <f>COUNTIFS(tblAdmissions[Month],8,tblAdmissions[AgeUnit],"Years",tblAdmissions[Age],"&gt;="&amp;60,tblAdmissions[Age],"&lt;="&amp;69,tblAdmissions[Sex],"F")</f>
        <v>0</v>
      </c>
      <c r="BA14" s="29">
        <f>COUNTIFS(tblAdmissions[Month],8,tblAdmissions[AgeUnit],"Years",tblAdmissions[Age],"&gt;="&amp;60,tblAdmissions[Age],"&lt;="&amp;69,tblAdmissions[Sex],"M",tblAdmissions[NHIS],"Non-Insured")</f>
        <v>0</v>
      </c>
      <c r="BB14" s="29">
        <f>COUNTIFS(tblAdmissions[Month],8,tblAdmissions[AgeUnit],"Years",tblAdmissions[Age],"&gt;="&amp;60,tblAdmissions[Age],"&lt;="&amp;69,tblAdmissions[Sex],"F",tblAdmissions[NHIS],"Non-Insured")</f>
        <v>0</v>
      </c>
      <c r="BC14" s="29">
        <f>COUNTIFS(tblAdmissions[Month],8,tblAdmissions[AgeUnit],"Years",tblAdmissions[Age],"&gt;="&amp;60,tblAdmissions[Age],"&lt;="&amp;69,tblAdmissions[Sex],"M",tblAdmissions[NHIS],"Insured")</f>
        <v>0</v>
      </c>
      <c r="BD14" s="29">
        <f>COUNTIFS(tblAdmissions[Month],8,tblAdmissions[AgeUnit],"Years",tblAdmissions[Age],"&gt;="&amp;60,tblAdmissions[Age],"&lt;="&amp;69,tblAdmissions[Sex],"F",tblAdmissions[NHIS],"Insured")</f>
        <v>0</v>
      </c>
      <c r="BE14" s="29" t="s">
        <v>185</v>
      </c>
      <c r="BF14" s="29">
        <f>COUNTIFS(tblAdmissions[Month],9,tblAdmissions[AgeUnit],"Years",tblAdmissions[Age],"&gt;="&amp;60,tblAdmissions[Age],"&lt;="&amp;69,tblAdmissions[Sex],"M")</f>
        <v>0</v>
      </c>
      <c r="BG14" s="29">
        <f>COUNTIFS(tblAdmissions[Month],9,tblAdmissions[AgeUnit],"Years",tblAdmissions[Age],"&gt;="&amp;60,tblAdmissions[Age],"&lt;="&amp;69,tblAdmissions[Sex],"F")</f>
        <v>0</v>
      </c>
      <c r="BH14" s="29">
        <f>COUNTIFS(tblAdmissions[Month],9,tblAdmissions[AgeUnit],"Years",tblAdmissions[Age],"&gt;="&amp;60,tblAdmissions[Age],"&lt;="&amp;69,tblAdmissions[Sex],"M",tblAdmissions[NHIS],"Non-Insured")</f>
        <v>0</v>
      </c>
      <c r="BI14" s="29">
        <f>COUNTIFS(tblAdmissions[Month],9,tblAdmissions[AgeUnit],"Years",tblAdmissions[Age],"&gt;="&amp;60,tblAdmissions[Age],"&lt;="&amp;69,tblAdmissions[Sex],"F",tblAdmissions[NHIS],"Non-Insured")</f>
        <v>0</v>
      </c>
      <c r="BJ14" s="29">
        <f>COUNTIFS(tblAdmissions[Month],9,tblAdmissions[AgeUnit],"Years",tblAdmissions[Age],"&gt;="&amp;60,tblAdmissions[Age],"&lt;="&amp;69,tblAdmissions[Sex],"M",tblAdmissions[NHIS],"Insured")</f>
        <v>0</v>
      </c>
      <c r="BK14" s="29">
        <f>COUNTIFS(tblAdmissions[Month],9,tblAdmissions[AgeUnit],"Years",tblAdmissions[Age],"&gt;="&amp;60,tblAdmissions[Age],"&lt;="&amp;69,tblAdmissions[Sex],"F",tblAdmissions[NHIS],"Insured")</f>
        <v>0</v>
      </c>
      <c r="BL14" s="29" t="s">
        <v>185</v>
      </c>
      <c r="BM14" s="29">
        <f>COUNTIFS(tblAdmissions[Month],10,tblAdmissions[AgeUnit],"Years",tblAdmissions[Age],"&gt;="&amp;60,tblAdmissions[Age],"&lt;="&amp;69,tblAdmissions[Sex],"M")</f>
        <v>0</v>
      </c>
      <c r="BN14" s="29">
        <f>COUNTIFS(tblAdmissions[Month],10,tblAdmissions[AgeUnit],"Years",tblAdmissions[Age],"&gt;="&amp;60,tblAdmissions[Age],"&lt;="&amp;69,tblAdmissions[Sex],"F")</f>
        <v>0</v>
      </c>
      <c r="BO14" s="29">
        <f>COUNTIFS(tblAdmissions[Month],10,tblAdmissions[AgeUnit],"Years",tblAdmissions[Age],"&gt;="&amp;60,tblAdmissions[Age],"&lt;="&amp;69,tblAdmissions[Sex],"M",tblAdmissions[NHIS],"Non-Insured")</f>
        <v>0</v>
      </c>
      <c r="BP14" s="29">
        <f>COUNTIFS(tblAdmissions[Month],10,tblAdmissions[AgeUnit],"Years",tblAdmissions[Age],"&gt;="&amp;60,tblAdmissions[Age],"&lt;="&amp;69,tblAdmissions[Sex],"F",tblAdmissions[NHIS],"Non-Insured")</f>
        <v>0</v>
      </c>
      <c r="BQ14" s="29">
        <f>COUNTIFS(tblAdmissions[Month],10,tblAdmissions[AgeUnit],"Years",tblAdmissions[Age],"&gt;="&amp;60,tblAdmissions[Age],"&lt;="&amp;69,tblAdmissions[Sex],"M",tblAdmissions[NHIS],"Insured")</f>
        <v>0</v>
      </c>
      <c r="BR14" s="29">
        <f>COUNTIFS(tblAdmissions[Month],10,tblAdmissions[AgeUnit],"Years",tblAdmissions[Age],"&gt;="&amp;60,tblAdmissions[Age],"&lt;="&amp;69,tblAdmissions[Sex],"F",tblAdmissions[NHIS],"Insured")</f>
        <v>0</v>
      </c>
      <c r="BS14" s="29" t="s">
        <v>185</v>
      </c>
      <c r="BT14" s="29">
        <f>COUNTIFS(tblAdmissions[Month],11,tblAdmissions[AgeUnit],"Years",tblAdmissions[Age],"&gt;="&amp;60,tblAdmissions[Age],"&lt;="&amp;69,tblAdmissions[Sex],"M")</f>
        <v>0</v>
      </c>
      <c r="BU14" s="29">
        <f>COUNTIFS(tblAdmissions[Month],11,tblAdmissions[AgeUnit],"Years",tblAdmissions[Age],"&gt;="&amp;60,tblAdmissions[Age],"&lt;="&amp;69,tblAdmissions[Sex],"F")</f>
        <v>0</v>
      </c>
      <c r="BV14" s="29">
        <f>COUNTIFS(tblAdmissions[Month],11,tblAdmissions[AgeUnit],"Years",tblAdmissions[Age],"&gt;="&amp;60,tblAdmissions[Age],"&lt;="&amp;69,tblAdmissions[Sex],"M",tblAdmissions[NHIS],"Non-Insured")</f>
        <v>0</v>
      </c>
      <c r="BW14" s="29">
        <f>COUNTIFS(tblAdmissions[Month],11,tblAdmissions[AgeUnit],"Years",tblAdmissions[Age],"&gt;="&amp;60,tblAdmissions[Age],"&lt;="&amp;69,tblAdmissions[Sex],"F",tblAdmissions[NHIS],"Non-Insured")</f>
        <v>0</v>
      </c>
      <c r="BX14" s="29">
        <f>COUNTIFS(tblAdmissions[Month],11,tblAdmissions[AgeUnit],"Years",tblAdmissions[Age],"&gt;="&amp;60,tblAdmissions[Age],"&lt;="&amp;69,tblAdmissions[Sex],"M",tblAdmissions[NHIS],"Insured")</f>
        <v>0</v>
      </c>
      <c r="BY14" s="29">
        <f>COUNTIFS(tblAdmissions[Month],11,tblAdmissions[AgeUnit],"Years",tblAdmissions[Age],"&gt;="&amp;60,tblAdmissions[Age],"&lt;="&amp;69,tblAdmissions[Sex],"F",tblAdmissions[NHIS],"Insured")</f>
        <v>0</v>
      </c>
      <c r="BZ14" s="29" t="s">
        <v>185</v>
      </c>
      <c r="CA14" s="29">
        <f>COUNTIFS(tblAdmissions[Month],12,tblAdmissions[AgeUnit],"Years",tblAdmissions[Age],"&gt;="&amp;60,tblAdmissions[Age],"&lt;="&amp;69,tblAdmissions[Sex],"M")</f>
        <v>0</v>
      </c>
      <c r="CB14" s="29">
        <f>COUNTIFS(tblAdmissions[Month],12,tblAdmissions[AgeUnit],"Years",tblAdmissions[Age],"&gt;="&amp;60,tblAdmissions[Age],"&lt;="&amp;69,tblAdmissions[Sex],"F")</f>
        <v>0</v>
      </c>
      <c r="CC14" s="29">
        <f>COUNTIFS(tblAdmissions[Month],12,tblAdmissions[AgeUnit],"Years",tblAdmissions[Age],"&gt;="&amp;60,tblAdmissions[Age],"&lt;="&amp;69,tblAdmissions[Sex],"M",tblAdmissions[NHIS],"Non-Insured")</f>
        <v>0</v>
      </c>
      <c r="CD14" s="29">
        <f>COUNTIFS(tblAdmissions[Month],12,tblAdmissions[AgeUnit],"Years",tblAdmissions[Age],"&gt;="&amp;60,tblAdmissions[Age],"&lt;="&amp;69,tblAdmissions[Sex],"F",tblAdmissions[NHIS],"Non-Insured")</f>
        <v>0</v>
      </c>
      <c r="CE14" s="29">
        <f>COUNTIFS(tblAdmissions[Month],12,tblAdmissions[AgeUnit],"Years",tblAdmissions[Age],"&gt;="&amp;60,tblAdmissions[Age],"&lt;="&amp;69,tblAdmissions[Sex],"M",tblAdmissions[NHIS],"Insured")</f>
        <v>0</v>
      </c>
      <c r="CF14" s="29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29" t="s">
        <v>186</v>
      </c>
      <c r="B15" s="29">
        <f>COUNTIFS(tblAdmissions[Month],1,tblAdmissions[AgeUnit],"Years",tblAdmissions[Age],"&gt;="&amp;70,tblAdmissions[Age],"&lt;="&amp;200,tblAdmissions[Sex],"M")</f>
        <v>30</v>
      </c>
      <c r="C15" s="29">
        <f>COUNTIFS(tblAdmissions[Month],1,tblAdmissions[AgeUnit],"Years",tblAdmissions[Age],"&gt;="&amp;70,tblAdmissions[Age],"&lt;="&amp;200,tblAdmissions[Sex],"F")</f>
        <v>19</v>
      </c>
      <c r="D15" s="29">
        <f>COUNTIFS(tblAdmissions[Month],1,tblAdmissions[AgeUnit],"Years",tblAdmissions[Age],"&gt;="&amp;70,tblAdmissions[Age],"&lt;="&amp;200,tblAdmissions[Sex],"M",tblAdmissions[NHIS],"Non-Insured")</f>
        <v>0</v>
      </c>
      <c r="E15" s="29">
        <f>COUNTIFS(tblAdmissions[Month],1,tblAdmissions[AgeUnit],"Years",tblAdmissions[Age],"&gt;="&amp;70,tblAdmissions[Age],"&lt;="&amp;200,tblAdmissions[Sex],"F",tblAdmissions[NHIS],"Non-Insured")</f>
        <v>0</v>
      </c>
      <c r="F15" s="29">
        <f>COUNTIFS(tblAdmissions[Month],1,tblAdmissions[AgeUnit],"Years",tblAdmissions[Age],"&gt;="&amp;70,tblAdmissions[Age],"&lt;="&amp;200,tblAdmissions[Sex],"M",tblAdmissions[NHIS],"Insured")</f>
        <v>30</v>
      </c>
      <c r="G15" s="29">
        <f>COUNTIFS(tblAdmissions[Month],1,tblAdmissions[AgeUnit],"Years",tblAdmissions[Age],"&gt;="&amp;70,tblAdmissions[Age],"&lt;="&amp;200,tblAdmissions[Sex],"F",tblAdmissions[NHIS],"Insured")</f>
        <v>19</v>
      </c>
      <c r="H15" s="29" t="s">
        <v>186</v>
      </c>
      <c r="I15" s="29">
        <f>COUNTIFS(tblAdmissions[Month],2,tblAdmissions[AgeUnit],"Years",tblAdmissions[Age],"&gt;="&amp;70,tblAdmissions[Age],"&lt;="&amp;200,tblAdmissions[Sex],"M")</f>
        <v>32</v>
      </c>
      <c r="J15" s="29">
        <f>COUNTIFS(tblAdmissions[Month],2,tblAdmissions[AgeUnit],"Years",tblAdmissions[Age],"&gt;="&amp;70,tblAdmissions[Age],"&lt;="&amp;200,tblAdmissions[Sex],"F")</f>
        <v>28</v>
      </c>
      <c r="K15" s="29">
        <f>COUNTIFS(tblAdmissions[Month],2,tblAdmissions[AgeUnit],"Years",tblAdmissions[Age],"&gt;="&amp;70,tblAdmissions[Age],"&lt;="&amp;200,tblAdmissions[Sex],"M",tblAdmissions[NHIS],"Non-Insured")</f>
        <v>0</v>
      </c>
      <c r="L15" s="29">
        <f>COUNTIFS(tblAdmissions[Month],2,tblAdmissions[AgeUnit],"Years",tblAdmissions[Age],"&gt;="&amp;70,tblAdmissions[Age],"&lt;="&amp;200,tblAdmissions[Sex],"F",tblAdmissions[NHIS],"Non-Insured")</f>
        <v>0</v>
      </c>
      <c r="M15" s="29">
        <f>COUNTIFS(tblAdmissions[Month],2,tblAdmissions[AgeUnit],"Years",tblAdmissions[Age],"&gt;="&amp;70,tblAdmissions[Age],"&lt;="&amp;200,tblAdmissions[Sex],"M",tblAdmissions[NHIS],"Insured")</f>
        <v>32</v>
      </c>
      <c r="N15" s="29">
        <f>COUNTIFS(tblAdmissions[Month],2,tblAdmissions[AgeUnit],"Years",tblAdmissions[Age],"&gt;="&amp;70,tblAdmissions[Age],"&lt;="&amp;200,tblAdmissions[Sex],"F",tblAdmissions[NHIS],"Insured")</f>
        <v>28</v>
      </c>
      <c r="O15" s="29" t="s">
        <v>186</v>
      </c>
      <c r="P15" s="29">
        <f>COUNTIFS(tblAdmissions[Month],3,tblAdmissions[AgeUnit],"Years",tblAdmissions[Age],"&gt;="&amp;70,tblAdmissions[Age],"&lt;="&amp;200,tblAdmissions[Sex],"M")</f>
        <v>22</v>
      </c>
      <c r="Q15" s="29">
        <f>COUNTIFS(tblAdmissions[Month],3,tblAdmissions[AgeUnit],"Years",tblAdmissions[Age],"&gt;="&amp;70,tblAdmissions[Age],"&lt;="&amp;200,tblAdmissions[Sex],"F")</f>
        <v>19</v>
      </c>
      <c r="R15" s="29">
        <f>COUNTIFS(tblAdmissions[Month],3,tblAdmissions[AgeUnit],"Years",tblAdmissions[Age],"&gt;="&amp;70,tblAdmissions[Age],"&lt;="&amp;200,tblAdmissions[Sex],"M",tblAdmissions[NHIS],"Non-Insured")</f>
        <v>0</v>
      </c>
      <c r="S15" s="29">
        <f>COUNTIFS(tblAdmissions[Month],3,tblAdmissions[AgeUnit],"Years",tblAdmissions[Age],"&gt;="&amp;70,tblAdmissions[Age],"&lt;="&amp;200,tblAdmissions[Sex],"F",tblAdmissions[NHIS],"Non-Insured")</f>
        <v>0</v>
      </c>
      <c r="T15" s="29">
        <f>COUNTIFS(tblAdmissions[Month],3,tblAdmissions[AgeUnit],"Years",tblAdmissions[Age],"&gt;="&amp;70,tblAdmissions[Age],"&lt;="&amp;200,tblAdmissions[Sex],"M",tblAdmissions[NHIS],"Insured")</f>
        <v>22</v>
      </c>
      <c r="U15" s="29">
        <f>COUNTIFS(tblAdmissions[Month],3,tblAdmissions[AgeUnit],"Years",tblAdmissions[Age],"&gt;="&amp;70,tblAdmissions[Age],"&lt;="&amp;200,tblAdmissions[Sex],"F",tblAdmissions[NHIS],"Insured")</f>
        <v>19</v>
      </c>
      <c r="V15" s="29" t="s">
        <v>186</v>
      </c>
      <c r="W15" s="29">
        <f>COUNTIFS(tblAdmissions[Month],4,tblAdmissions[AgeUnit],"Years",tblAdmissions[Age],"&gt;="&amp;70,tblAdmissions[Age],"&lt;="&amp;200,tblAdmissions[Sex],"M")</f>
        <v>0</v>
      </c>
      <c r="X15" s="29">
        <f>COUNTIFS(tblAdmissions[Month],4,tblAdmissions[AgeUnit],"Years",tblAdmissions[Age],"&gt;="&amp;70,tblAdmissions[Age],"&lt;="&amp;200,tblAdmissions[Sex],"F")</f>
        <v>0</v>
      </c>
      <c r="Y15" s="29">
        <f>COUNTIFS(tblAdmissions[Month],4,tblAdmissions[AgeUnit],"Years",tblAdmissions[Age],"&gt;="&amp;70,tblAdmissions[Age],"&lt;="&amp;200,tblAdmissions[Sex],"M",tblAdmissions[NHIS],"Non-Insured")</f>
        <v>0</v>
      </c>
      <c r="Z15" s="29">
        <f>COUNTIFS(tblAdmissions[Month],4,tblAdmissions[AgeUnit],"Years",tblAdmissions[Age],"&gt;="&amp;70,tblAdmissions[Age],"&lt;="&amp;200,tblAdmissions[Sex],"F",tblAdmissions[NHIS],"Non-Insured")</f>
        <v>0</v>
      </c>
      <c r="AA15" s="29">
        <f>COUNTIFS(tblAdmissions[Month],4,tblAdmissions[AgeUnit],"Years",tblAdmissions[Age],"&gt;="&amp;70,tblAdmissions[Age],"&lt;="&amp;200,tblAdmissions[Sex],"M",tblAdmissions[NHIS],"Insured")</f>
        <v>0</v>
      </c>
      <c r="AB15" s="29">
        <f>COUNTIFS(tblAdmissions[Month],4,tblAdmissions[AgeUnit],"Years",tblAdmissions[Age],"&gt;="&amp;70,tblAdmissions[Age],"&lt;="&amp;200,tblAdmissions[Sex],"F",tblAdmissions[NHIS],"Insured")</f>
        <v>0</v>
      </c>
      <c r="AC15" s="29" t="s">
        <v>186</v>
      </c>
      <c r="AD15" s="29">
        <f>COUNTIFS(tblAdmissions[Month],5,tblAdmissions[AgeUnit],"Years",tblAdmissions[Age],"&gt;="&amp;70,tblAdmissions[Age],"&lt;="&amp;200,tblAdmissions[Sex],"M")</f>
        <v>0</v>
      </c>
      <c r="AE15" s="29">
        <f>COUNTIFS(tblAdmissions[Month],5,tblAdmissions[AgeUnit],"Years",tblAdmissions[Age],"&gt;="&amp;70,tblAdmissions[Age],"&lt;="&amp;200,tblAdmissions[Sex],"F")</f>
        <v>0</v>
      </c>
      <c r="AF15" s="29">
        <f>COUNTIFS(tblAdmissions[Month],5,tblAdmissions[AgeUnit],"Years",tblAdmissions[Age],"&gt;="&amp;70,tblAdmissions[Age],"&lt;="&amp;200,tblAdmissions[Sex],"M",tblAdmissions[NHIS],"Non-Insured")</f>
        <v>0</v>
      </c>
      <c r="AG15" s="29">
        <f>COUNTIFS(tblAdmissions[Month],5,tblAdmissions[AgeUnit],"Years",tblAdmissions[Age],"&gt;="&amp;70,tblAdmissions[Age],"&lt;="&amp;200,tblAdmissions[Sex],"F",tblAdmissions[NHIS],"Non-Insured")</f>
        <v>0</v>
      </c>
      <c r="AH15" s="29">
        <f>COUNTIFS(tblAdmissions[Month],5,tblAdmissions[AgeUnit],"Years",tblAdmissions[Age],"&gt;="&amp;70,tblAdmissions[Age],"&lt;="&amp;200,tblAdmissions[Sex],"M",tblAdmissions[NHIS],"Insured")</f>
        <v>0</v>
      </c>
      <c r="AI15" s="29">
        <f>COUNTIFS(tblAdmissions[Month],5,tblAdmissions[AgeUnit],"Years",tblAdmissions[Age],"&gt;="&amp;70,tblAdmissions[Age],"&lt;="&amp;200,tblAdmissions[Sex],"F",tblAdmissions[NHIS],"Insured")</f>
        <v>0</v>
      </c>
      <c r="AJ15" s="29" t="s">
        <v>186</v>
      </c>
      <c r="AK15" s="29">
        <f>COUNTIFS(tblAdmissions[Month],6,tblAdmissions[AgeUnit],"Years",tblAdmissions[Age],"&gt;="&amp;70,tblAdmissions[Age],"&lt;="&amp;200,tblAdmissions[Sex],"M")</f>
        <v>0</v>
      </c>
      <c r="AL15" s="29">
        <f>COUNTIFS(tblAdmissions[Month],6,tblAdmissions[AgeUnit],"Years",tblAdmissions[Age],"&gt;="&amp;70,tblAdmissions[Age],"&lt;="&amp;200,tblAdmissions[Sex],"F")</f>
        <v>0</v>
      </c>
      <c r="AM15" s="29">
        <f>COUNTIFS(tblAdmissions[Month],6,tblAdmissions[AgeUnit],"Years",tblAdmissions[Age],"&gt;="&amp;70,tblAdmissions[Age],"&lt;="&amp;200,tblAdmissions[Sex],"M",tblAdmissions[NHIS],"Non-Insured")</f>
        <v>0</v>
      </c>
      <c r="AN15" s="29">
        <f>COUNTIFS(tblAdmissions[Month],6,tblAdmissions[AgeUnit],"Years",tblAdmissions[Age],"&gt;="&amp;70,tblAdmissions[Age],"&lt;="&amp;200,tblAdmissions[Sex],"F",tblAdmissions[NHIS],"Non-Insured")</f>
        <v>0</v>
      </c>
      <c r="AO15" s="29">
        <f>COUNTIFS(tblAdmissions[Month],6,tblAdmissions[AgeUnit],"Years",tblAdmissions[Age],"&gt;="&amp;70,tblAdmissions[Age],"&lt;="&amp;200,tblAdmissions[Sex],"M",tblAdmissions[NHIS],"Insured")</f>
        <v>0</v>
      </c>
      <c r="AP15" s="29">
        <f>COUNTIFS(tblAdmissions[Month],6,tblAdmissions[AgeUnit],"Years",tblAdmissions[Age],"&gt;="&amp;70,tblAdmissions[Age],"&lt;="&amp;200,tblAdmissions[Sex],"F",tblAdmissions[NHIS],"Insured")</f>
        <v>0</v>
      </c>
      <c r="AQ15" s="29" t="s">
        <v>186</v>
      </c>
      <c r="AR15" s="29">
        <f>COUNTIFS(tblAdmissions[Month],7,tblAdmissions[AgeUnit],"Years",tblAdmissions[Age],"&gt;="&amp;70,tblAdmissions[Age],"&lt;="&amp;200,tblAdmissions[Sex],"M")</f>
        <v>0</v>
      </c>
      <c r="AS15" s="29">
        <f>COUNTIFS(tblAdmissions[Month],7,tblAdmissions[AgeUnit],"Years",tblAdmissions[Age],"&gt;="&amp;70,tblAdmissions[Age],"&lt;="&amp;200,tblAdmissions[Sex],"F")</f>
        <v>0</v>
      </c>
      <c r="AT15" s="29">
        <f>COUNTIFS(tblAdmissions[Month],7,tblAdmissions[AgeUnit],"Years",tblAdmissions[Age],"&gt;="&amp;70,tblAdmissions[Age],"&lt;="&amp;200,tblAdmissions[Sex],"M",tblAdmissions[NHIS],"Non-Insured")</f>
        <v>0</v>
      </c>
      <c r="AU15" s="29">
        <f>COUNTIFS(tblAdmissions[Month],7,tblAdmissions[AgeUnit],"Years",tblAdmissions[Age],"&gt;="&amp;70,tblAdmissions[Age],"&lt;="&amp;200,tblAdmissions[Sex],"F",tblAdmissions[NHIS],"Non-Insured")</f>
        <v>0</v>
      </c>
      <c r="AV15" s="29">
        <f>COUNTIFS(tblAdmissions[Month],7,tblAdmissions[AgeUnit],"Years",tblAdmissions[Age],"&gt;="&amp;70,tblAdmissions[Age],"&lt;="&amp;200,tblAdmissions[Sex],"M",tblAdmissions[NHIS],"Insured")</f>
        <v>0</v>
      </c>
      <c r="AW15" s="29">
        <f>COUNTIFS(tblAdmissions[Month],7,tblAdmissions[AgeUnit],"Years",tblAdmissions[Age],"&gt;="&amp;70,tblAdmissions[Age],"&lt;="&amp;200,tblAdmissions[Sex],"F",tblAdmissions[NHIS],"Insured")</f>
        <v>0</v>
      </c>
      <c r="AX15" s="29" t="s">
        <v>186</v>
      </c>
      <c r="AY15" s="29">
        <f>COUNTIFS(tblAdmissions[Month],8,tblAdmissions[AgeUnit],"Years",tblAdmissions[Age],"&gt;="&amp;70,tblAdmissions[Age],"&lt;="&amp;200,tblAdmissions[Sex],"M")</f>
        <v>0</v>
      </c>
      <c r="AZ15" s="29">
        <f>COUNTIFS(tblAdmissions[Month],8,tblAdmissions[AgeUnit],"Years",tblAdmissions[Age],"&gt;="&amp;70,tblAdmissions[Age],"&lt;="&amp;200,tblAdmissions[Sex],"F")</f>
        <v>0</v>
      </c>
      <c r="BA15" s="29">
        <f>COUNTIFS(tblAdmissions[Month],8,tblAdmissions[AgeUnit],"Years",tblAdmissions[Age],"&gt;="&amp;70,tblAdmissions[Age],"&lt;="&amp;200,tblAdmissions[Sex],"M",tblAdmissions[NHIS],"Non-Insured")</f>
        <v>0</v>
      </c>
      <c r="BB15" s="29">
        <f>COUNTIFS(tblAdmissions[Month],8,tblAdmissions[AgeUnit],"Years",tblAdmissions[Age],"&gt;="&amp;70,tblAdmissions[Age],"&lt;="&amp;200,tblAdmissions[Sex],"F",tblAdmissions[NHIS],"Non-Insured")</f>
        <v>0</v>
      </c>
      <c r="BC15" s="29">
        <f>COUNTIFS(tblAdmissions[Month],8,tblAdmissions[AgeUnit],"Years",tblAdmissions[Age],"&gt;="&amp;70,tblAdmissions[Age],"&lt;="&amp;200,tblAdmissions[Sex],"M",tblAdmissions[NHIS],"Insured")</f>
        <v>0</v>
      </c>
      <c r="BD15" s="29">
        <f>COUNTIFS(tblAdmissions[Month],8,tblAdmissions[AgeUnit],"Years",tblAdmissions[Age],"&gt;="&amp;70,tblAdmissions[Age],"&lt;="&amp;200,tblAdmissions[Sex],"F",tblAdmissions[NHIS],"Insured")</f>
        <v>0</v>
      </c>
      <c r="BE15" s="29" t="s">
        <v>186</v>
      </c>
      <c r="BF15" s="29">
        <f>COUNTIFS(tblAdmissions[Month],9,tblAdmissions[AgeUnit],"Years",tblAdmissions[Age],"&gt;="&amp;70,tblAdmissions[Age],"&lt;="&amp;200,tblAdmissions[Sex],"M")</f>
        <v>0</v>
      </c>
      <c r="BG15" s="29">
        <f>COUNTIFS(tblAdmissions[Month],9,tblAdmissions[AgeUnit],"Years",tblAdmissions[Age],"&gt;="&amp;70,tblAdmissions[Age],"&lt;="&amp;200,tblAdmissions[Sex],"F")</f>
        <v>0</v>
      </c>
      <c r="BH15" s="29">
        <f>COUNTIFS(tblAdmissions[Month],9,tblAdmissions[AgeUnit],"Years",tblAdmissions[Age],"&gt;="&amp;70,tblAdmissions[Age],"&lt;="&amp;200,tblAdmissions[Sex],"M",tblAdmissions[NHIS],"Non-Insured")</f>
        <v>0</v>
      </c>
      <c r="BI15" s="29">
        <f>COUNTIFS(tblAdmissions[Month],9,tblAdmissions[AgeUnit],"Years",tblAdmissions[Age],"&gt;="&amp;70,tblAdmissions[Age],"&lt;="&amp;200,tblAdmissions[Sex],"F",tblAdmissions[NHIS],"Non-Insured")</f>
        <v>0</v>
      </c>
      <c r="BJ15" s="29">
        <f>COUNTIFS(tblAdmissions[Month],9,tblAdmissions[AgeUnit],"Years",tblAdmissions[Age],"&gt;="&amp;70,tblAdmissions[Age],"&lt;="&amp;200,tblAdmissions[Sex],"M",tblAdmissions[NHIS],"Insured")</f>
        <v>0</v>
      </c>
      <c r="BK15" s="29">
        <f>COUNTIFS(tblAdmissions[Month],9,tblAdmissions[AgeUnit],"Years",tblAdmissions[Age],"&gt;="&amp;70,tblAdmissions[Age],"&lt;="&amp;200,tblAdmissions[Sex],"F",tblAdmissions[NHIS],"Insured")</f>
        <v>0</v>
      </c>
      <c r="BL15" s="29" t="s">
        <v>186</v>
      </c>
      <c r="BM15" s="29">
        <f>COUNTIFS(tblAdmissions[Month],10,tblAdmissions[AgeUnit],"Years",tblAdmissions[Age],"&gt;="&amp;70,tblAdmissions[Age],"&lt;="&amp;200,tblAdmissions[Sex],"M")</f>
        <v>0</v>
      </c>
      <c r="BN15" s="29">
        <f>COUNTIFS(tblAdmissions[Month],10,tblAdmissions[AgeUnit],"Years",tblAdmissions[Age],"&gt;="&amp;70,tblAdmissions[Age],"&lt;="&amp;200,tblAdmissions[Sex],"F")</f>
        <v>0</v>
      </c>
      <c r="BO15" s="29">
        <f>COUNTIFS(tblAdmissions[Month],10,tblAdmissions[AgeUnit],"Years",tblAdmissions[Age],"&gt;="&amp;70,tblAdmissions[Age],"&lt;="&amp;200,tblAdmissions[Sex],"M",tblAdmissions[NHIS],"Non-Insured")</f>
        <v>0</v>
      </c>
      <c r="BP15" s="29">
        <f>COUNTIFS(tblAdmissions[Month],10,tblAdmissions[AgeUnit],"Years",tblAdmissions[Age],"&gt;="&amp;70,tblAdmissions[Age],"&lt;="&amp;200,tblAdmissions[Sex],"F",tblAdmissions[NHIS],"Non-Insured")</f>
        <v>0</v>
      </c>
      <c r="BQ15" s="29">
        <f>COUNTIFS(tblAdmissions[Month],10,tblAdmissions[AgeUnit],"Years",tblAdmissions[Age],"&gt;="&amp;70,tblAdmissions[Age],"&lt;="&amp;200,tblAdmissions[Sex],"M",tblAdmissions[NHIS],"Insured")</f>
        <v>0</v>
      </c>
      <c r="BR15" s="29">
        <f>COUNTIFS(tblAdmissions[Month],10,tblAdmissions[AgeUnit],"Years",tblAdmissions[Age],"&gt;="&amp;70,tblAdmissions[Age],"&lt;="&amp;200,tblAdmissions[Sex],"F",tblAdmissions[NHIS],"Insured")</f>
        <v>0</v>
      </c>
      <c r="BS15" s="29" t="s">
        <v>186</v>
      </c>
      <c r="BT15" s="29">
        <f>COUNTIFS(tblAdmissions[Month],11,tblAdmissions[AgeUnit],"Years",tblAdmissions[Age],"&gt;="&amp;70,tblAdmissions[Age],"&lt;="&amp;200,tblAdmissions[Sex],"M")</f>
        <v>0</v>
      </c>
      <c r="BU15" s="29">
        <f>COUNTIFS(tblAdmissions[Month],11,tblAdmissions[AgeUnit],"Years",tblAdmissions[Age],"&gt;="&amp;70,tblAdmissions[Age],"&lt;="&amp;200,tblAdmissions[Sex],"F")</f>
        <v>0</v>
      </c>
      <c r="BV15" s="29">
        <f>COUNTIFS(tblAdmissions[Month],11,tblAdmissions[AgeUnit],"Years",tblAdmissions[Age],"&gt;="&amp;70,tblAdmissions[Age],"&lt;="&amp;200,tblAdmissions[Sex],"M",tblAdmissions[NHIS],"Non-Insured")</f>
        <v>0</v>
      </c>
      <c r="BW15" s="29">
        <f>COUNTIFS(tblAdmissions[Month],11,tblAdmissions[AgeUnit],"Years",tblAdmissions[Age],"&gt;="&amp;70,tblAdmissions[Age],"&lt;="&amp;200,tblAdmissions[Sex],"F",tblAdmissions[NHIS],"Non-Insured")</f>
        <v>0</v>
      </c>
      <c r="BX15" s="29">
        <f>COUNTIFS(tblAdmissions[Month],11,tblAdmissions[AgeUnit],"Years",tblAdmissions[Age],"&gt;="&amp;70,tblAdmissions[Age],"&lt;="&amp;200,tblAdmissions[Sex],"M",tblAdmissions[NHIS],"Insured")</f>
        <v>0</v>
      </c>
      <c r="BY15" s="29">
        <f>COUNTIFS(tblAdmissions[Month],11,tblAdmissions[AgeUnit],"Years",tblAdmissions[Age],"&gt;="&amp;70,tblAdmissions[Age],"&lt;="&amp;200,tblAdmissions[Sex],"F",tblAdmissions[NHIS],"Insured")</f>
        <v>0</v>
      </c>
      <c r="BZ15" s="29" t="s">
        <v>186</v>
      </c>
      <c r="CA15" s="29">
        <f>COUNTIFS(tblAdmissions[Month],12,tblAdmissions[AgeUnit],"Years",tblAdmissions[Age],"&gt;="&amp;70,tblAdmissions[Age],"&lt;="&amp;200,tblAdmissions[Sex],"M")</f>
        <v>0</v>
      </c>
      <c r="CB15" s="29">
        <f>COUNTIFS(tblAdmissions[Month],12,tblAdmissions[AgeUnit],"Years",tblAdmissions[Age],"&gt;="&amp;70,tblAdmissions[Age],"&lt;="&amp;200,tblAdmissions[Sex],"F")</f>
        <v>0</v>
      </c>
      <c r="CC15" s="29">
        <f>COUNTIFS(tblAdmissions[Month],12,tblAdmissions[AgeUnit],"Years",tblAdmissions[Age],"&gt;="&amp;70,tblAdmissions[Age],"&lt;="&amp;200,tblAdmissions[Sex],"M",tblAdmissions[NHIS],"Non-Insured")</f>
        <v>0</v>
      </c>
      <c r="CD15" s="29">
        <f>COUNTIFS(tblAdmissions[Month],12,tblAdmissions[AgeUnit],"Years",tblAdmissions[Age],"&gt;="&amp;70,tblAdmissions[Age],"&lt;="&amp;200,tblAdmissions[Sex],"F",tblAdmissions[NHIS],"Non-Insured")</f>
        <v>0</v>
      </c>
      <c r="CE15" s="29">
        <f>COUNTIFS(tblAdmissions[Month],12,tblAdmissions[AgeUnit],"Years",tblAdmissions[Age],"&gt;="&amp;70,tblAdmissions[Age],"&lt;="&amp;200,tblAdmissions[Sex],"M",tblAdmissions[NHIS],"Insured")</f>
        <v>0</v>
      </c>
      <c r="CF15" s="29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30" t="s">
        <v>187</v>
      </c>
      <c r="B16" s="30">
        <f t="shared" ref="B16:G16" si="0">SUM(B4:B15)</f>
        <v>234</v>
      </c>
      <c r="C16" s="30">
        <f t="shared" si="0"/>
        <v>432</v>
      </c>
      <c r="D16" s="30">
        <f t="shared" si="0"/>
        <v>0</v>
      </c>
      <c r="E16" s="30">
        <f t="shared" si="0"/>
        <v>0</v>
      </c>
      <c r="F16" s="30">
        <f t="shared" si="0"/>
        <v>234</v>
      </c>
      <c r="G16" s="30">
        <f t="shared" si="0"/>
        <v>432</v>
      </c>
      <c r="H16" s="30" t="s">
        <v>187</v>
      </c>
      <c r="I16" s="30">
        <f t="shared" ref="I16:N16" si="1">SUM(I4:I15)</f>
        <v>228</v>
      </c>
      <c r="J16" s="30">
        <f t="shared" si="1"/>
        <v>432</v>
      </c>
      <c r="K16" s="30">
        <f t="shared" si="1"/>
        <v>0</v>
      </c>
      <c r="L16" s="30">
        <f t="shared" si="1"/>
        <v>0</v>
      </c>
      <c r="M16" s="30">
        <f t="shared" si="1"/>
        <v>228</v>
      </c>
      <c r="N16" s="30">
        <f t="shared" si="1"/>
        <v>432</v>
      </c>
      <c r="O16" s="30" t="s">
        <v>187</v>
      </c>
      <c r="P16" s="30">
        <f t="shared" ref="P16:U16" si="2">SUM(P4:P15)</f>
        <v>203</v>
      </c>
      <c r="Q16" s="30">
        <f t="shared" si="2"/>
        <v>498</v>
      </c>
      <c r="R16" s="30">
        <f t="shared" si="2"/>
        <v>0</v>
      </c>
      <c r="S16" s="30">
        <f t="shared" si="2"/>
        <v>0</v>
      </c>
      <c r="T16" s="30">
        <f t="shared" si="2"/>
        <v>203</v>
      </c>
      <c r="U16" s="30">
        <f t="shared" si="2"/>
        <v>498</v>
      </c>
      <c r="V16" s="30" t="s">
        <v>187</v>
      </c>
      <c r="W16" s="30">
        <f t="shared" ref="W16:AB16" si="3">SUM(W4:W15)</f>
        <v>0</v>
      </c>
      <c r="X16" s="30">
        <f t="shared" si="3"/>
        <v>0</v>
      </c>
      <c r="Y16" s="30">
        <f t="shared" si="3"/>
        <v>0</v>
      </c>
      <c r="Z16" s="30">
        <f t="shared" si="3"/>
        <v>0</v>
      </c>
      <c r="AA16" s="30">
        <f t="shared" si="3"/>
        <v>0</v>
      </c>
      <c r="AB16" s="30">
        <f t="shared" si="3"/>
        <v>0</v>
      </c>
      <c r="AC16" s="30" t="s">
        <v>187</v>
      </c>
      <c r="AD16" s="30">
        <f t="shared" ref="AD16:AI16" si="4">SUM(AD4:AD15)</f>
        <v>0</v>
      </c>
      <c r="AE16" s="30">
        <f t="shared" si="4"/>
        <v>0</v>
      </c>
      <c r="AF16" s="30">
        <f t="shared" si="4"/>
        <v>0</v>
      </c>
      <c r="AG16" s="30">
        <f t="shared" si="4"/>
        <v>0</v>
      </c>
      <c r="AH16" s="30">
        <f t="shared" si="4"/>
        <v>0</v>
      </c>
      <c r="AI16" s="30">
        <f t="shared" si="4"/>
        <v>0</v>
      </c>
      <c r="AJ16" s="30" t="s">
        <v>187</v>
      </c>
      <c r="AK16" s="30">
        <f t="shared" ref="AK16:AP16" si="5">SUM(AK4:AK15)</f>
        <v>0</v>
      </c>
      <c r="AL16" s="30">
        <f t="shared" si="5"/>
        <v>0</v>
      </c>
      <c r="AM16" s="30">
        <f t="shared" si="5"/>
        <v>0</v>
      </c>
      <c r="AN16" s="30">
        <f t="shared" si="5"/>
        <v>0</v>
      </c>
      <c r="AO16" s="30">
        <f t="shared" si="5"/>
        <v>0</v>
      </c>
      <c r="AP16" s="30">
        <f t="shared" si="5"/>
        <v>0</v>
      </c>
      <c r="AQ16" s="30" t="s">
        <v>187</v>
      </c>
      <c r="AR16" s="30">
        <f t="shared" ref="AR16:AW16" si="6">SUM(AR4:AR15)</f>
        <v>0</v>
      </c>
      <c r="AS16" s="30">
        <f t="shared" si="6"/>
        <v>0</v>
      </c>
      <c r="AT16" s="30">
        <f t="shared" si="6"/>
        <v>0</v>
      </c>
      <c r="AU16" s="30">
        <f t="shared" si="6"/>
        <v>0</v>
      </c>
      <c r="AV16" s="30">
        <f t="shared" si="6"/>
        <v>0</v>
      </c>
      <c r="AW16" s="30">
        <f t="shared" si="6"/>
        <v>0</v>
      </c>
      <c r="AX16" s="30" t="s">
        <v>187</v>
      </c>
      <c r="AY16" s="30">
        <f t="shared" ref="AY16:BD16" si="7">SUM(AY4:AY15)</f>
        <v>0</v>
      </c>
      <c r="AZ16" s="30">
        <f t="shared" si="7"/>
        <v>0</v>
      </c>
      <c r="BA16" s="30">
        <f t="shared" si="7"/>
        <v>0</v>
      </c>
      <c r="BB16" s="30">
        <f t="shared" si="7"/>
        <v>0</v>
      </c>
      <c r="BC16" s="30">
        <f t="shared" si="7"/>
        <v>0</v>
      </c>
      <c r="BD16" s="30">
        <f t="shared" si="7"/>
        <v>0</v>
      </c>
      <c r="BE16" s="30" t="s">
        <v>187</v>
      </c>
      <c r="BF16" s="30">
        <f t="shared" ref="BF16:BK16" si="8">SUM(BF4:BF15)</f>
        <v>0</v>
      </c>
      <c r="BG16" s="30">
        <f t="shared" si="8"/>
        <v>0</v>
      </c>
      <c r="BH16" s="30">
        <f t="shared" si="8"/>
        <v>0</v>
      </c>
      <c r="BI16" s="30">
        <f t="shared" si="8"/>
        <v>0</v>
      </c>
      <c r="BJ16" s="30">
        <f t="shared" si="8"/>
        <v>0</v>
      </c>
      <c r="BK16" s="30">
        <f t="shared" si="8"/>
        <v>0</v>
      </c>
      <c r="BL16" s="30" t="s">
        <v>187</v>
      </c>
      <c r="BM16" s="30">
        <f t="shared" ref="BM16:BR16" si="9">SUM(BM4:BM15)</f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0</v>
      </c>
      <c r="BR16" s="30">
        <f t="shared" si="9"/>
        <v>0</v>
      </c>
      <c r="BS16" s="30" t="s">
        <v>187</v>
      </c>
      <c r="BT16" s="30">
        <f t="shared" ref="BT16:BY16" si="10">SUM(BT4:BT15)</f>
        <v>0</v>
      </c>
      <c r="BU16" s="30">
        <f t="shared" si="10"/>
        <v>0</v>
      </c>
      <c r="BV16" s="30">
        <f t="shared" si="10"/>
        <v>0</v>
      </c>
      <c r="BW16" s="30">
        <f t="shared" si="10"/>
        <v>0</v>
      </c>
      <c r="BX16" s="30">
        <f t="shared" si="10"/>
        <v>0</v>
      </c>
      <c r="BY16" s="30">
        <f t="shared" si="10"/>
        <v>0</v>
      </c>
      <c r="BZ16" s="30" t="s">
        <v>187</v>
      </c>
      <c r="CA16" s="30">
        <f t="shared" ref="CA16:CF16" si="11">SUM(CA4:CA15)</f>
        <v>0</v>
      </c>
      <c r="CB16" s="30">
        <f t="shared" si="11"/>
        <v>0</v>
      </c>
      <c r="CC16" s="30">
        <f t="shared" si="11"/>
        <v>0</v>
      </c>
      <c r="CD16" s="30">
        <f t="shared" si="11"/>
        <v>0</v>
      </c>
      <c r="CE16" s="30">
        <f t="shared" si="11"/>
        <v>0</v>
      </c>
      <c r="CF16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C00000"/>
  </sheetPr>
  <dimension ref="A1:CF16"/>
  <sheetViews>
    <sheetView workbookViewId="0"/>
  </sheetViews>
  <sheetFormatPr defaultRowHeight="15" x14ac:dyDescent="0.25"/>
  <cols>
    <col min="1" max="1" width="8" style="16" customWidth="1"/>
    <col min="2" max="7" width="10" style="16" customWidth="1"/>
    <col min="8" max="8" width="8" style="16" customWidth="1"/>
    <col min="9" max="14" width="10" style="16" customWidth="1"/>
    <col min="15" max="15" width="8" style="16" customWidth="1"/>
    <col min="16" max="21" width="10" style="16" customWidth="1"/>
    <col min="22" max="22" width="8" style="16" customWidth="1"/>
    <col min="23" max="28" width="10" style="16" customWidth="1"/>
    <col min="29" max="29" width="8" style="16" customWidth="1"/>
    <col min="30" max="35" width="10" style="16" customWidth="1"/>
    <col min="36" max="36" width="8" style="16" customWidth="1"/>
    <col min="37" max="42" width="10" style="16" customWidth="1"/>
    <col min="43" max="43" width="8" style="16" customWidth="1"/>
    <col min="44" max="49" width="10" style="16" customWidth="1"/>
    <col min="50" max="50" width="8" style="16" customWidth="1"/>
    <col min="51" max="56" width="10" style="16" customWidth="1"/>
    <col min="57" max="57" width="8" style="16" customWidth="1"/>
    <col min="58" max="63" width="10" style="16" customWidth="1"/>
    <col min="64" max="64" width="8" style="16" customWidth="1"/>
    <col min="65" max="70" width="10" style="16" customWidth="1"/>
    <col min="71" max="71" width="8" style="16" customWidth="1"/>
    <col min="72" max="77" width="10" style="16" customWidth="1"/>
    <col min="78" max="78" width="8" style="16" customWidth="1"/>
    <col min="79" max="84" width="10" style="16" customWidth="1"/>
    <col min="85" max="16384" width="9.140625" style="16"/>
  </cols>
  <sheetData>
    <row r="1" spans="1:84" x14ac:dyDescent="0.25">
      <c r="A1" s="45" t="s">
        <v>63</v>
      </c>
      <c r="B1" s="22"/>
      <c r="C1" s="22"/>
      <c r="D1" s="22"/>
      <c r="E1" s="22"/>
      <c r="F1" s="22"/>
      <c r="G1" s="22"/>
      <c r="H1" s="45" t="s">
        <v>64</v>
      </c>
      <c r="I1" s="22"/>
      <c r="J1" s="22"/>
      <c r="K1" s="22"/>
      <c r="L1" s="22"/>
      <c r="M1" s="22"/>
      <c r="N1" s="22"/>
      <c r="O1" s="45" t="s">
        <v>65</v>
      </c>
      <c r="P1" s="22"/>
      <c r="Q1" s="22"/>
      <c r="R1" s="22"/>
      <c r="S1" s="22"/>
      <c r="T1" s="22"/>
      <c r="U1" s="22"/>
      <c r="V1" s="45" t="s">
        <v>66</v>
      </c>
      <c r="W1" s="22"/>
      <c r="X1" s="22"/>
      <c r="Y1" s="22"/>
      <c r="Z1" s="22"/>
      <c r="AA1" s="22"/>
      <c r="AB1" s="22"/>
      <c r="AC1" s="45" t="s">
        <v>67</v>
      </c>
      <c r="AD1" s="22"/>
      <c r="AE1" s="22"/>
      <c r="AF1" s="22"/>
      <c r="AG1" s="22"/>
      <c r="AH1" s="22"/>
      <c r="AI1" s="22"/>
      <c r="AJ1" s="45" t="s">
        <v>68</v>
      </c>
      <c r="AK1" s="22"/>
      <c r="AL1" s="22"/>
      <c r="AM1" s="22"/>
      <c r="AN1" s="22"/>
      <c r="AO1" s="22"/>
      <c r="AP1" s="22"/>
      <c r="AQ1" s="45" t="s">
        <v>69</v>
      </c>
      <c r="AR1" s="22"/>
      <c r="AS1" s="22"/>
      <c r="AT1" s="22"/>
      <c r="AU1" s="22"/>
      <c r="AV1" s="22"/>
      <c r="AW1" s="22"/>
      <c r="AX1" s="45" t="s">
        <v>70</v>
      </c>
      <c r="AY1" s="22"/>
      <c r="AZ1" s="22"/>
      <c r="BA1" s="22"/>
      <c r="BB1" s="22"/>
      <c r="BC1" s="22"/>
      <c r="BD1" s="22"/>
      <c r="BE1" s="45" t="s">
        <v>71</v>
      </c>
      <c r="BF1" s="22"/>
      <c r="BG1" s="22"/>
      <c r="BH1" s="22"/>
      <c r="BI1" s="22"/>
      <c r="BJ1" s="22"/>
      <c r="BK1" s="22"/>
      <c r="BL1" s="45" t="s">
        <v>72</v>
      </c>
      <c r="BM1" s="22"/>
      <c r="BN1" s="22"/>
      <c r="BO1" s="22"/>
      <c r="BP1" s="22"/>
      <c r="BQ1" s="22"/>
      <c r="BR1" s="22"/>
      <c r="BS1" s="45" t="s">
        <v>73</v>
      </c>
      <c r="BT1" s="22"/>
      <c r="BU1" s="22"/>
      <c r="BV1" s="22"/>
      <c r="BW1" s="22"/>
      <c r="BX1" s="22"/>
      <c r="BY1" s="22"/>
      <c r="BZ1" s="45" t="s">
        <v>74</v>
      </c>
      <c r="CA1" s="22"/>
      <c r="CB1" s="22"/>
      <c r="CC1" s="22"/>
      <c r="CD1" s="22"/>
      <c r="CE1" s="22"/>
      <c r="CF1" s="22"/>
    </row>
    <row r="2" spans="1:84" x14ac:dyDescent="0.25">
      <c r="B2" s="46" t="s">
        <v>167</v>
      </c>
      <c r="C2" s="22"/>
      <c r="D2" s="47" t="s">
        <v>168</v>
      </c>
      <c r="E2" s="22"/>
      <c r="F2" s="48" t="s">
        <v>169</v>
      </c>
      <c r="G2" s="22"/>
      <c r="I2" s="46" t="s">
        <v>167</v>
      </c>
      <c r="J2" s="22"/>
      <c r="K2" s="47" t="s">
        <v>168</v>
      </c>
      <c r="L2" s="22"/>
      <c r="M2" s="48" t="s">
        <v>169</v>
      </c>
      <c r="N2" s="22"/>
      <c r="P2" s="46" t="s">
        <v>167</v>
      </c>
      <c r="Q2" s="22"/>
      <c r="R2" s="47" t="s">
        <v>168</v>
      </c>
      <c r="S2" s="22"/>
      <c r="T2" s="48" t="s">
        <v>169</v>
      </c>
      <c r="U2" s="22"/>
      <c r="W2" s="46" t="s">
        <v>167</v>
      </c>
      <c r="X2" s="22"/>
      <c r="Y2" s="47" t="s">
        <v>168</v>
      </c>
      <c r="Z2" s="22"/>
      <c r="AA2" s="48" t="s">
        <v>169</v>
      </c>
      <c r="AB2" s="22"/>
      <c r="AD2" s="46" t="s">
        <v>167</v>
      </c>
      <c r="AE2" s="22"/>
      <c r="AF2" s="47" t="s">
        <v>168</v>
      </c>
      <c r="AG2" s="22"/>
      <c r="AH2" s="48" t="s">
        <v>169</v>
      </c>
      <c r="AI2" s="22"/>
      <c r="AK2" s="46" t="s">
        <v>167</v>
      </c>
      <c r="AL2" s="22"/>
      <c r="AM2" s="47" t="s">
        <v>168</v>
      </c>
      <c r="AN2" s="22"/>
      <c r="AO2" s="48" t="s">
        <v>169</v>
      </c>
      <c r="AP2" s="22"/>
      <c r="AR2" s="46" t="s">
        <v>167</v>
      </c>
      <c r="AS2" s="22"/>
      <c r="AT2" s="47" t="s">
        <v>168</v>
      </c>
      <c r="AU2" s="22"/>
      <c r="AV2" s="48" t="s">
        <v>169</v>
      </c>
      <c r="AW2" s="22"/>
      <c r="AY2" s="46" t="s">
        <v>167</v>
      </c>
      <c r="AZ2" s="22"/>
      <c r="BA2" s="47" t="s">
        <v>168</v>
      </c>
      <c r="BB2" s="22"/>
      <c r="BC2" s="48" t="s">
        <v>169</v>
      </c>
      <c r="BD2" s="22"/>
      <c r="BF2" s="46" t="s">
        <v>167</v>
      </c>
      <c r="BG2" s="22"/>
      <c r="BH2" s="47" t="s">
        <v>168</v>
      </c>
      <c r="BI2" s="22"/>
      <c r="BJ2" s="48" t="s">
        <v>169</v>
      </c>
      <c r="BK2" s="22"/>
      <c r="BM2" s="46" t="s">
        <v>167</v>
      </c>
      <c r="BN2" s="22"/>
      <c r="BO2" s="47" t="s">
        <v>168</v>
      </c>
      <c r="BP2" s="22"/>
      <c r="BQ2" s="48" t="s">
        <v>169</v>
      </c>
      <c r="BR2" s="22"/>
      <c r="BT2" s="46" t="s">
        <v>167</v>
      </c>
      <c r="BU2" s="22"/>
      <c r="BV2" s="47" t="s">
        <v>168</v>
      </c>
      <c r="BW2" s="22"/>
      <c r="BX2" s="48" t="s">
        <v>169</v>
      </c>
      <c r="BY2" s="22"/>
      <c r="CA2" s="46" t="s">
        <v>167</v>
      </c>
      <c r="CB2" s="22"/>
      <c r="CC2" s="47" t="s">
        <v>168</v>
      </c>
      <c r="CD2" s="22"/>
      <c r="CE2" s="48" t="s">
        <v>169</v>
      </c>
      <c r="CF2" s="22"/>
    </row>
    <row r="3" spans="1:84" x14ac:dyDescent="0.25">
      <c r="A3" s="40" t="s">
        <v>170</v>
      </c>
      <c r="B3" s="40" t="s">
        <v>171</v>
      </c>
      <c r="C3" s="40" t="s">
        <v>172</v>
      </c>
      <c r="D3" s="40" t="s">
        <v>173</v>
      </c>
      <c r="E3" s="40" t="s">
        <v>174</v>
      </c>
      <c r="F3" s="40" t="s">
        <v>173</v>
      </c>
      <c r="G3" s="40" t="s">
        <v>174</v>
      </c>
      <c r="H3" s="40" t="s">
        <v>170</v>
      </c>
      <c r="I3" s="40" t="s">
        <v>171</v>
      </c>
      <c r="J3" s="40" t="s">
        <v>172</v>
      </c>
      <c r="K3" s="40" t="s">
        <v>173</v>
      </c>
      <c r="L3" s="40" t="s">
        <v>174</v>
      </c>
      <c r="M3" s="40" t="s">
        <v>173</v>
      </c>
      <c r="N3" s="40" t="s">
        <v>174</v>
      </c>
      <c r="O3" s="40" t="s">
        <v>170</v>
      </c>
      <c r="P3" s="40" t="s">
        <v>171</v>
      </c>
      <c r="Q3" s="40" t="s">
        <v>172</v>
      </c>
      <c r="R3" s="40" t="s">
        <v>173</v>
      </c>
      <c r="S3" s="40" t="s">
        <v>174</v>
      </c>
      <c r="T3" s="40" t="s">
        <v>173</v>
      </c>
      <c r="U3" s="40" t="s">
        <v>174</v>
      </c>
      <c r="V3" s="40" t="s">
        <v>170</v>
      </c>
      <c r="W3" s="40" t="s">
        <v>171</v>
      </c>
      <c r="X3" s="40" t="s">
        <v>172</v>
      </c>
      <c r="Y3" s="40" t="s">
        <v>173</v>
      </c>
      <c r="Z3" s="40" t="s">
        <v>174</v>
      </c>
      <c r="AA3" s="40" t="s">
        <v>173</v>
      </c>
      <c r="AB3" s="40" t="s">
        <v>174</v>
      </c>
      <c r="AC3" s="40" t="s">
        <v>170</v>
      </c>
      <c r="AD3" s="40" t="s">
        <v>171</v>
      </c>
      <c r="AE3" s="40" t="s">
        <v>172</v>
      </c>
      <c r="AF3" s="40" t="s">
        <v>173</v>
      </c>
      <c r="AG3" s="40" t="s">
        <v>174</v>
      </c>
      <c r="AH3" s="40" t="s">
        <v>173</v>
      </c>
      <c r="AI3" s="40" t="s">
        <v>174</v>
      </c>
      <c r="AJ3" s="40" t="s">
        <v>170</v>
      </c>
      <c r="AK3" s="40" t="s">
        <v>171</v>
      </c>
      <c r="AL3" s="40" t="s">
        <v>172</v>
      </c>
      <c r="AM3" s="40" t="s">
        <v>173</v>
      </c>
      <c r="AN3" s="40" t="s">
        <v>174</v>
      </c>
      <c r="AO3" s="40" t="s">
        <v>173</v>
      </c>
      <c r="AP3" s="40" t="s">
        <v>174</v>
      </c>
      <c r="AQ3" s="40" t="s">
        <v>170</v>
      </c>
      <c r="AR3" s="40" t="s">
        <v>171</v>
      </c>
      <c r="AS3" s="40" t="s">
        <v>172</v>
      </c>
      <c r="AT3" s="40" t="s">
        <v>173</v>
      </c>
      <c r="AU3" s="40" t="s">
        <v>174</v>
      </c>
      <c r="AV3" s="40" t="s">
        <v>173</v>
      </c>
      <c r="AW3" s="40" t="s">
        <v>174</v>
      </c>
      <c r="AX3" s="40" t="s">
        <v>170</v>
      </c>
      <c r="AY3" s="40" t="s">
        <v>171</v>
      </c>
      <c r="AZ3" s="40" t="s">
        <v>172</v>
      </c>
      <c r="BA3" s="40" t="s">
        <v>173</v>
      </c>
      <c r="BB3" s="40" t="s">
        <v>174</v>
      </c>
      <c r="BC3" s="40" t="s">
        <v>173</v>
      </c>
      <c r="BD3" s="40" t="s">
        <v>174</v>
      </c>
      <c r="BE3" s="40" t="s">
        <v>170</v>
      </c>
      <c r="BF3" s="40" t="s">
        <v>171</v>
      </c>
      <c r="BG3" s="40" t="s">
        <v>172</v>
      </c>
      <c r="BH3" s="40" t="s">
        <v>173</v>
      </c>
      <c r="BI3" s="40" t="s">
        <v>174</v>
      </c>
      <c r="BJ3" s="40" t="s">
        <v>173</v>
      </c>
      <c r="BK3" s="40" t="s">
        <v>174</v>
      </c>
      <c r="BL3" s="40" t="s">
        <v>170</v>
      </c>
      <c r="BM3" s="40" t="s">
        <v>171</v>
      </c>
      <c r="BN3" s="40" t="s">
        <v>172</v>
      </c>
      <c r="BO3" s="40" t="s">
        <v>173</v>
      </c>
      <c r="BP3" s="40" t="s">
        <v>174</v>
      </c>
      <c r="BQ3" s="40" t="s">
        <v>173</v>
      </c>
      <c r="BR3" s="40" t="s">
        <v>174</v>
      </c>
      <c r="BS3" s="40" t="s">
        <v>170</v>
      </c>
      <c r="BT3" s="40" t="s">
        <v>171</v>
      </c>
      <c r="BU3" s="40" t="s">
        <v>172</v>
      </c>
      <c r="BV3" s="40" t="s">
        <v>173</v>
      </c>
      <c r="BW3" s="40" t="s">
        <v>174</v>
      </c>
      <c r="BX3" s="40" t="s">
        <v>173</v>
      </c>
      <c r="BY3" s="40" t="s">
        <v>174</v>
      </c>
      <c r="BZ3" s="40" t="s">
        <v>170</v>
      </c>
      <c r="CA3" s="40" t="s">
        <v>171</v>
      </c>
      <c r="CB3" s="40" t="s">
        <v>172</v>
      </c>
      <c r="CC3" s="40" t="s">
        <v>173</v>
      </c>
      <c r="CD3" s="40" t="s">
        <v>174</v>
      </c>
      <c r="CE3" s="40" t="s">
        <v>173</v>
      </c>
      <c r="CF3" s="40" t="s">
        <v>174</v>
      </c>
    </row>
    <row r="4" spans="1:84" x14ac:dyDescent="0.25">
      <c r="A4" s="29" t="s">
        <v>175</v>
      </c>
      <c r="B4" s="29">
        <f>COUNTIFS(tblDeaths[Month],1,tblDeaths[AgeUnit],"Days",tblDeaths[Age],"&gt;="&amp;0,tblDeaths[Age],"&lt;="&amp;28,tblDeaths[Sex],"M")</f>
        <v>1</v>
      </c>
      <c r="C4" s="29">
        <f>COUNTIFS(tblDeaths[Month],1,tblDeaths[AgeUnit],"Days",tblDeaths[Age],"&gt;="&amp;0,tblDeaths[Age],"&lt;="&amp;28,tblDeaths[Sex],"F")</f>
        <v>7</v>
      </c>
      <c r="D4" s="29">
        <f>COUNTIFS(tblDeaths[Month],1,tblDeaths[AgeUnit],"Days",tblDeaths[Age],"&gt;="&amp;0,tblDeaths[Age],"&lt;="&amp;28,tblDeaths[Sex],"M",tblDeaths[NHIS],"Non-Insured")</f>
        <v>0</v>
      </c>
      <c r="E4" s="29">
        <f>COUNTIFS(tblDeaths[Month],1,tblDeaths[AgeUnit],"Days",tblDeaths[Age],"&gt;="&amp;0,tblDeaths[Age],"&lt;="&amp;28,tblDeaths[Sex],"F",tblDeaths[NHIS],"Non-Insured")</f>
        <v>0</v>
      </c>
      <c r="F4" s="29">
        <f>COUNTIFS(tblDeaths[Month],1,tblDeaths[AgeUnit],"Days",tblDeaths[Age],"&gt;="&amp;0,tblDeaths[Age],"&lt;="&amp;28,tblDeaths[Sex],"M",tblDeaths[NHIS],"Insured")</f>
        <v>1</v>
      </c>
      <c r="G4" s="29">
        <f>COUNTIFS(tblDeaths[Month],1,tblDeaths[AgeUnit],"Days",tblDeaths[Age],"&gt;="&amp;0,tblDeaths[Age],"&lt;="&amp;28,tblDeaths[Sex],"F",tblDeaths[NHIS],"Insured")</f>
        <v>7</v>
      </c>
      <c r="H4" s="29" t="s">
        <v>175</v>
      </c>
      <c r="I4" s="29">
        <f>COUNTIFS(tblDeaths[Month],2,tblDeaths[AgeUnit],"Days",tblDeaths[Age],"&gt;="&amp;0,tblDeaths[Age],"&lt;="&amp;28,tblDeaths[Sex],"M")</f>
        <v>0</v>
      </c>
      <c r="J4" s="29">
        <f>COUNTIFS(tblDeaths[Month],2,tblDeaths[AgeUnit],"Days",tblDeaths[Age],"&gt;="&amp;0,tblDeaths[Age],"&lt;="&amp;28,tblDeaths[Sex],"F")</f>
        <v>0</v>
      </c>
      <c r="K4" s="29">
        <f>COUNTIFS(tblDeaths[Month],2,tblDeaths[AgeUnit],"Days",tblDeaths[Age],"&gt;="&amp;0,tblDeaths[Age],"&lt;="&amp;28,tblDeaths[Sex],"M",tblDeaths[NHIS],"Non-Insured")</f>
        <v>0</v>
      </c>
      <c r="L4" s="29">
        <f>COUNTIFS(tblDeaths[Month],2,tblDeaths[AgeUnit],"Days",tblDeaths[Age],"&gt;="&amp;0,tblDeaths[Age],"&lt;="&amp;28,tblDeaths[Sex],"F",tblDeaths[NHIS],"Non-Insured")</f>
        <v>0</v>
      </c>
      <c r="M4" s="29">
        <f>COUNTIFS(tblDeaths[Month],2,tblDeaths[AgeUnit],"Days",tblDeaths[Age],"&gt;="&amp;0,tblDeaths[Age],"&lt;="&amp;28,tblDeaths[Sex],"M",tblDeaths[NHIS],"Insured")</f>
        <v>0</v>
      </c>
      <c r="N4" s="29">
        <f>COUNTIFS(tblDeaths[Month],2,tblDeaths[AgeUnit],"Days",tblDeaths[Age],"&gt;="&amp;0,tblDeaths[Age],"&lt;="&amp;28,tblDeaths[Sex],"F",tblDeaths[NHIS],"Insured")</f>
        <v>0</v>
      </c>
      <c r="O4" s="29" t="s">
        <v>175</v>
      </c>
      <c r="P4" s="29">
        <f>COUNTIFS(tblDeaths[Month],3,tblDeaths[AgeUnit],"Days",tblDeaths[Age],"&gt;="&amp;0,tblDeaths[Age],"&lt;="&amp;28,tblDeaths[Sex],"M")</f>
        <v>1</v>
      </c>
      <c r="Q4" s="29">
        <f>COUNTIFS(tblDeaths[Month],3,tblDeaths[AgeUnit],"Days",tblDeaths[Age],"&gt;="&amp;0,tblDeaths[Age],"&lt;="&amp;28,tblDeaths[Sex],"F")</f>
        <v>3</v>
      </c>
      <c r="R4" s="29">
        <f>COUNTIFS(tblDeaths[Month],3,tblDeaths[AgeUnit],"Days",tblDeaths[Age],"&gt;="&amp;0,tblDeaths[Age],"&lt;="&amp;28,tblDeaths[Sex],"M",tblDeaths[NHIS],"Non-Insured")</f>
        <v>0</v>
      </c>
      <c r="S4" s="29">
        <f>COUNTIFS(tblDeaths[Month],3,tblDeaths[AgeUnit],"Days",tblDeaths[Age],"&gt;="&amp;0,tblDeaths[Age],"&lt;="&amp;28,tblDeaths[Sex],"F",tblDeaths[NHIS],"Non-Insured")</f>
        <v>0</v>
      </c>
      <c r="T4" s="29">
        <f>COUNTIFS(tblDeaths[Month],3,tblDeaths[AgeUnit],"Days",tblDeaths[Age],"&gt;="&amp;0,tblDeaths[Age],"&lt;="&amp;28,tblDeaths[Sex],"M",tblDeaths[NHIS],"Insured")</f>
        <v>1</v>
      </c>
      <c r="U4" s="29">
        <f>COUNTIFS(tblDeaths[Month],3,tblDeaths[AgeUnit],"Days",tblDeaths[Age],"&gt;="&amp;0,tblDeaths[Age],"&lt;="&amp;28,tblDeaths[Sex],"F",tblDeaths[NHIS],"Insured")</f>
        <v>3</v>
      </c>
      <c r="V4" s="29" t="s">
        <v>175</v>
      </c>
      <c r="W4" s="29">
        <f>COUNTIFS(tblDeaths[Month],4,tblDeaths[AgeUnit],"Days",tblDeaths[Age],"&gt;="&amp;0,tblDeaths[Age],"&lt;="&amp;28,tblDeaths[Sex],"M")</f>
        <v>0</v>
      </c>
      <c r="X4" s="29">
        <f>COUNTIFS(tblDeaths[Month],4,tblDeaths[AgeUnit],"Days",tblDeaths[Age],"&gt;="&amp;0,tblDeaths[Age],"&lt;="&amp;28,tblDeaths[Sex],"F")</f>
        <v>0</v>
      </c>
      <c r="Y4" s="29">
        <f>COUNTIFS(tblDeaths[Month],4,tblDeaths[AgeUnit],"Days",tblDeaths[Age],"&gt;="&amp;0,tblDeaths[Age],"&lt;="&amp;28,tblDeaths[Sex],"M",tblDeaths[NHIS],"Non-Insured")</f>
        <v>0</v>
      </c>
      <c r="Z4" s="29">
        <f>COUNTIFS(tblDeaths[Month],4,tblDeaths[AgeUnit],"Days",tblDeaths[Age],"&gt;="&amp;0,tblDeaths[Age],"&lt;="&amp;28,tblDeaths[Sex],"F",tblDeaths[NHIS],"Non-Insured")</f>
        <v>0</v>
      </c>
      <c r="AA4" s="29">
        <f>COUNTIFS(tblDeaths[Month],4,tblDeaths[AgeUnit],"Days",tblDeaths[Age],"&gt;="&amp;0,tblDeaths[Age],"&lt;="&amp;28,tblDeaths[Sex],"M",tblDeaths[NHIS],"Insured")</f>
        <v>0</v>
      </c>
      <c r="AB4" s="29">
        <f>COUNTIFS(tblDeaths[Month],4,tblDeaths[AgeUnit],"Days",tblDeaths[Age],"&gt;="&amp;0,tblDeaths[Age],"&lt;="&amp;28,tblDeaths[Sex],"F",tblDeaths[NHIS],"Insured")</f>
        <v>0</v>
      </c>
      <c r="AC4" s="29" t="s">
        <v>175</v>
      </c>
      <c r="AD4" s="29">
        <f>COUNTIFS(tblDeaths[Month],5,tblDeaths[AgeUnit],"Days",tblDeaths[Age],"&gt;="&amp;0,tblDeaths[Age],"&lt;="&amp;28,tblDeaths[Sex],"M")</f>
        <v>0</v>
      </c>
      <c r="AE4" s="29">
        <f>COUNTIFS(tblDeaths[Month],5,tblDeaths[AgeUnit],"Days",tblDeaths[Age],"&gt;="&amp;0,tblDeaths[Age],"&lt;="&amp;28,tblDeaths[Sex],"F")</f>
        <v>0</v>
      </c>
      <c r="AF4" s="29">
        <f>COUNTIFS(tblDeaths[Month],5,tblDeaths[AgeUnit],"Days",tblDeaths[Age],"&gt;="&amp;0,tblDeaths[Age],"&lt;="&amp;28,tblDeaths[Sex],"M",tblDeaths[NHIS],"Non-Insured")</f>
        <v>0</v>
      </c>
      <c r="AG4" s="29">
        <f>COUNTIFS(tblDeaths[Month],5,tblDeaths[AgeUnit],"Days",tblDeaths[Age],"&gt;="&amp;0,tblDeaths[Age],"&lt;="&amp;28,tblDeaths[Sex],"F",tblDeaths[NHIS],"Non-Insured")</f>
        <v>0</v>
      </c>
      <c r="AH4" s="29">
        <f>COUNTIFS(tblDeaths[Month],5,tblDeaths[AgeUnit],"Days",tblDeaths[Age],"&gt;="&amp;0,tblDeaths[Age],"&lt;="&amp;28,tblDeaths[Sex],"M",tblDeaths[NHIS],"Insured")</f>
        <v>0</v>
      </c>
      <c r="AI4" s="29">
        <f>COUNTIFS(tblDeaths[Month],5,tblDeaths[AgeUnit],"Days",tblDeaths[Age],"&gt;="&amp;0,tblDeaths[Age],"&lt;="&amp;28,tblDeaths[Sex],"F",tblDeaths[NHIS],"Insured")</f>
        <v>0</v>
      </c>
      <c r="AJ4" s="29" t="s">
        <v>175</v>
      </c>
      <c r="AK4" s="29">
        <f>COUNTIFS(tblDeaths[Month],6,tblDeaths[AgeUnit],"Days",tblDeaths[Age],"&gt;="&amp;0,tblDeaths[Age],"&lt;="&amp;28,tblDeaths[Sex],"M")</f>
        <v>0</v>
      </c>
      <c r="AL4" s="29">
        <f>COUNTIFS(tblDeaths[Month],6,tblDeaths[AgeUnit],"Days",tblDeaths[Age],"&gt;="&amp;0,tblDeaths[Age],"&lt;="&amp;28,tblDeaths[Sex],"F")</f>
        <v>0</v>
      </c>
      <c r="AM4" s="29">
        <f>COUNTIFS(tblDeaths[Month],6,tblDeaths[AgeUnit],"Days",tblDeaths[Age],"&gt;="&amp;0,tblDeaths[Age],"&lt;="&amp;28,tblDeaths[Sex],"M",tblDeaths[NHIS],"Non-Insured")</f>
        <v>0</v>
      </c>
      <c r="AN4" s="29">
        <f>COUNTIFS(tblDeaths[Month],6,tblDeaths[AgeUnit],"Days",tblDeaths[Age],"&gt;="&amp;0,tblDeaths[Age],"&lt;="&amp;28,tblDeaths[Sex],"F",tblDeaths[NHIS],"Non-Insured")</f>
        <v>0</v>
      </c>
      <c r="AO4" s="29">
        <f>COUNTIFS(tblDeaths[Month],6,tblDeaths[AgeUnit],"Days",tblDeaths[Age],"&gt;="&amp;0,tblDeaths[Age],"&lt;="&amp;28,tblDeaths[Sex],"M",tblDeaths[NHIS],"Insured")</f>
        <v>0</v>
      </c>
      <c r="AP4" s="29">
        <f>COUNTIFS(tblDeaths[Month],6,tblDeaths[AgeUnit],"Days",tblDeaths[Age],"&gt;="&amp;0,tblDeaths[Age],"&lt;="&amp;28,tblDeaths[Sex],"F",tblDeaths[NHIS],"Insured")</f>
        <v>0</v>
      </c>
      <c r="AQ4" s="29" t="s">
        <v>175</v>
      </c>
      <c r="AR4" s="29">
        <f>COUNTIFS(tblDeaths[Month],7,tblDeaths[AgeUnit],"Days",tblDeaths[Age],"&gt;="&amp;0,tblDeaths[Age],"&lt;="&amp;28,tblDeaths[Sex],"M")</f>
        <v>0</v>
      </c>
      <c r="AS4" s="29">
        <f>COUNTIFS(tblDeaths[Month],7,tblDeaths[AgeUnit],"Days",tblDeaths[Age],"&gt;="&amp;0,tblDeaths[Age],"&lt;="&amp;28,tblDeaths[Sex],"F")</f>
        <v>0</v>
      </c>
      <c r="AT4" s="29">
        <f>COUNTIFS(tblDeaths[Month],7,tblDeaths[AgeUnit],"Days",tblDeaths[Age],"&gt;="&amp;0,tblDeaths[Age],"&lt;="&amp;28,tblDeaths[Sex],"M",tblDeaths[NHIS],"Non-Insured")</f>
        <v>0</v>
      </c>
      <c r="AU4" s="29">
        <f>COUNTIFS(tblDeaths[Month],7,tblDeaths[AgeUnit],"Days",tblDeaths[Age],"&gt;="&amp;0,tblDeaths[Age],"&lt;="&amp;28,tblDeaths[Sex],"F",tblDeaths[NHIS],"Non-Insured")</f>
        <v>0</v>
      </c>
      <c r="AV4" s="29">
        <f>COUNTIFS(tblDeaths[Month],7,tblDeaths[AgeUnit],"Days",tblDeaths[Age],"&gt;="&amp;0,tblDeaths[Age],"&lt;="&amp;28,tblDeaths[Sex],"M",tblDeaths[NHIS],"Insured")</f>
        <v>0</v>
      </c>
      <c r="AW4" s="29">
        <f>COUNTIFS(tblDeaths[Month],7,tblDeaths[AgeUnit],"Days",tblDeaths[Age],"&gt;="&amp;0,tblDeaths[Age],"&lt;="&amp;28,tblDeaths[Sex],"F",tblDeaths[NHIS],"Insured")</f>
        <v>0</v>
      </c>
      <c r="AX4" s="29" t="s">
        <v>175</v>
      </c>
      <c r="AY4" s="29">
        <f>COUNTIFS(tblDeaths[Month],8,tblDeaths[AgeUnit],"Days",tblDeaths[Age],"&gt;="&amp;0,tblDeaths[Age],"&lt;="&amp;28,tblDeaths[Sex],"M")</f>
        <v>0</v>
      </c>
      <c r="AZ4" s="29">
        <f>COUNTIFS(tblDeaths[Month],8,tblDeaths[AgeUnit],"Days",tblDeaths[Age],"&gt;="&amp;0,tblDeaths[Age],"&lt;="&amp;28,tblDeaths[Sex],"F")</f>
        <v>0</v>
      </c>
      <c r="BA4" s="29">
        <f>COUNTIFS(tblDeaths[Month],8,tblDeaths[AgeUnit],"Days",tblDeaths[Age],"&gt;="&amp;0,tblDeaths[Age],"&lt;="&amp;28,tblDeaths[Sex],"M",tblDeaths[NHIS],"Non-Insured")</f>
        <v>0</v>
      </c>
      <c r="BB4" s="29">
        <f>COUNTIFS(tblDeaths[Month],8,tblDeaths[AgeUnit],"Days",tblDeaths[Age],"&gt;="&amp;0,tblDeaths[Age],"&lt;="&amp;28,tblDeaths[Sex],"F",tblDeaths[NHIS],"Non-Insured")</f>
        <v>0</v>
      </c>
      <c r="BC4" s="29">
        <f>COUNTIFS(tblDeaths[Month],8,tblDeaths[AgeUnit],"Days",tblDeaths[Age],"&gt;="&amp;0,tblDeaths[Age],"&lt;="&amp;28,tblDeaths[Sex],"M",tblDeaths[NHIS],"Insured")</f>
        <v>0</v>
      </c>
      <c r="BD4" s="29">
        <f>COUNTIFS(tblDeaths[Month],8,tblDeaths[AgeUnit],"Days",tblDeaths[Age],"&gt;="&amp;0,tblDeaths[Age],"&lt;="&amp;28,tblDeaths[Sex],"F",tblDeaths[NHIS],"Insured")</f>
        <v>0</v>
      </c>
      <c r="BE4" s="29" t="s">
        <v>175</v>
      </c>
      <c r="BF4" s="29">
        <f>COUNTIFS(tblDeaths[Month],9,tblDeaths[AgeUnit],"Days",tblDeaths[Age],"&gt;="&amp;0,tblDeaths[Age],"&lt;="&amp;28,tblDeaths[Sex],"M")</f>
        <v>0</v>
      </c>
      <c r="BG4" s="29">
        <f>COUNTIFS(tblDeaths[Month],9,tblDeaths[AgeUnit],"Days",tblDeaths[Age],"&gt;="&amp;0,tblDeaths[Age],"&lt;="&amp;28,tblDeaths[Sex],"F")</f>
        <v>0</v>
      </c>
      <c r="BH4" s="29">
        <f>COUNTIFS(tblDeaths[Month],9,tblDeaths[AgeUnit],"Days",tblDeaths[Age],"&gt;="&amp;0,tblDeaths[Age],"&lt;="&amp;28,tblDeaths[Sex],"M",tblDeaths[NHIS],"Non-Insured")</f>
        <v>0</v>
      </c>
      <c r="BI4" s="29">
        <f>COUNTIFS(tblDeaths[Month],9,tblDeaths[AgeUnit],"Days",tblDeaths[Age],"&gt;="&amp;0,tblDeaths[Age],"&lt;="&amp;28,tblDeaths[Sex],"F",tblDeaths[NHIS],"Non-Insured")</f>
        <v>0</v>
      </c>
      <c r="BJ4" s="29">
        <f>COUNTIFS(tblDeaths[Month],9,tblDeaths[AgeUnit],"Days",tblDeaths[Age],"&gt;="&amp;0,tblDeaths[Age],"&lt;="&amp;28,tblDeaths[Sex],"M",tblDeaths[NHIS],"Insured")</f>
        <v>0</v>
      </c>
      <c r="BK4" s="29">
        <f>COUNTIFS(tblDeaths[Month],9,tblDeaths[AgeUnit],"Days",tblDeaths[Age],"&gt;="&amp;0,tblDeaths[Age],"&lt;="&amp;28,tblDeaths[Sex],"F",tblDeaths[NHIS],"Insured")</f>
        <v>0</v>
      </c>
      <c r="BL4" s="29" t="s">
        <v>175</v>
      </c>
      <c r="BM4" s="29">
        <f>COUNTIFS(tblDeaths[Month],10,tblDeaths[AgeUnit],"Days",tblDeaths[Age],"&gt;="&amp;0,tblDeaths[Age],"&lt;="&amp;28,tblDeaths[Sex],"M")</f>
        <v>0</v>
      </c>
      <c r="BN4" s="29">
        <f>COUNTIFS(tblDeaths[Month],10,tblDeaths[AgeUnit],"Days",tblDeaths[Age],"&gt;="&amp;0,tblDeaths[Age],"&lt;="&amp;28,tblDeaths[Sex],"F")</f>
        <v>0</v>
      </c>
      <c r="BO4" s="29">
        <f>COUNTIFS(tblDeaths[Month],10,tblDeaths[AgeUnit],"Days",tblDeaths[Age],"&gt;="&amp;0,tblDeaths[Age],"&lt;="&amp;28,tblDeaths[Sex],"M",tblDeaths[NHIS],"Non-Insured")</f>
        <v>0</v>
      </c>
      <c r="BP4" s="29">
        <f>COUNTIFS(tblDeaths[Month],10,tblDeaths[AgeUnit],"Days",tblDeaths[Age],"&gt;="&amp;0,tblDeaths[Age],"&lt;="&amp;28,tblDeaths[Sex],"F",tblDeaths[NHIS],"Non-Insured")</f>
        <v>0</v>
      </c>
      <c r="BQ4" s="29">
        <f>COUNTIFS(tblDeaths[Month],10,tblDeaths[AgeUnit],"Days",tblDeaths[Age],"&gt;="&amp;0,tblDeaths[Age],"&lt;="&amp;28,tblDeaths[Sex],"M",tblDeaths[NHIS],"Insured")</f>
        <v>0</v>
      </c>
      <c r="BR4" s="29">
        <f>COUNTIFS(tblDeaths[Month],10,tblDeaths[AgeUnit],"Days",tblDeaths[Age],"&gt;="&amp;0,tblDeaths[Age],"&lt;="&amp;28,tblDeaths[Sex],"F",tblDeaths[NHIS],"Insured")</f>
        <v>0</v>
      </c>
      <c r="BS4" s="29" t="s">
        <v>175</v>
      </c>
      <c r="BT4" s="29">
        <f>COUNTIFS(tblDeaths[Month],11,tblDeaths[AgeUnit],"Days",tblDeaths[Age],"&gt;="&amp;0,tblDeaths[Age],"&lt;="&amp;28,tblDeaths[Sex],"M")</f>
        <v>0</v>
      </c>
      <c r="BU4" s="29">
        <f>COUNTIFS(tblDeaths[Month],11,tblDeaths[AgeUnit],"Days",tblDeaths[Age],"&gt;="&amp;0,tblDeaths[Age],"&lt;="&amp;28,tblDeaths[Sex],"F")</f>
        <v>0</v>
      </c>
      <c r="BV4" s="29">
        <f>COUNTIFS(tblDeaths[Month],11,tblDeaths[AgeUnit],"Days",tblDeaths[Age],"&gt;="&amp;0,tblDeaths[Age],"&lt;="&amp;28,tblDeaths[Sex],"M",tblDeaths[NHIS],"Non-Insured")</f>
        <v>0</v>
      </c>
      <c r="BW4" s="29">
        <f>COUNTIFS(tblDeaths[Month],11,tblDeaths[AgeUnit],"Days",tblDeaths[Age],"&gt;="&amp;0,tblDeaths[Age],"&lt;="&amp;28,tblDeaths[Sex],"F",tblDeaths[NHIS],"Non-Insured")</f>
        <v>0</v>
      </c>
      <c r="BX4" s="29">
        <f>COUNTIFS(tblDeaths[Month],11,tblDeaths[AgeUnit],"Days",tblDeaths[Age],"&gt;="&amp;0,tblDeaths[Age],"&lt;="&amp;28,tblDeaths[Sex],"M",tblDeaths[NHIS],"Insured")</f>
        <v>0</v>
      </c>
      <c r="BY4" s="29">
        <f>COUNTIFS(tblDeaths[Month],11,tblDeaths[AgeUnit],"Days",tblDeaths[Age],"&gt;="&amp;0,tblDeaths[Age],"&lt;="&amp;28,tblDeaths[Sex],"F",tblDeaths[NHIS],"Insured")</f>
        <v>0</v>
      </c>
      <c r="BZ4" s="29" t="s">
        <v>175</v>
      </c>
      <c r="CA4" s="29">
        <f>COUNTIFS(tblDeaths[Month],12,tblDeaths[AgeUnit],"Days",tblDeaths[Age],"&gt;="&amp;0,tblDeaths[Age],"&lt;="&amp;28,tblDeaths[Sex],"M")</f>
        <v>0</v>
      </c>
      <c r="CB4" s="29">
        <f>COUNTIFS(tblDeaths[Month],12,tblDeaths[AgeUnit],"Days",tblDeaths[Age],"&gt;="&amp;0,tblDeaths[Age],"&lt;="&amp;28,tblDeaths[Sex],"F")</f>
        <v>0</v>
      </c>
      <c r="CC4" s="29">
        <f>COUNTIFS(tblDeaths[Month],12,tblDeaths[AgeUnit],"Days",tblDeaths[Age],"&gt;="&amp;0,tblDeaths[Age],"&lt;="&amp;28,tblDeaths[Sex],"M",tblDeaths[NHIS],"Non-Insured")</f>
        <v>0</v>
      </c>
      <c r="CD4" s="29">
        <f>COUNTIFS(tblDeaths[Month],12,tblDeaths[AgeUnit],"Days",tblDeaths[Age],"&gt;="&amp;0,tblDeaths[Age],"&lt;="&amp;28,tblDeaths[Sex],"F",tblDeaths[NHIS],"Non-Insured")</f>
        <v>0</v>
      </c>
      <c r="CE4" s="29">
        <f>COUNTIFS(tblDeaths[Month],12,tblDeaths[AgeUnit],"Days",tblDeaths[Age],"&gt;="&amp;0,tblDeaths[Age],"&lt;="&amp;28,tblDeaths[Sex],"M",tblDeaths[NHIS],"Insured")</f>
        <v>0</v>
      </c>
      <c r="CF4" s="29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29" t="s">
        <v>176</v>
      </c>
      <c r="B5" s="29">
        <f>COUNTIFS(tblDeaths[Month],1,tblDeaths[AgeUnit],"Months",tblDeaths[Age],"&gt;="&amp;1,tblDeaths[Age],"&lt;="&amp;11,tblDeaths[Sex],"M")</f>
        <v>0</v>
      </c>
      <c r="C5" s="29">
        <f>COUNTIFS(tblDeaths[Month],1,tblDeaths[AgeUnit],"Months",tblDeaths[Age],"&gt;="&amp;1,tblDeaths[Age],"&lt;="&amp;11,tblDeaths[Sex],"F")</f>
        <v>0</v>
      </c>
      <c r="D5" s="29">
        <f>COUNTIFS(tblDeaths[Month],1,tblDeaths[AgeUnit],"Months",tblDeaths[Age],"&gt;="&amp;1,tblDeaths[Age],"&lt;="&amp;11,tblDeaths[Sex],"M",tblDeaths[NHIS],"Non-Insured")</f>
        <v>0</v>
      </c>
      <c r="E5" s="29">
        <f>COUNTIFS(tblDeaths[Month],1,tblDeaths[AgeUnit],"Months",tblDeaths[Age],"&gt;="&amp;1,tblDeaths[Age],"&lt;="&amp;11,tblDeaths[Sex],"F",tblDeaths[NHIS],"Non-Insured")</f>
        <v>0</v>
      </c>
      <c r="F5" s="29">
        <f>COUNTIFS(tblDeaths[Month],1,tblDeaths[AgeUnit],"Months",tblDeaths[Age],"&gt;="&amp;1,tblDeaths[Age],"&lt;="&amp;11,tblDeaths[Sex],"M",tblDeaths[NHIS],"Insured")</f>
        <v>0</v>
      </c>
      <c r="G5" s="29">
        <f>COUNTIFS(tblDeaths[Month],1,tblDeaths[AgeUnit],"Months",tblDeaths[Age],"&gt;="&amp;1,tblDeaths[Age],"&lt;="&amp;11,tblDeaths[Sex],"F",tblDeaths[NHIS],"Insured")</f>
        <v>0</v>
      </c>
      <c r="H5" s="29" t="s">
        <v>176</v>
      </c>
      <c r="I5" s="29">
        <f>COUNTIFS(tblDeaths[Month],2,tblDeaths[AgeUnit],"Months",tblDeaths[Age],"&gt;="&amp;1,tblDeaths[Age],"&lt;="&amp;11,tblDeaths[Sex],"M")</f>
        <v>0</v>
      </c>
      <c r="J5" s="29">
        <f>COUNTIFS(tblDeaths[Month],2,tblDeaths[AgeUnit],"Months",tblDeaths[Age],"&gt;="&amp;1,tblDeaths[Age],"&lt;="&amp;11,tblDeaths[Sex],"F")</f>
        <v>0</v>
      </c>
      <c r="K5" s="29">
        <f>COUNTIFS(tblDeaths[Month],2,tblDeaths[AgeUnit],"Months",tblDeaths[Age],"&gt;="&amp;1,tblDeaths[Age],"&lt;="&amp;11,tblDeaths[Sex],"M",tblDeaths[NHIS],"Non-Insured")</f>
        <v>0</v>
      </c>
      <c r="L5" s="29">
        <f>COUNTIFS(tblDeaths[Month],2,tblDeaths[AgeUnit],"Months",tblDeaths[Age],"&gt;="&amp;1,tblDeaths[Age],"&lt;="&amp;11,tblDeaths[Sex],"F",tblDeaths[NHIS],"Non-Insured")</f>
        <v>0</v>
      </c>
      <c r="M5" s="29">
        <f>COUNTIFS(tblDeaths[Month],2,tblDeaths[AgeUnit],"Months",tblDeaths[Age],"&gt;="&amp;1,tblDeaths[Age],"&lt;="&amp;11,tblDeaths[Sex],"M",tblDeaths[NHIS],"Insured")</f>
        <v>0</v>
      </c>
      <c r="N5" s="29">
        <f>COUNTIFS(tblDeaths[Month],2,tblDeaths[AgeUnit],"Months",tblDeaths[Age],"&gt;="&amp;1,tblDeaths[Age],"&lt;="&amp;11,tblDeaths[Sex],"F",tblDeaths[NHIS],"Insured")</f>
        <v>0</v>
      </c>
      <c r="O5" s="29" t="s">
        <v>176</v>
      </c>
      <c r="P5" s="29">
        <f>COUNTIFS(tblDeaths[Month],3,tblDeaths[AgeUnit],"Months",tblDeaths[Age],"&gt;="&amp;1,tblDeaths[Age],"&lt;="&amp;11,tblDeaths[Sex],"M")</f>
        <v>1</v>
      </c>
      <c r="Q5" s="29">
        <f>COUNTIFS(tblDeaths[Month],3,tblDeaths[AgeUnit],"Months",tblDeaths[Age],"&gt;="&amp;1,tblDeaths[Age],"&lt;="&amp;11,tblDeaths[Sex],"F")</f>
        <v>0</v>
      </c>
      <c r="R5" s="29">
        <f>COUNTIFS(tblDeaths[Month],3,tblDeaths[AgeUnit],"Months",tblDeaths[Age],"&gt;="&amp;1,tblDeaths[Age],"&lt;="&amp;11,tblDeaths[Sex],"M",tblDeaths[NHIS],"Non-Insured")</f>
        <v>0</v>
      </c>
      <c r="S5" s="29">
        <f>COUNTIFS(tblDeaths[Month],3,tblDeaths[AgeUnit],"Months",tblDeaths[Age],"&gt;="&amp;1,tblDeaths[Age],"&lt;="&amp;11,tblDeaths[Sex],"F",tblDeaths[NHIS],"Non-Insured")</f>
        <v>0</v>
      </c>
      <c r="T5" s="29">
        <f>COUNTIFS(tblDeaths[Month],3,tblDeaths[AgeUnit],"Months",tblDeaths[Age],"&gt;="&amp;1,tblDeaths[Age],"&lt;="&amp;11,tblDeaths[Sex],"M",tblDeaths[NHIS],"Insured")</f>
        <v>1</v>
      </c>
      <c r="U5" s="29">
        <f>COUNTIFS(tblDeaths[Month],3,tblDeaths[AgeUnit],"Months",tblDeaths[Age],"&gt;="&amp;1,tblDeaths[Age],"&lt;="&amp;11,tblDeaths[Sex],"F",tblDeaths[NHIS],"Insured")</f>
        <v>0</v>
      </c>
      <c r="V5" s="29" t="s">
        <v>176</v>
      </c>
      <c r="W5" s="29">
        <f>COUNTIFS(tblDeaths[Month],4,tblDeaths[AgeUnit],"Months",tblDeaths[Age],"&gt;="&amp;1,tblDeaths[Age],"&lt;="&amp;11,tblDeaths[Sex],"M")</f>
        <v>0</v>
      </c>
      <c r="X5" s="29">
        <f>COUNTIFS(tblDeaths[Month],4,tblDeaths[AgeUnit],"Months",tblDeaths[Age],"&gt;="&amp;1,tblDeaths[Age],"&lt;="&amp;11,tblDeaths[Sex],"F")</f>
        <v>0</v>
      </c>
      <c r="Y5" s="29">
        <f>COUNTIFS(tblDeaths[Month],4,tblDeaths[AgeUnit],"Months",tblDeaths[Age],"&gt;="&amp;1,tblDeaths[Age],"&lt;="&amp;11,tblDeaths[Sex],"M",tblDeaths[NHIS],"Non-Insured")</f>
        <v>0</v>
      </c>
      <c r="Z5" s="29">
        <f>COUNTIFS(tblDeaths[Month],4,tblDeaths[AgeUnit],"Months",tblDeaths[Age],"&gt;="&amp;1,tblDeaths[Age],"&lt;="&amp;11,tblDeaths[Sex],"F",tblDeaths[NHIS],"Non-Insured")</f>
        <v>0</v>
      </c>
      <c r="AA5" s="29">
        <f>COUNTIFS(tblDeaths[Month],4,tblDeaths[AgeUnit],"Months",tblDeaths[Age],"&gt;="&amp;1,tblDeaths[Age],"&lt;="&amp;11,tblDeaths[Sex],"M",tblDeaths[NHIS],"Insured")</f>
        <v>0</v>
      </c>
      <c r="AB5" s="29">
        <f>COUNTIFS(tblDeaths[Month],4,tblDeaths[AgeUnit],"Months",tblDeaths[Age],"&gt;="&amp;1,tblDeaths[Age],"&lt;="&amp;11,tblDeaths[Sex],"F",tblDeaths[NHIS],"Insured")</f>
        <v>0</v>
      </c>
      <c r="AC5" s="29" t="s">
        <v>176</v>
      </c>
      <c r="AD5" s="29">
        <f>COUNTIFS(tblDeaths[Month],5,tblDeaths[AgeUnit],"Months",tblDeaths[Age],"&gt;="&amp;1,tblDeaths[Age],"&lt;="&amp;11,tblDeaths[Sex],"M")</f>
        <v>0</v>
      </c>
      <c r="AE5" s="29">
        <f>COUNTIFS(tblDeaths[Month],5,tblDeaths[AgeUnit],"Months",tblDeaths[Age],"&gt;="&amp;1,tblDeaths[Age],"&lt;="&amp;11,tblDeaths[Sex],"F")</f>
        <v>0</v>
      </c>
      <c r="AF5" s="29">
        <f>COUNTIFS(tblDeaths[Month],5,tblDeaths[AgeUnit],"Months",tblDeaths[Age],"&gt;="&amp;1,tblDeaths[Age],"&lt;="&amp;11,tblDeaths[Sex],"M",tblDeaths[NHIS],"Non-Insured")</f>
        <v>0</v>
      </c>
      <c r="AG5" s="29">
        <f>COUNTIFS(tblDeaths[Month],5,tblDeaths[AgeUnit],"Months",tblDeaths[Age],"&gt;="&amp;1,tblDeaths[Age],"&lt;="&amp;11,tblDeaths[Sex],"F",tblDeaths[NHIS],"Non-Insured")</f>
        <v>0</v>
      </c>
      <c r="AH5" s="29">
        <f>COUNTIFS(tblDeaths[Month],5,tblDeaths[AgeUnit],"Months",tblDeaths[Age],"&gt;="&amp;1,tblDeaths[Age],"&lt;="&amp;11,tblDeaths[Sex],"M",tblDeaths[NHIS],"Insured")</f>
        <v>0</v>
      </c>
      <c r="AI5" s="29">
        <f>COUNTIFS(tblDeaths[Month],5,tblDeaths[AgeUnit],"Months",tblDeaths[Age],"&gt;="&amp;1,tblDeaths[Age],"&lt;="&amp;11,tblDeaths[Sex],"F",tblDeaths[NHIS],"Insured")</f>
        <v>0</v>
      </c>
      <c r="AJ5" s="29" t="s">
        <v>176</v>
      </c>
      <c r="AK5" s="29">
        <f>COUNTIFS(tblDeaths[Month],6,tblDeaths[AgeUnit],"Months",tblDeaths[Age],"&gt;="&amp;1,tblDeaths[Age],"&lt;="&amp;11,tblDeaths[Sex],"M")</f>
        <v>0</v>
      </c>
      <c r="AL5" s="29">
        <f>COUNTIFS(tblDeaths[Month],6,tblDeaths[AgeUnit],"Months",tblDeaths[Age],"&gt;="&amp;1,tblDeaths[Age],"&lt;="&amp;11,tblDeaths[Sex],"F")</f>
        <v>0</v>
      </c>
      <c r="AM5" s="29">
        <f>COUNTIFS(tblDeaths[Month],6,tblDeaths[AgeUnit],"Months",tblDeaths[Age],"&gt;="&amp;1,tblDeaths[Age],"&lt;="&amp;11,tblDeaths[Sex],"M",tblDeaths[NHIS],"Non-Insured")</f>
        <v>0</v>
      </c>
      <c r="AN5" s="29">
        <f>COUNTIFS(tblDeaths[Month],6,tblDeaths[AgeUnit],"Months",tblDeaths[Age],"&gt;="&amp;1,tblDeaths[Age],"&lt;="&amp;11,tblDeaths[Sex],"F",tblDeaths[NHIS],"Non-Insured")</f>
        <v>0</v>
      </c>
      <c r="AO5" s="29">
        <f>COUNTIFS(tblDeaths[Month],6,tblDeaths[AgeUnit],"Months",tblDeaths[Age],"&gt;="&amp;1,tblDeaths[Age],"&lt;="&amp;11,tblDeaths[Sex],"M",tblDeaths[NHIS],"Insured")</f>
        <v>0</v>
      </c>
      <c r="AP5" s="29">
        <f>COUNTIFS(tblDeaths[Month],6,tblDeaths[AgeUnit],"Months",tblDeaths[Age],"&gt;="&amp;1,tblDeaths[Age],"&lt;="&amp;11,tblDeaths[Sex],"F",tblDeaths[NHIS],"Insured")</f>
        <v>0</v>
      </c>
      <c r="AQ5" s="29" t="s">
        <v>176</v>
      </c>
      <c r="AR5" s="29">
        <f>COUNTIFS(tblDeaths[Month],7,tblDeaths[AgeUnit],"Months",tblDeaths[Age],"&gt;="&amp;1,tblDeaths[Age],"&lt;="&amp;11,tblDeaths[Sex],"M")</f>
        <v>0</v>
      </c>
      <c r="AS5" s="29">
        <f>COUNTIFS(tblDeaths[Month],7,tblDeaths[AgeUnit],"Months",tblDeaths[Age],"&gt;="&amp;1,tblDeaths[Age],"&lt;="&amp;11,tblDeaths[Sex],"F")</f>
        <v>0</v>
      </c>
      <c r="AT5" s="29">
        <f>COUNTIFS(tblDeaths[Month],7,tblDeaths[AgeUnit],"Months",tblDeaths[Age],"&gt;="&amp;1,tblDeaths[Age],"&lt;="&amp;11,tblDeaths[Sex],"M",tblDeaths[NHIS],"Non-Insured")</f>
        <v>0</v>
      </c>
      <c r="AU5" s="29">
        <f>COUNTIFS(tblDeaths[Month],7,tblDeaths[AgeUnit],"Months",tblDeaths[Age],"&gt;="&amp;1,tblDeaths[Age],"&lt;="&amp;11,tblDeaths[Sex],"F",tblDeaths[NHIS],"Non-Insured")</f>
        <v>0</v>
      </c>
      <c r="AV5" s="29">
        <f>COUNTIFS(tblDeaths[Month],7,tblDeaths[AgeUnit],"Months",tblDeaths[Age],"&gt;="&amp;1,tblDeaths[Age],"&lt;="&amp;11,tblDeaths[Sex],"M",tblDeaths[NHIS],"Insured")</f>
        <v>0</v>
      </c>
      <c r="AW5" s="29">
        <f>COUNTIFS(tblDeaths[Month],7,tblDeaths[AgeUnit],"Months",tblDeaths[Age],"&gt;="&amp;1,tblDeaths[Age],"&lt;="&amp;11,tblDeaths[Sex],"F",tblDeaths[NHIS],"Insured")</f>
        <v>0</v>
      </c>
      <c r="AX5" s="29" t="s">
        <v>176</v>
      </c>
      <c r="AY5" s="29">
        <f>COUNTIFS(tblDeaths[Month],8,tblDeaths[AgeUnit],"Months",tblDeaths[Age],"&gt;="&amp;1,tblDeaths[Age],"&lt;="&amp;11,tblDeaths[Sex],"M")</f>
        <v>0</v>
      </c>
      <c r="AZ5" s="29">
        <f>COUNTIFS(tblDeaths[Month],8,tblDeaths[AgeUnit],"Months",tblDeaths[Age],"&gt;="&amp;1,tblDeaths[Age],"&lt;="&amp;11,tblDeaths[Sex],"F")</f>
        <v>0</v>
      </c>
      <c r="BA5" s="29">
        <f>COUNTIFS(tblDeaths[Month],8,tblDeaths[AgeUnit],"Months",tblDeaths[Age],"&gt;="&amp;1,tblDeaths[Age],"&lt;="&amp;11,tblDeaths[Sex],"M",tblDeaths[NHIS],"Non-Insured")</f>
        <v>0</v>
      </c>
      <c r="BB5" s="29">
        <f>COUNTIFS(tblDeaths[Month],8,tblDeaths[AgeUnit],"Months",tblDeaths[Age],"&gt;="&amp;1,tblDeaths[Age],"&lt;="&amp;11,tblDeaths[Sex],"F",tblDeaths[NHIS],"Non-Insured")</f>
        <v>0</v>
      </c>
      <c r="BC5" s="29">
        <f>COUNTIFS(tblDeaths[Month],8,tblDeaths[AgeUnit],"Months",tblDeaths[Age],"&gt;="&amp;1,tblDeaths[Age],"&lt;="&amp;11,tblDeaths[Sex],"M",tblDeaths[NHIS],"Insured")</f>
        <v>0</v>
      </c>
      <c r="BD5" s="29">
        <f>COUNTIFS(tblDeaths[Month],8,tblDeaths[AgeUnit],"Months",tblDeaths[Age],"&gt;="&amp;1,tblDeaths[Age],"&lt;="&amp;11,tblDeaths[Sex],"F",tblDeaths[NHIS],"Insured")</f>
        <v>0</v>
      </c>
      <c r="BE5" s="29" t="s">
        <v>176</v>
      </c>
      <c r="BF5" s="29">
        <f>COUNTIFS(tblDeaths[Month],9,tblDeaths[AgeUnit],"Months",tblDeaths[Age],"&gt;="&amp;1,tblDeaths[Age],"&lt;="&amp;11,tblDeaths[Sex],"M")</f>
        <v>0</v>
      </c>
      <c r="BG5" s="29">
        <f>COUNTIFS(tblDeaths[Month],9,tblDeaths[AgeUnit],"Months",tblDeaths[Age],"&gt;="&amp;1,tblDeaths[Age],"&lt;="&amp;11,tblDeaths[Sex],"F")</f>
        <v>0</v>
      </c>
      <c r="BH5" s="29">
        <f>COUNTIFS(tblDeaths[Month],9,tblDeaths[AgeUnit],"Months",tblDeaths[Age],"&gt;="&amp;1,tblDeaths[Age],"&lt;="&amp;11,tblDeaths[Sex],"M",tblDeaths[NHIS],"Non-Insured")</f>
        <v>0</v>
      </c>
      <c r="BI5" s="29">
        <f>COUNTIFS(tblDeaths[Month],9,tblDeaths[AgeUnit],"Months",tblDeaths[Age],"&gt;="&amp;1,tblDeaths[Age],"&lt;="&amp;11,tblDeaths[Sex],"F",tblDeaths[NHIS],"Non-Insured")</f>
        <v>0</v>
      </c>
      <c r="BJ5" s="29">
        <f>COUNTIFS(tblDeaths[Month],9,tblDeaths[AgeUnit],"Months",tblDeaths[Age],"&gt;="&amp;1,tblDeaths[Age],"&lt;="&amp;11,tblDeaths[Sex],"M",tblDeaths[NHIS],"Insured")</f>
        <v>0</v>
      </c>
      <c r="BK5" s="29">
        <f>COUNTIFS(tblDeaths[Month],9,tblDeaths[AgeUnit],"Months",tblDeaths[Age],"&gt;="&amp;1,tblDeaths[Age],"&lt;="&amp;11,tblDeaths[Sex],"F",tblDeaths[NHIS],"Insured")</f>
        <v>0</v>
      </c>
      <c r="BL5" s="29" t="s">
        <v>176</v>
      </c>
      <c r="BM5" s="29">
        <f>COUNTIFS(tblDeaths[Month],10,tblDeaths[AgeUnit],"Months",tblDeaths[Age],"&gt;="&amp;1,tblDeaths[Age],"&lt;="&amp;11,tblDeaths[Sex],"M")</f>
        <v>0</v>
      </c>
      <c r="BN5" s="29">
        <f>COUNTIFS(tblDeaths[Month],10,tblDeaths[AgeUnit],"Months",tblDeaths[Age],"&gt;="&amp;1,tblDeaths[Age],"&lt;="&amp;11,tblDeaths[Sex],"F")</f>
        <v>0</v>
      </c>
      <c r="BO5" s="29">
        <f>COUNTIFS(tblDeaths[Month],10,tblDeaths[AgeUnit],"Months",tblDeaths[Age],"&gt;="&amp;1,tblDeaths[Age],"&lt;="&amp;11,tblDeaths[Sex],"M",tblDeaths[NHIS],"Non-Insured")</f>
        <v>0</v>
      </c>
      <c r="BP5" s="29">
        <f>COUNTIFS(tblDeaths[Month],10,tblDeaths[AgeUnit],"Months",tblDeaths[Age],"&gt;="&amp;1,tblDeaths[Age],"&lt;="&amp;11,tblDeaths[Sex],"F",tblDeaths[NHIS],"Non-Insured")</f>
        <v>0</v>
      </c>
      <c r="BQ5" s="29">
        <f>COUNTIFS(tblDeaths[Month],10,tblDeaths[AgeUnit],"Months",tblDeaths[Age],"&gt;="&amp;1,tblDeaths[Age],"&lt;="&amp;11,tblDeaths[Sex],"M",tblDeaths[NHIS],"Insured")</f>
        <v>0</v>
      </c>
      <c r="BR5" s="29">
        <f>COUNTIFS(tblDeaths[Month],10,tblDeaths[AgeUnit],"Months",tblDeaths[Age],"&gt;="&amp;1,tblDeaths[Age],"&lt;="&amp;11,tblDeaths[Sex],"F",tblDeaths[NHIS],"Insured")</f>
        <v>0</v>
      </c>
      <c r="BS5" s="29" t="s">
        <v>176</v>
      </c>
      <c r="BT5" s="29">
        <f>COUNTIFS(tblDeaths[Month],11,tblDeaths[AgeUnit],"Months",tblDeaths[Age],"&gt;="&amp;1,tblDeaths[Age],"&lt;="&amp;11,tblDeaths[Sex],"M")</f>
        <v>0</v>
      </c>
      <c r="BU5" s="29">
        <f>COUNTIFS(tblDeaths[Month],11,tblDeaths[AgeUnit],"Months",tblDeaths[Age],"&gt;="&amp;1,tblDeaths[Age],"&lt;="&amp;11,tblDeaths[Sex],"F")</f>
        <v>0</v>
      </c>
      <c r="BV5" s="29">
        <f>COUNTIFS(tblDeaths[Month],11,tblDeaths[AgeUnit],"Months",tblDeaths[Age],"&gt;="&amp;1,tblDeaths[Age],"&lt;="&amp;11,tblDeaths[Sex],"M",tblDeaths[NHIS],"Non-Insured")</f>
        <v>0</v>
      </c>
      <c r="BW5" s="29">
        <f>COUNTIFS(tblDeaths[Month],11,tblDeaths[AgeUnit],"Months",tblDeaths[Age],"&gt;="&amp;1,tblDeaths[Age],"&lt;="&amp;11,tblDeaths[Sex],"F",tblDeaths[NHIS],"Non-Insured")</f>
        <v>0</v>
      </c>
      <c r="BX5" s="29">
        <f>COUNTIFS(tblDeaths[Month],11,tblDeaths[AgeUnit],"Months",tblDeaths[Age],"&gt;="&amp;1,tblDeaths[Age],"&lt;="&amp;11,tblDeaths[Sex],"M",tblDeaths[NHIS],"Insured")</f>
        <v>0</v>
      </c>
      <c r="BY5" s="29">
        <f>COUNTIFS(tblDeaths[Month],11,tblDeaths[AgeUnit],"Months",tblDeaths[Age],"&gt;="&amp;1,tblDeaths[Age],"&lt;="&amp;11,tblDeaths[Sex],"F",tblDeaths[NHIS],"Insured")</f>
        <v>0</v>
      </c>
      <c r="BZ5" s="29" t="s">
        <v>176</v>
      </c>
      <c r="CA5" s="29">
        <f>COUNTIFS(tblDeaths[Month],12,tblDeaths[AgeUnit],"Months",tblDeaths[Age],"&gt;="&amp;1,tblDeaths[Age],"&lt;="&amp;11,tblDeaths[Sex],"M")</f>
        <v>0</v>
      </c>
      <c r="CB5" s="29">
        <f>COUNTIFS(tblDeaths[Month],12,tblDeaths[AgeUnit],"Months",tblDeaths[Age],"&gt;="&amp;1,tblDeaths[Age],"&lt;="&amp;11,tblDeaths[Sex],"F")</f>
        <v>0</v>
      </c>
      <c r="CC5" s="29">
        <f>COUNTIFS(tblDeaths[Month],12,tblDeaths[AgeUnit],"Months",tblDeaths[Age],"&gt;="&amp;1,tblDeaths[Age],"&lt;="&amp;11,tblDeaths[Sex],"M",tblDeaths[NHIS],"Non-Insured")</f>
        <v>0</v>
      </c>
      <c r="CD5" s="29">
        <f>COUNTIFS(tblDeaths[Month],12,tblDeaths[AgeUnit],"Months",tblDeaths[Age],"&gt;="&amp;1,tblDeaths[Age],"&lt;="&amp;11,tblDeaths[Sex],"F",tblDeaths[NHIS],"Non-Insured")</f>
        <v>0</v>
      </c>
      <c r="CE5" s="29">
        <f>COUNTIFS(tblDeaths[Month],12,tblDeaths[AgeUnit],"Months",tblDeaths[Age],"&gt;="&amp;1,tblDeaths[Age],"&lt;="&amp;11,tblDeaths[Sex],"M",tblDeaths[NHIS],"Insured")</f>
        <v>0</v>
      </c>
      <c r="CF5" s="29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29" t="s">
        <v>177</v>
      </c>
      <c r="B6" s="29">
        <f>COUNTIFS(tblDeaths[Month],1,tblDeaths[AgeUnit],"Years",tblDeaths[Age],"&gt;="&amp;1,tblDeaths[Age],"&lt;="&amp;4,tblDeaths[Sex],"M")</f>
        <v>0</v>
      </c>
      <c r="C6" s="29">
        <f>COUNTIFS(tblDeaths[Month],1,tblDeaths[AgeUnit],"Years",tblDeaths[Age],"&gt;="&amp;1,tblDeaths[Age],"&lt;="&amp;4,tblDeaths[Sex],"F")</f>
        <v>0</v>
      </c>
      <c r="D6" s="29">
        <f>COUNTIFS(tblDeaths[Month],1,tblDeaths[AgeUnit],"Years",tblDeaths[Age],"&gt;="&amp;1,tblDeaths[Age],"&lt;="&amp;4,tblDeaths[Sex],"M",tblDeaths[NHIS],"Non-Insured")</f>
        <v>0</v>
      </c>
      <c r="E6" s="29">
        <f>COUNTIFS(tblDeaths[Month],1,tblDeaths[AgeUnit],"Years",tblDeaths[Age],"&gt;="&amp;1,tblDeaths[Age],"&lt;="&amp;4,tblDeaths[Sex],"F",tblDeaths[NHIS],"Non-Insured")</f>
        <v>0</v>
      </c>
      <c r="F6" s="29">
        <f>COUNTIFS(tblDeaths[Month],1,tblDeaths[AgeUnit],"Years",tblDeaths[Age],"&gt;="&amp;1,tblDeaths[Age],"&lt;="&amp;4,tblDeaths[Sex],"M",tblDeaths[NHIS],"Insured")</f>
        <v>0</v>
      </c>
      <c r="G6" s="29">
        <f>COUNTIFS(tblDeaths[Month],1,tblDeaths[AgeUnit],"Years",tblDeaths[Age],"&gt;="&amp;1,tblDeaths[Age],"&lt;="&amp;4,tblDeaths[Sex],"F",tblDeaths[NHIS],"Insured")</f>
        <v>0</v>
      </c>
      <c r="H6" s="29" t="s">
        <v>177</v>
      </c>
      <c r="I6" s="29">
        <f>COUNTIFS(tblDeaths[Month],2,tblDeaths[AgeUnit],"Years",tblDeaths[Age],"&gt;="&amp;1,tblDeaths[Age],"&lt;="&amp;4,tblDeaths[Sex],"M")</f>
        <v>0</v>
      </c>
      <c r="J6" s="29">
        <f>COUNTIFS(tblDeaths[Month],2,tblDeaths[AgeUnit],"Years",tblDeaths[Age],"&gt;="&amp;1,tblDeaths[Age],"&lt;="&amp;4,tblDeaths[Sex],"F")</f>
        <v>0</v>
      </c>
      <c r="K6" s="29">
        <f>COUNTIFS(tblDeaths[Month],2,tblDeaths[AgeUnit],"Years",tblDeaths[Age],"&gt;="&amp;1,tblDeaths[Age],"&lt;="&amp;4,tblDeaths[Sex],"M",tblDeaths[NHIS],"Non-Insured")</f>
        <v>0</v>
      </c>
      <c r="L6" s="29">
        <f>COUNTIFS(tblDeaths[Month],2,tblDeaths[AgeUnit],"Years",tblDeaths[Age],"&gt;="&amp;1,tblDeaths[Age],"&lt;="&amp;4,tblDeaths[Sex],"F",tblDeaths[NHIS],"Non-Insured")</f>
        <v>0</v>
      </c>
      <c r="M6" s="29">
        <f>COUNTIFS(tblDeaths[Month],2,tblDeaths[AgeUnit],"Years",tblDeaths[Age],"&gt;="&amp;1,tblDeaths[Age],"&lt;="&amp;4,tblDeaths[Sex],"M",tblDeaths[NHIS],"Insured")</f>
        <v>0</v>
      </c>
      <c r="N6" s="29">
        <f>COUNTIFS(tblDeaths[Month],2,tblDeaths[AgeUnit],"Years",tblDeaths[Age],"&gt;="&amp;1,tblDeaths[Age],"&lt;="&amp;4,tblDeaths[Sex],"F",tblDeaths[NHIS],"Insured")</f>
        <v>0</v>
      </c>
      <c r="O6" s="29" t="s">
        <v>177</v>
      </c>
      <c r="P6" s="29">
        <f>COUNTIFS(tblDeaths[Month],3,tblDeaths[AgeUnit],"Years",tblDeaths[Age],"&gt;="&amp;1,tblDeaths[Age],"&lt;="&amp;4,tblDeaths[Sex],"M")</f>
        <v>0</v>
      </c>
      <c r="Q6" s="29">
        <f>COUNTIFS(tblDeaths[Month],3,tblDeaths[AgeUnit],"Years",tblDeaths[Age],"&gt;="&amp;1,tblDeaths[Age],"&lt;="&amp;4,tblDeaths[Sex],"F")</f>
        <v>1</v>
      </c>
      <c r="R6" s="29">
        <f>COUNTIFS(tblDeaths[Month],3,tblDeaths[AgeUnit],"Years",tblDeaths[Age],"&gt;="&amp;1,tblDeaths[Age],"&lt;="&amp;4,tblDeaths[Sex],"M",tblDeaths[NHIS],"Non-Insured")</f>
        <v>0</v>
      </c>
      <c r="S6" s="29">
        <f>COUNTIFS(tblDeaths[Month],3,tblDeaths[AgeUnit],"Years",tblDeaths[Age],"&gt;="&amp;1,tblDeaths[Age],"&lt;="&amp;4,tblDeaths[Sex],"F",tblDeaths[NHIS],"Non-Insured")</f>
        <v>0</v>
      </c>
      <c r="T6" s="29">
        <f>COUNTIFS(tblDeaths[Month],3,tblDeaths[AgeUnit],"Years",tblDeaths[Age],"&gt;="&amp;1,tblDeaths[Age],"&lt;="&amp;4,tblDeaths[Sex],"M",tblDeaths[NHIS],"Insured")</f>
        <v>0</v>
      </c>
      <c r="U6" s="29">
        <f>COUNTIFS(tblDeaths[Month],3,tblDeaths[AgeUnit],"Years",tblDeaths[Age],"&gt;="&amp;1,tblDeaths[Age],"&lt;="&amp;4,tblDeaths[Sex],"F",tblDeaths[NHIS],"Insured")</f>
        <v>1</v>
      </c>
      <c r="V6" s="29" t="s">
        <v>177</v>
      </c>
      <c r="W6" s="29">
        <f>COUNTIFS(tblDeaths[Month],4,tblDeaths[AgeUnit],"Years",tblDeaths[Age],"&gt;="&amp;1,tblDeaths[Age],"&lt;="&amp;4,tblDeaths[Sex],"M")</f>
        <v>0</v>
      </c>
      <c r="X6" s="29">
        <f>COUNTIFS(tblDeaths[Month],4,tblDeaths[AgeUnit],"Years",tblDeaths[Age],"&gt;="&amp;1,tblDeaths[Age],"&lt;="&amp;4,tblDeaths[Sex],"F")</f>
        <v>0</v>
      </c>
      <c r="Y6" s="29">
        <f>COUNTIFS(tblDeaths[Month],4,tblDeaths[AgeUnit],"Years",tblDeaths[Age],"&gt;="&amp;1,tblDeaths[Age],"&lt;="&amp;4,tblDeaths[Sex],"M",tblDeaths[NHIS],"Non-Insured")</f>
        <v>0</v>
      </c>
      <c r="Z6" s="29">
        <f>COUNTIFS(tblDeaths[Month],4,tblDeaths[AgeUnit],"Years",tblDeaths[Age],"&gt;="&amp;1,tblDeaths[Age],"&lt;="&amp;4,tblDeaths[Sex],"F",tblDeaths[NHIS],"Non-Insured")</f>
        <v>0</v>
      </c>
      <c r="AA6" s="29">
        <f>COUNTIFS(tblDeaths[Month],4,tblDeaths[AgeUnit],"Years",tblDeaths[Age],"&gt;="&amp;1,tblDeaths[Age],"&lt;="&amp;4,tblDeaths[Sex],"M",tblDeaths[NHIS],"Insured")</f>
        <v>0</v>
      </c>
      <c r="AB6" s="29">
        <f>COUNTIFS(tblDeaths[Month],4,tblDeaths[AgeUnit],"Years",tblDeaths[Age],"&gt;="&amp;1,tblDeaths[Age],"&lt;="&amp;4,tblDeaths[Sex],"F",tblDeaths[NHIS],"Insured")</f>
        <v>0</v>
      </c>
      <c r="AC6" s="29" t="s">
        <v>177</v>
      </c>
      <c r="AD6" s="29">
        <f>COUNTIFS(tblDeaths[Month],5,tblDeaths[AgeUnit],"Years",tblDeaths[Age],"&gt;="&amp;1,tblDeaths[Age],"&lt;="&amp;4,tblDeaths[Sex],"M")</f>
        <v>0</v>
      </c>
      <c r="AE6" s="29">
        <f>COUNTIFS(tblDeaths[Month],5,tblDeaths[AgeUnit],"Years",tblDeaths[Age],"&gt;="&amp;1,tblDeaths[Age],"&lt;="&amp;4,tblDeaths[Sex],"F")</f>
        <v>0</v>
      </c>
      <c r="AF6" s="29">
        <f>COUNTIFS(tblDeaths[Month],5,tblDeaths[AgeUnit],"Years",tblDeaths[Age],"&gt;="&amp;1,tblDeaths[Age],"&lt;="&amp;4,tblDeaths[Sex],"M",tblDeaths[NHIS],"Non-Insured")</f>
        <v>0</v>
      </c>
      <c r="AG6" s="29">
        <f>COUNTIFS(tblDeaths[Month],5,tblDeaths[AgeUnit],"Years",tblDeaths[Age],"&gt;="&amp;1,tblDeaths[Age],"&lt;="&amp;4,tblDeaths[Sex],"F",tblDeaths[NHIS],"Non-Insured")</f>
        <v>0</v>
      </c>
      <c r="AH6" s="29">
        <f>COUNTIFS(tblDeaths[Month],5,tblDeaths[AgeUnit],"Years",tblDeaths[Age],"&gt;="&amp;1,tblDeaths[Age],"&lt;="&amp;4,tblDeaths[Sex],"M",tblDeaths[NHIS],"Insured")</f>
        <v>0</v>
      </c>
      <c r="AI6" s="29">
        <f>COUNTIFS(tblDeaths[Month],5,tblDeaths[AgeUnit],"Years",tblDeaths[Age],"&gt;="&amp;1,tblDeaths[Age],"&lt;="&amp;4,tblDeaths[Sex],"F",tblDeaths[NHIS],"Insured")</f>
        <v>0</v>
      </c>
      <c r="AJ6" s="29" t="s">
        <v>177</v>
      </c>
      <c r="AK6" s="29">
        <f>COUNTIFS(tblDeaths[Month],6,tblDeaths[AgeUnit],"Years",tblDeaths[Age],"&gt;="&amp;1,tblDeaths[Age],"&lt;="&amp;4,tblDeaths[Sex],"M")</f>
        <v>0</v>
      </c>
      <c r="AL6" s="29">
        <f>COUNTIFS(tblDeaths[Month],6,tblDeaths[AgeUnit],"Years",tblDeaths[Age],"&gt;="&amp;1,tblDeaths[Age],"&lt;="&amp;4,tblDeaths[Sex],"F")</f>
        <v>0</v>
      </c>
      <c r="AM6" s="29">
        <f>COUNTIFS(tblDeaths[Month],6,tblDeaths[AgeUnit],"Years",tblDeaths[Age],"&gt;="&amp;1,tblDeaths[Age],"&lt;="&amp;4,tblDeaths[Sex],"M",tblDeaths[NHIS],"Non-Insured")</f>
        <v>0</v>
      </c>
      <c r="AN6" s="29">
        <f>COUNTIFS(tblDeaths[Month],6,tblDeaths[AgeUnit],"Years",tblDeaths[Age],"&gt;="&amp;1,tblDeaths[Age],"&lt;="&amp;4,tblDeaths[Sex],"F",tblDeaths[NHIS],"Non-Insured")</f>
        <v>0</v>
      </c>
      <c r="AO6" s="29">
        <f>COUNTIFS(tblDeaths[Month],6,tblDeaths[AgeUnit],"Years",tblDeaths[Age],"&gt;="&amp;1,tblDeaths[Age],"&lt;="&amp;4,tblDeaths[Sex],"M",tblDeaths[NHIS],"Insured")</f>
        <v>0</v>
      </c>
      <c r="AP6" s="29">
        <f>COUNTIFS(tblDeaths[Month],6,tblDeaths[AgeUnit],"Years",tblDeaths[Age],"&gt;="&amp;1,tblDeaths[Age],"&lt;="&amp;4,tblDeaths[Sex],"F",tblDeaths[NHIS],"Insured")</f>
        <v>0</v>
      </c>
      <c r="AQ6" s="29" t="s">
        <v>177</v>
      </c>
      <c r="AR6" s="29">
        <f>COUNTIFS(tblDeaths[Month],7,tblDeaths[AgeUnit],"Years",tblDeaths[Age],"&gt;="&amp;1,tblDeaths[Age],"&lt;="&amp;4,tblDeaths[Sex],"M")</f>
        <v>0</v>
      </c>
      <c r="AS6" s="29">
        <f>COUNTIFS(tblDeaths[Month],7,tblDeaths[AgeUnit],"Years",tblDeaths[Age],"&gt;="&amp;1,tblDeaths[Age],"&lt;="&amp;4,tblDeaths[Sex],"F")</f>
        <v>0</v>
      </c>
      <c r="AT6" s="29">
        <f>COUNTIFS(tblDeaths[Month],7,tblDeaths[AgeUnit],"Years",tblDeaths[Age],"&gt;="&amp;1,tblDeaths[Age],"&lt;="&amp;4,tblDeaths[Sex],"M",tblDeaths[NHIS],"Non-Insured")</f>
        <v>0</v>
      </c>
      <c r="AU6" s="29">
        <f>COUNTIFS(tblDeaths[Month],7,tblDeaths[AgeUnit],"Years",tblDeaths[Age],"&gt;="&amp;1,tblDeaths[Age],"&lt;="&amp;4,tblDeaths[Sex],"F",tblDeaths[NHIS],"Non-Insured")</f>
        <v>0</v>
      </c>
      <c r="AV6" s="29">
        <f>COUNTIFS(tblDeaths[Month],7,tblDeaths[AgeUnit],"Years",tblDeaths[Age],"&gt;="&amp;1,tblDeaths[Age],"&lt;="&amp;4,tblDeaths[Sex],"M",tblDeaths[NHIS],"Insured")</f>
        <v>0</v>
      </c>
      <c r="AW6" s="29">
        <f>COUNTIFS(tblDeaths[Month],7,tblDeaths[AgeUnit],"Years",tblDeaths[Age],"&gt;="&amp;1,tblDeaths[Age],"&lt;="&amp;4,tblDeaths[Sex],"F",tblDeaths[NHIS],"Insured")</f>
        <v>0</v>
      </c>
      <c r="AX6" s="29" t="s">
        <v>177</v>
      </c>
      <c r="AY6" s="29">
        <f>COUNTIFS(tblDeaths[Month],8,tblDeaths[AgeUnit],"Years",tblDeaths[Age],"&gt;="&amp;1,tblDeaths[Age],"&lt;="&amp;4,tblDeaths[Sex],"M")</f>
        <v>0</v>
      </c>
      <c r="AZ6" s="29">
        <f>COUNTIFS(tblDeaths[Month],8,tblDeaths[AgeUnit],"Years",tblDeaths[Age],"&gt;="&amp;1,tblDeaths[Age],"&lt;="&amp;4,tblDeaths[Sex],"F")</f>
        <v>0</v>
      </c>
      <c r="BA6" s="29">
        <f>COUNTIFS(tblDeaths[Month],8,tblDeaths[AgeUnit],"Years",tblDeaths[Age],"&gt;="&amp;1,tblDeaths[Age],"&lt;="&amp;4,tblDeaths[Sex],"M",tblDeaths[NHIS],"Non-Insured")</f>
        <v>0</v>
      </c>
      <c r="BB6" s="29">
        <f>COUNTIFS(tblDeaths[Month],8,tblDeaths[AgeUnit],"Years",tblDeaths[Age],"&gt;="&amp;1,tblDeaths[Age],"&lt;="&amp;4,tblDeaths[Sex],"F",tblDeaths[NHIS],"Non-Insured")</f>
        <v>0</v>
      </c>
      <c r="BC6" s="29">
        <f>COUNTIFS(tblDeaths[Month],8,tblDeaths[AgeUnit],"Years",tblDeaths[Age],"&gt;="&amp;1,tblDeaths[Age],"&lt;="&amp;4,tblDeaths[Sex],"M",tblDeaths[NHIS],"Insured")</f>
        <v>0</v>
      </c>
      <c r="BD6" s="29">
        <f>COUNTIFS(tblDeaths[Month],8,tblDeaths[AgeUnit],"Years",tblDeaths[Age],"&gt;="&amp;1,tblDeaths[Age],"&lt;="&amp;4,tblDeaths[Sex],"F",tblDeaths[NHIS],"Insured")</f>
        <v>0</v>
      </c>
      <c r="BE6" s="29" t="s">
        <v>177</v>
      </c>
      <c r="BF6" s="29">
        <f>COUNTIFS(tblDeaths[Month],9,tblDeaths[AgeUnit],"Years",tblDeaths[Age],"&gt;="&amp;1,tblDeaths[Age],"&lt;="&amp;4,tblDeaths[Sex],"M")</f>
        <v>0</v>
      </c>
      <c r="BG6" s="29">
        <f>COUNTIFS(tblDeaths[Month],9,tblDeaths[AgeUnit],"Years",tblDeaths[Age],"&gt;="&amp;1,tblDeaths[Age],"&lt;="&amp;4,tblDeaths[Sex],"F")</f>
        <v>0</v>
      </c>
      <c r="BH6" s="29">
        <f>COUNTIFS(tblDeaths[Month],9,tblDeaths[AgeUnit],"Years",tblDeaths[Age],"&gt;="&amp;1,tblDeaths[Age],"&lt;="&amp;4,tblDeaths[Sex],"M",tblDeaths[NHIS],"Non-Insured")</f>
        <v>0</v>
      </c>
      <c r="BI6" s="29">
        <f>COUNTIFS(tblDeaths[Month],9,tblDeaths[AgeUnit],"Years",tblDeaths[Age],"&gt;="&amp;1,tblDeaths[Age],"&lt;="&amp;4,tblDeaths[Sex],"F",tblDeaths[NHIS],"Non-Insured")</f>
        <v>0</v>
      </c>
      <c r="BJ6" s="29">
        <f>COUNTIFS(tblDeaths[Month],9,tblDeaths[AgeUnit],"Years",tblDeaths[Age],"&gt;="&amp;1,tblDeaths[Age],"&lt;="&amp;4,tblDeaths[Sex],"M",tblDeaths[NHIS],"Insured")</f>
        <v>0</v>
      </c>
      <c r="BK6" s="29">
        <f>COUNTIFS(tblDeaths[Month],9,tblDeaths[AgeUnit],"Years",tblDeaths[Age],"&gt;="&amp;1,tblDeaths[Age],"&lt;="&amp;4,tblDeaths[Sex],"F",tblDeaths[NHIS],"Insured")</f>
        <v>0</v>
      </c>
      <c r="BL6" s="29" t="s">
        <v>177</v>
      </c>
      <c r="BM6" s="29">
        <f>COUNTIFS(tblDeaths[Month],10,tblDeaths[AgeUnit],"Years",tblDeaths[Age],"&gt;="&amp;1,tblDeaths[Age],"&lt;="&amp;4,tblDeaths[Sex],"M")</f>
        <v>0</v>
      </c>
      <c r="BN6" s="29">
        <f>COUNTIFS(tblDeaths[Month],10,tblDeaths[AgeUnit],"Years",tblDeaths[Age],"&gt;="&amp;1,tblDeaths[Age],"&lt;="&amp;4,tblDeaths[Sex],"F")</f>
        <v>0</v>
      </c>
      <c r="BO6" s="29">
        <f>COUNTIFS(tblDeaths[Month],10,tblDeaths[AgeUnit],"Years",tblDeaths[Age],"&gt;="&amp;1,tblDeaths[Age],"&lt;="&amp;4,tblDeaths[Sex],"M",tblDeaths[NHIS],"Non-Insured")</f>
        <v>0</v>
      </c>
      <c r="BP6" s="29">
        <f>COUNTIFS(tblDeaths[Month],10,tblDeaths[AgeUnit],"Years",tblDeaths[Age],"&gt;="&amp;1,tblDeaths[Age],"&lt;="&amp;4,tblDeaths[Sex],"F",tblDeaths[NHIS],"Non-Insured")</f>
        <v>0</v>
      </c>
      <c r="BQ6" s="29">
        <f>COUNTIFS(tblDeaths[Month],10,tblDeaths[AgeUnit],"Years",tblDeaths[Age],"&gt;="&amp;1,tblDeaths[Age],"&lt;="&amp;4,tblDeaths[Sex],"M",tblDeaths[NHIS],"Insured")</f>
        <v>0</v>
      </c>
      <c r="BR6" s="29">
        <f>COUNTIFS(tblDeaths[Month],10,tblDeaths[AgeUnit],"Years",tblDeaths[Age],"&gt;="&amp;1,tblDeaths[Age],"&lt;="&amp;4,tblDeaths[Sex],"F",tblDeaths[NHIS],"Insured")</f>
        <v>0</v>
      </c>
      <c r="BS6" s="29" t="s">
        <v>177</v>
      </c>
      <c r="BT6" s="29">
        <f>COUNTIFS(tblDeaths[Month],11,tblDeaths[AgeUnit],"Years",tblDeaths[Age],"&gt;="&amp;1,tblDeaths[Age],"&lt;="&amp;4,tblDeaths[Sex],"M")</f>
        <v>0</v>
      </c>
      <c r="BU6" s="29">
        <f>COUNTIFS(tblDeaths[Month],11,tblDeaths[AgeUnit],"Years",tblDeaths[Age],"&gt;="&amp;1,tblDeaths[Age],"&lt;="&amp;4,tblDeaths[Sex],"F")</f>
        <v>0</v>
      </c>
      <c r="BV6" s="29">
        <f>COUNTIFS(tblDeaths[Month],11,tblDeaths[AgeUnit],"Years",tblDeaths[Age],"&gt;="&amp;1,tblDeaths[Age],"&lt;="&amp;4,tblDeaths[Sex],"M",tblDeaths[NHIS],"Non-Insured")</f>
        <v>0</v>
      </c>
      <c r="BW6" s="29">
        <f>COUNTIFS(tblDeaths[Month],11,tblDeaths[AgeUnit],"Years",tblDeaths[Age],"&gt;="&amp;1,tblDeaths[Age],"&lt;="&amp;4,tblDeaths[Sex],"F",tblDeaths[NHIS],"Non-Insured")</f>
        <v>0</v>
      </c>
      <c r="BX6" s="29">
        <f>COUNTIFS(tblDeaths[Month],11,tblDeaths[AgeUnit],"Years",tblDeaths[Age],"&gt;="&amp;1,tblDeaths[Age],"&lt;="&amp;4,tblDeaths[Sex],"M",tblDeaths[NHIS],"Insured")</f>
        <v>0</v>
      </c>
      <c r="BY6" s="29">
        <f>COUNTIFS(tblDeaths[Month],11,tblDeaths[AgeUnit],"Years",tblDeaths[Age],"&gt;="&amp;1,tblDeaths[Age],"&lt;="&amp;4,tblDeaths[Sex],"F",tblDeaths[NHIS],"Insured")</f>
        <v>0</v>
      </c>
      <c r="BZ6" s="29" t="s">
        <v>177</v>
      </c>
      <c r="CA6" s="29">
        <f>COUNTIFS(tblDeaths[Month],12,tblDeaths[AgeUnit],"Years",tblDeaths[Age],"&gt;="&amp;1,tblDeaths[Age],"&lt;="&amp;4,tblDeaths[Sex],"M")</f>
        <v>0</v>
      </c>
      <c r="CB6" s="29">
        <f>COUNTIFS(tblDeaths[Month],12,tblDeaths[AgeUnit],"Years",tblDeaths[Age],"&gt;="&amp;1,tblDeaths[Age],"&lt;="&amp;4,tblDeaths[Sex],"F")</f>
        <v>0</v>
      </c>
      <c r="CC6" s="29">
        <f>COUNTIFS(tblDeaths[Month],12,tblDeaths[AgeUnit],"Years",tblDeaths[Age],"&gt;="&amp;1,tblDeaths[Age],"&lt;="&amp;4,tblDeaths[Sex],"M",tblDeaths[NHIS],"Non-Insured")</f>
        <v>0</v>
      </c>
      <c r="CD6" s="29">
        <f>COUNTIFS(tblDeaths[Month],12,tblDeaths[AgeUnit],"Years",tblDeaths[Age],"&gt;="&amp;1,tblDeaths[Age],"&lt;="&amp;4,tblDeaths[Sex],"F",tblDeaths[NHIS],"Non-Insured")</f>
        <v>0</v>
      </c>
      <c r="CE6" s="29">
        <f>COUNTIFS(tblDeaths[Month],12,tblDeaths[AgeUnit],"Years",tblDeaths[Age],"&gt;="&amp;1,tblDeaths[Age],"&lt;="&amp;4,tblDeaths[Sex],"M",tblDeaths[NHIS],"Insured")</f>
        <v>0</v>
      </c>
      <c r="CF6" s="29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29" t="s">
        <v>178</v>
      </c>
      <c r="B7" s="29">
        <f>COUNTIFS(tblDeaths[Month],1,tblDeaths[AgeUnit],"Years",tblDeaths[Age],"&gt;="&amp;5,tblDeaths[Age],"&lt;="&amp;9,tblDeaths[Sex],"M")</f>
        <v>0</v>
      </c>
      <c r="C7" s="29">
        <f>COUNTIFS(tblDeaths[Month],1,tblDeaths[AgeUnit],"Years",tblDeaths[Age],"&gt;="&amp;5,tblDeaths[Age],"&lt;="&amp;9,tblDeaths[Sex],"F")</f>
        <v>0</v>
      </c>
      <c r="D7" s="29">
        <f>COUNTIFS(tblDeaths[Month],1,tblDeaths[AgeUnit],"Years",tblDeaths[Age],"&gt;="&amp;5,tblDeaths[Age],"&lt;="&amp;9,tblDeaths[Sex],"M",tblDeaths[NHIS],"Non-Insured")</f>
        <v>0</v>
      </c>
      <c r="E7" s="29">
        <f>COUNTIFS(tblDeaths[Month],1,tblDeaths[AgeUnit],"Years",tblDeaths[Age],"&gt;="&amp;5,tblDeaths[Age],"&lt;="&amp;9,tblDeaths[Sex],"F",tblDeaths[NHIS],"Non-Insured")</f>
        <v>0</v>
      </c>
      <c r="F7" s="29">
        <f>COUNTIFS(tblDeaths[Month],1,tblDeaths[AgeUnit],"Years",tblDeaths[Age],"&gt;="&amp;5,tblDeaths[Age],"&lt;="&amp;9,tblDeaths[Sex],"M",tblDeaths[NHIS],"Insured")</f>
        <v>0</v>
      </c>
      <c r="G7" s="29">
        <f>COUNTIFS(tblDeaths[Month],1,tblDeaths[AgeUnit],"Years",tblDeaths[Age],"&gt;="&amp;5,tblDeaths[Age],"&lt;="&amp;9,tblDeaths[Sex],"F",tblDeaths[NHIS],"Insured")</f>
        <v>0</v>
      </c>
      <c r="H7" s="29" t="s">
        <v>178</v>
      </c>
      <c r="I7" s="29">
        <f>COUNTIFS(tblDeaths[Month],2,tblDeaths[AgeUnit],"Years",tblDeaths[Age],"&gt;="&amp;5,tblDeaths[Age],"&lt;="&amp;9,tblDeaths[Sex],"M")</f>
        <v>0</v>
      </c>
      <c r="J7" s="29">
        <f>COUNTIFS(tblDeaths[Month],2,tblDeaths[AgeUnit],"Years",tblDeaths[Age],"&gt;="&amp;5,tblDeaths[Age],"&lt;="&amp;9,tblDeaths[Sex],"F")</f>
        <v>0</v>
      </c>
      <c r="K7" s="29">
        <f>COUNTIFS(tblDeaths[Month],2,tblDeaths[AgeUnit],"Years",tblDeaths[Age],"&gt;="&amp;5,tblDeaths[Age],"&lt;="&amp;9,tblDeaths[Sex],"M",tblDeaths[NHIS],"Non-Insured")</f>
        <v>0</v>
      </c>
      <c r="L7" s="29">
        <f>COUNTIFS(tblDeaths[Month],2,tblDeaths[AgeUnit],"Years",tblDeaths[Age],"&gt;="&amp;5,tblDeaths[Age],"&lt;="&amp;9,tblDeaths[Sex],"F",tblDeaths[NHIS],"Non-Insured")</f>
        <v>0</v>
      </c>
      <c r="M7" s="29">
        <f>COUNTIFS(tblDeaths[Month],2,tblDeaths[AgeUnit],"Years",tblDeaths[Age],"&gt;="&amp;5,tblDeaths[Age],"&lt;="&amp;9,tblDeaths[Sex],"M",tblDeaths[NHIS],"Insured")</f>
        <v>0</v>
      </c>
      <c r="N7" s="29">
        <f>COUNTIFS(tblDeaths[Month],2,tblDeaths[AgeUnit],"Years",tblDeaths[Age],"&gt;="&amp;5,tblDeaths[Age],"&lt;="&amp;9,tblDeaths[Sex],"F",tblDeaths[NHIS],"Insured")</f>
        <v>0</v>
      </c>
      <c r="O7" s="29" t="s">
        <v>178</v>
      </c>
      <c r="P7" s="29">
        <f>COUNTIFS(tblDeaths[Month],3,tblDeaths[AgeUnit],"Years",tblDeaths[Age],"&gt;="&amp;5,tblDeaths[Age],"&lt;="&amp;9,tblDeaths[Sex],"M")</f>
        <v>0</v>
      </c>
      <c r="Q7" s="29">
        <f>COUNTIFS(tblDeaths[Month],3,tblDeaths[AgeUnit],"Years",tblDeaths[Age],"&gt;="&amp;5,tblDeaths[Age],"&lt;="&amp;9,tblDeaths[Sex],"F")</f>
        <v>0</v>
      </c>
      <c r="R7" s="29">
        <f>COUNTIFS(tblDeaths[Month],3,tblDeaths[AgeUnit],"Years",tblDeaths[Age],"&gt;="&amp;5,tblDeaths[Age],"&lt;="&amp;9,tblDeaths[Sex],"M",tblDeaths[NHIS],"Non-Insured")</f>
        <v>0</v>
      </c>
      <c r="S7" s="29">
        <f>COUNTIFS(tblDeaths[Month],3,tblDeaths[AgeUnit],"Years",tblDeaths[Age],"&gt;="&amp;5,tblDeaths[Age],"&lt;="&amp;9,tblDeaths[Sex],"F",tblDeaths[NHIS],"Non-Insured")</f>
        <v>0</v>
      </c>
      <c r="T7" s="29">
        <f>COUNTIFS(tblDeaths[Month],3,tblDeaths[AgeUnit],"Years",tblDeaths[Age],"&gt;="&amp;5,tblDeaths[Age],"&lt;="&amp;9,tblDeaths[Sex],"M",tblDeaths[NHIS],"Insured")</f>
        <v>0</v>
      </c>
      <c r="U7" s="29">
        <f>COUNTIFS(tblDeaths[Month],3,tblDeaths[AgeUnit],"Years",tblDeaths[Age],"&gt;="&amp;5,tblDeaths[Age],"&lt;="&amp;9,tblDeaths[Sex],"F",tblDeaths[NHIS],"Insured")</f>
        <v>0</v>
      </c>
      <c r="V7" s="29" t="s">
        <v>178</v>
      </c>
      <c r="W7" s="29">
        <f>COUNTIFS(tblDeaths[Month],4,tblDeaths[AgeUnit],"Years",tblDeaths[Age],"&gt;="&amp;5,tblDeaths[Age],"&lt;="&amp;9,tblDeaths[Sex],"M")</f>
        <v>0</v>
      </c>
      <c r="X7" s="29">
        <f>COUNTIFS(tblDeaths[Month],4,tblDeaths[AgeUnit],"Years",tblDeaths[Age],"&gt;="&amp;5,tblDeaths[Age],"&lt;="&amp;9,tblDeaths[Sex],"F")</f>
        <v>0</v>
      </c>
      <c r="Y7" s="29">
        <f>COUNTIFS(tblDeaths[Month],4,tblDeaths[AgeUnit],"Years",tblDeaths[Age],"&gt;="&amp;5,tblDeaths[Age],"&lt;="&amp;9,tblDeaths[Sex],"M",tblDeaths[NHIS],"Non-Insured")</f>
        <v>0</v>
      </c>
      <c r="Z7" s="29">
        <f>COUNTIFS(tblDeaths[Month],4,tblDeaths[AgeUnit],"Years",tblDeaths[Age],"&gt;="&amp;5,tblDeaths[Age],"&lt;="&amp;9,tblDeaths[Sex],"F",tblDeaths[NHIS],"Non-Insured")</f>
        <v>0</v>
      </c>
      <c r="AA7" s="29">
        <f>COUNTIFS(tblDeaths[Month],4,tblDeaths[AgeUnit],"Years",tblDeaths[Age],"&gt;="&amp;5,tblDeaths[Age],"&lt;="&amp;9,tblDeaths[Sex],"M",tblDeaths[NHIS],"Insured")</f>
        <v>0</v>
      </c>
      <c r="AB7" s="29">
        <f>COUNTIFS(tblDeaths[Month],4,tblDeaths[AgeUnit],"Years",tblDeaths[Age],"&gt;="&amp;5,tblDeaths[Age],"&lt;="&amp;9,tblDeaths[Sex],"F",tblDeaths[NHIS],"Insured")</f>
        <v>0</v>
      </c>
      <c r="AC7" s="29" t="s">
        <v>178</v>
      </c>
      <c r="AD7" s="29">
        <f>COUNTIFS(tblDeaths[Month],5,tblDeaths[AgeUnit],"Years",tblDeaths[Age],"&gt;="&amp;5,tblDeaths[Age],"&lt;="&amp;9,tblDeaths[Sex],"M")</f>
        <v>0</v>
      </c>
      <c r="AE7" s="29">
        <f>COUNTIFS(tblDeaths[Month],5,tblDeaths[AgeUnit],"Years",tblDeaths[Age],"&gt;="&amp;5,tblDeaths[Age],"&lt;="&amp;9,tblDeaths[Sex],"F")</f>
        <v>0</v>
      </c>
      <c r="AF7" s="29">
        <f>COUNTIFS(tblDeaths[Month],5,tblDeaths[AgeUnit],"Years",tblDeaths[Age],"&gt;="&amp;5,tblDeaths[Age],"&lt;="&amp;9,tblDeaths[Sex],"M",tblDeaths[NHIS],"Non-Insured")</f>
        <v>0</v>
      </c>
      <c r="AG7" s="29">
        <f>COUNTIFS(tblDeaths[Month],5,tblDeaths[AgeUnit],"Years",tblDeaths[Age],"&gt;="&amp;5,tblDeaths[Age],"&lt;="&amp;9,tblDeaths[Sex],"F",tblDeaths[NHIS],"Non-Insured")</f>
        <v>0</v>
      </c>
      <c r="AH7" s="29">
        <f>COUNTIFS(tblDeaths[Month],5,tblDeaths[AgeUnit],"Years",tblDeaths[Age],"&gt;="&amp;5,tblDeaths[Age],"&lt;="&amp;9,tblDeaths[Sex],"M",tblDeaths[NHIS],"Insured")</f>
        <v>0</v>
      </c>
      <c r="AI7" s="29">
        <f>COUNTIFS(tblDeaths[Month],5,tblDeaths[AgeUnit],"Years",tblDeaths[Age],"&gt;="&amp;5,tblDeaths[Age],"&lt;="&amp;9,tblDeaths[Sex],"F",tblDeaths[NHIS],"Insured")</f>
        <v>0</v>
      </c>
      <c r="AJ7" s="29" t="s">
        <v>178</v>
      </c>
      <c r="AK7" s="29">
        <f>COUNTIFS(tblDeaths[Month],6,tblDeaths[AgeUnit],"Years",tblDeaths[Age],"&gt;="&amp;5,tblDeaths[Age],"&lt;="&amp;9,tblDeaths[Sex],"M")</f>
        <v>0</v>
      </c>
      <c r="AL7" s="29">
        <f>COUNTIFS(tblDeaths[Month],6,tblDeaths[AgeUnit],"Years",tblDeaths[Age],"&gt;="&amp;5,tblDeaths[Age],"&lt;="&amp;9,tblDeaths[Sex],"F")</f>
        <v>0</v>
      </c>
      <c r="AM7" s="29">
        <f>COUNTIFS(tblDeaths[Month],6,tblDeaths[AgeUnit],"Years",tblDeaths[Age],"&gt;="&amp;5,tblDeaths[Age],"&lt;="&amp;9,tblDeaths[Sex],"M",tblDeaths[NHIS],"Non-Insured")</f>
        <v>0</v>
      </c>
      <c r="AN7" s="29">
        <f>COUNTIFS(tblDeaths[Month],6,tblDeaths[AgeUnit],"Years",tblDeaths[Age],"&gt;="&amp;5,tblDeaths[Age],"&lt;="&amp;9,tblDeaths[Sex],"F",tblDeaths[NHIS],"Non-Insured")</f>
        <v>0</v>
      </c>
      <c r="AO7" s="29">
        <f>COUNTIFS(tblDeaths[Month],6,tblDeaths[AgeUnit],"Years",tblDeaths[Age],"&gt;="&amp;5,tblDeaths[Age],"&lt;="&amp;9,tblDeaths[Sex],"M",tblDeaths[NHIS],"Insured")</f>
        <v>0</v>
      </c>
      <c r="AP7" s="29">
        <f>COUNTIFS(tblDeaths[Month],6,tblDeaths[AgeUnit],"Years",tblDeaths[Age],"&gt;="&amp;5,tblDeaths[Age],"&lt;="&amp;9,tblDeaths[Sex],"F",tblDeaths[NHIS],"Insured")</f>
        <v>0</v>
      </c>
      <c r="AQ7" s="29" t="s">
        <v>178</v>
      </c>
      <c r="AR7" s="29">
        <f>COUNTIFS(tblDeaths[Month],7,tblDeaths[AgeUnit],"Years",tblDeaths[Age],"&gt;="&amp;5,tblDeaths[Age],"&lt;="&amp;9,tblDeaths[Sex],"M")</f>
        <v>0</v>
      </c>
      <c r="AS7" s="29">
        <f>COUNTIFS(tblDeaths[Month],7,tblDeaths[AgeUnit],"Years",tblDeaths[Age],"&gt;="&amp;5,tblDeaths[Age],"&lt;="&amp;9,tblDeaths[Sex],"F")</f>
        <v>0</v>
      </c>
      <c r="AT7" s="29">
        <f>COUNTIFS(tblDeaths[Month],7,tblDeaths[AgeUnit],"Years",tblDeaths[Age],"&gt;="&amp;5,tblDeaths[Age],"&lt;="&amp;9,tblDeaths[Sex],"M",tblDeaths[NHIS],"Non-Insured")</f>
        <v>0</v>
      </c>
      <c r="AU7" s="29">
        <f>COUNTIFS(tblDeaths[Month],7,tblDeaths[AgeUnit],"Years",tblDeaths[Age],"&gt;="&amp;5,tblDeaths[Age],"&lt;="&amp;9,tblDeaths[Sex],"F",tblDeaths[NHIS],"Non-Insured")</f>
        <v>0</v>
      </c>
      <c r="AV7" s="29">
        <f>COUNTIFS(tblDeaths[Month],7,tblDeaths[AgeUnit],"Years",tblDeaths[Age],"&gt;="&amp;5,tblDeaths[Age],"&lt;="&amp;9,tblDeaths[Sex],"M",tblDeaths[NHIS],"Insured")</f>
        <v>0</v>
      </c>
      <c r="AW7" s="29">
        <f>COUNTIFS(tblDeaths[Month],7,tblDeaths[AgeUnit],"Years",tblDeaths[Age],"&gt;="&amp;5,tblDeaths[Age],"&lt;="&amp;9,tblDeaths[Sex],"F",tblDeaths[NHIS],"Insured")</f>
        <v>0</v>
      </c>
      <c r="AX7" s="29" t="s">
        <v>178</v>
      </c>
      <c r="AY7" s="29">
        <f>COUNTIFS(tblDeaths[Month],8,tblDeaths[AgeUnit],"Years",tblDeaths[Age],"&gt;="&amp;5,tblDeaths[Age],"&lt;="&amp;9,tblDeaths[Sex],"M")</f>
        <v>0</v>
      </c>
      <c r="AZ7" s="29">
        <f>COUNTIFS(tblDeaths[Month],8,tblDeaths[AgeUnit],"Years",tblDeaths[Age],"&gt;="&amp;5,tblDeaths[Age],"&lt;="&amp;9,tblDeaths[Sex],"F")</f>
        <v>0</v>
      </c>
      <c r="BA7" s="29">
        <f>COUNTIFS(tblDeaths[Month],8,tblDeaths[AgeUnit],"Years",tblDeaths[Age],"&gt;="&amp;5,tblDeaths[Age],"&lt;="&amp;9,tblDeaths[Sex],"M",tblDeaths[NHIS],"Non-Insured")</f>
        <v>0</v>
      </c>
      <c r="BB7" s="29">
        <f>COUNTIFS(tblDeaths[Month],8,tblDeaths[AgeUnit],"Years",tblDeaths[Age],"&gt;="&amp;5,tblDeaths[Age],"&lt;="&amp;9,tblDeaths[Sex],"F",tblDeaths[NHIS],"Non-Insured")</f>
        <v>0</v>
      </c>
      <c r="BC7" s="29">
        <f>COUNTIFS(tblDeaths[Month],8,tblDeaths[AgeUnit],"Years",tblDeaths[Age],"&gt;="&amp;5,tblDeaths[Age],"&lt;="&amp;9,tblDeaths[Sex],"M",tblDeaths[NHIS],"Insured")</f>
        <v>0</v>
      </c>
      <c r="BD7" s="29">
        <f>COUNTIFS(tblDeaths[Month],8,tblDeaths[AgeUnit],"Years",tblDeaths[Age],"&gt;="&amp;5,tblDeaths[Age],"&lt;="&amp;9,tblDeaths[Sex],"F",tblDeaths[NHIS],"Insured")</f>
        <v>0</v>
      </c>
      <c r="BE7" s="29" t="s">
        <v>178</v>
      </c>
      <c r="BF7" s="29">
        <f>COUNTIFS(tblDeaths[Month],9,tblDeaths[AgeUnit],"Years",tblDeaths[Age],"&gt;="&amp;5,tblDeaths[Age],"&lt;="&amp;9,tblDeaths[Sex],"M")</f>
        <v>0</v>
      </c>
      <c r="BG7" s="29">
        <f>COUNTIFS(tblDeaths[Month],9,tblDeaths[AgeUnit],"Years",tblDeaths[Age],"&gt;="&amp;5,tblDeaths[Age],"&lt;="&amp;9,tblDeaths[Sex],"F")</f>
        <v>0</v>
      </c>
      <c r="BH7" s="29">
        <f>COUNTIFS(tblDeaths[Month],9,tblDeaths[AgeUnit],"Years",tblDeaths[Age],"&gt;="&amp;5,tblDeaths[Age],"&lt;="&amp;9,tblDeaths[Sex],"M",tblDeaths[NHIS],"Non-Insured")</f>
        <v>0</v>
      </c>
      <c r="BI7" s="29">
        <f>COUNTIFS(tblDeaths[Month],9,tblDeaths[AgeUnit],"Years",tblDeaths[Age],"&gt;="&amp;5,tblDeaths[Age],"&lt;="&amp;9,tblDeaths[Sex],"F",tblDeaths[NHIS],"Non-Insured")</f>
        <v>0</v>
      </c>
      <c r="BJ7" s="29">
        <f>COUNTIFS(tblDeaths[Month],9,tblDeaths[AgeUnit],"Years",tblDeaths[Age],"&gt;="&amp;5,tblDeaths[Age],"&lt;="&amp;9,tblDeaths[Sex],"M",tblDeaths[NHIS],"Insured")</f>
        <v>0</v>
      </c>
      <c r="BK7" s="29">
        <f>COUNTIFS(tblDeaths[Month],9,tblDeaths[AgeUnit],"Years",tblDeaths[Age],"&gt;="&amp;5,tblDeaths[Age],"&lt;="&amp;9,tblDeaths[Sex],"F",tblDeaths[NHIS],"Insured")</f>
        <v>0</v>
      </c>
      <c r="BL7" s="29" t="s">
        <v>178</v>
      </c>
      <c r="BM7" s="29">
        <f>COUNTIFS(tblDeaths[Month],10,tblDeaths[AgeUnit],"Years",tblDeaths[Age],"&gt;="&amp;5,tblDeaths[Age],"&lt;="&amp;9,tblDeaths[Sex],"M")</f>
        <v>0</v>
      </c>
      <c r="BN7" s="29">
        <f>COUNTIFS(tblDeaths[Month],10,tblDeaths[AgeUnit],"Years",tblDeaths[Age],"&gt;="&amp;5,tblDeaths[Age],"&lt;="&amp;9,tblDeaths[Sex],"F")</f>
        <v>0</v>
      </c>
      <c r="BO7" s="29">
        <f>COUNTIFS(tblDeaths[Month],10,tblDeaths[AgeUnit],"Years",tblDeaths[Age],"&gt;="&amp;5,tblDeaths[Age],"&lt;="&amp;9,tblDeaths[Sex],"M",tblDeaths[NHIS],"Non-Insured")</f>
        <v>0</v>
      </c>
      <c r="BP7" s="29">
        <f>COUNTIFS(tblDeaths[Month],10,tblDeaths[AgeUnit],"Years",tblDeaths[Age],"&gt;="&amp;5,tblDeaths[Age],"&lt;="&amp;9,tblDeaths[Sex],"F",tblDeaths[NHIS],"Non-Insured")</f>
        <v>0</v>
      </c>
      <c r="BQ7" s="29">
        <f>COUNTIFS(tblDeaths[Month],10,tblDeaths[AgeUnit],"Years",tblDeaths[Age],"&gt;="&amp;5,tblDeaths[Age],"&lt;="&amp;9,tblDeaths[Sex],"M",tblDeaths[NHIS],"Insured")</f>
        <v>0</v>
      </c>
      <c r="BR7" s="29">
        <f>COUNTIFS(tblDeaths[Month],10,tblDeaths[AgeUnit],"Years",tblDeaths[Age],"&gt;="&amp;5,tblDeaths[Age],"&lt;="&amp;9,tblDeaths[Sex],"F",tblDeaths[NHIS],"Insured")</f>
        <v>0</v>
      </c>
      <c r="BS7" s="29" t="s">
        <v>178</v>
      </c>
      <c r="BT7" s="29">
        <f>COUNTIFS(tblDeaths[Month],11,tblDeaths[AgeUnit],"Years",tblDeaths[Age],"&gt;="&amp;5,tblDeaths[Age],"&lt;="&amp;9,tblDeaths[Sex],"M")</f>
        <v>0</v>
      </c>
      <c r="BU7" s="29">
        <f>COUNTIFS(tblDeaths[Month],11,tblDeaths[AgeUnit],"Years",tblDeaths[Age],"&gt;="&amp;5,tblDeaths[Age],"&lt;="&amp;9,tblDeaths[Sex],"F")</f>
        <v>0</v>
      </c>
      <c r="BV7" s="29">
        <f>COUNTIFS(tblDeaths[Month],11,tblDeaths[AgeUnit],"Years",tblDeaths[Age],"&gt;="&amp;5,tblDeaths[Age],"&lt;="&amp;9,tblDeaths[Sex],"M",tblDeaths[NHIS],"Non-Insured")</f>
        <v>0</v>
      </c>
      <c r="BW7" s="29">
        <f>COUNTIFS(tblDeaths[Month],11,tblDeaths[AgeUnit],"Years",tblDeaths[Age],"&gt;="&amp;5,tblDeaths[Age],"&lt;="&amp;9,tblDeaths[Sex],"F",tblDeaths[NHIS],"Non-Insured")</f>
        <v>0</v>
      </c>
      <c r="BX7" s="29">
        <f>COUNTIFS(tblDeaths[Month],11,tblDeaths[AgeUnit],"Years",tblDeaths[Age],"&gt;="&amp;5,tblDeaths[Age],"&lt;="&amp;9,tblDeaths[Sex],"M",tblDeaths[NHIS],"Insured")</f>
        <v>0</v>
      </c>
      <c r="BY7" s="29">
        <f>COUNTIFS(tblDeaths[Month],11,tblDeaths[AgeUnit],"Years",tblDeaths[Age],"&gt;="&amp;5,tblDeaths[Age],"&lt;="&amp;9,tblDeaths[Sex],"F",tblDeaths[NHIS],"Insured")</f>
        <v>0</v>
      </c>
      <c r="BZ7" s="29" t="s">
        <v>178</v>
      </c>
      <c r="CA7" s="29">
        <f>COUNTIFS(tblDeaths[Month],12,tblDeaths[AgeUnit],"Years",tblDeaths[Age],"&gt;="&amp;5,tblDeaths[Age],"&lt;="&amp;9,tblDeaths[Sex],"M")</f>
        <v>0</v>
      </c>
      <c r="CB7" s="29">
        <f>COUNTIFS(tblDeaths[Month],12,tblDeaths[AgeUnit],"Years",tblDeaths[Age],"&gt;="&amp;5,tblDeaths[Age],"&lt;="&amp;9,tblDeaths[Sex],"F")</f>
        <v>0</v>
      </c>
      <c r="CC7" s="29">
        <f>COUNTIFS(tblDeaths[Month],12,tblDeaths[AgeUnit],"Years",tblDeaths[Age],"&gt;="&amp;5,tblDeaths[Age],"&lt;="&amp;9,tblDeaths[Sex],"M",tblDeaths[NHIS],"Non-Insured")</f>
        <v>0</v>
      </c>
      <c r="CD7" s="29">
        <f>COUNTIFS(tblDeaths[Month],12,tblDeaths[AgeUnit],"Years",tblDeaths[Age],"&gt;="&amp;5,tblDeaths[Age],"&lt;="&amp;9,tblDeaths[Sex],"F",tblDeaths[NHIS],"Non-Insured")</f>
        <v>0</v>
      </c>
      <c r="CE7" s="29">
        <f>COUNTIFS(tblDeaths[Month],12,tblDeaths[AgeUnit],"Years",tblDeaths[Age],"&gt;="&amp;5,tblDeaths[Age],"&lt;="&amp;9,tblDeaths[Sex],"M",tblDeaths[NHIS],"Insured")</f>
        <v>0</v>
      </c>
      <c r="CF7" s="29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29" t="s">
        <v>179</v>
      </c>
      <c r="B8" s="29">
        <f>COUNTIFS(tblDeaths[Month],1,tblDeaths[AgeUnit],"Years",tblDeaths[Age],"&gt;="&amp;10,tblDeaths[Age],"&lt;="&amp;14,tblDeaths[Sex],"M")</f>
        <v>0</v>
      </c>
      <c r="C8" s="29">
        <f>COUNTIFS(tblDeaths[Month],1,tblDeaths[AgeUnit],"Years",tblDeaths[Age],"&gt;="&amp;10,tblDeaths[Age],"&lt;="&amp;14,tblDeaths[Sex],"F")</f>
        <v>0</v>
      </c>
      <c r="D8" s="29">
        <f>COUNTIFS(tblDeaths[Month],1,tblDeaths[AgeUnit],"Years",tblDeaths[Age],"&gt;="&amp;10,tblDeaths[Age],"&lt;="&amp;14,tblDeaths[Sex],"M",tblDeaths[NHIS],"Non-Insured")</f>
        <v>0</v>
      </c>
      <c r="E8" s="29">
        <f>COUNTIFS(tblDeaths[Month],1,tblDeaths[AgeUnit],"Years",tblDeaths[Age],"&gt;="&amp;10,tblDeaths[Age],"&lt;="&amp;14,tblDeaths[Sex],"F",tblDeaths[NHIS],"Non-Insured")</f>
        <v>0</v>
      </c>
      <c r="F8" s="29">
        <f>COUNTIFS(tblDeaths[Month],1,tblDeaths[AgeUnit],"Years",tblDeaths[Age],"&gt;="&amp;10,tblDeaths[Age],"&lt;="&amp;14,tblDeaths[Sex],"M",tblDeaths[NHIS],"Insured")</f>
        <v>0</v>
      </c>
      <c r="G8" s="29">
        <f>COUNTIFS(tblDeaths[Month],1,tblDeaths[AgeUnit],"Years",tblDeaths[Age],"&gt;="&amp;10,tblDeaths[Age],"&lt;="&amp;14,tblDeaths[Sex],"F",tblDeaths[NHIS],"Insured")</f>
        <v>0</v>
      </c>
      <c r="H8" s="29" t="s">
        <v>179</v>
      </c>
      <c r="I8" s="29">
        <f>COUNTIFS(tblDeaths[Month],2,tblDeaths[AgeUnit],"Years",tblDeaths[Age],"&gt;="&amp;10,tblDeaths[Age],"&lt;="&amp;14,tblDeaths[Sex],"M")</f>
        <v>0</v>
      </c>
      <c r="J8" s="29">
        <f>COUNTIFS(tblDeaths[Month],2,tblDeaths[AgeUnit],"Years",tblDeaths[Age],"&gt;="&amp;10,tblDeaths[Age],"&lt;="&amp;14,tblDeaths[Sex],"F")</f>
        <v>0</v>
      </c>
      <c r="K8" s="29">
        <f>COUNTIFS(tblDeaths[Month],2,tblDeaths[AgeUnit],"Years",tblDeaths[Age],"&gt;="&amp;10,tblDeaths[Age],"&lt;="&amp;14,tblDeaths[Sex],"M",tblDeaths[NHIS],"Non-Insured")</f>
        <v>0</v>
      </c>
      <c r="L8" s="29">
        <f>COUNTIFS(tblDeaths[Month],2,tblDeaths[AgeUnit],"Years",tblDeaths[Age],"&gt;="&amp;10,tblDeaths[Age],"&lt;="&amp;14,tblDeaths[Sex],"F",tblDeaths[NHIS],"Non-Insured")</f>
        <v>0</v>
      </c>
      <c r="M8" s="29">
        <f>COUNTIFS(tblDeaths[Month],2,tblDeaths[AgeUnit],"Years",tblDeaths[Age],"&gt;="&amp;10,tblDeaths[Age],"&lt;="&amp;14,tblDeaths[Sex],"M",tblDeaths[NHIS],"Insured")</f>
        <v>0</v>
      </c>
      <c r="N8" s="29">
        <f>COUNTIFS(tblDeaths[Month],2,tblDeaths[AgeUnit],"Years",tblDeaths[Age],"&gt;="&amp;10,tblDeaths[Age],"&lt;="&amp;14,tblDeaths[Sex],"F",tblDeaths[NHIS],"Insured")</f>
        <v>0</v>
      </c>
      <c r="O8" s="29" t="s">
        <v>179</v>
      </c>
      <c r="P8" s="29">
        <f>COUNTIFS(tblDeaths[Month],3,tblDeaths[AgeUnit],"Years",tblDeaths[Age],"&gt;="&amp;10,tblDeaths[Age],"&lt;="&amp;14,tblDeaths[Sex],"M")</f>
        <v>1</v>
      </c>
      <c r="Q8" s="29">
        <f>COUNTIFS(tblDeaths[Month],3,tblDeaths[AgeUnit],"Years",tblDeaths[Age],"&gt;="&amp;10,tblDeaths[Age],"&lt;="&amp;14,tblDeaths[Sex],"F")</f>
        <v>0</v>
      </c>
      <c r="R8" s="29">
        <f>COUNTIFS(tblDeaths[Month],3,tblDeaths[AgeUnit],"Years",tblDeaths[Age],"&gt;="&amp;10,tblDeaths[Age],"&lt;="&amp;14,tblDeaths[Sex],"M",tblDeaths[NHIS],"Non-Insured")</f>
        <v>0</v>
      </c>
      <c r="S8" s="29">
        <f>COUNTIFS(tblDeaths[Month],3,tblDeaths[AgeUnit],"Years",tblDeaths[Age],"&gt;="&amp;10,tblDeaths[Age],"&lt;="&amp;14,tblDeaths[Sex],"F",tblDeaths[NHIS],"Non-Insured")</f>
        <v>0</v>
      </c>
      <c r="T8" s="29">
        <f>COUNTIFS(tblDeaths[Month],3,tblDeaths[AgeUnit],"Years",tblDeaths[Age],"&gt;="&amp;10,tblDeaths[Age],"&lt;="&amp;14,tblDeaths[Sex],"M",tblDeaths[NHIS],"Insured")</f>
        <v>1</v>
      </c>
      <c r="U8" s="29">
        <f>COUNTIFS(tblDeaths[Month],3,tblDeaths[AgeUnit],"Years",tblDeaths[Age],"&gt;="&amp;10,tblDeaths[Age],"&lt;="&amp;14,tblDeaths[Sex],"F",tblDeaths[NHIS],"Insured")</f>
        <v>0</v>
      </c>
      <c r="V8" s="29" t="s">
        <v>179</v>
      </c>
      <c r="W8" s="29">
        <f>COUNTIFS(tblDeaths[Month],4,tblDeaths[AgeUnit],"Years",tblDeaths[Age],"&gt;="&amp;10,tblDeaths[Age],"&lt;="&amp;14,tblDeaths[Sex],"M")</f>
        <v>0</v>
      </c>
      <c r="X8" s="29">
        <f>COUNTIFS(tblDeaths[Month],4,tblDeaths[AgeUnit],"Years",tblDeaths[Age],"&gt;="&amp;10,tblDeaths[Age],"&lt;="&amp;14,tblDeaths[Sex],"F")</f>
        <v>0</v>
      </c>
      <c r="Y8" s="29">
        <f>COUNTIFS(tblDeaths[Month],4,tblDeaths[AgeUnit],"Years",tblDeaths[Age],"&gt;="&amp;10,tblDeaths[Age],"&lt;="&amp;14,tblDeaths[Sex],"M",tblDeaths[NHIS],"Non-Insured")</f>
        <v>0</v>
      </c>
      <c r="Z8" s="29">
        <f>COUNTIFS(tblDeaths[Month],4,tblDeaths[AgeUnit],"Years",tblDeaths[Age],"&gt;="&amp;10,tblDeaths[Age],"&lt;="&amp;14,tblDeaths[Sex],"F",tblDeaths[NHIS],"Non-Insured")</f>
        <v>0</v>
      </c>
      <c r="AA8" s="29">
        <f>COUNTIFS(tblDeaths[Month],4,tblDeaths[AgeUnit],"Years",tblDeaths[Age],"&gt;="&amp;10,tblDeaths[Age],"&lt;="&amp;14,tblDeaths[Sex],"M",tblDeaths[NHIS],"Insured")</f>
        <v>0</v>
      </c>
      <c r="AB8" s="29">
        <f>COUNTIFS(tblDeaths[Month],4,tblDeaths[AgeUnit],"Years",tblDeaths[Age],"&gt;="&amp;10,tblDeaths[Age],"&lt;="&amp;14,tblDeaths[Sex],"F",tblDeaths[NHIS],"Insured")</f>
        <v>0</v>
      </c>
      <c r="AC8" s="29" t="s">
        <v>179</v>
      </c>
      <c r="AD8" s="29">
        <f>COUNTIFS(tblDeaths[Month],5,tblDeaths[AgeUnit],"Years",tblDeaths[Age],"&gt;="&amp;10,tblDeaths[Age],"&lt;="&amp;14,tblDeaths[Sex],"M")</f>
        <v>0</v>
      </c>
      <c r="AE8" s="29">
        <f>COUNTIFS(tblDeaths[Month],5,tblDeaths[AgeUnit],"Years",tblDeaths[Age],"&gt;="&amp;10,tblDeaths[Age],"&lt;="&amp;14,tblDeaths[Sex],"F")</f>
        <v>0</v>
      </c>
      <c r="AF8" s="29">
        <f>COUNTIFS(tblDeaths[Month],5,tblDeaths[AgeUnit],"Years",tblDeaths[Age],"&gt;="&amp;10,tblDeaths[Age],"&lt;="&amp;14,tblDeaths[Sex],"M",tblDeaths[NHIS],"Non-Insured")</f>
        <v>0</v>
      </c>
      <c r="AG8" s="29">
        <f>COUNTIFS(tblDeaths[Month],5,tblDeaths[AgeUnit],"Years",tblDeaths[Age],"&gt;="&amp;10,tblDeaths[Age],"&lt;="&amp;14,tblDeaths[Sex],"F",tblDeaths[NHIS],"Non-Insured")</f>
        <v>0</v>
      </c>
      <c r="AH8" s="29">
        <f>COUNTIFS(tblDeaths[Month],5,tblDeaths[AgeUnit],"Years",tblDeaths[Age],"&gt;="&amp;10,tblDeaths[Age],"&lt;="&amp;14,tblDeaths[Sex],"M",tblDeaths[NHIS],"Insured")</f>
        <v>0</v>
      </c>
      <c r="AI8" s="29">
        <f>COUNTIFS(tblDeaths[Month],5,tblDeaths[AgeUnit],"Years",tblDeaths[Age],"&gt;="&amp;10,tblDeaths[Age],"&lt;="&amp;14,tblDeaths[Sex],"F",tblDeaths[NHIS],"Insured")</f>
        <v>0</v>
      </c>
      <c r="AJ8" s="29" t="s">
        <v>179</v>
      </c>
      <c r="AK8" s="29">
        <f>COUNTIFS(tblDeaths[Month],6,tblDeaths[AgeUnit],"Years",tblDeaths[Age],"&gt;="&amp;10,tblDeaths[Age],"&lt;="&amp;14,tblDeaths[Sex],"M")</f>
        <v>0</v>
      </c>
      <c r="AL8" s="29">
        <f>COUNTIFS(tblDeaths[Month],6,tblDeaths[AgeUnit],"Years",tblDeaths[Age],"&gt;="&amp;10,tblDeaths[Age],"&lt;="&amp;14,tblDeaths[Sex],"F")</f>
        <v>0</v>
      </c>
      <c r="AM8" s="29">
        <f>COUNTIFS(tblDeaths[Month],6,tblDeaths[AgeUnit],"Years",tblDeaths[Age],"&gt;="&amp;10,tblDeaths[Age],"&lt;="&amp;14,tblDeaths[Sex],"M",tblDeaths[NHIS],"Non-Insured")</f>
        <v>0</v>
      </c>
      <c r="AN8" s="29">
        <f>COUNTIFS(tblDeaths[Month],6,tblDeaths[AgeUnit],"Years",tblDeaths[Age],"&gt;="&amp;10,tblDeaths[Age],"&lt;="&amp;14,tblDeaths[Sex],"F",tblDeaths[NHIS],"Non-Insured")</f>
        <v>0</v>
      </c>
      <c r="AO8" s="29">
        <f>COUNTIFS(tblDeaths[Month],6,tblDeaths[AgeUnit],"Years",tblDeaths[Age],"&gt;="&amp;10,tblDeaths[Age],"&lt;="&amp;14,tblDeaths[Sex],"M",tblDeaths[NHIS],"Insured")</f>
        <v>0</v>
      </c>
      <c r="AP8" s="29">
        <f>COUNTIFS(tblDeaths[Month],6,tblDeaths[AgeUnit],"Years",tblDeaths[Age],"&gt;="&amp;10,tblDeaths[Age],"&lt;="&amp;14,tblDeaths[Sex],"F",tblDeaths[NHIS],"Insured")</f>
        <v>0</v>
      </c>
      <c r="AQ8" s="29" t="s">
        <v>179</v>
      </c>
      <c r="AR8" s="29">
        <f>COUNTIFS(tblDeaths[Month],7,tblDeaths[AgeUnit],"Years",tblDeaths[Age],"&gt;="&amp;10,tblDeaths[Age],"&lt;="&amp;14,tblDeaths[Sex],"M")</f>
        <v>0</v>
      </c>
      <c r="AS8" s="29">
        <f>COUNTIFS(tblDeaths[Month],7,tblDeaths[AgeUnit],"Years",tblDeaths[Age],"&gt;="&amp;10,tblDeaths[Age],"&lt;="&amp;14,tblDeaths[Sex],"F")</f>
        <v>0</v>
      </c>
      <c r="AT8" s="29">
        <f>COUNTIFS(tblDeaths[Month],7,tblDeaths[AgeUnit],"Years",tblDeaths[Age],"&gt;="&amp;10,tblDeaths[Age],"&lt;="&amp;14,tblDeaths[Sex],"M",tblDeaths[NHIS],"Non-Insured")</f>
        <v>0</v>
      </c>
      <c r="AU8" s="29">
        <f>COUNTIFS(tblDeaths[Month],7,tblDeaths[AgeUnit],"Years",tblDeaths[Age],"&gt;="&amp;10,tblDeaths[Age],"&lt;="&amp;14,tblDeaths[Sex],"F",tblDeaths[NHIS],"Non-Insured")</f>
        <v>0</v>
      </c>
      <c r="AV8" s="29">
        <f>COUNTIFS(tblDeaths[Month],7,tblDeaths[AgeUnit],"Years",tblDeaths[Age],"&gt;="&amp;10,tblDeaths[Age],"&lt;="&amp;14,tblDeaths[Sex],"M",tblDeaths[NHIS],"Insured")</f>
        <v>0</v>
      </c>
      <c r="AW8" s="29">
        <f>COUNTIFS(tblDeaths[Month],7,tblDeaths[AgeUnit],"Years",tblDeaths[Age],"&gt;="&amp;10,tblDeaths[Age],"&lt;="&amp;14,tblDeaths[Sex],"F",tblDeaths[NHIS],"Insured")</f>
        <v>0</v>
      </c>
      <c r="AX8" s="29" t="s">
        <v>179</v>
      </c>
      <c r="AY8" s="29">
        <f>COUNTIFS(tblDeaths[Month],8,tblDeaths[AgeUnit],"Years",tblDeaths[Age],"&gt;="&amp;10,tblDeaths[Age],"&lt;="&amp;14,tblDeaths[Sex],"M")</f>
        <v>0</v>
      </c>
      <c r="AZ8" s="29">
        <f>COUNTIFS(tblDeaths[Month],8,tblDeaths[AgeUnit],"Years",tblDeaths[Age],"&gt;="&amp;10,tblDeaths[Age],"&lt;="&amp;14,tblDeaths[Sex],"F")</f>
        <v>0</v>
      </c>
      <c r="BA8" s="29">
        <f>COUNTIFS(tblDeaths[Month],8,tblDeaths[AgeUnit],"Years",tblDeaths[Age],"&gt;="&amp;10,tblDeaths[Age],"&lt;="&amp;14,tblDeaths[Sex],"M",tblDeaths[NHIS],"Non-Insured")</f>
        <v>0</v>
      </c>
      <c r="BB8" s="29">
        <f>COUNTIFS(tblDeaths[Month],8,tblDeaths[AgeUnit],"Years",tblDeaths[Age],"&gt;="&amp;10,tblDeaths[Age],"&lt;="&amp;14,tblDeaths[Sex],"F",tblDeaths[NHIS],"Non-Insured")</f>
        <v>0</v>
      </c>
      <c r="BC8" s="29">
        <f>COUNTIFS(tblDeaths[Month],8,tblDeaths[AgeUnit],"Years",tblDeaths[Age],"&gt;="&amp;10,tblDeaths[Age],"&lt;="&amp;14,tblDeaths[Sex],"M",tblDeaths[NHIS],"Insured")</f>
        <v>0</v>
      </c>
      <c r="BD8" s="29">
        <f>COUNTIFS(tblDeaths[Month],8,tblDeaths[AgeUnit],"Years",tblDeaths[Age],"&gt;="&amp;10,tblDeaths[Age],"&lt;="&amp;14,tblDeaths[Sex],"F",tblDeaths[NHIS],"Insured")</f>
        <v>0</v>
      </c>
      <c r="BE8" s="29" t="s">
        <v>179</v>
      </c>
      <c r="BF8" s="29">
        <f>COUNTIFS(tblDeaths[Month],9,tblDeaths[AgeUnit],"Years",tblDeaths[Age],"&gt;="&amp;10,tblDeaths[Age],"&lt;="&amp;14,tblDeaths[Sex],"M")</f>
        <v>0</v>
      </c>
      <c r="BG8" s="29">
        <f>COUNTIFS(tblDeaths[Month],9,tblDeaths[AgeUnit],"Years",tblDeaths[Age],"&gt;="&amp;10,tblDeaths[Age],"&lt;="&amp;14,tblDeaths[Sex],"F")</f>
        <v>0</v>
      </c>
      <c r="BH8" s="29">
        <f>COUNTIFS(tblDeaths[Month],9,tblDeaths[AgeUnit],"Years",tblDeaths[Age],"&gt;="&amp;10,tblDeaths[Age],"&lt;="&amp;14,tblDeaths[Sex],"M",tblDeaths[NHIS],"Non-Insured")</f>
        <v>0</v>
      </c>
      <c r="BI8" s="29">
        <f>COUNTIFS(tblDeaths[Month],9,tblDeaths[AgeUnit],"Years",tblDeaths[Age],"&gt;="&amp;10,tblDeaths[Age],"&lt;="&amp;14,tblDeaths[Sex],"F",tblDeaths[NHIS],"Non-Insured")</f>
        <v>0</v>
      </c>
      <c r="BJ8" s="29">
        <f>COUNTIFS(tblDeaths[Month],9,tblDeaths[AgeUnit],"Years",tblDeaths[Age],"&gt;="&amp;10,tblDeaths[Age],"&lt;="&amp;14,tblDeaths[Sex],"M",tblDeaths[NHIS],"Insured")</f>
        <v>0</v>
      </c>
      <c r="BK8" s="29">
        <f>COUNTIFS(tblDeaths[Month],9,tblDeaths[AgeUnit],"Years",tblDeaths[Age],"&gt;="&amp;10,tblDeaths[Age],"&lt;="&amp;14,tblDeaths[Sex],"F",tblDeaths[NHIS],"Insured")</f>
        <v>0</v>
      </c>
      <c r="BL8" s="29" t="s">
        <v>179</v>
      </c>
      <c r="BM8" s="29">
        <f>COUNTIFS(tblDeaths[Month],10,tblDeaths[AgeUnit],"Years",tblDeaths[Age],"&gt;="&amp;10,tblDeaths[Age],"&lt;="&amp;14,tblDeaths[Sex],"M")</f>
        <v>0</v>
      </c>
      <c r="BN8" s="29">
        <f>COUNTIFS(tblDeaths[Month],10,tblDeaths[AgeUnit],"Years",tblDeaths[Age],"&gt;="&amp;10,tblDeaths[Age],"&lt;="&amp;14,tblDeaths[Sex],"F")</f>
        <v>0</v>
      </c>
      <c r="BO8" s="29">
        <f>COUNTIFS(tblDeaths[Month],10,tblDeaths[AgeUnit],"Years",tblDeaths[Age],"&gt;="&amp;10,tblDeaths[Age],"&lt;="&amp;14,tblDeaths[Sex],"M",tblDeaths[NHIS],"Non-Insured")</f>
        <v>0</v>
      </c>
      <c r="BP8" s="29">
        <f>COUNTIFS(tblDeaths[Month],10,tblDeaths[AgeUnit],"Years",tblDeaths[Age],"&gt;="&amp;10,tblDeaths[Age],"&lt;="&amp;14,tblDeaths[Sex],"F",tblDeaths[NHIS],"Non-Insured")</f>
        <v>0</v>
      </c>
      <c r="BQ8" s="29">
        <f>COUNTIFS(tblDeaths[Month],10,tblDeaths[AgeUnit],"Years",tblDeaths[Age],"&gt;="&amp;10,tblDeaths[Age],"&lt;="&amp;14,tblDeaths[Sex],"M",tblDeaths[NHIS],"Insured")</f>
        <v>0</v>
      </c>
      <c r="BR8" s="29">
        <f>COUNTIFS(tblDeaths[Month],10,tblDeaths[AgeUnit],"Years",tblDeaths[Age],"&gt;="&amp;10,tblDeaths[Age],"&lt;="&amp;14,tblDeaths[Sex],"F",tblDeaths[NHIS],"Insured")</f>
        <v>0</v>
      </c>
      <c r="BS8" s="29" t="s">
        <v>179</v>
      </c>
      <c r="BT8" s="29">
        <f>COUNTIFS(tblDeaths[Month],11,tblDeaths[AgeUnit],"Years",tblDeaths[Age],"&gt;="&amp;10,tblDeaths[Age],"&lt;="&amp;14,tblDeaths[Sex],"M")</f>
        <v>0</v>
      </c>
      <c r="BU8" s="29">
        <f>COUNTIFS(tblDeaths[Month],11,tblDeaths[AgeUnit],"Years",tblDeaths[Age],"&gt;="&amp;10,tblDeaths[Age],"&lt;="&amp;14,tblDeaths[Sex],"F")</f>
        <v>0</v>
      </c>
      <c r="BV8" s="29">
        <f>COUNTIFS(tblDeaths[Month],11,tblDeaths[AgeUnit],"Years",tblDeaths[Age],"&gt;="&amp;10,tblDeaths[Age],"&lt;="&amp;14,tblDeaths[Sex],"M",tblDeaths[NHIS],"Non-Insured")</f>
        <v>0</v>
      </c>
      <c r="BW8" s="29">
        <f>COUNTIFS(tblDeaths[Month],11,tblDeaths[AgeUnit],"Years",tblDeaths[Age],"&gt;="&amp;10,tblDeaths[Age],"&lt;="&amp;14,tblDeaths[Sex],"F",tblDeaths[NHIS],"Non-Insured")</f>
        <v>0</v>
      </c>
      <c r="BX8" s="29">
        <f>COUNTIFS(tblDeaths[Month],11,tblDeaths[AgeUnit],"Years",tblDeaths[Age],"&gt;="&amp;10,tblDeaths[Age],"&lt;="&amp;14,tblDeaths[Sex],"M",tblDeaths[NHIS],"Insured")</f>
        <v>0</v>
      </c>
      <c r="BY8" s="29">
        <f>COUNTIFS(tblDeaths[Month],11,tblDeaths[AgeUnit],"Years",tblDeaths[Age],"&gt;="&amp;10,tblDeaths[Age],"&lt;="&amp;14,tblDeaths[Sex],"F",tblDeaths[NHIS],"Insured")</f>
        <v>0</v>
      </c>
      <c r="BZ8" s="29" t="s">
        <v>179</v>
      </c>
      <c r="CA8" s="29">
        <f>COUNTIFS(tblDeaths[Month],12,tblDeaths[AgeUnit],"Years",tblDeaths[Age],"&gt;="&amp;10,tblDeaths[Age],"&lt;="&amp;14,tblDeaths[Sex],"M")</f>
        <v>0</v>
      </c>
      <c r="CB8" s="29">
        <f>COUNTIFS(tblDeaths[Month],12,tblDeaths[AgeUnit],"Years",tblDeaths[Age],"&gt;="&amp;10,tblDeaths[Age],"&lt;="&amp;14,tblDeaths[Sex],"F")</f>
        <v>0</v>
      </c>
      <c r="CC8" s="29">
        <f>COUNTIFS(tblDeaths[Month],12,tblDeaths[AgeUnit],"Years",tblDeaths[Age],"&gt;="&amp;10,tblDeaths[Age],"&lt;="&amp;14,tblDeaths[Sex],"M",tblDeaths[NHIS],"Non-Insured")</f>
        <v>0</v>
      </c>
      <c r="CD8" s="29">
        <f>COUNTIFS(tblDeaths[Month],12,tblDeaths[AgeUnit],"Years",tblDeaths[Age],"&gt;="&amp;10,tblDeaths[Age],"&lt;="&amp;14,tblDeaths[Sex],"F",tblDeaths[NHIS],"Non-Insured")</f>
        <v>0</v>
      </c>
      <c r="CE8" s="29">
        <f>COUNTIFS(tblDeaths[Month],12,tblDeaths[AgeUnit],"Years",tblDeaths[Age],"&gt;="&amp;10,tblDeaths[Age],"&lt;="&amp;14,tblDeaths[Sex],"M",tblDeaths[NHIS],"Insured")</f>
        <v>0</v>
      </c>
      <c r="CF8" s="29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29" t="s">
        <v>180</v>
      </c>
      <c r="B9" s="29">
        <f>COUNTIFS(tblDeaths[Month],1,tblDeaths[AgeUnit],"Years",tblDeaths[Age],"&gt;="&amp;15,tblDeaths[Age],"&lt;="&amp;17,tblDeaths[Sex],"M")</f>
        <v>0</v>
      </c>
      <c r="C9" s="29">
        <f>COUNTIFS(tblDeaths[Month],1,tblDeaths[AgeUnit],"Years",tblDeaths[Age],"&gt;="&amp;15,tblDeaths[Age],"&lt;="&amp;17,tblDeaths[Sex],"F")</f>
        <v>0</v>
      </c>
      <c r="D9" s="29">
        <f>COUNTIFS(tblDeaths[Month],1,tblDeaths[AgeUnit],"Years",tblDeaths[Age],"&gt;="&amp;15,tblDeaths[Age],"&lt;="&amp;17,tblDeaths[Sex],"M",tblDeaths[NHIS],"Non-Insured")</f>
        <v>0</v>
      </c>
      <c r="E9" s="29">
        <f>COUNTIFS(tblDeaths[Month],1,tblDeaths[AgeUnit],"Years",tblDeaths[Age],"&gt;="&amp;15,tblDeaths[Age],"&lt;="&amp;17,tblDeaths[Sex],"F",tblDeaths[NHIS],"Non-Insured")</f>
        <v>0</v>
      </c>
      <c r="F9" s="29">
        <f>COUNTIFS(tblDeaths[Month],1,tblDeaths[AgeUnit],"Years",tblDeaths[Age],"&gt;="&amp;15,tblDeaths[Age],"&lt;="&amp;17,tblDeaths[Sex],"M",tblDeaths[NHIS],"Insured")</f>
        <v>0</v>
      </c>
      <c r="G9" s="29">
        <f>COUNTIFS(tblDeaths[Month],1,tblDeaths[AgeUnit],"Years",tblDeaths[Age],"&gt;="&amp;15,tblDeaths[Age],"&lt;="&amp;17,tblDeaths[Sex],"F",tblDeaths[NHIS],"Insured")</f>
        <v>0</v>
      </c>
      <c r="H9" s="29" t="s">
        <v>180</v>
      </c>
      <c r="I9" s="29">
        <f>COUNTIFS(tblDeaths[Month],2,tblDeaths[AgeUnit],"Years",tblDeaths[Age],"&gt;="&amp;15,tblDeaths[Age],"&lt;="&amp;17,tblDeaths[Sex],"M")</f>
        <v>0</v>
      </c>
      <c r="J9" s="29">
        <f>COUNTIFS(tblDeaths[Month],2,tblDeaths[AgeUnit],"Years",tblDeaths[Age],"&gt;="&amp;15,tblDeaths[Age],"&lt;="&amp;17,tblDeaths[Sex],"F")</f>
        <v>0</v>
      </c>
      <c r="K9" s="29">
        <f>COUNTIFS(tblDeaths[Month],2,tblDeaths[AgeUnit],"Years",tblDeaths[Age],"&gt;="&amp;15,tblDeaths[Age],"&lt;="&amp;17,tblDeaths[Sex],"M",tblDeaths[NHIS],"Non-Insured")</f>
        <v>0</v>
      </c>
      <c r="L9" s="29">
        <f>COUNTIFS(tblDeaths[Month],2,tblDeaths[AgeUnit],"Years",tblDeaths[Age],"&gt;="&amp;15,tblDeaths[Age],"&lt;="&amp;17,tblDeaths[Sex],"F",tblDeaths[NHIS],"Non-Insured")</f>
        <v>0</v>
      </c>
      <c r="M9" s="29">
        <f>COUNTIFS(tblDeaths[Month],2,tblDeaths[AgeUnit],"Years",tblDeaths[Age],"&gt;="&amp;15,tblDeaths[Age],"&lt;="&amp;17,tblDeaths[Sex],"M",tblDeaths[NHIS],"Insured")</f>
        <v>0</v>
      </c>
      <c r="N9" s="29">
        <f>COUNTIFS(tblDeaths[Month],2,tblDeaths[AgeUnit],"Years",tblDeaths[Age],"&gt;="&amp;15,tblDeaths[Age],"&lt;="&amp;17,tblDeaths[Sex],"F",tblDeaths[NHIS],"Insured")</f>
        <v>0</v>
      </c>
      <c r="O9" s="29" t="s">
        <v>180</v>
      </c>
      <c r="P9" s="29">
        <f>COUNTIFS(tblDeaths[Month],3,tblDeaths[AgeUnit],"Years",tblDeaths[Age],"&gt;="&amp;15,tblDeaths[Age],"&lt;="&amp;17,tblDeaths[Sex],"M")</f>
        <v>0</v>
      </c>
      <c r="Q9" s="29">
        <f>COUNTIFS(tblDeaths[Month],3,tblDeaths[AgeUnit],"Years",tblDeaths[Age],"&gt;="&amp;15,tblDeaths[Age],"&lt;="&amp;17,tblDeaths[Sex],"F")</f>
        <v>0</v>
      </c>
      <c r="R9" s="29">
        <f>COUNTIFS(tblDeaths[Month],3,tblDeaths[AgeUnit],"Years",tblDeaths[Age],"&gt;="&amp;15,tblDeaths[Age],"&lt;="&amp;17,tblDeaths[Sex],"M",tblDeaths[NHIS],"Non-Insured")</f>
        <v>0</v>
      </c>
      <c r="S9" s="29">
        <f>COUNTIFS(tblDeaths[Month],3,tblDeaths[AgeUnit],"Years",tblDeaths[Age],"&gt;="&amp;15,tblDeaths[Age],"&lt;="&amp;17,tblDeaths[Sex],"F",tblDeaths[NHIS],"Non-Insured")</f>
        <v>0</v>
      </c>
      <c r="T9" s="29">
        <f>COUNTIFS(tblDeaths[Month],3,tblDeaths[AgeUnit],"Years",tblDeaths[Age],"&gt;="&amp;15,tblDeaths[Age],"&lt;="&amp;17,tblDeaths[Sex],"M",tblDeaths[NHIS],"Insured")</f>
        <v>0</v>
      </c>
      <c r="U9" s="29">
        <f>COUNTIFS(tblDeaths[Month],3,tblDeaths[AgeUnit],"Years",tblDeaths[Age],"&gt;="&amp;15,tblDeaths[Age],"&lt;="&amp;17,tblDeaths[Sex],"F",tblDeaths[NHIS],"Insured")</f>
        <v>0</v>
      </c>
      <c r="V9" s="29" t="s">
        <v>180</v>
      </c>
      <c r="W9" s="29">
        <f>COUNTIFS(tblDeaths[Month],4,tblDeaths[AgeUnit],"Years",tblDeaths[Age],"&gt;="&amp;15,tblDeaths[Age],"&lt;="&amp;17,tblDeaths[Sex],"M")</f>
        <v>0</v>
      </c>
      <c r="X9" s="29">
        <f>COUNTIFS(tblDeaths[Month],4,tblDeaths[AgeUnit],"Years",tblDeaths[Age],"&gt;="&amp;15,tblDeaths[Age],"&lt;="&amp;17,tblDeaths[Sex],"F")</f>
        <v>0</v>
      </c>
      <c r="Y9" s="29">
        <f>COUNTIFS(tblDeaths[Month],4,tblDeaths[AgeUnit],"Years",tblDeaths[Age],"&gt;="&amp;15,tblDeaths[Age],"&lt;="&amp;17,tblDeaths[Sex],"M",tblDeaths[NHIS],"Non-Insured")</f>
        <v>0</v>
      </c>
      <c r="Z9" s="29">
        <f>COUNTIFS(tblDeaths[Month],4,tblDeaths[AgeUnit],"Years",tblDeaths[Age],"&gt;="&amp;15,tblDeaths[Age],"&lt;="&amp;17,tblDeaths[Sex],"F",tblDeaths[NHIS],"Non-Insured")</f>
        <v>0</v>
      </c>
      <c r="AA9" s="29">
        <f>COUNTIFS(tblDeaths[Month],4,tblDeaths[AgeUnit],"Years",tblDeaths[Age],"&gt;="&amp;15,tblDeaths[Age],"&lt;="&amp;17,tblDeaths[Sex],"M",tblDeaths[NHIS],"Insured")</f>
        <v>0</v>
      </c>
      <c r="AB9" s="29">
        <f>COUNTIFS(tblDeaths[Month],4,tblDeaths[AgeUnit],"Years",tblDeaths[Age],"&gt;="&amp;15,tblDeaths[Age],"&lt;="&amp;17,tblDeaths[Sex],"F",tblDeaths[NHIS],"Insured")</f>
        <v>0</v>
      </c>
      <c r="AC9" s="29" t="s">
        <v>180</v>
      </c>
      <c r="AD9" s="29">
        <f>COUNTIFS(tblDeaths[Month],5,tblDeaths[AgeUnit],"Years",tblDeaths[Age],"&gt;="&amp;15,tblDeaths[Age],"&lt;="&amp;17,tblDeaths[Sex],"M")</f>
        <v>0</v>
      </c>
      <c r="AE9" s="29">
        <f>COUNTIFS(tblDeaths[Month],5,tblDeaths[AgeUnit],"Years",tblDeaths[Age],"&gt;="&amp;15,tblDeaths[Age],"&lt;="&amp;17,tblDeaths[Sex],"F")</f>
        <v>0</v>
      </c>
      <c r="AF9" s="29">
        <f>COUNTIFS(tblDeaths[Month],5,tblDeaths[AgeUnit],"Years",tblDeaths[Age],"&gt;="&amp;15,tblDeaths[Age],"&lt;="&amp;17,tblDeaths[Sex],"M",tblDeaths[NHIS],"Non-Insured")</f>
        <v>0</v>
      </c>
      <c r="AG9" s="29">
        <f>COUNTIFS(tblDeaths[Month],5,tblDeaths[AgeUnit],"Years",tblDeaths[Age],"&gt;="&amp;15,tblDeaths[Age],"&lt;="&amp;17,tblDeaths[Sex],"F",tblDeaths[NHIS],"Non-Insured")</f>
        <v>0</v>
      </c>
      <c r="AH9" s="29">
        <f>COUNTIFS(tblDeaths[Month],5,tblDeaths[AgeUnit],"Years",tblDeaths[Age],"&gt;="&amp;15,tblDeaths[Age],"&lt;="&amp;17,tblDeaths[Sex],"M",tblDeaths[NHIS],"Insured")</f>
        <v>0</v>
      </c>
      <c r="AI9" s="29">
        <f>COUNTIFS(tblDeaths[Month],5,tblDeaths[AgeUnit],"Years",tblDeaths[Age],"&gt;="&amp;15,tblDeaths[Age],"&lt;="&amp;17,tblDeaths[Sex],"F",tblDeaths[NHIS],"Insured")</f>
        <v>0</v>
      </c>
      <c r="AJ9" s="29" t="s">
        <v>180</v>
      </c>
      <c r="AK9" s="29">
        <f>COUNTIFS(tblDeaths[Month],6,tblDeaths[AgeUnit],"Years",tblDeaths[Age],"&gt;="&amp;15,tblDeaths[Age],"&lt;="&amp;17,tblDeaths[Sex],"M")</f>
        <v>0</v>
      </c>
      <c r="AL9" s="29">
        <f>COUNTIFS(tblDeaths[Month],6,tblDeaths[AgeUnit],"Years",tblDeaths[Age],"&gt;="&amp;15,tblDeaths[Age],"&lt;="&amp;17,tblDeaths[Sex],"F")</f>
        <v>0</v>
      </c>
      <c r="AM9" s="29">
        <f>COUNTIFS(tblDeaths[Month],6,tblDeaths[AgeUnit],"Years",tblDeaths[Age],"&gt;="&amp;15,tblDeaths[Age],"&lt;="&amp;17,tblDeaths[Sex],"M",tblDeaths[NHIS],"Non-Insured")</f>
        <v>0</v>
      </c>
      <c r="AN9" s="29">
        <f>COUNTIFS(tblDeaths[Month],6,tblDeaths[AgeUnit],"Years",tblDeaths[Age],"&gt;="&amp;15,tblDeaths[Age],"&lt;="&amp;17,tblDeaths[Sex],"F",tblDeaths[NHIS],"Non-Insured")</f>
        <v>0</v>
      </c>
      <c r="AO9" s="29">
        <f>COUNTIFS(tblDeaths[Month],6,tblDeaths[AgeUnit],"Years",tblDeaths[Age],"&gt;="&amp;15,tblDeaths[Age],"&lt;="&amp;17,tblDeaths[Sex],"M",tblDeaths[NHIS],"Insured")</f>
        <v>0</v>
      </c>
      <c r="AP9" s="29">
        <f>COUNTIFS(tblDeaths[Month],6,tblDeaths[AgeUnit],"Years",tblDeaths[Age],"&gt;="&amp;15,tblDeaths[Age],"&lt;="&amp;17,tblDeaths[Sex],"F",tblDeaths[NHIS],"Insured")</f>
        <v>0</v>
      </c>
      <c r="AQ9" s="29" t="s">
        <v>180</v>
      </c>
      <c r="AR9" s="29">
        <f>COUNTIFS(tblDeaths[Month],7,tblDeaths[AgeUnit],"Years",tblDeaths[Age],"&gt;="&amp;15,tblDeaths[Age],"&lt;="&amp;17,tblDeaths[Sex],"M")</f>
        <v>0</v>
      </c>
      <c r="AS9" s="29">
        <f>COUNTIFS(tblDeaths[Month],7,tblDeaths[AgeUnit],"Years",tblDeaths[Age],"&gt;="&amp;15,tblDeaths[Age],"&lt;="&amp;17,tblDeaths[Sex],"F")</f>
        <v>0</v>
      </c>
      <c r="AT9" s="29">
        <f>COUNTIFS(tblDeaths[Month],7,tblDeaths[AgeUnit],"Years",tblDeaths[Age],"&gt;="&amp;15,tblDeaths[Age],"&lt;="&amp;17,tblDeaths[Sex],"M",tblDeaths[NHIS],"Non-Insured")</f>
        <v>0</v>
      </c>
      <c r="AU9" s="29">
        <f>COUNTIFS(tblDeaths[Month],7,tblDeaths[AgeUnit],"Years",tblDeaths[Age],"&gt;="&amp;15,tblDeaths[Age],"&lt;="&amp;17,tblDeaths[Sex],"F",tblDeaths[NHIS],"Non-Insured")</f>
        <v>0</v>
      </c>
      <c r="AV9" s="29">
        <f>COUNTIFS(tblDeaths[Month],7,tblDeaths[AgeUnit],"Years",tblDeaths[Age],"&gt;="&amp;15,tblDeaths[Age],"&lt;="&amp;17,tblDeaths[Sex],"M",tblDeaths[NHIS],"Insured")</f>
        <v>0</v>
      </c>
      <c r="AW9" s="29">
        <f>COUNTIFS(tblDeaths[Month],7,tblDeaths[AgeUnit],"Years",tblDeaths[Age],"&gt;="&amp;15,tblDeaths[Age],"&lt;="&amp;17,tblDeaths[Sex],"F",tblDeaths[NHIS],"Insured")</f>
        <v>0</v>
      </c>
      <c r="AX9" s="29" t="s">
        <v>180</v>
      </c>
      <c r="AY9" s="29">
        <f>COUNTIFS(tblDeaths[Month],8,tblDeaths[AgeUnit],"Years",tblDeaths[Age],"&gt;="&amp;15,tblDeaths[Age],"&lt;="&amp;17,tblDeaths[Sex],"M")</f>
        <v>0</v>
      </c>
      <c r="AZ9" s="29">
        <f>COUNTIFS(tblDeaths[Month],8,tblDeaths[AgeUnit],"Years",tblDeaths[Age],"&gt;="&amp;15,tblDeaths[Age],"&lt;="&amp;17,tblDeaths[Sex],"F")</f>
        <v>0</v>
      </c>
      <c r="BA9" s="29">
        <f>COUNTIFS(tblDeaths[Month],8,tblDeaths[AgeUnit],"Years",tblDeaths[Age],"&gt;="&amp;15,tblDeaths[Age],"&lt;="&amp;17,tblDeaths[Sex],"M",tblDeaths[NHIS],"Non-Insured")</f>
        <v>0</v>
      </c>
      <c r="BB9" s="29">
        <f>COUNTIFS(tblDeaths[Month],8,tblDeaths[AgeUnit],"Years",tblDeaths[Age],"&gt;="&amp;15,tblDeaths[Age],"&lt;="&amp;17,tblDeaths[Sex],"F",tblDeaths[NHIS],"Non-Insured")</f>
        <v>0</v>
      </c>
      <c r="BC9" s="29">
        <f>COUNTIFS(tblDeaths[Month],8,tblDeaths[AgeUnit],"Years",tblDeaths[Age],"&gt;="&amp;15,tblDeaths[Age],"&lt;="&amp;17,tblDeaths[Sex],"M",tblDeaths[NHIS],"Insured")</f>
        <v>0</v>
      </c>
      <c r="BD9" s="29">
        <f>COUNTIFS(tblDeaths[Month],8,tblDeaths[AgeUnit],"Years",tblDeaths[Age],"&gt;="&amp;15,tblDeaths[Age],"&lt;="&amp;17,tblDeaths[Sex],"F",tblDeaths[NHIS],"Insured")</f>
        <v>0</v>
      </c>
      <c r="BE9" s="29" t="s">
        <v>180</v>
      </c>
      <c r="BF9" s="29">
        <f>COUNTIFS(tblDeaths[Month],9,tblDeaths[AgeUnit],"Years",tblDeaths[Age],"&gt;="&amp;15,tblDeaths[Age],"&lt;="&amp;17,tblDeaths[Sex],"M")</f>
        <v>0</v>
      </c>
      <c r="BG9" s="29">
        <f>COUNTIFS(tblDeaths[Month],9,tblDeaths[AgeUnit],"Years",tblDeaths[Age],"&gt;="&amp;15,tblDeaths[Age],"&lt;="&amp;17,tblDeaths[Sex],"F")</f>
        <v>0</v>
      </c>
      <c r="BH9" s="29">
        <f>COUNTIFS(tblDeaths[Month],9,tblDeaths[AgeUnit],"Years",tblDeaths[Age],"&gt;="&amp;15,tblDeaths[Age],"&lt;="&amp;17,tblDeaths[Sex],"M",tblDeaths[NHIS],"Non-Insured")</f>
        <v>0</v>
      </c>
      <c r="BI9" s="29">
        <f>COUNTIFS(tblDeaths[Month],9,tblDeaths[AgeUnit],"Years",tblDeaths[Age],"&gt;="&amp;15,tblDeaths[Age],"&lt;="&amp;17,tblDeaths[Sex],"F",tblDeaths[NHIS],"Non-Insured")</f>
        <v>0</v>
      </c>
      <c r="BJ9" s="29">
        <f>COUNTIFS(tblDeaths[Month],9,tblDeaths[AgeUnit],"Years",tblDeaths[Age],"&gt;="&amp;15,tblDeaths[Age],"&lt;="&amp;17,tblDeaths[Sex],"M",tblDeaths[NHIS],"Insured")</f>
        <v>0</v>
      </c>
      <c r="BK9" s="29">
        <f>COUNTIFS(tblDeaths[Month],9,tblDeaths[AgeUnit],"Years",tblDeaths[Age],"&gt;="&amp;15,tblDeaths[Age],"&lt;="&amp;17,tblDeaths[Sex],"F",tblDeaths[NHIS],"Insured")</f>
        <v>0</v>
      </c>
      <c r="BL9" s="29" t="s">
        <v>180</v>
      </c>
      <c r="BM9" s="29">
        <f>COUNTIFS(tblDeaths[Month],10,tblDeaths[AgeUnit],"Years",tblDeaths[Age],"&gt;="&amp;15,tblDeaths[Age],"&lt;="&amp;17,tblDeaths[Sex],"M")</f>
        <v>0</v>
      </c>
      <c r="BN9" s="29">
        <f>COUNTIFS(tblDeaths[Month],10,tblDeaths[AgeUnit],"Years",tblDeaths[Age],"&gt;="&amp;15,tblDeaths[Age],"&lt;="&amp;17,tblDeaths[Sex],"F")</f>
        <v>0</v>
      </c>
      <c r="BO9" s="29">
        <f>COUNTIFS(tblDeaths[Month],10,tblDeaths[AgeUnit],"Years",tblDeaths[Age],"&gt;="&amp;15,tblDeaths[Age],"&lt;="&amp;17,tblDeaths[Sex],"M",tblDeaths[NHIS],"Non-Insured")</f>
        <v>0</v>
      </c>
      <c r="BP9" s="29">
        <f>COUNTIFS(tblDeaths[Month],10,tblDeaths[AgeUnit],"Years",tblDeaths[Age],"&gt;="&amp;15,tblDeaths[Age],"&lt;="&amp;17,tblDeaths[Sex],"F",tblDeaths[NHIS],"Non-Insured")</f>
        <v>0</v>
      </c>
      <c r="BQ9" s="29">
        <f>COUNTIFS(tblDeaths[Month],10,tblDeaths[AgeUnit],"Years",tblDeaths[Age],"&gt;="&amp;15,tblDeaths[Age],"&lt;="&amp;17,tblDeaths[Sex],"M",tblDeaths[NHIS],"Insured")</f>
        <v>0</v>
      </c>
      <c r="BR9" s="29">
        <f>COUNTIFS(tblDeaths[Month],10,tblDeaths[AgeUnit],"Years",tblDeaths[Age],"&gt;="&amp;15,tblDeaths[Age],"&lt;="&amp;17,tblDeaths[Sex],"F",tblDeaths[NHIS],"Insured")</f>
        <v>0</v>
      </c>
      <c r="BS9" s="29" t="s">
        <v>180</v>
      </c>
      <c r="BT9" s="29">
        <f>COUNTIFS(tblDeaths[Month],11,tblDeaths[AgeUnit],"Years",tblDeaths[Age],"&gt;="&amp;15,tblDeaths[Age],"&lt;="&amp;17,tblDeaths[Sex],"M")</f>
        <v>0</v>
      </c>
      <c r="BU9" s="29">
        <f>COUNTIFS(tblDeaths[Month],11,tblDeaths[AgeUnit],"Years",tblDeaths[Age],"&gt;="&amp;15,tblDeaths[Age],"&lt;="&amp;17,tblDeaths[Sex],"F")</f>
        <v>0</v>
      </c>
      <c r="BV9" s="29">
        <f>COUNTIFS(tblDeaths[Month],11,tblDeaths[AgeUnit],"Years",tblDeaths[Age],"&gt;="&amp;15,tblDeaths[Age],"&lt;="&amp;17,tblDeaths[Sex],"M",tblDeaths[NHIS],"Non-Insured")</f>
        <v>0</v>
      </c>
      <c r="BW9" s="29">
        <f>COUNTIFS(tblDeaths[Month],11,tblDeaths[AgeUnit],"Years",tblDeaths[Age],"&gt;="&amp;15,tblDeaths[Age],"&lt;="&amp;17,tblDeaths[Sex],"F",tblDeaths[NHIS],"Non-Insured")</f>
        <v>0</v>
      </c>
      <c r="BX9" s="29">
        <f>COUNTIFS(tblDeaths[Month],11,tblDeaths[AgeUnit],"Years",tblDeaths[Age],"&gt;="&amp;15,tblDeaths[Age],"&lt;="&amp;17,tblDeaths[Sex],"M",tblDeaths[NHIS],"Insured")</f>
        <v>0</v>
      </c>
      <c r="BY9" s="29">
        <f>COUNTIFS(tblDeaths[Month],11,tblDeaths[AgeUnit],"Years",tblDeaths[Age],"&gt;="&amp;15,tblDeaths[Age],"&lt;="&amp;17,tblDeaths[Sex],"F",tblDeaths[NHIS],"Insured")</f>
        <v>0</v>
      </c>
      <c r="BZ9" s="29" t="s">
        <v>180</v>
      </c>
      <c r="CA9" s="29">
        <f>COUNTIFS(tblDeaths[Month],12,tblDeaths[AgeUnit],"Years",tblDeaths[Age],"&gt;="&amp;15,tblDeaths[Age],"&lt;="&amp;17,tblDeaths[Sex],"M")</f>
        <v>0</v>
      </c>
      <c r="CB9" s="29">
        <f>COUNTIFS(tblDeaths[Month],12,tblDeaths[AgeUnit],"Years",tblDeaths[Age],"&gt;="&amp;15,tblDeaths[Age],"&lt;="&amp;17,tblDeaths[Sex],"F")</f>
        <v>0</v>
      </c>
      <c r="CC9" s="29">
        <f>COUNTIFS(tblDeaths[Month],12,tblDeaths[AgeUnit],"Years",tblDeaths[Age],"&gt;="&amp;15,tblDeaths[Age],"&lt;="&amp;17,tblDeaths[Sex],"M",tblDeaths[NHIS],"Non-Insured")</f>
        <v>0</v>
      </c>
      <c r="CD9" s="29">
        <f>COUNTIFS(tblDeaths[Month],12,tblDeaths[AgeUnit],"Years",tblDeaths[Age],"&gt;="&amp;15,tblDeaths[Age],"&lt;="&amp;17,tblDeaths[Sex],"F",tblDeaths[NHIS],"Non-Insured")</f>
        <v>0</v>
      </c>
      <c r="CE9" s="29">
        <f>COUNTIFS(tblDeaths[Month],12,tblDeaths[AgeUnit],"Years",tblDeaths[Age],"&gt;="&amp;15,tblDeaths[Age],"&lt;="&amp;17,tblDeaths[Sex],"M",tblDeaths[NHIS],"Insured")</f>
        <v>0</v>
      </c>
      <c r="CF9" s="29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29" t="s">
        <v>181</v>
      </c>
      <c r="B10" s="29">
        <f>COUNTIFS(tblDeaths[Month],1,tblDeaths[AgeUnit],"Years",tblDeaths[Age],"&gt;="&amp;18,tblDeaths[Age],"&lt;="&amp;19,tblDeaths[Sex],"M")</f>
        <v>1</v>
      </c>
      <c r="C10" s="29">
        <f>COUNTIFS(tblDeaths[Month],1,tblDeaths[AgeUnit],"Years",tblDeaths[Age],"&gt;="&amp;18,tblDeaths[Age],"&lt;="&amp;19,tblDeaths[Sex],"F")</f>
        <v>0</v>
      </c>
      <c r="D10" s="29">
        <f>COUNTIFS(tblDeaths[Month],1,tblDeaths[AgeUnit],"Years",tblDeaths[Age],"&gt;="&amp;18,tblDeaths[Age],"&lt;="&amp;19,tblDeaths[Sex],"M",tblDeaths[NHIS],"Non-Insured")</f>
        <v>0</v>
      </c>
      <c r="E10" s="29">
        <f>COUNTIFS(tblDeaths[Month],1,tblDeaths[AgeUnit],"Years",tblDeaths[Age],"&gt;="&amp;18,tblDeaths[Age],"&lt;="&amp;19,tblDeaths[Sex],"F",tblDeaths[NHIS],"Non-Insured")</f>
        <v>0</v>
      </c>
      <c r="F10" s="29">
        <f>COUNTIFS(tblDeaths[Month],1,tblDeaths[AgeUnit],"Years",tblDeaths[Age],"&gt;="&amp;18,tblDeaths[Age],"&lt;="&amp;19,tblDeaths[Sex],"M",tblDeaths[NHIS],"Insured")</f>
        <v>1</v>
      </c>
      <c r="G10" s="29">
        <f>COUNTIFS(tblDeaths[Month],1,tblDeaths[AgeUnit],"Years",tblDeaths[Age],"&gt;="&amp;18,tblDeaths[Age],"&lt;="&amp;19,tblDeaths[Sex],"F",tblDeaths[NHIS],"Insured")</f>
        <v>0</v>
      </c>
      <c r="H10" s="29" t="s">
        <v>181</v>
      </c>
      <c r="I10" s="29">
        <f>COUNTIFS(tblDeaths[Month],2,tblDeaths[AgeUnit],"Years",tblDeaths[Age],"&gt;="&amp;18,tblDeaths[Age],"&lt;="&amp;19,tblDeaths[Sex],"M")</f>
        <v>0</v>
      </c>
      <c r="J10" s="29">
        <f>COUNTIFS(tblDeaths[Month],2,tblDeaths[AgeUnit],"Years",tblDeaths[Age],"&gt;="&amp;18,tblDeaths[Age],"&lt;="&amp;19,tblDeaths[Sex],"F")</f>
        <v>0</v>
      </c>
      <c r="K10" s="29">
        <f>COUNTIFS(tblDeaths[Month],2,tblDeaths[AgeUnit],"Years",tblDeaths[Age],"&gt;="&amp;18,tblDeaths[Age],"&lt;="&amp;19,tblDeaths[Sex],"M",tblDeaths[NHIS],"Non-Insured")</f>
        <v>0</v>
      </c>
      <c r="L10" s="29">
        <f>COUNTIFS(tblDeaths[Month],2,tblDeaths[AgeUnit],"Years",tblDeaths[Age],"&gt;="&amp;18,tblDeaths[Age],"&lt;="&amp;19,tblDeaths[Sex],"F",tblDeaths[NHIS],"Non-Insured")</f>
        <v>0</v>
      </c>
      <c r="M10" s="29">
        <f>COUNTIFS(tblDeaths[Month],2,tblDeaths[AgeUnit],"Years",tblDeaths[Age],"&gt;="&amp;18,tblDeaths[Age],"&lt;="&amp;19,tblDeaths[Sex],"M",tblDeaths[NHIS],"Insured")</f>
        <v>0</v>
      </c>
      <c r="N10" s="29">
        <f>COUNTIFS(tblDeaths[Month],2,tblDeaths[AgeUnit],"Years",tblDeaths[Age],"&gt;="&amp;18,tblDeaths[Age],"&lt;="&amp;19,tblDeaths[Sex],"F",tblDeaths[NHIS],"Insured")</f>
        <v>0</v>
      </c>
      <c r="O10" s="29" t="s">
        <v>181</v>
      </c>
      <c r="P10" s="29">
        <f>COUNTIFS(tblDeaths[Month],3,tblDeaths[AgeUnit],"Years",tblDeaths[Age],"&gt;="&amp;18,tblDeaths[Age],"&lt;="&amp;19,tblDeaths[Sex],"M")</f>
        <v>0</v>
      </c>
      <c r="Q10" s="29">
        <f>COUNTIFS(tblDeaths[Month],3,tblDeaths[AgeUnit],"Years",tblDeaths[Age],"&gt;="&amp;18,tblDeaths[Age],"&lt;="&amp;19,tblDeaths[Sex],"F")</f>
        <v>0</v>
      </c>
      <c r="R10" s="29">
        <f>COUNTIFS(tblDeaths[Month],3,tblDeaths[AgeUnit],"Years",tblDeaths[Age],"&gt;="&amp;18,tblDeaths[Age],"&lt;="&amp;19,tblDeaths[Sex],"M",tblDeaths[NHIS],"Non-Insured")</f>
        <v>0</v>
      </c>
      <c r="S10" s="29">
        <f>COUNTIFS(tblDeaths[Month],3,tblDeaths[AgeUnit],"Years",tblDeaths[Age],"&gt;="&amp;18,tblDeaths[Age],"&lt;="&amp;19,tblDeaths[Sex],"F",tblDeaths[NHIS],"Non-Insured")</f>
        <v>0</v>
      </c>
      <c r="T10" s="29">
        <f>COUNTIFS(tblDeaths[Month],3,tblDeaths[AgeUnit],"Years",tblDeaths[Age],"&gt;="&amp;18,tblDeaths[Age],"&lt;="&amp;19,tblDeaths[Sex],"M",tblDeaths[NHIS],"Insured")</f>
        <v>0</v>
      </c>
      <c r="U10" s="29">
        <f>COUNTIFS(tblDeaths[Month],3,tblDeaths[AgeUnit],"Years",tblDeaths[Age],"&gt;="&amp;18,tblDeaths[Age],"&lt;="&amp;19,tblDeaths[Sex],"F",tblDeaths[NHIS],"Insured")</f>
        <v>0</v>
      </c>
      <c r="V10" s="29" t="s">
        <v>181</v>
      </c>
      <c r="W10" s="29">
        <f>COUNTIFS(tblDeaths[Month],4,tblDeaths[AgeUnit],"Years",tblDeaths[Age],"&gt;="&amp;18,tblDeaths[Age],"&lt;="&amp;19,tblDeaths[Sex],"M")</f>
        <v>0</v>
      </c>
      <c r="X10" s="29">
        <f>COUNTIFS(tblDeaths[Month],4,tblDeaths[AgeUnit],"Years",tblDeaths[Age],"&gt;="&amp;18,tblDeaths[Age],"&lt;="&amp;19,tblDeaths[Sex],"F")</f>
        <v>0</v>
      </c>
      <c r="Y10" s="29">
        <f>COUNTIFS(tblDeaths[Month],4,tblDeaths[AgeUnit],"Years",tblDeaths[Age],"&gt;="&amp;18,tblDeaths[Age],"&lt;="&amp;19,tblDeaths[Sex],"M",tblDeaths[NHIS],"Non-Insured")</f>
        <v>0</v>
      </c>
      <c r="Z10" s="29">
        <f>COUNTIFS(tblDeaths[Month],4,tblDeaths[AgeUnit],"Years",tblDeaths[Age],"&gt;="&amp;18,tblDeaths[Age],"&lt;="&amp;19,tblDeaths[Sex],"F",tblDeaths[NHIS],"Non-Insured")</f>
        <v>0</v>
      </c>
      <c r="AA10" s="29">
        <f>COUNTIFS(tblDeaths[Month],4,tblDeaths[AgeUnit],"Years",tblDeaths[Age],"&gt;="&amp;18,tblDeaths[Age],"&lt;="&amp;19,tblDeaths[Sex],"M",tblDeaths[NHIS],"Insured")</f>
        <v>0</v>
      </c>
      <c r="AB10" s="29">
        <f>COUNTIFS(tblDeaths[Month],4,tblDeaths[AgeUnit],"Years",tblDeaths[Age],"&gt;="&amp;18,tblDeaths[Age],"&lt;="&amp;19,tblDeaths[Sex],"F",tblDeaths[NHIS],"Insured")</f>
        <v>0</v>
      </c>
      <c r="AC10" s="29" t="s">
        <v>181</v>
      </c>
      <c r="AD10" s="29">
        <f>COUNTIFS(tblDeaths[Month],5,tblDeaths[AgeUnit],"Years",tblDeaths[Age],"&gt;="&amp;18,tblDeaths[Age],"&lt;="&amp;19,tblDeaths[Sex],"M")</f>
        <v>0</v>
      </c>
      <c r="AE10" s="29">
        <f>COUNTIFS(tblDeaths[Month],5,tblDeaths[AgeUnit],"Years",tblDeaths[Age],"&gt;="&amp;18,tblDeaths[Age],"&lt;="&amp;19,tblDeaths[Sex],"F")</f>
        <v>0</v>
      </c>
      <c r="AF10" s="29">
        <f>COUNTIFS(tblDeaths[Month],5,tblDeaths[AgeUnit],"Years",tblDeaths[Age],"&gt;="&amp;18,tblDeaths[Age],"&lt;="&amp;19,tblDeaths[Sex],"M",tblDeaths[NHIS],"Non-Insured")</f>
        <v>0</v>
      </c>
      <c r="AG10" s="29">
        <f>COUNTIFS(tblDeaths[Month],5,tblDeaths[AgeUnit],"Years",tblDeaths[Age],"&gt;="&amp;18,tblDeaths[Age],"&lt;="&amp;19,tblDeaths[Sex],"F",tblDeaths[NHIS],"Non-Insured")</f>
        <v>0</v>
      </c>
      <c r="AH10" s="29">
        <f>COUNTIFS(tblDeaths[Month],5,tblDeaths[AgeUnit],"Years",tblDeaths[Age],"&gt;="&amp;18,tblDeaths[Age],"&lt;="&amp;19,tblDeaths[Sex],"M",tblDeaths[NHIS],"Insured")</f>
        <v>0</v>
      </c>
      <c r="AI10" s="29">
        <f>COUNTIFS(tblDeaths[Month],5,tblDeaths[AgeUnit],"Years",tblDeaths[Age],"&gt;="&amp;18,tblDeaths[Age],"&lt;="&amp;19,tblDeaths[Sex],"F",tblDeaths[NHIS],"Insured")</f>
        <v>0</v>
      </c>
      <c r="AJ10" s="29" t="s">
        <v>181</v>
      </c>
      <c r="AK10" s="29">
        <f>COUNTIFS(tblDeaths[Month],6,tblDeaths[AgeUnit],"Years",tblDeaths[Age],"&gt;="&amp;18,tblDeaths[Age],"&lt;="&amp;19,tblDeaths[Sex],"M")</f>
        <v>0</v>
      </c>
      <c r="AL10" s="29">
        <f>COUNTIFS(tblDeaths[Month],6,tblDeaths[AgeUnit],"Years",tblDeaths[Age],"&gt;="&amp;18,tblDeaths[Age],"&lt;="&amp;19,tblDeaths[Sex],"F")</f>
        <v>0</v>
      </c>
      <c r="AM10" s="29">
        <f>COUNTIFS(tblDeaths[Month],6,tblDeaths[AgeUnit],"Years",tblDeaths[Age],"&gt;="&amp;18,tblDeaths[Age],"&lt;="&amp;19,tblDeaths[Sex],"M",tblDeaths[NHIS],"Non-Insured")</f>
        <v>0</v>
      </c>
      <c r="AN10" s="29">
        <f>COUNTIFS(tblDeaths[Month],6,tblDeaths[AgeUnit],"Years",tblDeaths[Age],"&gt;="&amp;18,tblDeaths[Age],"&lt;="&amp;19,tblDeaths[Sex],"F",tblDeaths[NHIS],"Non-Insured")</f>
        <v>0</v>
      </c>
      <c r="AO10" s="29">
        <f>COUNTIFS(tblDeaths[Month],6,tblDeaths[AgeUnit],"Years",tblDeaths[Age],"&gt;="&amp;18,tblDeaths[Age],"&lt;="&amp;19,tblDeaths[Sex],"M",tblDeaths[NHIS],"Insured")</f>
        <v>0</v>
      </c>
      <c r="AP10" s="29">
        <f>COUNTIFS(tblDeaths[Month],6,tblDeaths[AgeUnit],"Years",tblDeaths[Age],"&gt;="&amp;18,tblDeaths[Age],"&lt;="&amp;19,tblDeaths[Sex],"F",tblDeaths[NHIS],"Insured")</f>
        <v>0</v>
      </c>
      <c r="AQ10" s="29" t="s">
        <v>181</v>
      </c>
      <c r="AR10" s="29">
        <f>COUNTIFS(tblDeaths[Month],7,tblDeaths[AgeUnit],"Years",tblDeaths[Age],"&gt;="&amp;18,tblDeaths[Age],"&lt;="&amp;19,tblDeaths[Sex],"M")</f>
        <v>0</v>
      </c>
      <c r="AS10" s="29">
        <f>COUNTIFS(tblDeaths[Month],7,tblDeaths[AgeUnit],"Years",tblDeaths[Age],"&gt;="&amp;18,tblDeaths[Age],"&lt;="&amp;19,tblDeaths[Sex],"F")</f>
        <v>0</v>
      </c>
      <c r="AT10" s="29">
        <f>COUNTIFS(tblDeaths[Month],7,tblDeaths[AgeUnit],"Years",tblDeaths[Age],"&gt;="&amp;18,tblDeaths[Age],"&lt;="&amp;19,tblDeaths[Sex],"M",tblDeaths[NHIS],"Non-Insured")</f>
        <v>0</v>
      </c>
      <c r="AU10" s="29">
        <f>COUNTIFS(tblDeaths[Month],7,tblDeaths[AgeUnit],"Years",tblDeaths[Age],"&gt;="&amp;18,tblDeaths[Age],"&lt;="&amp;19,tblDeaths[Sex],"F",tblDeaths[NHIS],"Non-Insured")</f>
        <v>0</v>
      </c>
      <c r="AV10" s="29">
        <f>COUNTIFS(tblDeaths[Month],7,tblDeaths[AgeUnit],"Years",tblDeaths[Age],"&gt;="&amp;18,tblDeaths[Age],"&lt;="&amp;19,tblDeaths[Sex],"M",tblDeaths[NHIS],"Insured")</f>
        <v>0</v>
      </c>
      <c r="AW10" s="29">
        <f>COUNTIFS(tblDeaths[Month],7,tblDeaths[AgeUnit],"Years",tblDeaths[Age],"&gt;="&amp;18,tblDeaths[Age],"&lt;="&amp;19,tblDeaths[Sex],"F",tblDeaths[NHIS],"Insured")</f>
        <v>0</v>
      </c>
      <c r="AX10" s="29" t="s">
        <v>181</v>
      </c>
      <c r="AY10" s="29">
        <f>COUNTIFS(tblDeaths[Month],8,tblDeaths[AgeUnit],"Years",tblDeaths[Age],"&gt;="&amp;18,tblDeaths[Age],"&lt;="&amp;19,tblDeaths[Sex],"M")</f>
        <v>0</v>
      </c>
      <c r="AZ10" s="29">
        <f>COUNTIFS(tblDeaths[Month],8,tblDeaths[AgeUnit],"Years",tblDeaths[Age],"&gt;="&amp;18,tblDeaths[Age],"&lt;="&amp;19,tblDeaths[Sex],"F")</f>
        <v>0</v>
      </c>
      <c r="BA10" s="29">
        <f>COUNTIFS(tblDeaths[Month],8,tblDeaths[AgeUnit],"Years",tblDeaths[Age],"&gt;="&amp;18,tblDeaths[Age],"&lt;="&amp;19,tblDeaths[Sex],"M",tblDeaths[NHIS],"Non-Insured")</f>
        <v>0</v>
      </c>
      <c r="BB10" s="29">
        <f>COUNTIFS(tblDeaths[Month],8,tblDeaths[AgeUnit],"Years",tblDeaths[Age],"&gt;="&amp;18,tblDeaths[Age],"&lt;="&amp;19,tblDeaths[Sex],"F",tblDeaths[NHIS],"Non-Insured")</f>
        <v>0</v>
      </c>
      <c r="BC10" s="29">
        <f>COUNTIFS(tblDeaths[Month],8,tblDeaths[AgeUnit],"Years",tblDeaths[Age],"&gt;="&amp;18,tblDeaths[Age],"&lt;="&amp;19,tblDeaths[Sex],"M",tblDeaths[NHIS],"Insured")</f>
        <v>0</v>
      </c>
      <c r="BD10" s="29">
        <f>COUNTIFS(tblDeaths[Month],8,tblDeaths[AgeUnit],"Years",tblDeaths[Age],"&gt;="&amp;18,tblDeaths[Age],"&lt;="&amp;19,tblDeaths[Sex],"F",tblDeaths[NHIS],"Insured")</f>
        <v>0</v>
      </c>
      <c r="BE10" s="29" t="s">
        <v>181</v>
      </c>
      <c r="BF10" s="29">
        <f>COUNTIFS(tblDeaths[Month],9,tblDeaths[AgeUnit],"Years",tblDeaths[Age],"&gt;="&amp;18,tblDeaths[Age],"&lt;="&amp;19,tblDeaths[Sex],"M")</f>
        <v>0</v>
      </c>
      <c r="BG10" s="29">
        <f>COUNTIFS(tblDeaths[Month],9,tblDeaths[AgeUnit],"Years",tblDeaths[Age],"&gt;="&amp;18,tblDeaths[Age],"&lt;="&amp;19,tblDeaths[Sex],"F")</f>
        <v>0</v>
      </c>
      <c r="BH10" s="29">
        <f>COUNTIFS(tblDeaths[Month],9,tblDeaths[AgeUnit],"Years",tblDeaths[Age],"&gt;="&amp;18,tblDeaths[Age],"&lt;="&amp;19,tblDeaths[Sex],"M",tblDeaths[NHIS],"Non-Insured")</f>
        <v>0</v>
      </c>
      <c r="BI10" s="29">
        <f>COUNTIFS(tblDeaths[Month],9,tblDeaths[AgeUnit],"Years",tblDeaths[Age],"&gt;="&amp;18,tblDeaths[Age],"&lt;="&amp;19,tblDeaths[Sex],"F",tblDeaths[NHIS],"Non-Insured")</f>
        <v>0</v>
      </c>
      <c r="BJ10" s="29">
        <f>COUNTIFS(tblDeaths[Month],9,tblDeaths[AgeUnit],"Years",tblDeaths[Age],"&gt;="&amp;18,tblDeaths[Age],"&lt;="&amp;19,tblDeaths[Sex],"M",tblDeaths[NHIS],"Insured")</f>
        <v>0</v>
      </c>
      <c r="BK10" s="29">
        <f>COUNTIFS(tblDeaths[Month],9,tblDeaths[AgeUnit],"Years",tblDeaths[Age],"&gt;="&amp;18,tblDeaths[Age],"&lt;="&amp;19,tblDeaths[Sex],"F",tblDeaths[NHIS],"Insured")</f>
        <v>0</v>
      </c>
      <c r="BL10" s="29" t="s">
        <v>181</v>
      </c>
      <c r="BM10" s="29">
        <f>COUNTIFS(tblDeaths[Month],10,tblDeaths[AgeUnit],"Years",tblDeaths[Age],"&gt;="&amp;18,tblDeaths[Age],"&lt;="&amp;19,tblDeaths[Sex],"M")</f>
        <v>0</v>
      </c>
      <c r="BN10" s="29">
        <f>COUNTIFS(tblDeaths[Month],10,tblDeaths[AgeUnit],"Years",tblDeaths[Age],"&gt;="&amp;18,tblDeaths[Age],"&lt;="&amp;19,tblDeaths[Sex],"F")</f>
        <v>0</v>
      </c>
      <c r="BO10" s="29">
        <f>COUNTIFS(tblDeaths[Month],10,tblDeaths[AgeUnit],"Years",tblDeaths[Age],"&gt;="&amp;18,tblDeaths[Age],"&lt;="&amp;19,tblDeaths[Sex],"M",tblDeaths[NHIS],"Non-Insured")</f>
        <v>0</v>
      </c>
      <c r="BP10" s="29">
        <f>COUNTIFS(tblDeaths[Month],10,tblDeaths[AgeUnit],"Years",tblDeaths[Age],"&gt;="&amp;18,tblDeaths[Age],"&lt;="&amp;19,tblDeaths[Sex],"F",tblDeaths[NHIS],"Non-Insured")</f>
        <v>0</v>
      </c>
      <c r="BQ10" s="29">
        <f>COUNTIFS(tblDeaths[Month],10,tblDeaths[AgeUnit],"Years",tblDeaths[Age],"&gt;="&amp;18,tblDeaths[Age],"&lt;="&amp;19,tblDeaths[Sex],"M",tblDeaths[NHIS],"Insured")</f>
        <v>0</v>
      </c>
      <c r="BR10" s="29">
        <f>COUNTIFS(tblDeaths[Month],10,tblDeaths[AgeUnit],"Years",tblDeaths[Age],"&gt;="&amp;18,tblDeaths[Age],"&lt;="&amp;19,tblDeaths[Sex],"F",tblDeaths[NHIS],"Insured")</f>
        <v>0</v>
      </c>
      <c r="BS10" s="29" t="s">
        <v>181</v>
      </c>
      <c r="BT10" s="29">
        <f>COUNTIFS(tblDeaths[Month],11,tblDeaths[AgeUnit],"Years",tblDeaths[Age],"&gt;="&amp;18,tblDeaths[Age],"&lt;="&amp;19,tblDeaths[Sex],"M")</f>
        <v>0</v>
      </c>
      <c r="BU10" s="29">
        <f>COUNTIFS(tblDeaths[Month],11,tblDeaths[AgeUnit],"Years",tblDeaths[Age],"&gt;="&amp;18,tblDeaths[Age],"&lt;="&amp;19,tblDeaths[Sex],"F")</f>
        <v>0</v>
      </c>
      <c r="BV10" s="29">
        <f>COUNTIFS(tblDeaths[Month],11,tblDeaths[AgeUnit],"Years",tblDeaths[Age],"&gt;="&amp;18,tblDeaths[Age],"&lt;="&amp;19,tblDeaths[Sex],"M",tblDeaths[NHIS],"Non-Insured")</f>
        <v>0</v>
      </c>
      <c r="BW10" s="29">
        <f>COUNTIFS(tblDeaths[Month],11,tblDeaths[AgeUnit],"Years",tblDeaths[Age],"&gt;="&amp;18,tblDeaths[Age],"&lt;="&amp;19,tblDeaths[Sex],"F",tblDeaths[NHIS],"Non-Insured")</f>
        <v>0</v>
      </c>
      <c r="BX10" s="29">
        <f>COUNTIFS(tblDeaths[Month],11,tblDeaths[AgeUnit],"Years",tblDeaths[Age],"&gt;="&amp;18,tblDeaths[Age],"&lt;="&amp;19,tblDeaths[Sex],"M",tblDeaths[NHIS],"Insured")</f>
        <v>0</v>
      </c>
      <c r="BY10" s="29">
        <f>COUNTIFS(tblDeaths[Month],11,tblDeaths[AgeUnit],"Years",tblDeaths[Age],"&gt;="&amp;18,tblDeaths[Age],"&lt;="&amp;19,tblDeaths[Sex],"F",tblDeaths[NHIS],"Insured")</f>
        <v>0</v>
      </c>
      <c r="BZ10" s="29" t="s">
        <v>181</v>
      </c>
      <c r="CA10" s="29">
        <f>COUNTIFS(tblDeaths[Month],12,tblDeaths[AgeUnit],"Years",tblDeaths[Age],"&gt;="&amp;18,tblDeaths[Age],"&lt;="&amp;19,tblDeaths[Sex],"M")</f>
        <v>0</v>
      </c>
      <c r="CB10" s="29">
        <f>COUNTIFS(tblDeaths[Month],12,tblDeaths[AgeUnit],"Years",tblDeaths[Age],"&gt;="&amp;18,tblDeaths[Age],"&lt;="&amp;19,tblDeaths[Sex],"F")</f>
        <v>0</v>
      </c>
      <c r="CC10" s="29">
        <f>COUNTIFS(tblDeaths[Month],12,tblDeaths[AgeUnit],"Years",tblDeaths[Age],"&gt;="&amp;18,tblDeaths[Age],"&lt;="&amp;19,tblDeaths[Sex],"M",tblDeaths[NHIS],"Non-Insured")</f>
        <v>0</v>
      </c>
      <c r="CD10" s="29">
        <f>COUNTIFS(tblDeaths[Month],12,tblDeaths[AgeUnit],"Years",tblDeaths[Age],"&gt;="&amp;18,tblDeaths[Age],"&lt;="&amp;19,tblDeaths[Sex],"F",tblDeaths[NHIS],"Non-Insured")</f>
        <v>0</v>
      </c>
      <c r="CE10" s="29">
        <f>COUNTIFS(tblDeaths[Month],12,tblDeaths[AgeUnit],"Years",tblDeaths[Age],"&gt;="&amp;18,tblDeaths[Age],"&lt;="&amp;19,tblDeaths[Sex],"M",tblDeaths[NHIS],"Insured")</f>
        <v>0</v>
      </c>
      <c r="CF10" s="29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29" t="s">
        <v>182</v>
      </c>
      <c r="B11" s="29">
        <f>COUNTIFS(tblDeaths[Month],1,tblDeaths[AgeUnit],"Years",tblDeaths[Age],"&gt;="&amp;20,tblDeaths[Age],"&lt;="&amp;34,tblDeaths[Sex],"M")</f>
        <v>4</v>
      </c>
      <c r="C11" s="29">
        <f>COUNTIFS(tblDeaths[Month],1,tblDeaths[AgeUnit],"Years",tblDeaths[Age],"&gt;="&amp;20,tblDeaths[Age],"&lt;="&amp;34,tblDeaths[Sex],"F")</f>
        <v>1</v>
      </c>
      <c r="D11" s="29">
        <f>COUNTIFS(tblDeaths[Month],1,tblDeaths[AgeUnit],"Years",tblDeaths[Age],"&gt;="&amp;20,tblDeaths[Age],"&lt;="&amp;34,tblDeaths[Sex],"M",tblDeaths[NHIS],"Non-Insured")</f>
        <v>0</v>
      </c>
      <c r="E11" s="29">
        <f>COUNTIFS(tblDeaths[Month],1,tblDeaths[AgeUnit],"Years",tblDeaths[Age],"&gt;="&amp;20,tblDeaths[Age],"&lt;="&amp;34,tblDeaths[Sex],"F",tblDeaths[NHIS],"Non-Insured")</f>
        <v>0</v>
      </c>
      <c r="F11" s="29">
        <f>COUNTIFS(tblDeaths[Month],1,tblDeaths[AgeUnit],"Years",tblDeaths[Age],"&gt;="&amp;20,tblDeaths[Age],"&lt;="&amp;34,tblDeaths[Sex],"M",tblDeaths[NHIS],"Insured")</f>
        <v>4</v>
      </c>
      <c r="G11" s="29">
        <f>COUNTIFS(tblDeaths[Month],1,tblDeaths[AgeUnit],"Years",tblDeaths[Age],"&gt;="&amp;20,tblDeaths[Age],"&lt;="&amp;34,tblDeaths[Sex],"F",tblDeaths[NHIS],"Insured")</f>
        <v>1</v>
      </c>
      <c r="H11" s="29" t="s">
        <v>182</v>
      </c>
      <c r="I11" s="29">
        <f>COUNTIFS(tblDeaths[Month],2,tblDeaths[AgeUnit],"Years",tblDeaths[Age],"&gt;="&amp;20,tblDeaths[Age],"&lt;="&amp;34,tblDeaths[Sex],"M")</f>
        <v>0</v>
      </c>
      <c r="J11" s="29">
        <f>COUNTIFS(tblDeaths[Month],2,tblDeaths[AgeUnit],"Years",tblDeaths[Age],"&gt;="&amp;20,tblDeaths[Age],"&lt;="&amp;34,tblDeaths[Sex],"F")</f>
        <v>0</v>
      </c>
      <c r="K11" s="29">
        <f>COUNTIFS(tblDeaths[Month],2,tblDeaths[AgeUnit],"Years",tblDeaths[Age],"&gt;="&amp;20,tblDeaths[Age],"&lt;="&amp;34,tblDeaths[Sex],"M",tblDeaths[NHIS],"Non-Insured")</f>
        <v>0</v>
      </c>
      <c r="L11" s="29">
        <f>COUNTIFS(tblDeaths[Month],2,tblDeaths[AgeUnit],"Years",tblDeaths[Age],"&gt;="&amp;20,tblDeaths[Age],"&lt;="&amp;34,tblDeaths[Sex],"F",tblDeaths[NHIS],"Non-Insured")</f>
        <v>0</v>
      </c>
      <c r="M11" s="29">
        <f>COUNTIFS(tblDeaths[Month],2,tblDeaths[AgeUnit],"Years",tblDeaths[Age],"&gt;="&amp;20,tblDeaths[Age],"&lt;="&amp;34,tblDeaths[Sex],"M",tblDeaths[NHIS],"Insured")</f>
        <v>0</v>
      </c>
      <c r="N11" s="29">
        <f>COUNTIFS(tblDeaths[Month],2,tblDeaths[AgeUnit],"Years",tblDeaths[Age],"&gt;="&amp;20,tblDeaths[Age],"&lt;="&amp;34,tblDeaths[Sex],"F",tblDeaths[NHIS],"Insured")</f>
        <v>0</v>
      </c>
      <c r="O11" s="29" t="s">
        <v>182</v>
      </c>
      <c r="P11" s="29">
        <f>COUNTIFS(tblDeaths[Month],3,tblDeaths[AgeUnit],"Years",tblDeaths[Age],"&gt;="&amp;20,tblDeaths[Age],"&lt;="&amp;34,tblDeaths[Sex],"M")</f>
        <v>1</v>
      </c>
      <c r="Q11" s="29">
        <f>COUNTIFS(tblDeaths[Month],3,tblDeaths[AgeUnit],"Years",tblDeaths[Age],"&gt;="&amp;20,tblDeaths[Age],"&lt;="&amp;34,tblDeaths[Sex],"F")</f>
        <v>0</v>
      </c>
      <c r="R11" s="29">
        <f>COUNTIFS(tblDeaths[Month],3,tblDeaths[AgeUnit],"Years",tblDeaths[Age],"&gt;="&amp;20,tblDeaths[Age],"&lt;="&amp;34,tblDeaths[Sex],"M",tblDeaths[NHIS],"Non-Insured")</f>
        <v>1</v>
      </c>
      <c r="S11" s="29">
        <f>COUNTIFS(tblDeaths[Month],3,tblDeaths[AgeUnit],"Years",tblDeaths[Age],"&gt;="&amp;20,tblDeaths[Age],"&lt;="&amp;34,tblDeaths[Sex],"F",tblDeaths[NHIS],"Non-Insured")</f>
        <v>0</v>
      </c>
      <c r="T11" s="29">
        <f>COUNTIFS(tblDeaths[Month],3,tblDeaths[AgeUnit],"Years",tblDeaths[Age],"&gt;="&amp;20,tblDeaths[Age],"&lt;="&amp;34,tblDeaths[Sex],"M",tblDeaths[NHIS],"Insured")</f>
        <v>0</v>
      </c>
      <c r="U11" s="29">
        <f>COUNTIFS(tblDeaths[Month],3,tblDeaths[AgeUnit],"Years",tblDeaths[Age],"&gt;="&amp;20,tblDeaths[Age],"&lt;="&amp;34,tblDeaths[Sex],"F",tblDeaths[NHIS],"Insured")</f>
        <v>0</v>
      </c>
      <c r="V11" s="29" t="s">
        <v>182</v>
      </c>
      <c r="W11" s="29">
        <f>COUNTIFS(tblDeaths[Month],4,tblDeaths[AgeUnit],"Years",tblDeaths[Age],"&gt;="&amp;20,tblDeaths[Age],"&lt;="&amp;34,tblDeaths[Sex],"M")</f>
        <v>0</v>
      </c>
      <c r="X11" s="29">
        <f>COUNTIFS(tblDeaths[Month],4,tblDeaths[AgeUnit],"Years",tblDeaths[Age],"&gt;="&amp;20,tblDeaths[Age],"&lt;="&amp;34,tblDeaths[Sex],"F")</f>
        <v>0</v>
      </c>
      <c r="Y11" s="29">
        <f>COUNTIFS(tblDeaths[Month],4,tblDeaths[AgeUnit],"Years",tblDeaths[Age],"&gt;="&amp;20,tblDeaths[Age],"&lt;="&amp;34,tblDeaths[Sex],"M",tblDeaths[NHIS],"Non-Insured")</f>
        <v>0</v>
      </c>
      <c r="Z11" s="29">
        <f>COUNTIFS(tblDeaths[Month],4,tblDeaths[AgeUnit],"Years",tblDeaths[Age],"&gt;="&amp;20,tblDeaths[Age],"&lt;="&amp;34,tblDeaths[Sex],"F",tblDeaths[NHIS],"Non-Insured")</f>
        <v>0</v>
      </c>
      <c r="AA11" s="29">
        <f>COUNTIFS(tblDeaths[Month],4,tblDeaths[AgeUnit],"Years",tblDeaths[Age],"&gt;="&amp;20,tblDeaths[Age],"&lt;="&amp;34,tblDeaths[Sex],"M",tblDeaths[NHIS],"Insured")</f>
        <v>0</v>
      </c>
      <c r="AB11" s="29">
        <f>COUNTIFS(tblDeaths[Month],4,tblDeaths[AgeUnit],"Years",tblDeaths[Age],"&gt;="&amp;20,tblDeaths[Age],"&lt;="&amp;34,tblDeaths[Sex],"F",tblDeaths[NHIS],"Insured")</f>
        <v>0</v>
      </c>
      <c r="AC11" s="29" t="s">
        <v>182</v>
      </c>
      <c r="AD11" s="29">
        <f>COUNTIFS(tblDeaths[Month],5,tblDeaths[AgeUnit],"Years",tblDeaths[Age],"&gt;="&amp;20,tblDeaths[Age],"&lt;="&amp;34,tblDeaths[Sex],"M")</f>
        <v>0</v>
      </c>
      <c r="AE11" s="29">
        <f>COUNTIFS(tblDeaths[Month],5,tblDeaths[AgeUnit],"Years",tblDeaths[Age],"&gt;="&amp;20,tblDeaths[Age],"&lt;="&amp;34,tblDeaths[Sex],"F")</f>
        <v>0</v>
      </c>
      <c r="AF11" s="29">
        <f>COUNTIFS(tblDeaths[Month],5,tblDeaths[AgeUnit],"Years",tblDeaths[Age],"&gt;="&amp;20,tblDeaths[Age],"&lt;="&amp;34,tblDeaths[Sex],"M",tblDeaths[NHIS],"Non-Insured")</f>
        <v>0</v>
      </c>
      <c r="AG11" s="29">
        <f>COUNTIFS(tblDeaths[Month],5,tblDeaths[AgeUnit],"Years",tblDeaths[Age],"&gt;="&amp;20,tblDeaths[Age],"&lt;="&amp;34,tblDeaths[Sex],"F",tblDeaths[NHIS],"Non-Insured")</f>
        <v>0</v>
      </c>
      <c r="AH11" s="29">
        <f>COUNTIFS(tblDeaths[Month],5,tblDeaths[AgeUnit],"Years",tblDeaths[Age],"&gt;="&amp;20,tblDeaths[Age],"&lt;="&amp;34,tblDeaths[Sex],"M",tblDeaths[NHIS],"Insured")</f>
        <v>0</v>
      </c>
      <c r="AI11" s="29">
        <f>COUNTIFS(tblDeaths[Month],5,tblDeaths[AgeUnit],"Years",tblDeaths[Age],"&gt;="&amp;20,tblDeaths[Age],"&lt;="&amp;34,tblDeaths[Sex],"F",tblDeaths[NHIS],"Insured")</f>
        <v>0</v>
      </c>
      <c r="AJ11" s="29" t="s">
        <v>182</v>
      </c>
      <c r="AK11" s="29">
        <f>COUNTIFS(tblDeaths[Month],6,tblDeaths[AgeUnit],"Years",tblDeaths[Age],"&gt;="&amp;20,tblDeaths[Age],"&lt;="&amp;34,tblDeaths[Sex],"M")</f>
        <v>0</v>
      </c>
      <c r="AL11" s="29">
        <f>COUNTIFS(tblDeaths[Month],6,tblDeaths[AgeUnit],"Years",tblDeaths[Age],"&gt;="&amp;20,tblDeaths[Age],"&lt;="&amp;34,tblDeaths[Sex],"F")</f>
        <v>0</v>
      </c>
      <c r="AM11" s="29">
        <f>COUNTIFS(tblDeaths[Month],6,tblDeaths[AgeUnit],"Years",tblDeaths[Age],"&gt;="&amp;20,tblDeaths[Age],"&lt;="&amp;34,tblDeaths[Sex],"M",tblDeaths[NHIS],"Non-Insured")</f>
        <v>0</v>
      </c>
      <c r="AN11" s="29">
        <f>COUNTIFS(tblDeaths[Month],6,tblDeaths[AgeUnit],"Years",tblDeaths[Age],"&gt;="&amp;20,tblDeaths[Age],"&lt;="&amp;34,tblDeaths[Sex],"F",tblDeaths[NHIS],"Non-Insured")</f>
        <v>0</v>
      </c>
      <c r="AO11" s="29">
        <f>COUNTIFS(tblDeaths[Month],6,tblDeaths[AgeUnit],"Years",tblDeaths[Age],"&gt;="&amp;20,tblDeaths[Age],"&lt;="&amp;34,tblDeaths[Sex],"M",tblDeaths[NHIS],"Insured")</f>
        <v>0</v>
      </c>
      <c r="AP11" s="29">
        <f>COUNTIFS(tblDeaths[Month],6,tblDeaths[AgeUnit],"Years",tblDeaths[Age],"&gt;="&amp;20,tblDeaths[Age],"&lt;="&amp;34,tblDeaths[Sex],"F",tblDeaths[NHIS],"Insured")</f>
        <v>0</v>
      </c>
      <c r="AQ11" s="29" t="s">
        <v>182</v>
      </c>
      <c r="AR11" s="29">
        <f>COUNTIFS(tblDeaths[Month],7,tblDeaths[AgeUnit],"Years",tblDeaths[Age],"&gt;="&amp;20,tblDeaths[Age],"&lt;="&amp;34,tblDeaths[Sex],"M")</f>
        <v>0</v>
      </c>
      <c r="AS11" s="29">
        <f>COUNTIFS(tblDeaths[Month],7,tblDeaths[AgeUnit],"Years",tblDeaths[Age],"&gt;="&amp;20,tblDeaths[Age],"&lt;="&amp;34,tblDeaths[Sex],"F")</f>
        <v>0</v>
      </c>
      <c r="AT11" s="29">
        <f>COUNTIFS(tblDeaths[Month],7,tblDeaths[AgeUnit],"Years",tblDeaths[Age],"&gt;="&amp;20,tblDeaths[Age],"&lt;="&amp;34,tblDeaths[Sex],"M",tblDeaths[NHIS],"Non-Insured")</f>
        <v>0</v>
      </c>
      <c r="AU11" s="29">
        <f>COUNTIFS(tblDeaths[Month],7,tblDeaths[AgeUnit],"Years",tblDeaths[Age],"&gt;="&amp;20,tblDeaths[Age],"&lt;="&amp;34,tblDeaths[Sex],"F",tblDeaths[NHIS],"Non-Insured")</f>
        <v>0</v>
      </c>
      <c r="AV11" s="29">
        <f>COUNTIFS(tblDeaths[Month],7,tblDeaths[AgeUnit],"Years",tblDeaths[Age],"&gt;="&amp;20,tblDeaths[Age],"&lt;="&amp;34,tblDeaths[Sex],"M",tblDeaths[NHIS],"Insured")</f>
        <v>0</v>
      </c>
      <c r="AW11" s="29">
        <f>COUNTIFS(tblDeaths[Month],7,tblDeaths[AgeUnit],"Years",tblDeaths[Age],"&gt;="&amp;20,tblDeaths[Age],"&lt;="&amp;34,tblDeaths[Sex],"F",tblDeaths[NHIS],"Insured")</f>
        <v>0</v>
      </c>
      <c r="AX11" s="29" t="s">
        <v>182</v>
      </c>
      <c r="AY11" s="29">
        <f>COUNTIFS(tblDeaths[Month],8,tblDeaths[AgeUnit],"Years",tblDeaths[Age],"&gt;="&amp;20,tblDeaths[Age],"&lt;="&amp;34,tblDeaths[Sex],"M")</f>
        <v>0</v>
      </c>
      <c r="AZ11" s="29">
        <f>COUNTIFS(tblDeaths[Month],8,tblDeaths[AgeUnit],"Years",tblDeaths[Age],"&gt;="&amp;20,tblDeaths[Age],"&lt;="&amp;34,tblDeaths[Sex],"F")</f>
        <v>0</v>
      </c>
      <c r="BA11" s="29">
        <f>COUNTIFS(tblDeaths[Month],8,tblDeaths[AgeUnit],"Years",tblDeaths[Age],"&gt;="&amp;20,tblDeaths[Age],"&lt;="&amp;34,tblDeaths[Sex],"M",tblDeaths[NHIS],"Non-Insured")</f>
        <v>0</v>
      </c>
      <c r="BB11" s="29">
        <f>COUNTIFS(tblDeaths[Month],8,tblDeaths[AgeUnit],"Years",tblDeaths[Age],"&gt;="&amp;20,tblDeaths[Age],"&lt;="&amp;34,tblDeaths[Sex],"F",tblDeaths[NHIS],"Non-Insured")</f>
        <v>0</v>
      </c>
      <c r="BC11" s="29">
        <f>COUNTIFS(tblDeaths[Month],8,tblDeaths[AgeUnit],"Years",tblDeaths[Age],"&gt;="&amp;20,tblDeaths[Age],"&lt;="&amp;34,tblDeaths[Sex],"M",tblDeaths[NHIS],"Insured")</f>
        <v>0</v>
      </c>
      <c r="BD11" s="29">
        <f>COUNTIFS(tblDeaths[Month],8,tblDeaths[AgeUnit],"Years",tblDeaths[Age],"&gt;="&amp;20,tblDeaths[Age],"&lt;="&amp;34,tblDeaths[Sex],"F",tblDeaths[NHIS],"Insured")</f>
        <v>0</v>
      </c>
      <c r="BE11" s="29" t="s">
        <v>182</v>
      </c>
      <c r="BF11" s="29">
        <f>COUNTIFS(tblDeaths[Month],9,tblDeaths[AgeUnit],"Years",tblDeaths[Age],"&gt;="&amp;20,tblDeaths[Age],"&lt;="&amp;34,tblDeaths[Sex],"M")</f>
        <v>0</v>
      </c>
      <c r="BG11" s="29">
        <f>COUNTIFS(tblDeaths[Month],9,tblDeaths[AgeUnit],"Years",tblDeaths[Age],"&gt;="&amp;20,tblDeaths[Age],"&lt;="&amp;34,tblDeaths[Sex],"F")</f>
        <v>0</v>
      </c>
      <c r="BH11" s="29">
        <f>COUNTIFS(tblDeaths[Month],9,tblDeaths[AgeUnit],"Years",tblDeaths[Age],"&gt;="&amp;20,tblDeaths[Age],"&lt;="&amp;34,tblDeaths[Sex],"M",tblDeaths[NHIS],"Non-Insured")</f>
        <v>0</v>
      </c>
      <c r="BI11" s="29">
        <f>COUNTIFS(tblDeaths[Month],9,tblDeaths[AgeUnit],"Years",tblDeaths[Age],"&gt;="&amp;20,tblDeaths[Age],"&lt;="&amp;34,tblDeaths[Sex],"F",tblDeaths[NHIS],"Non-Insured")</f>
        <v>0</v>
      </c>
      <c r="BJ11" s="29">
        <f>COUNTIFS(tblDeaths[Month],9,tblDeaths[AgeUnit],"Years",tblDeaths[Age],"&gt;="&amp;20,tblDeaths[Age],"&lt;="&amp;34,tblDeaths[Sex],"M",tblDeaths[NHIS],"Insured")</f>
        <v>0</v>
      </c>
      <c r="BK11" s="29">
        <f>COUNTIFS(tblDeaths[Month],9,tblDeaths[AgeUnit],"Years",tblDeaths[Age],"&gt;="&amp;20,tblDeaths[Age],"&lt;="&amp;34,tblDeaths[Sex],"F",tblDeaths[NHIS],"Insured")</f>
        <v>0</v>
      </c>
      <c r="BL11" s="29" t="s">
        <v>182</v>
      </c>
      <c r="BM11" s="29">
        <f>COUNTIFS(tblDeaths[Month],10,tblDeaths[AgeUnit],"Years",tblDeaths[Age],"&gt;="&amp;20,tblDeaths[Age],"&lt;="&amp;34,tblDeaths[Sex],"M")</f>
        <v>0</v>
      </c>
      <c r="BN11" s="29">
        <f>COUNTIFS(tblDeaths[Month],10,tblDeaths[AgeUnit],"Years",tblDeaths[Age],"&gt;="&amp;20,tblDeaths[Age],"&lt;="&amp;34,tblDeaths[Sex],"F")</f>
        <v>0</v>
      </c>
      <c r="BO11" s="29">
        <f>COUNTIFS(tblDeaths[Month],10,tblDeaths[AgeUnit],"Years",tblDeaths[Age],"&gt;="&amp;20,tblDeaths[Age],"&lt;="&amp;34,tblDeaths[Sex],"M",tblDeaths[NHIS],"Non-Insured")</f>
        <v>0</v>
      </c>
      <c r="BP11" s="29">
        <f>COUNTIFS(tblDeaths[Month],10,tblDeaths[AgeUnit],"Years",tblDeaths[Age],"&gt;="&amp;20,tblDeaths[Age],"&lt;="&amp;34,tblDeaths[Sex],"F",tblDeaths[NHIS],"Non-Insured")</f>
        <v>0</v>
      </c>
      <c r="BQ11" s="29">
        <f>COUNTIFS(tblDeaths[Month],10,tblDeaths[AgeUnit],"Years",tblDeaths[Age],"&gt;="&amp;20,tblDeaths[Age],"&lt;="&amp;34,tblDeaths[Sex],"M",tblDeaths[NHIS],"Insured")</f>
        <v>0</v>
      </c>
      <c r="BR11" s="29">
        <f>COUNTIFS(tblDeaths[Month],10,tblDeaths[AgeUnit],"Years",tblDeaths[Age],"&gt;="&amp;20,tblDeaths[Age],"&lt;="&amp;34,tblDeaths[Sex],"F",tblDeaths[NHIS],"Insured")</f>
        <v>0</v>
      </c>
      <c r="BS11" s="29" t="s">
        <v>182</v>
      </c>
      <c r="BT11" s="29">
        <f>COUNTIFS(tblDeaths[Month],11,tblDeaths[AgeUnit],"Years",tblDeaths[Age],"&gt;="&amp;20,tblDeaths[Age],"&lt;="&amp;34,tblDeaths[Sex],"M")</f>
        <v>0</v>
      </c>
      <c r="BU11" s="29">
        <f>COUNTIFS(tblDeaths[Month],11,tblDeaths[AgeUnit],"Years",tblDeaths[Age],"&gt;="&amp;20,tblDeaths[Age],"&lt;="&amp;34,tblDeaths[Sex],"F")</f>
        <v>0</v>
      </c>
      <c r="BV11" s="29">
        <f>COUNTIFS(tblDeaths[Month],11,tblDeaths[AgeUnit],"Years",tblDeaths[Age],"&gt;="&amp;20,tblDeaths[Age],"&lt;="&amp;34,tblDeaths[Sex],"M",tblDeaths[NHIS],"Non-Insured")</f>
        <v>0</v>
      </c>
      <c r="BW11" s="29">
        <f>COUNTIFS(tblDeaths[Month],11,tblDeaths[AgeUnit],"Years",tblDeaths[Age],"&gt;="&amp;20,tblDeaths[Age],"&lt;="&amp;34,tblDeaths[Sex],"F",tblDeaths[NHIS],"Non-Insured")</f>
        <v>0</v>
      </c>
      <c r="BX11" s="29">
        <f>COUNTIFS(tblDeaths[Month],11,tblDeaths[AgeUnit],"Years",tblDeaths[Age],"&gt;="&amp;20,tblDeaths[Age],"&lt;="&amp;34,tblDeaths[Sex],"M",tblDeaths[NHIS],"Insured")</f>
        <v>0</v>
      </c>
      <c r="BY11" s="29">
        <f>COUNTIFS(tblDeaths[Month],11,tblDeaths[AgeUnit],"Years",tblDeaths[Age],"&gt;="&amp;20,tblDeaths[Age],"&lt;="&amp;34,tblDeaths[Sex],"F",tblDeaths[NHIS],"Insured")</f>
        <v>0</v>
      </c>
      <c r="BZ11" s="29" t="s">
        <v>182</v>
      </c>
      <c r="CA11" s="29">
        <f>COUNTIFS(tblDeaths[Month],12,tblDeaths[AgeUnit],"Years",tblDeaths[Age],"&gt;="&amp;20,tblDeaths[Age],"&lt;="&amp;34,tblDeaths[Sex],"M")</f>
        <v>0</v>
      </c>
      <c r="CB11" s="29">
        <f>COUNTIFS(tblDeaths[Month],12,tblDeaths[AgeUnit],"Years",tblDeaths[Age],"&gt;="&amp;20,tblDeaths[Age],"&lt;="&amp;34,tblDeaths[Sex],"F")</f>
        <v>0</v>
      </c>
      <c r="CC11" s="29">
        <f>COUNTIFS(tblDeaths[Month],12,tblDeaths[AgeUnit],"Years",tblDeaths[Age],"&gt;="&amp;20,tblDeaths[Age],"&lt;="&amp;34,tblDeaths[Sex],"M",tblDeaths[NHIS],"Non-Insured")</f>
        <v>0</v>
      </c>
      <c r="CD11" s="29">
        <f>COUNTIFS(tblDeaths[Month],12,tblDeaths[AgeUnit],"Years",tblDeaths[Age],"&gt;="&amp;20,tblDeaths[Age],"&lt;="&amp;34,tblDeaths[Sex],"F",tblDeaths[NHIS],"Non-Insured")</f>
        <v>0</v>
      </c>
      <c r="CE11" s="29">
        <f>COUNTIFS(tblDeaths[Month],12,tblDeaths[AgeUnit],"Years",tblDeaths[Age],"&gt;="&amp;20,tblDeaths[Age],"&lt;="&amp;34,tblDeaths[Sex],"M",tblDeaths[NHIS],"Insured")</f>
        <v>0</v>
      </c>
      <c r="CF11" s="29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29" t="s">
        <v>183</v>
      </c>
      <c r="B12" s="29">
        <f>COUNTIFS(tblDeaths[Month],1,tblDeaths[AgeUnit],"Years",tblDeaths[Age],"&gt;="&amp;35,tblDeaths[Age],"&lt;="&amp;49,tblDeaths[Sex],"M")</f>
        <v>5</v>
      </c>
      <c r="C12" s="29">
        <f>COUNTIFS(tblDeaths[Month],1,tblDeaths[AgeUnit],"Years",tblDeaths[Age],"&gt;="&amp;35,tblDeaths[Age],"&lt;="&amp;49,tblDeaths[Sex],"F")</f>
        <v>4</v>
      </c>
      <c r="D12" s="29">
        <f>COUNTIFS(tblDeaths[Month],1,tblDeaths[AgeUnit],"Years",tblDeaths[Age],"&gt;="&amp;35,tblDeaths[Age],"&lt;="&amp;49,tblDeaths[Sex],"M",tblDeaths[NHIS],"Non-Insured")</f>
        <v>5</v>
      </c>
      <c r="E12" s="29">
        <f>COUNTIFS(tblDeaths[Month],1,tblDeaths[AgeUnit],"Years",tblDeaths[Age],"&gt;="&amp;35,tblDeaths[Age],"&lt;="&amp;49,tblDeaths[Sex],"F",tblDeaths[NHIS],"Non-Insured")</f>
        <v>0</v>
      </c>
      <c r="F12" s="29">
        <f>COUNTIFS(tblDeaths[Month],1,tblDeaths[AgeUnit],"Years",tblDeaths[Age],"&gt;="&amp;35,tblDeaths[Age],"&lt;="&amp;49,tblDeaths[Sex],"M",tblDeaths[NHIS],"Insured")</f>
        <v>0</v>
      </c>
      <c r="G12" s="29">
        <f>COUNTIFS(tblDeaths[Month],1,tblDeaths[AgeUnit],"Years",tblDeaths[Age],"&gt;="&amp;35,tblDeaths[Age],"&lt;="&amp;49,tblDeaths[Sex],"F",tblDeaths[NHIS],"Insured")</f>
        <v>4</v>
      </c>
      <c r="H12" s="29" t="s">
        <v>183</v>
      </c>
      <c r="I12" s="29">
        <f>COUNTIFS(tblDeaths[Month],2,tblDeaths[AgeUnit],"Years",tblDeaths[Age],"&gt;="&amp;35,tblDeaths[Age],"&lt;="&amp;49,tblDeaths[Sex],"M")</f>
        <v>2</v>
      </c>
      <c r="J12" s="29">
        <f>COUNTIFS(tblDeaths[Month],2,tblDeaths[AgeUnit],"Years",tblDeaths[Age],"&gt;="&amp;35,tblDeaths[Age],"&lt;="&amp;49,tblDeaths[Sex],"F")</f>
        <v>0</v>
      </c>
      <c r="K12" s="29">
        <f>COUNTIFS(tblDeaths[Month],2,tblDeaths[AgeUnit],"Years",tblDeaths[Age],"&gt;="&amp;35,tblDeaths[Age],"&lt;="&amp;49,tblDeaths[Sex],"M",tblDeaths[NHIS],"Non-Insured")</f>
        <v>0</v>
      </c>
      <c r="L12" s="29">
        <f>COUNTIFS(tblDeaths[Month],2,tblDeaths[AgeUnit],"Years",tblDeaths[Age],"&gt;="&amp;35,tblDeaths[Age],"&lt;="&amp;49,tblDeaths[Sex],"F",tblDeaths[NHIS],"Non-Insured")</f>
        <v>0</v>
      </c>
      <c r="M12" s="29">
        <f>COUNTIFS(tblDeaths[Month],2,tblDeaths[AgeUnit],"Years",tblDeaths[Age],"&gt;="&amp;35,tblDeaths[Age],"&lt;="&amp;49,tblDeaths[Sex],"M",tblDeaths[NHIS],"Insured")</f>
        <v>2</v>
      </c>
      <c r="N12" s="29">
        <f>COUNTIFS(tblDeaths[Month],2,tblDeaths[AgeUnit],"Years",tblDeaths[Age],"&gt;="&amp;35,tblDeaths[Age],"&lt;="&amp;49,tblDeaths[Sex],"F",tblDeaths[NHIS],"Insured")</f>
        <v>0</v>
      </c>
      <c r="O12" s="29" t="s">
        <v>183</v>
      </c>
      <c r="P12" s="29">
        <f>COUNTIFS(tblDeaths[Month],3,tblDeaths[AgeUnit],"Years",tblDeaths[Age],"&gt;="&amp;35,tblDeaths[Age],"&lt;="&amp;49,tblDeaths[Sex],"M")</f>
        <v>4</v>
      </c>
      <c r="Q12" s="29">
        <f>COUNTIFS(tblDeaths[Month],3,tblDeaths[AgeUnit],"Years",tblDeaths[Age],"&gt;="&amp;35,tblDeaths[Age],"&lt;="&amp;49,tblDeaths[Sex],"F")</f>
        <v>2</v>
      </c>
      <c r="R12" s="29">
        <f>COUNTIFS(tblDeaths[Month],3,tblDeaths[AgeUnit],"Years",tblDeaths[Age],"&gt;="&amp;35,tblDeaths[Age],"&lt;="&amp;49,tblDeaths[Sex],"M",tblDeaths[NHIS],"Non-Insured")</f>
        <v>1</v>
      </c>
      <c r="S12" s="29">
        <f>COUNTIFS(tblDeaths[Month],3,tblDeaths[AgeUnit],"Years",tblDeaths[Age],"&gt;="&amp;35,tblDeaths[Age],"&lt;="&amp;49,tblDeaths[Sex],"F",tblDeaths[NHIS],"Non-Insured")</f>
        <v>0</v>
      </c>
      <c r="T12" s="29">
        <f>COUNTIFS(tblDeaths[Month],3,tblDeaths[AgeUnit],"Years",tblDeaths[Age],"&gt;="&amp;35,tblDeaths[Age],"&lt;="&amp;49,tblDeaths[Sex],"M",tblDeaths[NHIS],"Insured")</f>
        <v>3</v>
      </c>
      <c r="U12" s="29">
        <f>COUNTIFS(tblDeaths[Month],3,tblDeaths[AgeUnit],"Years",tblDeaths[Age],"&gt;="&amp;35,tblDeaths[Age],"&lt;="&amp;49,tblDeaths[Sex],"F",tblDeaths[NHIS],"Insured")</f>
        <v>2</v>
      </c>
      <c r="V12" s="29" t="s">
        <v>183</v>
      </c>
      <c r="W12" s="29">
        <f>COUNTIFS(tblDeaths[Month],4,tblDeaths[AgeUnit],"Years",tblDeaths[Age],"&gt;="&amp;35,tblDeaths[Age],"&lt;="&amp;49,tblDeaths[Sex],"M")</f>
        <v>0</v>
      </c>
      <c r="X12" s="29">
        <f>COUNTIFS(tblDeaths[Month],4,tblDeaths[AgeUnit],"Years",tblDeaths[Age],"&gt;="&amp;35,tblDeaths[Age],"&lt;="&amp;49,tblDeaths[Sex],"F")</f>
        <v>0</v>
      </c>
      <c r="Y12" s="29">
        <f>COUNTIFS(tblDeaths[Month],4,tblDeaths[AgeUnit],"Years",tblDeaths[Age],"&gt;="&amp;35,tblDeaths[Age],"&lt;="&amp;49,tblDeaths[Sex],"M",tblDeaths[NHIS],"Non-Insured")</f>
        <v>0</v>
      </c>
      <c r="Z12" s="29">
        <f>COUNTIFS(tblDeaths[Month],4,tblDeaths[AgeUnit],"Years",tblDeaths[Age],"&gt;="&amp;35,tblDeaths[Age],"&lt;="&amp;49,tblDeaths[Sex],"F",tblDeaths[NHIS],"Non-Insured")</f>
        <v>0</v>
      </c>
      <c r="AA12" s="29">
        <f>COUNTIFS(tblDeaths[Month],4,tblDeaths[AgeUnit],"Years",tblDeaths[Age],"&gt;="&amp;35,tblDeaths[Age],"&lt;="&amp;49,tblDeaths[Sex],"M",tblDeaths[NHIS],"Insured")</f>
        <v>0</v>
      </c>
      <c r="AB12" s="29">
        <f>COUNTIFS(tblDeaths[Month],4,tblDeaths[AgeUnit],"Years",tblDeaths[Age],"&gt;="&amp;35,tblDeaths[Age],"&lt;="&amp;49,tblDeaths[Sex],"F",tblDeaths[NHIS],"Insured")</f>
        <v>0</v>
      </c>
      <c r="AC12" s="29" t="s">
        <v>183</v>
      </c>
      <c r="AD12" s="29">
        <f>COUNTIFS(tblDeaths[Month],5,tblDeaths[AgeUnit],"Years",tblDeaths[Age],"&gt;="&amp;35,tblDeaths[Age],"&lt;="&amp;49,tblDeaths[Sex],"M")</f>
        <v>0</v>
      </c>
      <c r="AE12" s="29">
        <f>COUNTIFS(tblDeaths[Month],5,tblDeaths[AgeUnit],"Years",tblDeaths[Age],"&gt;="&amp;35,tblDeaths[Age],"&lt;="&amp;49,tblDeaths[Sex],"F")</f>
        <v>0</v>
      </c>
      <c r="AF12" s="29">
        <f>COUNTIFS(tblDeaths[Month],5,tblDeaths[AgeUnit],"Years",tblDeaths[Age],"&gt;="&amp;35,tblDeaths[Age],"&lt;="&amp;49,tblDeaths[Sex],"M",tblDeaths[NHIS],"Non-Insured")</f>
        <v>0</v>
      </c>
      <c r="AG12" s="29">
        <f>COUNTIFS(tblDeaths[Month],5,tblDeaths[AgeUnit],"Years",tblDeaths[Age],"&gt;="&amp;35,tblDeaths[Age],"&lt;="&amp;49,tblDeaths[Sex],"F",tblDeaths[NHIS],"Non-Insured")</f>
        <v>0</v>
      </c>
      <c r="AH12" s="29">
        <f>COUNTIFS(tblDeaths[Month],5,tblDeaths[AgeUnit],"Years",tblDeaths[Age],"&gt;="&amp;35,tblDeaths[Age],"&lt;="&amp;49,tblDeaths[Sex],"M",tblDeaths[NHIS],"Insured")</f>
        <v>0</v>
      </c>
      <c r="AI12" s="29">
        <f>COUNTIFS(tblDeaths[Month],5,tblDeaths[AgeUnit],"Years",tblDeaths[Age],"&gt;="&amp;35,tblDeaths[Age],"&lt;="&amp;49,tblDeaths[Sex],"F",tblDeaths[NHIS],"Insured")</f>
        <v>0</v>
      </c>
      <c r="AJ12" s="29" t="s">
        <v>183</v>
      </c>
      <c r="AK12" s="29">
        <f>COUNTIFS(tblDeaths[Month],6,tblDeaths[AgeUnit],"Years",tblDeaths[Age],"&gt;="&amp;35,tblDeaths[Age],"&lt;="&amp;49,tblDeaths[Sex],"M")</f>
        <v>0</v>
      </c>
      <c r="AL12" s="29">
        <f>COUNTIFS(tblDeaths[Month],6,tblDeaths[AgeUnit],"Years",tblDeaths[Age],"&gt;="&amp;35,tblDeaths[Age],"&lt;="&amp;49,tblDeaths[Sex],"F")</f>
        <v>0</v>
      </c>
      <c r="AM12" s="29">
        <f>COUNTIFS(tblDeaths[Month],6,tblDeaths[AgeUnit],"Years",tblDeaths[Age],"&gt;="&amp;35,tblDeaths[Age],"&lt;="&amp;49,tblDeaths[Sex],"M",tblDeaths[NHIS],"Non-Insured")</f>
        <v>0</v>
      </c>
      <c r="AN12" s="29">
        <f>COUNTIFS(tblDeaths[Month],6,tblDeaths[AgeUnit],"Years",tblDeaths[Age],"&gt;="&amp;35,tblDeaths[Age],"&lt;="&amp;49,tblDeaths[Sex],"F",tblDeaths[NHIS],"Non-Insured")</f>
        <v>0</v>
      </c>
      <c r="AO12" s="29">
        <f>COUNTIFS(tblDeaths[Month],6,tblDeaths[AgeUnit],"Years",tblDeaths[Age],"&gt;="&amp;35,tblDeaths[Age],"&lt;="&amp;49,tblDeaths[Sex],"M",tblDeaths[NHIS],"Insured")</f>
        <v>0</v>
      </c>
      <c r="AP12" s="29">
        <f>COUNTIFS(tblDeaths[Month],6,tblDeaths[AgeUnit],"Years",tblDeaths[Age],"&gt;="&amp;35,tblDeaths[Age],"&lt;="&amp;49,tblDeaths[Sex],"F",tblDeaths[NHIS],"Insured")</f>
        <v>0</v>
      </c>
      <c r="AQ12" s="29" t="s">
        <v>183</v>
      </c>
      <c r="AR12" s="29">
        <f>COUNTIFS(tblDeaths[Month],7,tblDeaths[AgeUnit],"Years",tblDeaths[Age],"&gt;="&amp;35,tblDeaths[Age],"&lt;="&amp;49,tblDeaths[Sex],"M")</f>
        <v>0</v>
      </c>
      <c r="AS12" s="29">
        <f>COUNTIFS(tblDeaths[Month],7,tblDeaths[AgeUnit],"Years",tblDeaths[Age],"&gt;="&amp;35,tblDeaths[Age],"&lt;="&amp;49,tblDeaths[Sex],"F")</f>
        <v>0</v>
      </c>
      <c r="AT12" s="29">
        <f>COUNTIFS(tblDeaths[Month],7,tblDeaths[AgeUnit],"Years",tblDeaths[Age],"&gt;="&amp;35,tblDeaths[Age],"&lt;="&amp;49,tblDeaths[Sex],"M",tblDeaths[NHIS],"Non-Insured")</f>
        <v>0</v>
      </c>
      <c r="AU12" s="29">
        <f>COUNTIFS(tblDeaths[Month],7,tblDeaths[AgeUnit],"Years",tblDeaths[Age],"&gt;="&amp;35,tblDeaths[Age],"&lt;="&amp;49,tblDeaths[Sex],"F",tblDeaths[NHIS],"Non-Insured")</f>
        <v>0</v>
      </c>
      <c r="AV12" s="29">
        <f>COUNTIFS(tblDeaths[Month],7,tblDeaths[AgeUnit],"Years",tblDeaths[Age],"&gt;="&amp;35,tblDeaths[Age],"&lt;="&amp;49,tblDeaths[Sex],"M",tblDeaths[NHIS],"Insured")</f>
        <v>0</v>
      </c>
      <c r="AW12" s="29">
        <f>COUNTIFS(tblDeaths[Month],7,tblDeaths[AgeUnit],"Years",tblDeaths[Age],"&gt;="&amp;35,tblDeaths[Age],"&lt;="&amp;49,tblDeaths[Sex],"F",tblDeaths[NHIS],"Insured")</f>
        <v>0</v>
      </c>
      <c r="AX12" s="29" t="s">
        <v>183</v>
      </c>
      <c r="AY12" s="29">
        <f>COUNTIFS(tblDeaths[Month],8,tblDeaths[AgeUnit],"Years",tblDeaths[Age],"&gt;="&amp;35,tblDeaths[Age],"&lt;="&amp;49,tblDeaths[Sex],"M")</f>
        <v>0</v>
      </c>
      <c r="AZ12" s="29">
        <f>COUNTIFS(tblDeaths[Month],8,tblDeaths[AgeUnit],"Years",tblDeaths[Age],"&gt;="&amp;35,tblDeaths[Age],"&lt;="&amp;49,tblDeaths[Sex],"F")</f>
        <v>0</v>
      </c>
      <c r="BA12" s="29">
        <f>COUNTIFS(tblDeaths[Month],8,tblDeaths[AgeUnit],"Years",tblDeaths[Age],"&gt;="&amp;35,tblDeaths[Age],"&lt;="&amp;49,tblDeaths[Sex],"M",tblDeaths[NHIS],"Non-Insured")</f>
        <v>0</v>
      </c>
      <c r="BB12" s="29">
        <f>COUNTIFS(tblDeaths[Month],8,tblDeaths[AgeUnit],"Years",tblDeaths[Age],"&gt;="&amp;35,tblDeaths[Age],"&lt;="&amp;49,tblDeaths[Sex],"F",tblDeaths[NHIS],"Non-Insured")</f>
        <v>0</v>
      </c>
      <c r="BC12" s="29">
        <f>COUNTIFS(tblDeaths[Month],8,tblDeaths[AgeUnit],"Years",tblDeaths[Age],"&gt;="&amp;35,tblDeaths[Age],"&lt;="&amp;49,tblDeaths[Sex],"M",tblDeaths[NHIS],"Insured")</f>
        <v>0</v>
      </c>
      <c r="BD12" s="29">
        <f>COUNTIFS(tblDeaths[Month],8,tblDeaths[AgeUnit],"Years",tblDeaths[Age],"&gt;="&amp;35,tblDeaths[Age],"&lt;="&amp;49,tblDeaths[Sex],"F",tblDeaths[NHIS],"Insured")</f>
        <v>0</v>
      </c>
      <c r="BE12" s="29" t="s">
        <v>183</v>
      </c>
      <c r="BF12" s="29">
        <f>COUNTIFS(tblDeaths[Month],9,tblDeaths[AgeUnit],"Years",tblDeaths[Age],"&gt;="&amp;35,tblDeaths[Age],"&lt;="&amp;49,tblDeaths[Sex],"M")</f>
        <v>0</v>
      </c>
      <c r="BG12" s="29">
        <f>COUNTIFS(tblDeaths[Month],9,tblDeaths[AgeUnit],"Years",tblDeaths[Age],"&gt;="&amp;35,tblDeaths[Age],"&lt;="&amp;49,tblDeaths[Sex],"F")</f>
        <v>0</v>
      </c>
      <c r="BH12" s="29">
        <f>COUNTIFS(tblDeaths[Month],9,tblDeaths[AgeUnit],"Years",tblDeaths[Age],"&gt;="&amp;35,tblDeaths[Age],"&lt;="&amp;49,tblDeaths[Sex],"M",tblDeaths[NHIS],"Non-Insured")</f>
        <v>0</v>
      </c>
      <c r="BI12" s="29">
        <f>COUNTIFS(tblDeaths[Month],9,tblDeaths[AgeUnit],"Years",tblDeaths[Age],"&gt;="&amp;35,tblDeaths[Age],"&lt;="&amp;49,tblDeaths[Sex],"F",tblDeaths[NHIS],"Non-Insured")</f>
        <v>0</v>
      </c>
      <c r="BJ12" s="29">
        <f>COUNTIFS(tblDeaths[Month],9,tblDeaths[AgeUnit],"Years",tblDeaths[Age],"&gt;="&amp;35,tblDeaths[Age],"&lt;="&amp;49,tblDeaths[Sex],"M",tblDeaths[NHIS],"Insured")</f>
        <v>0</v>
      </c>
      <c r="BK12" s="29">
        <f>COUNTIFS(tblDeaths[Month],9,tblDeaths[AgeUnit],"Years",tblDeaths[Age],"&gt;="&amp;35,tblDeaths[Age],"&lt;="&amp;49,tblDeaths[Sex],"F",tblDeaths[NHIS],"Insured")</f>
        <v>0</v>
      </c>
      <c r="BL12" s="29" t="s">
        <v>183</v>
      </c>
      <c r="BM12" s="29">
        <f>COUNTIFS(tblDeaths[Month],10,tblDeaths[AgeUnit],"Years",tblDeaths[Age],"&gt;="&amp;35,tblDeaths[Age],"&lt;="&amp;49,tblDeaths[Sex],"M")</f>
        <v>0</v>
      </c>
      <c r="BN12" s="29">
        <f>COUNTIFS(tblDeaths[Month],10,tblDeaths[AgeUnit],"Years",tblDeaths[Age],"&gt;="&amp;35,tblDeaths[Age],"&lt;="&amp;49,tblDeaths[Sex],"F")</f>
        <v>0</v>
      </c>
      <c r="BO12" s="29">
        <f>COUNTIFS(tblDeaths[Month],10,tblDeaths[AgeUnit],"Years",tblDeaths[Age],"&gt;="&amp;35,tblDeaths[Age],"&lt;="&amp;49,tblDeaths[Sex],"M",tblDeaths[NHIS],"Non-Insured")</f>
        <v>0</v>
      </c>
      <c r="BP12" s="29">
        <f>COUNTIFS(tblDeaths[Month],10,tblDeaths[AgeUnit],"Years",tblDeaths[Age],"&gt;="&amp;35,tblDeaths[Age],"&lt;="&amp;49,tblDeaths[Sex],"F",tblDeaths[NHIS],"Non-Insured")</f>
        <v>0</v>
      </c>
      <c r="BQ12" s="29">
        <f>COUNTIFS(tblDeaths[Month],10,tblDeaths[AgeUnit],"Years",tblDeaths[Age],"&gt;="&amp;35,tblDeaths[Age],"&lt;="&amp;49,tblDeaths[Sex],"M",tblDeaths[NHIS],"Insured")</f>
        <v>0</v>
      </c>
      <c r="BR12" s="29">
        <f>COUNTIFS(tblDeaths[Month],10,tblDeaths[AgeUnit],"Years",tblDeaths[Age],"&gt;="&amp;35,tblDeaths[Age],"&lt;="&amp;49,tblDeaths[Sex],"F",tblDeaths[NHIS],"Insured")</f>
        <v>0</v>
      </c>
      <c r="BS12" s="29" t="s">
        <v>183</v>
      </c>
      <c r="BT12" s="29">
        <f>COUNTIFS(tblDeaths[Month],11,tblDeaths[AgeUnit],"Years",tblDeaths[Age],"&gt;="&amp;35,tblDeaths[Age],"&lt;="&amp;49,tblDeaths[Sex],"M")</f>
        <v>0</v>
      </c>
      <c r="BU12" s="29">
        <f>COUNTIFS(tblDeaths[Month],11,tblDeaths[AgeUnit],"Years",tblDeaths[Age],"&gt;="&amp;35,tblDeaths[Age],"&lt;="&amp;49,tblDeaths[Sex],"F")</f>
        <v>0</v>
      </c>
      <c r="BV12" s="29">
        <f>COUNTIFS(tblDeaths[Month],11,tblDeaths[AgeUnit],"Years",tblDeaths[Age],"&gt;="&amp;35,tblDeaths[Age],"&lt;="&amp;49,tblDeaths[Sex],"M",tblDeaths[NHIS],"Non-Insured")</f>
        <v>0</v>
      </c>
      <c r="BW12" s="29">
        <f>COUNTIFS(tblDeaths[Month],11,tblDeaths[AgeUnit],"Years",tblDeaths[Age],"&gt;="&amp;35,tblDeaths[Age],"&lt;="&amp;49,tblDeaths[Sex],"F",tblDeaths[NHIS],"Non-Insured")</f>
        <v>0</v>
      </c>
      <c r="BX12" s="29">
        <f>COUNTIFS(tblDeaths[Month],11,tblDeaths[AgeUnit],"Years",tblDeaths[Age],"&gt;="&amp;35,tblDeaths[Age],"&lt;="&amp;49,tblDeaths[Sex],"M",tblDeaths[NHIS],"Insured")</f>
        <v>0</v>
      </c>
      <c r="BY12" s="29">
        <f>COUNTIFS(tblDeaths[Month],11,tblDeaths[AgeUnit],"Years",tblDeaths[Age],"&gt;="&amp;35,tblDeaths[Age],"&lt;="&amp;49,tblDeaths[Sex],"F",tblDeaths[NHIS],"Insured")</f>
        <v>0</v>
      </c>
      <c r="BZ12" s="29" t="s">
        <v>183</v>
      </c>
      <c r="CA12" s="29">
        <f>COUNTIFS(tblDeaths[Month],12,tblDeaths[AgeUnit],"Years",tblDeaths[Age],"&gt;="&amp;35,tblDeaths[Age],"&lt;="&amp;49,tblDeaths[Sex],"M")</f>
        <v>0</v>
      </c>
      <c r="CB12" s="29">
        <f>COUNTIFS(tblDeaths[Month],12,tblDeaths[AgeUnit],"Years",tblDeaths[Age],"&gt;="&amp;35,tblDeaths[Age],"&lt;="&amp;49,tblDeaths[Sex],"F")</f>
        <v>0</v>
      </c>
      <c r="CC12" s="29">
        <f>COUNTIFS(tblDeaths[Month],12,tblDeaths[AgeUnit],"Years",tblDeaths[Age],"&gt;="&amp;35,tblDeaths[Age],"&lt;="&amp;49,tblDeaths[Sex],"M",tblDeaths[NHIS],"Non-Insured")</f>
        <v>0</v>
      </c>
      <c r="CD12" s="29">
        <f>COUNTIFS(tblDeaths[Month],12,tblDeaths[AgeUnit],"Years",tblDeaths[Age],"&gt;="&amp;35,tblDeaths[Age],"&lt;="&amp;49,tblDeaths[Sex],"F",tblDeaths[NHIS],"Non-Insured")</f>
        <v>0</v>
      </c>
      <c r="CE12" s="29">
        <f>COUNTIFS(tblDeaths[Month],12,tblDeaths[AgeUnit],"Years",tblDeaths[Age],"&gt;="&amp;35,tblDeaths[Age],"&lt;="&amp;49,tblDeaths[Sex],"M",tblDeaths[NHIS],"Insured")</f>
        <v>0</v>
      </c>
      <c r="CF12" s="29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29" t="s">
        <v>184</v>
      </c>
      <c r="B13" s="29">
        <f>COUNTIFS(tblDeaths[Month],1,tblDeaths[AgeUnit],"Years",tblDeaths[Age],"&gt;="&amp;50,tblDeaths[Age],"&lt;="&amp;59,tblDeaths[Sex],"M")</f>
        <v>1</v>
      </c>
      <c r="C13" s="29">
        <f>COUNTIFS(tblDeaths[Month],1,tblDeaths[AgeUnit],"Years",tblDeaths[Age],"&gt;="&amp;50,tblDeaths[Age],"&lt;="&amp;59,tblDeaths[Sex],"F")</f>
        <v>2</v>
      </c>
      <c r="D13" s="29">
        <f>COUNTIFS(tblDeaths[Month],1,tblDeaths[AgeUnit],"Years",tblDeaths[Age],"&gt;="&amp;50,tblDeaths[Age],"&lt;="&amp;59,tblDeaths[Sex],"M",tblDeaths[NHIS],"Non-Insured")</f>
        <v>1</v>
      </c>
      <c r="E13" s="29">
        <f>COUNTIFS(tblDeaths[Month],1,tblDeaths[AgeUnit],"Years",tblDeaths[Age],"&gt;="&amp;50,tblDeaths[Age],"&lt;="&amp;59,tblDeaths[Sex],"F",tblDeaths[NHIS],"Non-Insured")</f>
        <v>2</v>
      </c>
      <c r="F13" s="29">
        <f>COUNTIFS(tblDeaths[Month],1,tblDeaths[AgeUnit],"Years",tblDeaths[Age],"&gt;="&amp;50,tblDeaths[Age],"&lt;="&amp;59,tblDeaths[Sex],"M",tblDeaths[NHIS],"Insured")</f>
        <v>0</v>
      </c>
      <c r="G13" s="29">
        <f>COUNTIFS(tblDeaths[Month],1,tblDeaths[AgeUnit],"Years",tblDeaths[Age],"&gt;="&amp;50,tblDeaths[Age],"&lt;="&amp;59,tblDeaths[Sex],"F",tblDeaths[NHIS],"Insured")</f>
        <v>0</v>
      </c>
      <c r="H13" s="29" t="s">
        <v>184</v>
      </c>
      <c r="I13" s="29">
        <f>COUNTIFS(tblDeaths[Month],2,tblDeaths[AgeUnit],"Years",tblDeaths[Age],"&gt;="&amp;50,tblDeaths[Age],"&lt;="&amp;59,tblDeaths[Sex],"M")</f>
        <v>0</v>
      </c>
      <c r="J13" s="29">
        <f>COUNTIFS(tblDeaths[Month],2,tblDeaths[AgeUnit],"Years",tblDeaths[Age],"&gt;="&amp;50,tblDeaths[Age],"&lt;="&amp;59,tblDeaths[Sex],"F")</f>
        <v>0</v>
      </c>
      <c r="K13" s="29">
        <f>COUNTIFS(tblDeaths[Month],2,tblDeaths[AgeUnit],"Years",tblDeaths[Age],"&gt;="&amp;50,tblDeaths[Age],"&lt;="&amp;59,tblDeaths[Sex],"M",tblDeaths[NHIS],"Non-Insured")</f>
        <v>0</v>
      </c>
      <c r="L13" s="29">
        <f>COUNTIFS(tblDeaths[Month],2,tblDeaths[AgeUnit],"Years",tblDeaths[Age],"&gt;="&amp;50,tblDeaths[Age],"&lt;="&amp;59,tblDeaths[Sex],"F",tblDeaths[NHIS],"Non-Insured")</f>
        <v>0</v>
      </c>
      <c r="M13" s="29">
        <f>COUNTIFS(tblDeaths[Month],2,tblDeaths[AgeUnit],"Years",tblDeaths[Age],"&gt;="&amp;50,tblDeaths[Age],"&lt;="&amp;59,tblDeaths[Sex],"M",tblDeaths[NHIS],"Insured")</f>
        <v>0</v>
      </c>
      <c r="N13" s="29">
        <f>COUNTIFS(tblDeaths[Month],2,tblDeaths[AgeUnit],"Years",tblDeaths[Age],"&gt;="&amp;50,tblDeaths[Age],"&lt;="&amp;59,tblDeaths[Sex],"F",tblDeaths[NHIS],"Insured")</f>
        <v>0</v>
      </c>
      <c r="O13" s="29" t="s">
        <v>184</v>
      </c>
      <c r="P13" s="29">
        <f>COUNTIFS(tblDeaths[Month],3,tblDeaths[AgeUnit],"Years",tblDeaths[Age],"&gt;="&amp;50,tblDeaths[Age],"&lt;="&amp;59,tblDeaths[Sex],"M")</f>
        <v>5</v>
      </c>
      <c r="Q13" s="29">
        <f>COUNTIFS(tblDeaths[Month],3,tblDeaths[AgeUnit],"Years",tblDeaths[Age],"&gt;="&amp;50,tblDeaths[Age],"&lt;="&amp;59,tblDeaths[Sex],"F")</f>
        <v>5</v>
      </c>
      <c r="R13" s="29">
        <f>COUNTIFS(tblDeaths[Month],3,tblDeaths[AgeUnit],"Years",tblDeaths[Age],"&gt;="&amp;50,tblDeaths[Age],"&lt;="&amp;59,tblDeaths[Sex],"M",tblDeaths[NHIS],"Non-Insured")</f>
        <v>2</v>
      </c>
      <c r="S13" s="29">
        <f>COUNTIFS(tblDeaths[Month],3,tblDeaths[AgeUnit],"Years",tblDeaths[Age],"&gt;="&amp;50,tblDeaths[Age],"&lt;="&amp;59,tblDeaths[Sex],"F",tblDeaths[NHIS],"Non-Insured")</f>
        <v>2</v>
      </c>
      <c r="T13" s="29">
        <f>COUNTIFS(tblDeaths[Month],3,tblDeaths[AgeUnit],"Years",tblDeaths[Age],"&gt;="&amp;50,tblDeaths[Age],"&lt;="&amp;59,tblDeaths[Sex],"M",tblDeaths[NHIS],"Insured")</f>
        <v>3</v>
      </c>
      <c r="U13" s="29">
        <f>COUNTIFS(tblDeaths[Month],3,tblDeaths[AgeUnit],"Years",tblDeaths[Age],"&gt;="&amp;50,tblDeaths[Age],"&lt;="&amp;59,tblDeaths[Sex],"F",tblDeaths[NHIS],"Insured")</f>
        <v>3</v>
      </c>
      <c r="V13" s="29" t="s">
        <v>184</v>
      </c>
      <c r="W13" s="29">
        <f>COUNTIFS(tblDeaths[Month],4,tblDeaths[AgeUnit],"Years",tblDeaths[Age],"&gt;="&amp;50,tblDeaths[Age],"&lt;="&amp;59,tblDeaths[Sex],"M")</f>
        <v>0</v>
      </c>
      <c r="X13" s="29">
        <f>COUNTIFS(tblDeaths[Month],4,tblDeaths[AgeUnit],"Years",tblDeaths[Age],"&gt;="&amp;50,tblDeaths[Age],"&lt;="&amp;59,tblDeaths[Sex],"F")</f>
        <v>0</v>
      </c>
      <c r="Y13" s="29">
        <f>COUNTIFS(tblDeaths[Month],4,tblDeaths[AgeUnit],"Years",tblDeaths[Age],"&gt;="&amp;50,tblDeaths[Age],"&lt;="&amp;59,tblDeaths[Sex],"M",tblDeaths[NHIS],"Non-Insured")</f>
        <v>0</v>
      </c>
      <c r="Z13" s="29">
        <f>COUNTIFS(tblDeaths[Month],4,tblDeaths[AgeUnit],"Years",tblDeaths[Age],"&gt;="&amp;50,tblDeaths[Age],"&lt;="&amp;59,tblDeaths[Sex],"F",tblDeaths[NHIS],"Non-Insured")</f>
        <v>0</v>
      </c>
      <c r="AA13" s="29">
        <f>COUNTIFS(tblDeaths[Month],4,tblDeaths[AgeUnit],"Years",tblDeaths[Age],"&gt;="&amp;50,tblDeaths[Age],"&lt;="&amp;59,tblDeaths[Sex],"M",tblDeaths[NHIS],"Insured")</f>
        <v>0</v>
      </c>
      <c r="AB13" s="29">
        <f>COUNTIFS(tblDeaths[Month],4,tblDeaths[AgeUnit],"Years",tblDeaths[Age],"&gt;="&amp;50,tblDeaths[Age],"&lt;="&amp;59,tblDeaths[Sex],"F",tblDeaths[NHIS],"Insured")</f>
        <v>0</v>
      </c>
      <c r="AC13" s="29" t="s">
        <v>184</v>
      </c>
      <c r="AD13" s="29">
        <f>COUNTIFS(tblDeaths[Month],5,tblDeaths[AgeUnit],"Years",tblDeaths[Age],"&gt;="&amp;50,tblDeaths[Age],"&lt;="&amp;59,tblDeaths[Sex],"M")</f>
        <v>0</v>
      </c>
      <c r="AE13" s="29">
        <f>COUNTIFS(tblDeaths[Month],5,tblDeaths[AgeUnit],"Years",tblDeaths[Age],"&gt;="&amp;50,tblDeaths[Age],"&lt;="&amp;59,tblDeaths[Sex],"F")</f>
        <v>0</v>
      </c>
      <c r="AF13" s="29">
        <f>COUNTIFS(tblDeaths[Month],5,tblDeaths[AgeUnit],"Years",tblDeaths[Age],"&gt;="&amp;50,tblDeaths[Age],"&lt;="&amp;59,tblDeaths[Sex],"M",tblDeaths[NHIS],"Non-Insured")</f>
        <v>0</v>
      </c>
      <c r="AG13" s="29">
        <f>COUNTIFS(tblDeaths[Month],5,tblDeaths[AgeUnit],"Years",tblDeaths[Age],"&gt;="&amp;50,tblDeaths[Age],"&lt;="&amp;59,tblDeaths[Sex],"F",tblDeaths[NHIS],"Non-Insured")</f>
        <v>0</v>
      </c>
      <c r="AH13" s="29">
        <f>COUNTIFS(tblDeaths[Month],5,tblDeaths[AgeUnit],"Years",tblDeaths[Age],"&gt;="&amp;50,tblDeaths[Age],"&lt;="&amp;59,tblDeaths[Sex],"M",tblDeaths[NHIS],"Insured")</f>
        <v>0</v>
      </c>
      <c r="AI13" s="29">
        <f>COUNTIFS(tblDeaths[Month],5,tblDeaths[AgeUnit],"Years",tblDeaths[Age],"&gt;="&amp;50,tblDeaths[Age],"&lt;="&amp;59,tblDeaths[Sex],"F",tblDeaths[NHIS],"Insured")</f>
        <v>0</v>
      </c>
      <c r="AJ13" s="29" t="s">
        <v>184</v>
      </c>
      <c r="AK13" s="29">
        <f>COUNTIFS(tblDeaths[Month],6,tblDeaths[AgeUnit],"Years",tblDeaths[Age],"&gt;="&amp;50,tblDeaths[Age],"&lt;="&amp;59,tblDeaths[Sex],"M")</f>
        <v>0</v>
      </c>
      <c r="AL13" s="29">
        <f>COUNTIFS(tblDeaths[Month],6,tblDeaths[AgeUnit],"Years",tblDeaths[Age],"&gt;="&amp;50,tblDeaths[Age],"&lt;="&amp;59,tblDeaths[Sex],"F")</f>
        <v>0</v>
      </c>
      <c r="AM13" s="29">
        <f>COUNTIFS(tblDeaths[Month],6,tblDeaths[AgeUnit],"Years",tblDeaths[Age],"&gt;="&amp;50,tblDeaths[Age],"&lt;="&amp;59,tblDeaths[Sex],"M",tblDeaths[NHIS],"Non-Insured")</f>
        <v>0</v>
      </c>
      <c r="AN13" s="29">
        <f>COUNTIFS(tblDeaths[Month],6,tblDeaths[AgeUnit],"Years",tblDeaths[Age],"&gt;="&amp;50,tblDeaths[Age],"&lt;="&amp;59,tblDeaths[Sex],"F",tblDeaths[NHIS],"Non-Insured")</f>
        <v>0</v>
      </c>
      <c r="AO13" s="29">
        <f>COUNTIFS(tblDeaths[Month],6,tblDeaths[AgeUnit],"Years",tblDeaths[Age],"&gt;="&amp;50,tblDeaths[Age],"&lt;="&amp;59,tblDeaths[Sex],"M",tblDeaths[NHIS],"Insured")</f>
        <v>0</v>
      </c>
      <c r="AP13" s="29">
        <f>COUNTIFS(tblDeaths[Month],6,tblDeaths[AgeUnit],"Years",tblDeaths[Age],"&gt;="&amp;50,tblDeaths[Age],"&lt;="&amp;59,tblDeaths[Sex],"F",tblDeaths[NHIS],"Insured")</f>
        <v>0</v>
      </c>
      <c r="AQ13" s="29" t="s">
        <v>184</v>
      </c>
      <c r="AR13" s="29">
        <f>COUNTIFS(tblDeaths[Month],7,tblDeaths[AgeUnit],"Years",tblDeaths[Age],"&gt;="&amp;50,tblDeaths[Age],"&lt;="&amp;59,tblDeaths[Sex],"M")</f>
        <v>0</v>
      </c>
      <c r="AS13" s="29">
        <f>COUNTIFS(tblDeaths[Month],7,tblDeaths[AgeUnit],"Years",tblDeaths[Age],"&gt;="&amp;50,tblDeaths[Age],"&lt;="&amp;59,tblDeaths[Sex],"F")</f>
        <v>0</v>
      </c>
      <c r="AT13" s="29">
        <f>COUNTIFS(tblDeaths[Month],7,tblDeaths[AgeUnit],"Years",tblDeaths[Age],"&gt;="&amp;50,tblDeaths[Age],"&lt;="&amp;59,tblDeaths[Sex],"M",tblDeaths[NHIS],"Non-Insured")</f>
        <v>0</v>
      </c>
      <c r="AU13" s="29">
        <f>COUNTIFS(tblDeaths[Month],7,tblDeaths[AgeUnit],"Years",tblDeaths[Age],"&gt;="&amp;50,tblDeaths[Age],"&lt;="&amp;59,tblDeaths[Sex],"F",tblDeaths[NHIS],"Non-Insured")</f>
        <v>0</v>
      </c>
      <c r="AV13" s="29">
        <f>COUNTIFS(tblDeaths[Month],7,tblDeaths[AgeUnit],"Years",tblDeaths[Age],"&gt;="&amp;50,tblDeaths[Age],"&lt;="&amp;59,tblDeaths[Sex],"M",tblDeaths[NHIS],"Insured")</f>
        <v>0</v>
      </c>
      <c r="AW13" s="29">
        <f>COUNTIFS(tblDeaths[Month],7,tblDeaths[AgeUnit],"Years",tblDeaths[Age],"&gt;="&amp;50,tblDeaths[Age],"&lt;="&amp;59,tblDeaths[Sex],"F",tblDeaths[NHIS],"Insured")</f>
        <v>0</v>
      </c>
      <c r="AX13" s="29" t="s">
        <v>184</v>
      </c>
      <c r="AY13" s="29">
        <f>COUNTIFS(tblDeaths[Month],8,tblDeaths[AgeUnit],"Years",tblDeaths[Age],"&gt;="&amp;50,tblDeaths[Age],"&lt;="&amp;59,tblDeaths[Sex],"M")</f>
        <v>0</v>
      </c>
      <c r="AZ13" s="29">
        <f>COUNTIFS(tblDeaths[Month],8,tblDeaths[AgeUnit],"Years",tblDeaths[Age],"&gt;="&amp;50,tblDeaths[Age],"&lt;="&amp;59,tblDeaths[Sex],"F")</f>
        <v>0</v>
      </c>
      <c r="BA13" s="29">
        <f>COUNTIFS(tblDeaths[Month],8,tblDeaths[AgeUnit],"Years",tblDeaths[Age],"&gt;="&amp;50,tblDeaths[Age],"&lt;="&amp;59,tblDeaths[Sex],"M",tblDeaths[NHIS],"Non-Insured")</f>
        <v>0</v>
      </c>
      <c r="BB13" s="29">
        <f>COUNTIFS(tblDeaths[Month],8,tblDeaths[AgeUnit],"Years",tblDeaths[Age],"&gt;="&amp;50,tblDeaths[Age],"&lt;="&amp;59,tblDeaths[Sex],"F",tblDeaths[NHIS],"Non-Insured")</f>
        <v>0</v>
      </c>
      <c r="BC13" s="29">
        <f>COUNTIFS(tblDeaths[Month],8,tblDeaths[AgeUnit],"Years",tblDeaths[Age],"&gt;="&amp;50,tblDeaths[Age],"&lt;="&amp;59,tblDeaths[Sex],"M",tblDeaths[NHIS],"Insured")</f>
        <v>0</v>
      </c>
      <c r="BD13" s="29">
        <f>COUNTIFS(tblDeaths[Month],8,tblDeaths[AgeUnit],"Years",tblDeaths[Age],"&gt;="&amp;50,tblDeaths[Age],"&lt;="&amp;59,tblDeaths[Sex],"F",tblDeaths[NHIS],"Insured")</f>
        <v>0</v>
      </c>
      <c r="BE13" s="29" t="s">
        <v>184</v>
      </c>
      <c r="BF13" s="29">
        <f>COUNTIFS(tblDeaths[Month],9,tblDeaths[AgeUnit],"Years",tblDeaths[Age],"&gt;="&amp;50,tblDeaths[Age],"&lt;="&amp;59,tblDeaths[Sex],"M")</f>
        <v>0</v>
      </c>
      <c r="BG13" s="29">
        <f>COUNTIFS(tblDeaths[Month],9,tblDeaths[AgeUnit],"Years",tblDeaths[Age],"&gt;="&amp;50,tblDeaths[Age],"&lt;="&amp;59,tblDeaths[Sex],"F")</f>
        <v>0</v>
      </c>
      <c r="BH13" s="29">
        <f>COUNTIFS(tblDeaths[Month],9,tblDeaths[AgeUnit],"Years",tblDeaths[Age],"&gt;="&amp;50,tblDeaths[Age],"&lt;="&amp;59,tblDeaths[Sex],"M",tblDeaths[NHIS],"Non-Insured")</f>
        <v>0</v>
      </c>
      <c r="BI13" s="29">
        <f>COUNTIFS(tblDeaths[Month],9,tblDeaths[AgeUnit],"Years",tblDeaths[Age],"&gt;="&amp;50,tblDeaths[Age],"&lt;="&amp;59,tblDeaths[Sex],"F",tblDeaths[NHIS],"Non-Insured")</f>
        <v>0</v>
      </c>
      <c r="BJ13" s="29">
        <f>COUNTIFS(tblDeaths[Month],9,tblDeaths[AgeUnit],"Years",tblDeaths[Age],"&gt;="&amp;50,tblDeaths[Age],"&lt;="&amp;59,tblDeaths[Sex],"M",tblDeaths[NHIS],"Insured")</f>
        <v>0</v>
      </c>
      <c r="BK13" s="29">
        <f>COUNTIFS(tblDeaths[Month],9,tblDeaths[AgeUnit],"Years",tblDeaths[Age],"&gt;="&amp;50,tblDeaths[Age],"&lt;="&amp;59,tblDeaths[Sex],"F",tblDeaths[NHIS],"Insured")</f>
        <v>0</v>
      </c>
      <c r="BL13" s="29" t="s">
        <v>184</v>
      </c>
      <c r="BM13" s="29">
        <f>COUNTIFS(tblDeaths[Month],10,tblDeaths[AgeUnit],"Years",tblDeaths[Age],"&gt;="&amp;50,tblDeaths[Age],"&lt;="&amp;59,tblDeaths[Sex],"M")</f>
        <v>0</v>
      </c>
      <c r="BN13" s="29">
        <f>COUNTIFS(tblDeaths[Month],10,tblDeaths[AgeUnit],"Years",tblDeaths[Age],"&gt;="&amp;50,tblDeaths[Age],"&lt;="&amp;59,tblDeaths[Sex],"F")</f>
        <v>0</v>
      </c>
      <c r="BO13" s="29">
        <f>COUNTIFS(tblDeaths[Month],10,tblDeaths[AgeUnit],"Years",tblDeaths[Age],"&gt;="&amp;50,tblDeaths[Age],"&lt;="&amp;59,tblDeaths[Sex],"M",tblDeaths[NHIS],"Non-Insured")</f>
        <v>0</v>
      </c>
      <c r="BP13" s="29">
        <f>COUNTIFS(tblDeaths[Month],10,tblDeaths[AgeUnit],"Years",tblDeaths[Age],"&gt;="&amp;50,tblDeaths[Age],"&lt;="&amp;59,tblDeaths[Sex],"F",tblDeaths[NHIS],"Non-Insured")</f>
        <v>0</v>
      </c>
      <c r="BQ13" s="29">
        <f>COUNTIFS(tblDeaths[Month],10,tblDeaths[AgeUnit],"Years",tblDeaths[Age],"&gt;="&amp;50,tblDeaths[Age],"&lt;="&amp;59,tblDeaths[Sex],"M",tblDeaths[NHIS],"Insured")</f>
        <v>0</v>
      </c>
      <c r="BR13" s="29">
        <f>COUNTIFS(tblDeaths[Month],10,tblDeaths[AgeUnit],"Years",tblDeaths[Age],"&gt;="&amp;50,tblDeaths[Age],"&lt;="&amp;59,tblDeaths[Sex],"F",tblDeaths[NHIS],"Insured")</f>
        <v>0</v>
      </c>
      <c r="BS13" s="29" t="s">
        <v>184</v>
      </c>
      <c r="BT13" s="29">
        <f>COUNTIFS(tblDeaths[Month],11,tblDeaths[AgeUnit],"Years",tblDeaths[Age],"&gt;="&amp;50,tblDeaths[Age],"&lt;="&amp;59,tblDeaths[Sex],"M")</f>
        <v>0</v>
      </c>
      <c r="BU13" s="29">
        <f>COUNTIFS(tblDeaths[Month],11,tblDeaths[AgeUnit],"Years",tblDeaths[Age],"&gt;="&amp;50,tblDeaths[Age],"&lt;="&amp;59,tblDeaths[Sex],"F")</f>
        <v>0</v>
      </c>
      <c r="BV13" s="29">
        <f>COUNTIFS(tblDeaths[Month],11,tblDeaths[AgeUnit],"Years",tblDeaths[Age],"&gt;="&amp;50,tblDeaths[Age],"&lt;="&amp;59,tblDeaths[Sex],"M",tblDeaths[NHIS],"Non-Insured")</f>
        <v>0</v>
      </c>
      <c r="BW13" s="29">
        <f>COUNTIFS(tblDeaths[Month],11,tblDeaths[AgeUnit],"Years",tblDeaths[Age],"&gt;="&amp;50,tblDeaths[Age],"&lt;="&amp;59,tblDeaths[Sex],"F",tblDeaths[NHIS],"Non-Insured")</f>
        <v>0</v>
      </c>
      <c r="BX13" s="29">
        <f>COUNTIFS(tblDeaths[Month],11,tblDeaths[AgeUnit],"Years",tblDeaths[Age],"&gt;="&amp;50,tblDeaths[Age],"&lt;="&amp;59,tblDeaths[Sex],"M",tblDeaths[NHIS],"Insured")</f>
        <v>0</v>
      </c>
      <c r="BY13" s="29">
        <f>COUNTIFS(tblDeaths[Month],11,tblDeaths[AgeUnit],"Years",tblDeaths[Age],"&gt;="&amp;50,tblDeaths[Age],"&lt;="&amp;59,tblDeaths[Sex],"F",tblDeaths[NHIS],"Insured")</f>
        <v>0</v>
      </c>
      <c r="BZ13" s="29" t="s">
        <v>184</v>
      </c>
      <c r="CA13" s="29">
        <f>COUNTIFS(tblDeaths[Month],12,tblDeaths[AgeUnit],"Years",tblDeaths[Age],"&gt;="&amp;50,tblDeaths[Age],"&lt;="&amp;59,tblDeaths[Sex],"M")</f>
        <v>0</v>
      </c>
      <c r="CB13" s="29">
        <f>COUNTIFS(tblDeaths[Month],12,tblDeaths[AgeUnit],"Years",tblDeaths[Age],"&gt;="&amp;50,tblDeaths[Age],"&lt;="&amp;59,tblDeaths[Sex],"F")</f>
        <v>0</v>
      </c>
      <c r="CC13" s="29">
        <f>COUNTIFS(tblDeaths[Month],12,tblDeaths[AgeUnit],"Years",tblDeaths[Age],"&gt;="&amp;50,tblDeaths[Age],"&lt;="&amp;59,tblDeaths[Sex],"M",tblDeaths[NHIS],"Non-Insured")</f>
        <v>0</v>
      </c>
      <c r="CD13" s="29">
        <f>COUNTIFS(tblDeaths[Month],12,tblDeaths[AgeUnit],"Years",tblDeaths[Age],"&gt;="&amp;50,tblDeaths[Age],"&lt;="&amp;59,tblDeaths[Sex],"F",tblDeaths[NHIS],"Non-Insured")</f>
        <v>0</v>
      </c>
      <c r="CE13" s="29">
        <f>COUNTIFS(tblDeaths[Month],12,tblDeaths[AgeUnit],"Years",tblDeaths[Age],"&gt;="&amp;50,tblDeaths[Age],"&lt;="&amp;59,tblDeaths[Sex],"M",tblDeaths[NHIS],"Insured")</f>
        <v>0</v>
      </c>
      <c r="CF13" s="29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29" t="s">
        <v>185</v>
      </c>
      <c r="B14" s="29">
        <f>COUNTIFS(tblDeaths[Month],1,tblDeaths[AgeUnit],"Years",tblDeaths[Age],"&gt;="&amp;60,tblDeaths[Age],"&lt;="&amp;69,tblDeaths[Sex],"M")</f>
        <v>4</v>
      </c>
      <c r="C14" s="29">
        <f>COUNTIFS(tblDeaths[Month],1,tblDeaths[AgeUnit],"Years",tblDeaths[Age],"&gt;="&amp;60,tblDeaths[Age],"&lt;="&amp;69,tblDeaths[Sex],"F")</f>
        <v>2</v>
      </c>
      <c r="D14" s="29">
        <f>COUNTIFS(tblDeaths[Month],1,tblDeaths[AgeUnit],"Years",tblDeaths[Age],"&gt;="&amp;60,tblDeaths[Age],"&lt;="&amp;69,tblDeaths[Sex],"M",tblDeaths[NHIS],"Non-Insured")</f>
        <v>1</v>
      </c>
      <c r="E14" s="29">
        <f>COUNTIFS(tblDeaths[Month],1,tblDeaths[AgeUnit],"Years",tblDeaths[Age],"&gt;="&amp;60,tblDeaths[Age],"&lt;="&amp;69,tblDeaths[Sex],"F",tblDeaths[NHIS],"Non-Insured")</f>
        <v>0</v>
      </c>
      <c r="F14" s="29">
        <f>COUNTIFS(tblDeaths[Month],1,tblDeaths[AgeUnit],"Years",tblDeaths[Age],"&gt;="&amp;60,tblDeaths[Age],"&lt;="&amp;69,tblDeaths[Sex],"M",tblDeaths[NHIS],"Insured")</f>
        <v>3</v>
      </c>
      <c r="G14" s="29">
        <f>COUNTIFS(tblDeaths[Month],1,tblDeaths[AgeUnit],"Years",tblDeaths[Age],"&gt;="&amp;60,tblDeaths[Age],"&lt;="&amp;69,tblDeaths[Sex],"F",tblDeaths[NHIS],"Insured")</f>
        <v>2</v>
      </c>
      <c r="H14" s="29" t="s">
        <v>185</v>
      </c>
      <c r="I14" s="29">
        <f>COUNTIFS(tblDeaths[Month],2,tblDeaths[AgeUnit],"Years",tblDeaths[Age],"&gt;="&amp;60,tblDeaths[Age],"&lt;="&amp;69,tblDeaths[Sex],"M")</f>
        <v>0</v>
      </c>
      <c r="J14" s="29">
        <f>COUNTIFS(tblDeaths[Month],2,tblDeaths[AgeUnit],"Years",tblDeaths[Age],"&gt;="&amp;60,tblDeaths[Age],"&lt;="&amp;69,tblDeaths[Sex],"F")</f>
        <v>0</v>
      </c>
      <c r="K14" s="29">
        <f>COUNTIFS(tblDeaths[Month],2,tblDeaths[AgeUnit],"Years",tblDeaths[Age],"&gt;="&amp;60,tblDeaths[Age],"&lt;="&amp;69,tblDeaths[Sex],"M",tblDeaths[NHIS],"Non-Insured")</f>
        <v>0</v>
      </c>
      <c r="L14" s="29">
        <f>COUNTIFS(tblDeaths[Month],2,tblDeaths[AgeUnit],"Years",tblDeaths[Age],"&gt;="&amp;60,tblDeaths[Age],"&lt;="&amp;69,tblDeaths[Sex],"F",tblDeaths[NHIS],"Non-Insured")</f>
        <v>0</v>
      </c>
      <c r="M14" s="29">
        <f>COUNTIFS(tblDeaths[Month],2,tblDeaths[AgeUnit],"Years",tblDeaths[Age],"&gt;="&amp;60,tblDeaths[Age],"&lt;="&amp;69,tblDeaths[Sex],"M",tblDeaths[NHIS],"Insured")</f>
        <v>0</v>
      </c>
      <c r="N14" s="29">
        <f>COUNTIFS(tblDeaths[Month],2,tblDeaths[AgeUnit],"Years",tblDeaths[Age],"&gt;="&amp;60,tblDeaths[Age],"&lt;="&amp;69,tblDeaths[Sex],"F",tblDeaths[NHIS],"Insured")</f>
        <v>0</v>
      </c>
      <c r="O14" s="29" t="s">
        <v>185</v>
      </c>
      <c r="P14" s="29">
        <f>COUNTIFS(tblDeaths[Month],3,tblDeaths[AgeUnit],"Years",tblDeaths[Age],"&gt;="&amp;60,tblDeaths[Age],"&lt;="&amp;69,tblDeaths[Sex],"M")</f>
        <v>4</v>
      </c>
      <c r="Q14" s="29">
        <f>COUNTIFS(tblDeaths[Month],3,tblDeaths[AgeUnit],"Years",tblDeaths[Age],"&gt;="&amp;60,tblDeaths[Age],"&lt;="&amp;69,tblDeaths[Sex],"F")</f>
        <v>5</v>
      </c>
      <c r="R14" s="29">
        <f>COUNTIFS(tblDeaths[Month],3,tblDeaths[AgeUnit],"Years",tblDeaths[Age],"&gt;="&amp;60,tblDeaths[Age],"&lt;="&amp;69,tblDeaths[Sex],"M",tblDeaths[NHIS],"Non-Insured")</f>
        <v>2</v>
      </c>
      <c r="S14" s="29">
        <f>COUNTIFS(tblDeaths[Month],3,tblDeaths[AgeUnit],"Years",tblDeaths[Age],"&gt;="&amp;60,tblDeaths[Age],"&lt;="&amp;69,tblDeaths[Sex],"F",tblDeaths[NHIS],"Non-Insured")</f>
        <v>1</v>
      </c>
      <c r="T14" s="29">
        <f>COUNTIFS(tblDeaths[Month],3,tblDeaths[AgeUnit],"Years",tblDeaths[Age],"&gt;="&amp;60,tblDeaths[Age],"&lt;="&amp;69,tblDeaths[Sex],"M",tblDeaths[NHIS],"Insured")</f>
        <v>2</v>
      </c>
      <c r="U14" s="29">
        <f>COUNTIFS(tblDeaths[Month],3,tblDeaths[AgeUnit],"Years",tblDeaths[Age],"&gt;="&amp;60,tblDeaths[Age],"&lt;="&amp;69,tblDeaths[Sex],"F",tblDeaths[NHIS],"Insured")</f>
        <v>4</v>
      </c>
      <c r="V14" s="29" t="s">
        <v>185</v>
      </c>
      <c r="W14" s="29">
        <f>COUNTIFS(tblDeaths[Month],4,tblDeaths[AgeUnit],"Years",tblDeaths[Age],"&gt;="&amp;60,tblDeaths[Age],"&lt;="&amp;69,tblDeaths[Sex],"M")</f>
        <v>0</v>
      </c>
      <c r="X14" s="29">
        <f>COUNTIFS(tblDeaths[Month],4,tblDeaths[AgeUnit],"Years",tblDeaths[Age],"&gt;="&amp;60,tblDeaths[Age],"&lt;="&amp;69,tblDeaths[Sex],"F")</f>
        <v>0</v>
      </c>
      <c r="Y14" s="29">
        <f>COUNTIFS(tblDeaths[Month],4,tblDeaths[AgeUnit],"Years",tblDeaths[Age],"&gt;="&amp;60,tblDeaths[Age],"&lt;="&amp;69,tblDeaths[Sex],"M",tblDeaths[NHIS],"Non-Insured")</f>
        <v>0</v>
      </c>
      <c r="Z14" s="29">
        <f>COUNTIFS(tblDeaths[Month],4,tblDeaths[AgeUnit],"Years",tblDeaths[Age],"&gt;="&amp;60,tblDeaths[Age],"&lt;="&amp;69,tblDeaths[Sex],"F",tblDeaths[NHIS],"Non-Insured")</f>
        <v>0</v>
      </c>
      <c r="AA14" s="29">
        <f>COUNTIFS(tblDeaths[Month],4,tblDeaths[AgeUnit],"Years",tblDeaths[Age],"&gt;="&amp;60,tblDeaths[Age],"&lt;="&amp;69,tblDeaths[Sex],"M",tblDeaths[NHIS],"Insured")</f>
        <v>0</v>
      </c>
      <c r="AB14" s="29">
        <f>COUNTIFS(tblDeaths[Month],4,tblDeaths[AgeUnit],"Years",tblDeaths[Age],"&gt;="&amp;60,tblDeaths[Age],"&lt;="&amp;69,tblDeaths[Sex],"F",tblDeaths[NHIS],"Insured")</f>
        <v>0</v>
      </c>
      <c r="AC14" s="29" t="s">
        <v>185</v>
      </c>
      <c r="AD14" s="29">
        <f>COUNTIFS(tblDeaths[Month],5,tblDeaths[AgeUnit],"Years",tblDeaths[Age],"&gt;="&amp;60,tblDeaths[Age],"&lt;="&amp;69,tblDeaths[Sex],"M")</f>
        <v>0</v>
      </c>
      <c r="AE14" s="29">
        <f>COUNTIFS(tblDeaths[Month],5,tblDeaths[AgeUnit],"Years",tblDeaths[Age],"&gt;="&amp;60,tblDeaths[Age],"&lt;="&amp;69,tblDeaths[Sex],"F")</f>
        <v>0</v>
      </c>
      <c r="AF14" s="29">
        <f>COUNTIFS(tblDeaths[Month],5,tblDeaths[AgeUnit],"Years",tblDeaths[Age],"&gt;="&amp;60,tblDeaths[Age],"&lt;="&amp;69,tblDeaths[Sex],"M",tblDeaths[NHIS],"Non-Insured")</f>
        <v>0</v>
      </c>
      <c r="AG14" s="29">
        <f>COUNTIFS(tblDeaths[Month],5,tblDeaths[AgeUnit],"Years",tblDeaths[Age],"&gt;="&amp;60,tblDeaths[Age],"&lt;="&amp;69,tblDeaths[Sex],"F",tblDeaths[NHIS],"Non-Insured")</f>
        <v>0</v>
      </c>
      <c r="AH14" s="29">
        <f>COUNTIFS(tblDeaths[Month],5,tblDeaths[AgeUnit],"Years",tblDeaths[Age],"&gt;="&amp;60,tblDeaths[Age],"&lt;="&amp;69,tblDeaths[Sex],"M",tblDeaths[NHIS],"Insured")</f>
        <v>0</v>
      </c>
      <c r="AI14" s="29">
        <f>COUNTIFS(tblDeaths[Month],5,tblDeaths[AgeUnit],"Years",tblDeaths[Age],"&gt;="&amp;60,tblDeaths[Age],"&lt;="&amp;69,tblDeaths[Sex],"F",tblDeaths[NHIS],"Insured")</f>
        <v>0</v>
      </c>
      <c r="AJ14" s="29" t="s">
        <v>185</v>
      </c>
      <c r="AK14" s="29">
        <f>COUNTIFS(tblDeaths[Month],6,tblDeaths[AgeUnit],"Years",tblDeaths[Age],"&gt;="&amp;60,tblDeaths[Age],"&lt;="&amp;69,tblDeaths[Sex],"M")</f>
        <v>0</v>
      </c>
      <c r="AL14" s="29">
        <f>COUNTIFS(tblDeaths[Month],6,tblDeaths[AgeUnit],"Years",tblDeaths[Age],"&gt;="&amp;60,tblDeaths[Age],"&lt;="&amp;69,tblDeaths[Sex],"F")</f>
        <v>0</v>
      </c>
      <c r="AM14" s="29">
        <f>COUNTIFS(tblDeaths[Month],6,tblDeaths[AgeUnit],"Years",tblDeaths[Age],"&gt;="&amp;60,tblDeaths[Age],"&lt;="&amp;69,tblDeaths[Sex],"M",tblDeaths[NHIS],"Non-Insured")</f>
        <v>0</v>
      </c>
      <c r="AN14" s="29">
        <f>COUNTIFS(tblDeaths[Month],6,tblDeaths[AgeUnit],"Years",tblDeaths[Age],"&gt;="&amp;60,tblDeaths[Age],"&lt;="&amp;69,tblDeaths[Sex],"F",tblDeaths[NHIS],"Non-Insured")</f>
        <v>0</v>
      </c>
      <c r="AO14" s="29">
        <f>COUNTIFS(tblDeaths[Month],6,tblDeaths[AgeUnit],"Years",tblDeaths[Age],"&gt;="&amp;60,tblDeaths[Age],"&lt;="&amp;69,tblDeaths[Sex],"M",tblDeaths[NHIS],"Insured")</f>
        <v>0</v>
      </c>
      <c r="AP14" s="29">
        <f>COUNTIFS(tblDeaths[Month],6,tblDeaths[AgeUnit],"Years",tblDeaths[Age],"&gt;="&amp;60,tblDeaths[Age],"&lt;="&amp;69,tblDeaths[Sex],"F",tblDeaths[NHIS],"Insured")</f>
        <v>0</v>
      </c>
      <c r="AQ14" s="29" t="s">
        <v>185</v>
      </c>
      <c r="AR14" s="29">
        <f>COUNTIFS(tblDeaths[Month],7,tblDeaths[AgeUnit],"Years",tblDeaths[Age],"&gt;="&amp;60,tblDeaths[Age],"&lt;="&amp;69,tblDeaths[Sex],"M")</f>
        <v>0</v>
      </c>
      <c r="AS14" s="29">
        <f>COUNTIFS(tblDeaths[Month],7,tblDeaths[AgeUnit],"Years",tblDeaths[Age],"&gt;="&amp;60,tblDeaths[Age],"&lt;="&amp;69,tblDeaths[Sex],"F")</f>
        <v>0</v>
      </c>
      <c r="AT14" s="29">
        <f>COUNTIFS(tblDeaths[Month],7,tblDeaths[AgeUnit],"Years",tblDeaths[Age],"&gt;="&amp;60,tblDeaths[Age],"&lt;="&amp;69,tblDeaths[Sex],"M",tblDeaths[NHIS],"Non-Insured")</f>
        <v>0</v>
      </c>
      <c r="AU14" s="29">
        <f>COUNTIFS(tblDeaths[Month],7,tblDeaths[AgeUnit],"Years",tblDeaths[Age],"&gt;="&amp;60,tblDeaths[Age],"&lt;="&amp;69,tblDeaths[Sex],"F",tblDeaths[NHIS],"Non-Insured")</f>
        <v>0</v>
      </c>
      <c r="AV14" s="29">
        <f>COUNTIFS(tblDeaths[Month],7,tblDeaths[AgeUnit],"Years",tblDeaths[Age],"&gt;="&amp;60,tblDeaths[Age],"&lt;="&amp;69,tblDeaths[Sex],"M",tblDeaths[NHIS],"Insured")</f>
        <v>0</v>
      </c>
      <c r="AW14" s="29">
        <f>COUNTIFS(tblDeaths[Month],7,tblDeaths[AgeUnit],"Years",tblDeaths[Age],"&gt;="&amp;60,tblDeaths[Age],"&lt;="&amp;69,tblDeaths[Sex],"F",tblDeaths[NHIS],"Insured")</f>
        <v>0</v>
      </c>
      <c r="AX14" s="29" t="s">
        <v>185</v>
      </c>
      <c r="AY14" s="29">
        <f>COUNTIFS(tblDeaths[Month],8,tblDeaths[AgeUnit],"Years",tblDeaths[Age],"&gt;="&amp;60,tblDeaths[Age],"&lt;="&amp;69,tblDeaths[Sex],"M")</f>
        <v>0</v>
      </c>
      <c r="AZ14" s="29">
        <f>COUNTIFS(tblDeaths[Month],8,tblDeaths[AgeUnit],"Years",tblDeaths[Age],"&gt;="&amp;60,tblDeaths[Age],"&lt;="&amp;69,tblDeaths[Sex],"F")</f>
        <v>0</v>
      </c>
      <c r="BA14" s="29">
        <f>COUNTIFS(tblDeaths[Month],8,tblDeaths[AgeUnit],"Years",tblDeaths[Age],"&gt;="&amp;60,tblDeaths[Age],"&lt;="&amp;69,tblDeaths[Sex],"M",tblDeaths[NHIS],"Non-Insured")</f>
        <v>0</v>
      </c>
      <c r="BB14" s="29">
        <f>COUNTIFS(tblDeaths[Month],8,tblDeaths[AgeUnit],"Years",tblDeaths[Age],"&gt;="&amp;60,tblDeaths[Age],"&lt;="&amp;69,tblDeaths[Sex],"F",tblDeaths[NHIS],"Non-Insured")</f>
        <v>0</v>
      </c>
      <c r="BC14" s="29">
        <f>COUNTIFS(tblDeaths[Month],8,tblDeaths[AgeUnit],"Years",tblDeaths[Age],"&gt;="&amp;60,tblDeaths[Age],"&lt;="&amp;69,tblDeaths[Sex],"M",tblDeaths[NHIS],"Insured")</f>
        <v>0</v>
      </c>
      <c r="BD14" s="29">
        <f>COUNTIFS(tblDeaths[Month],8,tblDeaths[AgeUnit],"Years",tblDeaths[Age],"&gt;="&amp;60,tblDeaths[Age],"&lt;="&amp;69,tblDeaths[Sex],"F",tblDeaths[NHIS],"Insured")</f>
        <v>0</v>
      </c>
      <c r="BE14" s="29" t="s">
        <v>185</v>
      </c>
      <c r="BF14" s="29">
        <f>COUNTIFS(tblDeaths[Month],9,tblDeaths[AgeUnit],"Years",tblDeaths[Age],"&gt;="&amp;60,tblDeaths[Age],"&lt;="&amp;69,tblDeaths[Sex],"M")</f>
        <v>0</v>
      </c>
      <c r="BG14" s="29">
        <f>COUNTIFS(tblDeaths[Month],9,tblDeaths[AgeUnit],"Years",tblDeaths[Age],"&gt;="&amp;60,tblDeaths[Age],"&lt;="&amp;69,tblDeaths[Sex],"F")</f>
        <v>0</v>
      </c>
      <c r="BH14" s="29">
        <f>COUNTIFS(tblDeaths[Month],9,tblDeaths[AgeUnit],"Years",tblDeaths[Age],"&gt;="&amp;60,tblDeaths[Age],"&lt;="&amp;69,tblDeaths[Sex],"M",tblDeaths[NHIS],"Non-Insured")</f>
        <v>0</v>
      </c>
      <c r="BI14" s="29">
        <f>COUNTIFS(tblDeaths[Month],9,tblDeaths[AgeUnit],"Years",tblDeaths[Age],"&gt;="&amp;60,tblDeaths[Age],"&lt;="&amp;69,tblDeaths[Sex],"F",tblDeaths[NHIS],"Non-Insured")</f>
        <v>0</v>
      </c>
      <c r="BJ14" s="29">
        <f>COUNTIFS(tblDeaths[Month],9,tblDeaths[AgeUnit],"Years",tblDeaths[Age],"&gt;="&amp;60,tblDeaths[Age],"&lt;="&amp;69,tblDeaths[Sex],"M",tblDeaths[NHIS],"Insured")</f>
        <v>0</v>
      </c>
      <c r="BK14" s="29">
        <f>COUNTIFS(tblDeaths[Month],9,tblDeaths[AgeUnit],"Years",tblDeaths[Age],"&gt;="&amp;60,tblDeaths[Age],"&lt;="&amp;69,tblDeaths[Sex],"F",tblDeaths[NHIS],"Insured")</f>
        <v>0</v>
      </c>
      <c r="BL14" s="29" t="s">
        <v>185</v>
      </c>
      <c r="BM14" s="29">
        <f>COUNTIFS(tblDeaths[Month],10,tblDeaths[AgeUnit],"Years",tblDeaths[Age],"&gt;="&amp;60,tblDeaths[Age],"&lt;="&amp;69,tblDeaths[Sex],"M")</f>
        <v>0</v>
      </c>
      <c r="BN14" s="29">
        <f>COUNTIFS(tblDeaths[Month],10,tblDeaths[AgeUnit],"Years",tblDeaths[Age],"&gt;="&amp;60,tblDeaths[Age],"&lt;="&amp;69,tblDeaths[Sex],"F")</f>
        <v>0</v>
      </c>
      <c r="BO14" s="29">
        <f>COUNTIFS(tblDeaths[Month],10,tblDeaths[AgeUnit],"Years",tblDeaths[Age],"&gt;="&amp;60,tblDeaths[Age],"&lt;="&amp;69,tblDeaths[Sex],"M",tblDeaths[NHIS],"Non-Insured")</f>
        <v>0</v>
      </c>
      <c r="BP14" s="29">
        <f>COUNTIFS(tblDeaths[Month],10,tblDeaths[AgeUnit],"Years",tblDeaths[Age],"&gt;="&amp;60,tblDeaths[Age],"&lt;="&amp;69,tblDeaths[Sex],"F",tblDeaths[NHIS],"Non-Insured")</f>
        <v>0</v>
      </c>
      <c r="BQ14" s="29">
        <f>COUNTIFS(tblDeaths[Month],10,tblDeaths[AgeUnit],"Years",tblDeaths[Age],"&gt;="&amp;60,tblDeaths[Age],"&lt;="&amp;69,tblDeaths[Sex],"M",tblDeaths[NHIS],"Insured")</f>
        <v>0</v>
      </c>
      <c r="BR14" s="29">
        <f>COUNTIFS(tblDeaths[Month],10,tblDeaths[AgeUnit],"Years",tblDeaths[Age],"&gt;="&amp;60,tblDeaths[Age],"&lt;="&amp;69,tblDeaths[Sex],"F",tblDeaths[NHIS],"Insured")</f>
        <v>0</v>
      </c>
      <c r="BS14" s="29" t="s">
        <v>185</v>
      </c>
      <c r="BT14" s="29">
        <f>COUNTIFS(tblDeaths[Month],11,tblDeaths[AgeUnit],"Years",tblDeaths[Age],"&gt;="&amp;60,tblDeaths[Age],"&lt;="&amp;69,tblDeaths[Sex],"M")</f>
        <v>0</v>
      </c>
      <c r="BU14" s="29">
        <f>COUNTIFS(tblDeaths[Month],11,tblDeaths[AgeUnit],"Years",tblDeaths[Age],"&gt;="&amp;60,tblDeaths[Age],"&lt;="&amp;69,tblDeaths[Sex],"F")</f>
        <v>0</v>
      </c>
      <c r="BV14" s="29">
        <f>COUNTIFS(tblDeaths[Month],11,tblDeaths[AgeUnit],"Years",tblDeaths[Age],"&gt;="&amp;60,tblDeaths[Age],"&lt;="&amp;69,tblDeaths[Sex],"M",tblDeaths[NHIS],"Non-Insured")</f>
        <v>0</v>
      </c>
      <c r="BW14" s="29">
        <f>COUNTIFS(tblDeaths[Month],11,tblDeaths[AgeUnit],"Years",tblDeaths[Age],"&gt;="&amp;60,tblDeaths[Age],"&lt;="&amp;69,tblDeaths[Sex],"F",tblDeaths[NHIS],"Non-Insured")</f>
        <v>0</v>
      </c>
      <c r="BX14" s="29">
        <f>COUNTIFS(tblDeaths[Month],11,tblDeaths[AgeUnit],"Years",tblDeaths[Age],"&gt;="&amp;60,tblDeaths[Age],"&lt;="&amp;69,tblDeaths[Sex],"M",tblDeaths[NHIS],"Insured")</f>
        <v>0</v>
      </c>
      <c r="BY14" s="29">
        <f>COUNTIFS(tblDeaths[Month],11,tblDeaths[AgeUnit],"Years",tblDeaths[Age],"&gt;="&amp;60,tblDeaths[Age],"&lt;="&amp;69,tblDeaths[Sex],"F",tblDeaths[NHIS],"Insured")</f>
        <v>0</v>
      </c>
      <c r="BZ14" s="29" t="s">
        <v>185</v>
      </c>
      <c r="CA14" s="29">
        <f>COUNTIFS(tblDeaths[Month],12,tblDeaths[AgeUnit],"Years",tblDeaths[Age],"&gt;="&amp;60,tblDeaths[Age],"&lt;="&amp;69,tblDeaths[Sex],"M")</f>
        <v>0</v>
      </c>
      <c r="CB14" s="29">
        <f>COUNTIFS(tblDeaths[Month],12,tblDeaths[AgeUnit],"Years",tblDeaths[Age],"&gt;="&amp;60,tblDeaths[Age],"&lt;="&amp;69,tblDeaths[Sex],"F")</f>
        <v>0</v>
      </c>
      <c r="CC14" s="29">
        <f>COUNTIFS(tblDeaths[Month],12,tblDeaths[AgeUnit],"Years",tblDeaths[Age],"&gt;="&amp;60,tblDeaths[Age],"&lt;="&amp;69,tblDeaths[Sex],"M",tblDeaths[NHIS],"Non-Insured")</f>
        <v>0</v>
      </c>
      <c r="CD14" s="29">
        <f>COUNTIFS(tblDeaths[Month],12,tblDeaths[AgeUnit],"Years",tblDeaths[Age],"&gt;="&amp;60,tblDeaths[Age],"&lt;="&amp;69,tblDeaths[Sex],"F",tblDeaths[NHIS],"Non-Insured")</f>
        <v>0</v>
      </c>
      <c r="CE14" s="29">
        <f>COUNTIFS(tblDeaths[Month],12,tblDeaths[AgeUnit],"Years",tblDeaths[Age],"&gt;="&amp;60,tblDeaths[Age],"&lt;="&amp;69,tblDeaths[Sex],"M",tblDeaths[NHIS],"Insured")</f>
        <v>0</v>
      </c>
      <c r="CF14" s="29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29" t="s">
        <v>186</v>
      </c>
      <c r="B15" s="29">
        <f>COUNTIFS(tblDeaths[Month],1,tblDeaths[AgeUnit],"Years",tblDeaths[Age],"&gt;="&amp;70,tblDeaths[Age],"&lt;="&amp;200,tblDeaths[Sex],"M")</f>
        <v>5</v>
      </c>
      <c r="C15" s="29">
        <f>COUNTIFS(tblDeaths[Month],1,tblDeaths[AgeUnit],"Years",tblDeaths[Age],"&gt;="&amp;70,tblDeaths[Age],"&lt;="&amp;200,tblDeaths[Sex],"F")</f>
        <v>2</v>
      </c>
      <c r="D15" s="29">
        <f>COUNTIFS(tblDeaths[Month],1,tblDeaths[AgeUnit],"Years",tblDeaths[Age],"&gt;="&amp;70,tblDeaths[Age],"&lt;="&amp;200,tblDeaths[Sex],"M",tblDeaths[NHIS],"Non-Insured")</f>
        <v>1</v>
      </c>
      <c r="E15" s="29">
        <f>COUNTIFS(tblDeaths[Month],1,tblDeaths[AgeUnit],"Years",tblDeaths[Age],"&gt;="&amp;70,tblDeaths[Age],"&lt;="&amp;200,tblDeaths[Sex],"F",tblDeaths[NHIS],"Non-Insured")</f>
        <v>0</v>
      </c>
      <c r="F15" s="29">
        <f>COUNTIFS(tblDeaths[Month],1,tblDeaths[AgeUnit],"Years",tblDeaths[Age],"&gt;="&amp;70,tblDeaths[Age],"&lt;="&amp;200,tblDeaths[Sex],"M",tblDeaths[NHIS],"Insured")</f>
        <v>4</v>
      </c>
      <c r="G15" s="29">
        <f>COUNTIFS(tblDeaths[Month],1,tblDeaths[AgeUnit],"Years",tblDeaths[Age],"&gt;="&amp;70,tblDeaths[Age],"&lt;="&amp;200,tblDeaths[Sex],"F",tblDeaths[NHIS],"Insured")</f>
        <v>2</v>
      </c>
      <c r="H15" s="29" t="s">
        <v>186</v>
      </c>
      <c r="I15" s="29">
        <f>COUNTIFS(tblDeaths[Month],2,tblDeaths[AgeUnit],"Years",tblDeaths[Age],"&gt;="&amp;70,tblDeaths[Age],"&lt;="&amp;200,tblDeaths[Sex],"M")</f>
        <v>1</v>
      </c>
      <c r="J15" s="29">
        <f>COUNTIFS(tblDeaths[Month],2,tblDeaths[AgeUnit],"Years",tblDeaths[Age],"&gt;="&amp;70,tblDeaths[Age],"&lt;="&amp;200,tblDeaths[Sex],"F")</f>
        <v>0</v>
      </c>
      <c r="K15" s="29">
        <f>COUNTIFS(tblDeaths[Month],2,tblDeaths[AgeUnit],"Years",tblDeaths[Age],"&gt;="&amp;70,tblDeaths[Age],"&lt;="&amp;200,tblDeaths[Sex],"M",tblDeaths[NHIS],"Non-Insured")</f>
        <v>0</v>
      </c>
      <c r="L15" s="29">
        <f>COUNTIFS(tblDeaths[Month],2,tblDeaths[AgeUnit],"Years",tblDeaths[Age],"&gt;="&amp;70,tblDeaths[Age],"&lt;="&amp;200,tblDeaths[Sex],"F",tblDeaths[NHIS],"Non-Insured")</f>
        <v>0</v>
      </c>
      <c r="M15" s="29">
        <f>COUNTIFS(tblDeaths[Month],2,tblDeaths[AgeUnit],"Years",tblDeaths[Age],"&gt;="&amp;70,tblDeaths[Age],"&lt;="&amp;200,tblDeaths[Sex],"M",tblDeaths[NHIS],"Insured")</f>
        <v>1</v>
      </c>
      <c r="N15" s="29">
        <f>COUNTIFS(tblDeaths[Month],2,tblDeaths[AgeUnit],"Years",tblDeaths[Age],"&gt;="&amp;70,tblDeaths[Age],"&lt;="&amp;200,tblDeaths[Sex],"F",tblDeaths[NHIS],"Insured")</f>
        <v>0</v>
      </c>
      <c r="O15" s="29" t="s">
        <v>186</v>
      </c>
      <c r="P15" s="29">
        <f>COUNTIFS(tblDeaths[Month],3,tblDeaths[AgeUnit],"Years",tblDeaths[Age],"&gt;="&amp;70,tblDeaths[Age],"&lt;="&amp;200,tblDeaths[Sex],"M")</f>
        <v>4</v>
      </c>
      <c r="Q15" s="29">
        <f>COUNTIFS(tblDeaths[Month],3,tblDeaths[AgeUnit],"Years",tblDeaths[Age],"&gt;="&amp;70,tblDeaths[Age],"&lt;="&amp;200,tblDeaths[Sex],"F")</f>
        <v>3</v>
      </c>
      <c r="R15" s="29">
        <f>COUNTIFS(tblDeaths[Month],3,tblDeaths[AgeUnit],"Years",tblDeaths[Age],"&gt;="&amp;70,tblDeaths[Age],"&lt;="&amp;200,tblDeaths[Sex],"M",tblDeaths[NHIS],"Non-Insured")</f>
        <v>0</v>
      </c>
      <c r="S15" s="29">
        <f>COUNTIFS(tblDeaths[Month],3,tblDeaths[AgeUnit],"Years",tblDeaths[Age],"&gt;="&amp;70,tblDeaths[Age],"&lt;="&amp;200,tblDeaths[Sex],"F",tblDeaths[NHIS],"Non-Insured")</f>
        <v>1</v>
      </c>
      <c r="T15" s="29">
        <f>COUNTIFS(tblDeaths[Month],3,tblDeaths[AgeUnit],"Years",tblDeaths[Age],"&gt;="&amp;70,tblDeaths[Age],"&lt;="&amp;200,tblDeaths[Sex],"M",tblDeaths[NHIS],"Insured")</f>
        <v>4</v>
      </c>
      <c r="U15" s="29">
        <f>COUNTIFS(tblDeaths[Month],3,tblDeaths[AgeUnit],"Years",tblDeaths[Age],"&gt;="&amp;70,tblDeaths[Age],"&lt;="&amp;200,tblDeaths[Sex],"F",tblDeaths[NHIS],"Insured")</f>
        <v>2</v>
      </c>
      <c r="V15" s="29" t="s">
        <v>186</v>
      </c>
      <c r="W15" s="29">
        <f>COUNTIFS(tblDeaths[Month],4,tblDeaths[AgeUnit],"Years",tblDeaths[Age],"&gt;="&amp;70,tblDeaths[Age],"&lt;="&amp;200,tblDeaths[Sex],"M")</f>
        <v>0</v>
      </c>
      <c r="X15" s="29">
        <f>COUNTIFS(tblDeaths[Month],4,tblDeaths[AgeUnit],"Years",tblDeaths[Age],"&gt;="&amp;70,tblDeaths[Age],"&lt;="&amp;200,tblDeaths[Sex],"F")</f>
        <v>0</v>
      </c>
      <c r="Y15" s="29">
        <f>COUNTIFS(tblDeaths[Month],4,tblDeaths[AgeUnit],"Years",tblDeaths[Age],"&gt;="&amp;70,tblDeaths[Age],"&lt;="&amp;200,tblDeaths[Sex],"M",tblDeaths[NHIS],"Non-Insured")</f>
        <v>0</v>
      </c>
      <c r="Z15" s="29">
        <f>COUNTIFS(tblDeaths[Month],4,tblDeaths[AgeUnit],"Years",tblDeaths[Age],"&gt;="&amp;70,tblDeaths[Age],"&lt;="&amp;200,tblDeaths[Sex],"F",tblDeaths[NHIS],"Non-Insured")</f>
        <v>0</v>
      </c>
      <c r="AA15" s="29">
        <f>COUNTIFS(tblDeaths[Month],4,tblDeaths[AgeUnit],"Years",tblDeaths[Age],"&gt;="&amp;70,tblDeaths[Age],"&lt;="&amp;200,tblDeaths[Sex],"M",tblDeaths[NHIS],"Insured")</f>
        <v>0</v>
      </c>
      <c r="AB15" s="29">
        <f>COUNTIFS(tblDeaths[Month],4,tblDeaths[AgeUnit],"Years",tblDeaths[Age],"&gt;="&amp;70,tblDeaths[Age],"&lt;="&amp;200,tblDeaths[Sex],"F",tblDeaths[NHIS],"Insured")</f>
        <v>0</v>
      </c>
      <c r="AC15" s="29" t="s">
        <v>186</v>
      </c>
      <c r="AD15" s="29">
        <f>COUNTIFS(tblDeaths[Month],5,tblDeaths[AgeUnit],"Years",tblDeaths[Age],"&gt;="&amp;70,tblDeaths[Age],"&lt;="&amp;200,tblDeaths[Sex],"M")</f>
        <v>0</v>
      </c>
      <c r="AE15" s="29">
        <f>COUNTIFS(tblDeaths[Month],5,tblDeaths[AgeUnit],"Years",tblDeaths[Age],"&gt;="&amp;70,tblDeaths[Age],"&lt;="&amp;200,tblDeaths[Sex],"F")</f>
        <v>0</v>
      </c>
      <c r="AF15" s="29">
        <f>COUNTIFS(tblDeaths[Month],5,tblDeaths[AgeUnit],"Years",tblDeaths[Age],"&gt;="&amp;70,tblDeaths[Age],"&lt;="&amp;200,tblDeaths[Sex],"M",tblDeaths[NHIS],"Non-Insured")</f>
        <v>0</v>
      </c>
      <c r="AG15" s="29">
        <f>COUNTIFS(tblDeaths[Month],5,tblDeaths[AgeUnit],"Years",tblDeaths[Age],"&gt;="&amp;70,tblDeaths[Age],"&lt;="&amp;200,tblDeaths[Sex],"F",tblDeaths[NHIS],"Non-Insured")</f>
        <v>0</v>
      </c>
      <c r="AH15" s="29">
        <f>COUNTIFS(tblDeaths[Month],5,tblDeaths[AgeUnit],"Years",tblDeaths[Age],"&gt;="&amp;70,tblDeaths[Age],"&lt;="&amp;200,tblDeaths[Sex],"M",tblDeaths[NHIS],"Insured")</f>
        <v>0</v>
      </c>
      <c r="AI15" s="29">
        <f>COUNTIFS(tblDeaths[Month],5,tblDeaths[AgeUnit],"Years",tblDeaths[Age],"&gt;="&amp;70,tblDeaths[Age],"&lt;="&amp;200,tblDeaths[Sex],"F",tblDeaths[NHIS],"Insured")</f>
        <v>0</v>
      </c>
      <c r="AJ15" s="29" t="s">
        <v>186</v>
      </c>
      <c r="AK15" s="29">
        <f>COUNTIFS(tblDeaths[Month],6,tblDeaths[AgeUnit],"Years",tblDeaths[Age],"&gt;="&amp;70,tblDeaths[Age],"&lt;="&amp;200,tblDeaths[Sex],"M")</f>
        <v>0</v>
      </c>
      <c r="AL15" s="29">
        <f>COUNTIFS(tblDeaths[Month],6,tblDeaths[AgeUnit],"Years",tblDeaths[Age],"&gt;="&amp;70,tblDeaths[Age],"&lt;="&amp;200,tblDeaths[Sex],"F")</f>
        <v>0</v>
      </c>
      <c r="AM15" s="29">
        <f>COUNTIFS(tblDeaths[Month],6,tblDeaths[AgeUnit],"Years",tblDeaths[Age],"&gt;="&amp;70,tblDeaths[Age],"&lt;="&amp;200,tblDeaths[Sex],"M",tblDeaths[NHIS],"Non-Insured")</f>
        <v>0</v>
      </c>
      <c r="AN15" s="29">
        <f>COUNTIFS(tblDeaths[Month],6,tblDeaths[AgeUnit],"Years",tblDeaths[Age],"&gt;="&amp;70,tblDeaths[Age],"&lt;="&amp;200,tblDeaths[Sex],"F",tblDeaths[NHIS],"Non-Insured")</f>
        <v>0</v>
      </c>
      <c r="AO15" s="29">
        <f>COUNTIFS(tblDeaths[Month],6,tblDeaths[AgeUnit],"Years",tblDeaths[Age],"&gt;="&amp;70,tblDeaths[Age],"&lt;="&amp;200,tblDeaths[Sex],"M",tblDeaths[NHIS],"Insured")</f>
        <v>0</v>
      </c>
      <c r="AP15" s="29">
        <f>COUNTIFS(tblDeaths[Month],6,tblDeaths[AgeUnit],"Years",tblDeaths[Age],"&gt;="&amp;70,tblDeaths[Age],"&lt;="&amp;200,tblDeaths[Sex],"F",tblDeaths[NHIS],"Insured")</f>
        <v>0</v>
      </c>
      <c r="AQ15" s="29" t="s">
        <v>186</v>
      </c>
      <c r="AR15" s="29">
        <f>COUNTIFS(tblDeaths[Month],7,tblDeaths[AgeUnit],"Years",tblDeaths[Age],"&gt;="&amp;70,tblDeaths[Age],"&lt;="&amp;200,tblDeaths[Sex],"M")</f>
        <v>0</v>
      </c>
      <c r="AS15" s="29">
        <f>COUNTIFS(tblDeaths[Month],7,tblDeaths[AgeUnit],"Years",tblDeaths[Age],"&gt;="&amp;70,tblDeaths[Age],"&lt;="&amp;200,tblDeaths[Sex],"F")</f>
        <v>0</v>
      </c>
      <c r="AT15" s="29">
        <f>COUNTIFS(tblDeaths[Month],7,tblDeaths[AgeUnit],"Years",tblDeaths[Age],"&gt;="&amp;70,tblDeaths[Age],"&lt;="&amp;200,tblDeaths[Sex],"M",tblDeaths[NHIS],"Non-Insured")</f>
        <v>0</v>
      </c>
      <c r="AU15" s="29">
        <f>COUNTIFS(tblDeaths[Month],7,tblDeaths[AgeUnit],"Years",tblDeaths[Age],"&gt;="&amp;70,tblDeaths[Age],"&lt;="&amp;200,tblDeaths[Sex],"F",tblDeaths[NHIS],"Non-Insured")</f>
        <v>0</v>
      </c>
      <c r="AV15" s="29">
        <f>COUNTIFS(tblDeaths[Month],7,tblDeaths[AgeUnit],"Years",tblDeaths[Age],"&gt;="&amp;70,tblDeaths[Age],"&lt;="&amp;200,tblDeaths[Sex],"M",tblDeaths[NHIS],"Insured")</f>
        <v>0</v>
      </c>
      <c r="AW15" s="29">
        <f>COUNTIFS(tblDeaths[Month],7,tblDeaths[AgeUnit],"Years",tblDeaths[Age],"&gt;="&amp;70,tblDeaths[Age],"&lt;="&amp;200,tblDeaths[Sex],"F",tblDeaths[NHIS],"Insured")</f>
        <v>0</v>
      </c>
      <c r="AX15" s="29" t="s">
        <v>186</v>
      </c>
      <c r="AY15" s="29">
        <f>COUNTIFS(tblDeaths[Month],8,tblDeaths[AgeUnit],"Years",tblDeaths[Age],"&gt;="&amp;70,tblDeaths[Age],"&lt;="&amp;200,tblDeaths[Sex],"M")</f>
        <v>0</v>
      </c>
      <c r="AZ15" s="29">
        <f>COUNTIFS(tblDeaths[Month],8,tblDeaths[AgeUnit],"Years",tblDeaths[Age],"&gt;="&amp;70,tblDeaths[Age],"&lt;="&amp;200,tblDeaths[Sex],"F")</f>
        <v>0</v>
      </c>
      <c r="BA15" s="29">
        <f>COUNTIFS(tblDeaths[Month],8,tblDeaths[AgeUnit],"Years",tblDeaths[Age],"&gt;="&amp;70,tblDeaths[Age],"&lt;="&amp;200,tblDeaths[Sex],"M",tblDeaths[NHIS],"Non-Insured")</f>
        <v>0</v>
      </c>
      <c r="BB15" s="29">
        <f>COUNTIFS(tblDeaths[Month],8,tblDeaths[AgeUnit],"Years",tblDeaths[Age],"&gt;="&amp;70,tblDeaths[Age],"&lt;="&amp;200,tblDeaths[Sex],"F",tblDeaths[NHIS],"Non-Insured")</f>
        <v>0</v>
      </c>
      <c r="BC15" s="29">
        <f>COUNTIFS(tblDeaths[Month],8,tblDeaths[AgeUnit],"Years",tblDeaths[Age],"&gt;="&amp;70,tblDeaths[Age],"&lt;="&amp;200,tblDeaths[Sex],"M",tblDeaths[NHIS],"Insured")</f>
        <v>0</v>
      </c>
      <c r="BD15" s="29">
        <f>COUNTIFS(tblDeaths[Month],8,tblDeaths[AgeUnit],"Years",tblDeaths[Age],"&gt;="&amp;70,tblDeaths[Age],"&lt;="&amp;200,tblDeaths[Sex],"F",tblDeaths[NHIS],"Insured")</f>
        <v>0</v>
      </c>
      <c r="BE15" s="29" t="s">
        <v>186</v>
      </c>
      <c r="BF15" s="29">
        <f>COUNTIFS(tblDeaths[Month],9,tblDeaths[AgeUnit],"Years",tblDeaths[Age],"&gt;="&amp;70,tblDeaths[Age],"&lt;="&amp;200,tblDeaths[Sex],"M")</f>
        <v>0</v>
      </c>
      <c r="BG15" s="29">
        <f>COUNTIFS(tblDeaths[Month],9,tblDeaths[AgeUnit],"Years",tblDeaths[Age],"&gt;="&amp;70,tblDeaths[Age],"&lt;="&amp;200,tblDeaths[Sex],"F")</f>
        <v>0</v>
      </c>
      <c r="BH15" s="29">
        <f>COUNTIFS(tblDeaths[Month],9,tblDeaths[AgeUnit],"Years",tblDeaths[Age],"&gt;="&amp;70,tblDeaths[Age],"&lt;="&amp;200,tblDeaths[Sex],"M",tblDeaths[NHIS],"Non-Insured")</f>
        <v>0</v>
      </c>
      <c r="BI15" s="29">
        <f>COUNTIFS(tblDeaths[Month],9,tblDeaths[AgeUnit],"Years",tblDeaths[Age],"&gt;="&amp;70,tblDeaths[Age],"&lt;="&amp;200,tblDeaths[Sex],"F",tblDeaths[NHIS],"Non-Insured")</f>
        <v>0</v>
      </c>
      <c r="BJ15" s="29">
        <f>COUNTIFS(tblDeaths[Month],9,tblDeaths[AgeUnit],"Years",tblDeaths[Age],"&gt;="&amp;70,tblDeaths[Age],"&lt;="&amp;200,tblDeaths[Sex],"M",tblDeaths[NHIS],"Insured")</f>
        <v>0</v>
      </c>
      <c r="BK15" s="29">
        <f>COUNTIFS(tblDeaths[Month],9,tblDeaths[AgeUnit],"Years",tblDeaths[Age],"&gt;="&amp;70,tblDeaths[Age],"&lt;="&amp;200,tblDeaths[Sex],"F",tblDeaths[NHIS],"Insured")</f>
        <v>0</v>
      </c>
      <c r="BL15" s="29" t="s">
        <v>186</v>
      </c>
      <c r="BM15" s="29">
        <f>COUNTIFS(tblDeaths[Month],10,tblDeaths[AgeUnit],"Years",tblDeaths[Age],"&gt;="&amp;70,tblDeaths[Age],"&lt;="&amp;200,tblDeaths[Sex],"M")</f>
        <v>0</v>
      </c>
      <c r="BN15" s="29">
        <f>COUNTIFS(tblDeaths[Month],10,tblDeaths[AgeUnit],"Years",tblDeaths[Age],"&gt;="&amp;70,tblDeaths[Age],"&lt;="&amp;200,tblDeaths[Sex],"F")</f>
        <v>0</v>
      </c>
      <c r="BO15" s="29">
        <f>COUNTIFS(tblDeaths[Month],10,tblDeaths[AgeUnit],"Years",tblDeaths[Age],"&gt;="&amp;70,tblDeaths[Age],"&lt;="&amp;200,tblDeaths[Sex],"M",tblDeaths[NHIS],"Non-Insured")</f>
        <v>0</v>
      </c>
      <c r="BP15" s="29">
        <f>COUNTIFS(tblDeaths[Month],10,tblDeaths[AgeUnit],"Years",tblDeaths[Age],"&gt;="&amp;70,tblDeaths[Age],"&lt;="&amp;200,tblDeaths[Sex],"F",tblDeaths[NHIS],"Non-Insured")</f>
        <v>0</v>
      </c>
      <c r="BQ15" s="29">
        <f>COUNTIFS(tblDeaths[Month],10,tblDeaths[AgeUnit],"Years",tblDeaths[Age],"&gt;="&amp;70,tblDeaths[Age],"&lt;="&amp;200,tblDeaths[Sex],"M",tblDeaths[NHIS],"Insured")</f>
        <v>0</v>
      </c>
      <c r="BR15" s="29">
        <f>COUNTIFS(tblDeaths[Month],10,tblDeaths[AgeUnit],"Years",tblDeaths[Age],"&gt;="&amp;70,tblDeaths[Age],"&lt;="&amp;200,tblDeaths[Sex],"F",tblDeaths[NHIS],"Insured")</f>
        <v>0</v>
      </c>
      <c r="BS15" s="29" t="s">
        <v>186</v>
      </c>
      <c r="BT15" s="29">
        <f>COUNTIFS(tblDeaths[Month],11,tblDeaths[AgeUnit],"Years",tblDeaths[Age],"&gt;="&amp;70,tblDeaths[Age],"&lt;="&amp;200,tblDeaths[Sex],"M")</f>
        <v>0</v>
      </c>
      <c r="BU15" s="29">
        <f>COUNTIFS(tblDeaths[Month],11,tblDeaths[AgeUnit],"Years",tblDeaths[Age],"&gt;="&amp;70,tblDeaths[Age],"&lt;="&amp;200,tblDeaths[Sex],"F")</f>
        <v>0</v>
      </c>
      <c r="BV15" s="29">
        <f>COUNTIFS(tblDeaths[Month],11,tblDeaths[AgeUnit],"Years",tblDeaths[Age],"&gt;="&amp;70,tblDeaths[Age],"&lt;="&amp;200,tblDeaths[Sex],"M",tblDeaths[NHIS],"Non-Insured")</f>
        <v>0</v>
      </c>
      <c r="BW15" s="29">
        <f>COUNTIFS(tblDeaths[Month],11,tblDeaths[AgeUnit],"Years",tblDeaths[Age],"&gt;="&amp;70,tblDeaths[Age],"&lt;="&amp;200,tblDeaths[Sex],"F",tblDeaths[NHIS],"Non-Insured")</f>
        <v>0</v>
      </c>
      <c r="BX15" s="29">
        <f>COUNTIFS(tblDeaths[Month],11,tblDeaths[AgeUnit],"Years",tblDeaths[Age],"&gt;="&amp;70,tblDeaths[Age],"&lt;="&amp;200,tblDeaths[Sex],"M",tblDeaths[NHIS],"Insured")</f>
        <v>0</v>
      </c>
      <c r="BY15" s="29">
        <f>COUNTIFS(tblDeaths[Month],11,tblDeaths[AgeUnit],"Years",tblDeaths[Age],"&gt;="&amp;70,tblDeaths[Age],"&lt;="&amp;200,tblDeaths[Sex],"F",tblDeaths[NHIS],"Insured")</f>
        <v>0</v>
      </c>
      <c r="BZ15" s="29" t="s">
        <v>186</v>
      </c>
      <c r="CA15" s="29">
        <f>COUNTIFS(tblDeaths[Month],12,tblDeaths[AgeUnit],"Years",tblDeaths[Age],"&gt;="&amp;70,tblDeaths[Age],"&lt;="&amp;200,tblDeaths[Sex],"M")</f>
        <v>0</v>
      </c>
      <c r="CB15" s="29">
        <f>COUNTIFS(tblDeaths[Month],12,tblDeaths[AgeUnit],"Years",tblDeaths[Age],"&gt;="&amp;70,tblDeaths[Age],"&lt;="&amp;200,tblDeaths[Sex],"F")</f>
        <v>0</v>
      </c>
      <c r="CC15" s="29">
        <f>COUNTIFS(tblDeaths[Month],12,tblDeaths[AgeUnit],"Years",tblDeaths[Age],"&gt;="&amp;70,tblDeaths[Age],"&lt;="&amp;200,tblDeaths[Sex],"M",tblDeaths[NHIS],"Non-Insured")</f>
        <v>0</v>
      </c>
      <c r="CD15" s="29">
        <f>COUNTIFS(tblDeaths[Month],12,tblDeaths[AgeUnit],"Years",tblDeaths[Age],"&gt;="&amp;70,tblDeaths[Age],"&lt;="&amp;200,tblDeaths[Sex],"F",tblDeaths[NHIS],"Non-Insured")</f>
        <v>0</v>
      </c>
      <c r="CE15" s="29">
        <f>COUNTIFS(tblDeaths[Month],12,tblDeaths[AgeUnit],"Years",tblDeaths[Age],"&gt;="&amp;70,tblDeaths[Age],"&lt;="&amp;200,tblDeaths[Sex],"M",tblDeaths[NHIS],"Insured")</f>
        <v>0</v>
      </c>
      <c r="CF15" s="29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30" t="s">
        <v>187</v>
      </c>
      <c r="B16" s="30">
        <f t="shared" ref="B16:G16" si="0">SUM(B4:B15)</f>
        <v>21</v>
      </c>
      <c r="C16" s="30">
        <f t="shared" si="0"/>
        <v>18</v>
      </c>
      <c r="D16" s="30">
        <f t="shared" si="0"/>
        <v>8</v>
      </c>
      <c r="E16" s="30">
        <f t="shared" si="0"/>
        <v>2</v>
      </c>
      <c r="F16" s="30">
        <f t="shared" si="0"/>
        <v>13</v>
      </c>
      <c r="G16" s="30">
        <f t="shared" si="0"/>
        <v>16</v>
      </c>
      <c r="H16" s="30" t="s">
        <v>187</v>
      </c>
      <c r="I16" s="30">
        <f t="shared" ref="I16:N16" si="1">SUM(I4:I15)</f>
        <v>3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3</v>
      </c>
      <c r="N16" s="30">
        <f t="shared" si="1"/>
        <v>0</v>
      </c>
      <c r="O16" s="30" t="s">
        <v>187</v>
      </c>
      <c r="P16" s="30">
        <f t="shared" ref="P16:U16" si="2">SUM(P4:P15)</f>
        <v>21</v>
      </c>
      <c r="Q16" s="30">
        <f t="shared" si="2"/>
        <v>19</v>
      </c>
      <c r="R16" s="30">
        <f t="shared" si="2"/>
        <v>6</v>
      </c>
      <c r="S16" s="30">
        <f t="shared" si="2"/>
        <v>4</v>
      </c>
      <c r="T16" s="30">
        <f t="shared" si="2"/>
        <v>15</v>
      </c>
      <c r="U16" s="30">
        <f t="shared" si="2"/>
        <v>15</v>
      </c>
      <c r="V16" s="30" t="s">
        <v>187</v>
      </c>
      <c r="W16" s="30">
        <f t="shared" ref="W16:AB16" si="3">SUM(W4:W15)</f>
        <v>0</v>
      </c>
      <c r="X16" s="30">
        <f t="shared" si="3"/>
        <v>0</v>
      </c>
      <c r="Y16" s="30">
        <f t="shared" si="3"/>
        <v>0</v>
      </c>
      <c r="Z16" s="30">
        <f t="shared" si="3"/>
        <v>0</v>
      </c>
      <c r="AA16" s="30">
        <f t="shared" si="3"/>
        <v>0</v>
      </c>
      <c r="AB16" s="30">
        <f t="shared" si="3"/>
        <v>0</v>
      </c>
      <c r="AC16" s="30" t="s">
        <v>187</v>
      </c>
      <c r="AD16" s="30">
        <f t="shared" ref="AD16:AI16" si="4">SUM(AD4:AD15)</f>
        <v>0</v>
      </c>
      <c r="AE16" s="30">
        <f t="shared" si="4"/>
        <v>0</v>
      </c>
      <c r="AF16" s="30">
        <f t="shared" si="4"/>
        <v>0</v>
      </c>
      <c r="AG16" s="30">
        <f t="shared" si="4"/>
        <v>0</v>
      </c>
      <c r="AH16" s="30">
        <f t="shared" si="4"/>
        <v>0</v>
      </c>
      <c r="AI16" s="30">
        <f t="shared" si="4"/>
        <v>0</v>
      </c>
      <c r="AJ16" s="30" t="s">
        <v>187</v>
      </c>
      <c r="AK16" s="30">
        <f t="shared" ref="AK16:AP16" si="5">SUM(AK4:AK15)</f>
        <v>0</v>
      </c>
      <c r="AL16" s="30">
        <f t="shared" si="5"/>
        <v>0</v>
      </c>
      <c r="AM16" s="30">
        <f t="shared" si="5"/>
        <v>0</v>
      </c>
      <c r="AN16" s="30">
        <f t="shared" si="5"/>
        <v>0</v>
      </c>
      <c r="AO16" s="30">
        <f t="shared" si="5"/>
        <v>0</v>
      </c>
      <c r="AP16" s="30">
        <f t="shared" si="5"/>
        <v>0</v>
      </c>
      <c r="AQ16" s="30" t="s">
        <v>187</v>
      </c>
      <c r="AR16" s="30">
        <f t="shared" ref="AR16:AW16" si="6">SUM(AR4:AR15)</f>
        <v>0</v>
      </c>
      <c r="AS16" s="30">
        <f t="shared" si="6"/>
        <v>0</v>
      </c>
      <c r="AT16" s="30">
        <f t="shared" si="6"/>
        <v>0</v>
      </c>
      <c r="AU16" s="30">
        <f t="shared" si="6"/>
        <v>0</v>
      </c>
      <c r="AV16" s="30">
        <f t="shared" si="6"/>
        <v>0</v>
      </c>
      <c r="AW16" s="30">
        <f t="shared" si="6"/>
        <v>0</v>
      </c>
      <c r="AX16" s="30" t="s">
        <v>187</v>
      </c>
      <c r="AY16" s="30">
        <f t="shared" ref="AY16:BD16" si="7">SUM(AY4:AY15)</f>
        <v>0</v>
      </c>
      <c r="AZ16" s="30">
        <f t="shared" si="7"/>
        <v>0</v>
      </c>
      <c r="BA16" s="30">
        <f t="shared" si="7"/>
        <v>0</v>
      </c>
      <c r="BB16" s="30">
        <f t="shared" si="7"/>
        <v>0</v>
      </c>
      <c r="BC16" s="30">
        <f t="shared" si="7"/>
        <v>0</v>
      </c>
      <c r="BD16" s="30">
        <f t="shared" si="7"/>
        <v>0</v>
      </c>
      <c r="BE16" s="30" t="s">
        <v>187</v>
      </c>
      <c r="BF16" s="30">
        <f t="shared" ref="BF16:BK16" si="8">SUM(BF4:BF15)</f>
        <v>0</v>
      </c>
      <c r="BG16" s="30">
        <f t="shared" si="8"/>
        <v>0</v>
      </c>
      <c r="BH16" s="30">
        <f t="shared" si="8"/>
        <v>0</v>
      </c>
      <c r="BI16" s="30">
        <f t="shared" si="8"/>
        <v>0</v>
      </c>
      <c r="BJ16" s="30">
        <f t="shared" si="8"/>
        <v>0</v>
      </c>
      <c r="BK16" s="30">
        <f t="shared" si="8"/>
        <v>0</v>
      </c>
      <c r="BL16" s="30" t="s">
        <v>187</v>
      </c>
      <c r="BM16" s="30">
        <f t="shared" ref="BM16:BR16" si="9">SUM(BM4:BM15)</f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0</v>
      </c>
      <c r="BR16" s="30">
        <f t="shared" si="9"/>
        <v>0</v>
      </c>
      <c r="BS16" s="30" t="s">
        <v>187</v>
      </c>
      <c r="BT16" s="30">
        <f t="shared" ref="BT16:BY16" si="10">SUM(BT4:BT15)</f>
        <v>0</v>
      </c>
      <c r="BU16" s="30">
        <f t="shared" si="10"/>
        <v>0</v>
      </c>
      <c r="BV16" s="30">
        <f t="shared" si="10"/>
        <v>0</v>
      </c>
      <c r="BW16" s="30">
        <f t="shared" si="10"/>
        <v>0</v>
      </c>
      <c r="BX16" s="30">
        <f t="shared" si="10"/>
        <v>0</v>
      </c>
      <c r="BY16" s="30">
        <f t="shared" si="10"/>
        <v>0</v>
      </c>
      <c r="BZ16" s="30" t="s">
        <v>187</v>
      </c>
      <c r="CA16" s="30">
        <f t="shared" ref="CA16:CF16" si="11">SUM(CA4:CA15)</f>
        <v>0</v>
      </c>
      <c r="CB16" s="30">
        <f t="shared" si="11"/>
        <v>0</v>
      </c>
      <c r="CC16" s="30">
        <f t="shared" si="11"/>
        <v>0</v>
      </c>
      <c r="CD16" s="30">
        <f t="shared" si="11"/>
        <v>0</v>
      </c>
      <c r="CE16" s="30">
        <f t="shared" si="11"/>
        <v>0</v>
      </c>
      <c r="CF16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C00000"/>
  </sheetPr>
  <dimension ref="A1:N3"/>
  <sheetViews>
    <sheetView workbookViewId="0"/>
  </sheetViews>
  <sheetFormatPr defaultRowHeight="15" x14ac:dyDescent="0.25"/>
  <cols>
    <col min="1" max="1" width="30" style="16" customWidth="1"/>
    <col min="2" max="14" width="10" style="16" customWidth="1"/>
    <col min="15" max="16384" width="9.140625" style="16"/>
  </cols>
  <sheetData>
    <row r="1" spans="1:14" ht="18.75" x14ac:dyDescent="0.25">
      <c r="A1" s="21" t="s">
        <v>188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14" x14ac:dyDescent="0.25">
      <c r="A2" s="35" t="s">
        <v>189</v>
      </c>
      <c r="B2" s="35" t="s">
        <v>63</v>
      </c>
      <c r="C2" s="35" t="s">
        <v>64</v>
      </c>
      <c r="D2" s="35" t="s">
        <v>65</v>
      </c>
      <c r="E2" s="35" t="s">
        <v>66</v>
      </c>
      <c r="F2" s="35" t="s">
        <v>67</v>
      </c>
      <c r="G2" s="35" t="s">
        <v>68</v>
      </c>
      <c r="H2" s="35" t="s">
        <v>69</v>
      </c>
      <c r="I2" s="35" t="s">
        <v>70</v>
      </c>
      <c r="J2" s="35" t="s">
        <v>71</v>
      </c>
      <c r="K2" s="35" t="s">
        <v>72</v>
      </c>
      <c r="L2" s="35" t="s">
        <v>73</v>
      </c>
      <c r="M2" s="35" t="s">
        <v>74</v>
      </c>
      <c r="N2" s="35" t="s">
        <v>115</v>
      </c>
    </row>
    <row r="3" spans="1:14" x14ac:dyDescent="0.25">
      <c r="A3" s="25" t="s">
        <v>190</v>
      </c>
    </row>
  </sheetData>
  <sheetProtection sheet="1"/>
  <mergeCells count="1">
    <mergeCell ref="A1:N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0000FF"/>
  </sheetPr>
  <dimension ref="A1:P13"/>
  <sheetViews>
    <sheetView workbookViewId="0"/>
  </sheetViews>
  <sheetFormatPr defaultRowHeight="15" x14ac:dyDescent="0.25"/>
  <cols>
    <col min="1" max="1" width="18" style="16" customWidth="1"/>
    <col min="2" max="16" width="12" style="16" customWidth="1"/>
    <col min="17" max="16384" width="9.140625" style="16"/>
  </cols>
  <sheetData>
    <row r="1" spans="1:16" ht="18.75" x14ac:dyDescent="0.25">
      <c r="A1" s="21" t="s">
        <v>191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3" spans="1:16" ht="51" x14ac:dyDescent="0.25">
      <c r="A3" s="28" t="s">
        <v>136</v>
      </c>
      <c r="B3" s="28" t="s">
        <v>192</v>
      </c>
      <c r="C3" s="28" t="s">
        <v>138</v>
      </c>
      <c r="D3" s="28" t="s">
        <v>77</v>
      </c>
      <c r="E3" s="28" t="s">
        <v>78</v>
      </c>
      <c r="F3" s="28" t="s">
        <v>79</v>
      </c>
      <c r="G3" s="28" t="s">
        <v>111</v>
      </c>
      <c r="H3" s="28" t="s">
        <v>139</v>
      </c>
      <c r="I3" s="28" t="s">
        <v>140</v>
      </c>
      <c r="J3" s="28" t="s">
        <v>141</v>
      </c>
      <c r="K3" s="28" t="s">
        <v>142</v>
      </c>
      <c r="L3" s="28" t="s">
        <v>143</v>
      </c>
      <c r="M3" s="28" t="s">
        <v>144</v>
      </c>
      <c r="N3" s="28" t="s">
        <v>145</v>
      </c>
      <c r="O3" s="28" t="s">
        <v>146</v>
      </c>
      <c r="P3" s="28" t="s">
        <v>147</v>
      </c>
    </row>
    <row r="4" spans="1:16" x14ac:dyDescent="0.25">
      <c r="A4" s="49" t="s">
        <v>30</v>
      </c>
      <c r="B4" s="50">
        <f>IFERROR(INDEX(tblWardConfig[PrevYearRemaining],MATCH("MW",tblWardConfig[WardCode],0)),0)</f>
        <v>25</v>
      </c>
      <c r="C4" s="50">
        <f>IFERROR(INDEX(tblWardConfig[BedComplement],MATCH("MW",tblWardConfig[WardCode],0)),0)</f>
        <v>32</v>
      </c>
      <c r="D4" s="51">
        <f>SUMIFS(tblDaily[Admissions],tblDaily[WardCode],"MW") - SUMIFS(tblDaily[DeathsUnder24Hrs],tblDaily[WardCode],"MW")</f>
        <v>211</v>
      </c>
      <c r="E4" s="51">
        <f>SUMIFS(tblDaily[Discharges],tblDaily[WardCode],"MW")</f>
        <v>303</v>
      </c>
      <c r="F4" s="51">
        <f>SUMIFS(tblDaily[Deaths],tblDaily[WardCode],"MW")</f>
        <v>28</v>
      </c>
      <c r="G4" s="51">
        <f>SUMIFS(tblDaily[DeathsUnder24Hrs],tblDaily[WardCode],"MW")</f>
        <v>0</v>
      </c>
      <c r="H4" s="51">
        <f>SUMIFS(tblDaily[Remaining],tblDaily[WardCode],"MW")</f>
        <v>1768</v>
      </c>
      <c r="I4" s="51">
        <f>SUMIFS(tblDaily[TransfersIn],tblDaily[WardCode],"MW")</f>
        <v>109</v>
      </c>
      <c r="J4" s="51">
        <f>SUMIFS(tblDaily[TransfersOut],tblDaily[WardCode],"MW")</f>
        <v>0</v>
      </c>
      <c r="K4" s="52">
        <f t="shared" ref="K4:K13" si="0">IFERROR(H4/365,0)</f>
        <v>4.8438356164383558</v>
      </c>
      <c r="L4" s="52">
        <f t="shared" ref="L4:L13" si="1">IFERROR(H4/(E4+F4),0)</f>
        <v>5.3413897280966767</v>
      </c>
      <c r="M4" s="52">
        <f t="shared" ref="M4:M13" si="2">IFERROR((C4*365-H4)/(E4+F4),0)</f>
        <v>29.94561933534743</v>
      </c>
      <c r="N4" s="52">
        <f t="shared" ref="N4:N13" si="3">IFERROR((E4+F4)/C4,0)</f>
        <v>10.34375</v>
      </c>
      <c r="O4" s="52">
        <f t="shared" ref="O4:O13" si="4">IFERROR((H4/(C4*365))*100,0)</f>
        <v>15.136986301369863</v>
      </c>
      <c r="P4" s="52">
        <f t="shared" ref="P4:P13" si="5">IFERROR((F4/(D4+B4))*100,0)</f>
        <v>11.864406779661017</v>
      </c>
    </row>
    <row r="5" spans="1:16" x14ac:dyDescent="0.25">
      <c r="A5" s="49" t="s">
        <v>32</v>
      </c>
      <c r="B5" s="50">
        <f>IFERROR(INDEX(tblWardConfig[PrevYearRemaining],MATCH("FW",tblWardConfig[WardCode],0)),0)</f>
        <v>16</v>
      </c>
      <c r="C5" s="50">
        <f>IFERROR(INDEX(tblWardConfig[BedComplement],MATCH("FW",tblWardConfig[WardCode],0)),0)</f>
        <v>28</v>
      </c>
      <c r="D5" s="51">
        <f>SUMIFS(tblDaily[Admissions],tblDaily[WardCode],"FW") - SUMIFS(tblDaily[DeathsUnder24Hrs],tblDaily[WardCode],"FW")</f>
        <v>228</v>
      </c>
      <c r="E5" s="51">
        <f>SUMIFS(tblDaily[Discharges],tblDaily[WardCode],"FW")</f>
        <v>287</v>
      </c>
      <c r="F5" s="51">
        <f>SUMIFS(tblDaily[Deaths],tblDaily[WardCode],"FW")</f>
        <v>24</v>
      </c>
      <c r="G5" s="51">
        <f>SUMIFS(tblDaily[DeathsUnder24Hrs],tblDaily[WardCode],"FW")</f>
        <v>0</v>
      </c>
      <c r="H5" s="51">
        <f>SUMIFS(tblDaily[Remaining],tblDaily[WardCode],"FW")</f>
        <v>1609</v>
      </c>
      <c r="I5" s="51">
        <f>SUMIFS(tblDaily[TransfersIn],tblDaily[WardCode],"FW")</f>
        <v>83</v>
      </c>
      <c r="J5" s="51">
        <f>SUMIFS(tblDaily[TransfersOut],tblDaily[WardCode],"FW")</f>
        <v>0</v>
      </c>
      <c r="K5" s="52">
        <f t="shared" si="0"/>
        <v>4.4082191780821915</v>
      </c>
      <c r="L5" s="52">
        <f t="shared" si="1"/>
        <v>5.1736334405144691</v>
      </c>
      <c r="M5" s="52">
        <f t="shared" si="2"/>
        <v>27.688102893890676</v>
      </c>
      <c r="N5" s="52">
        <f t="shared" si="3"/>
        <v>11.107142857142858</v>
      </c>
      <c r="O5" s="52">
        <f t="shared" si="4"/>
        <v>15.743639921722114</v>
      </c>
      <c r="P5" s="52">
        <f t="shared" si="5"/>
        <v>9.8360655737704921</v>
      </c>
    </row>
    <row r="6" spans="1:16" x14ac:dyDescent="0.25">
      <c r="A6" s="49" t="s">
        <v>34</v>
      </c>
      <c r="B6" s="50">
        <f>IFERROR(INDEX(tblWardConfig[PrevYearRemaining],MATCH("CW",tblWardConfig[WardCode],0)),0)</f>
        <v>7</v>
      </c>
      <c r="C6" s="50">
        <f>IFERROR(INDEX(tblWardConfig[BedComplement],MATCH("CW",tblWardConfig[WardCode],0)),0)</f>
        <v>27</v>
      </c>
      <c r="D6" s="51">
        <f>SUMIFS(tblDaily[Admissions],tblDaily[WardCode],"CW") - SUMIFS(tblDaily[DeathsUnder24Hrs],tblDaily[WardCode],"CW")</f>
        <v>247</v>
      </c>
      <c r="E6" s="51">
        <f>SUMIFS(tblDaily[Discharges],tblDaily[WardCode],"CW")</f>
        <v>259</v>
      </c>
      <c r="F6" s="51">
        <f>SUMIFS(tblDaily[Deaths],tblDaily[WardCode],"CW")</f>
        <v>2</v>
      </c>
      <c r="G6" s="51">
        <f>SUMIFS(tblDaily[DeathsUnder24Hrs],tblDaily[WardCode],"CW")</f>
        <v>2</v>
      </c>
      <c r="H6" s="51">
        <f>SUMIFS(tblDaily[Remaining],tblDaily[WardCode],"CW")</f>
        <v>866</v>
      </c>
      <c r="I6" s="51">
        <f>SUMIFS(tblDaily[TransfersIn],tblDaily[WardCode],"CW")</f>
        <v>18</v>
      </c>
      <c r="J6" s="51">
        <f>SUMIFS(tblDaily[TransfersOut],tblDaily[WardCode],"CW")</f>
        <v>0</v>
      </c>
      <c r="K6" s="52">
        <f t="shared" si="0"/>
        <v>2.3726027397260272</v>
      </c>
      <c r="L6" s="52">
        <f t="shared" si="1"/>
        <v>3.3180076628352491</v>
      </c>
      <c r="M6" s="52">
        <f t="shared" si="2"/>
        <v>34.440613026819925</v>
      </c>
      <c r="N6" s="52">
        <f t="shared" si="3"/>
        <v>9.6666666666666661</v>
      </c>
      <c r="O6" s="52">
        <f t="shared" si="4"/>
        <v>8.7874175545408431</v>
      </c>
      <c r="P6" s="52">
        <f t="shared" si="5"/>
        <v>0.78740157480314954</v>
      </c>
    </row>
    <row r="7" spans="1:16" x14ac:dyDescent="0.25">
      <c r="A7" s="49" t="s">
        <v>36</v>
      </c>
      <c r="B7" s="50">
        <f>IFERROR(INDEX(tblWardConfig[PrevYearRemaining],MATCH("BF",tblWardConfig[WardCode],0)),0)</f>
        <v>9</v>
      </c>
      <c r="C7" s="50">
        <f>IFERROR(INDEX(tblWardConfig[BedComplement],MATCH("BF",tblWardConfig[WardCode],0)),0)</f>
        <v>20</v>
      </c>
      <c r="D7" s="51">
        <f>SUMIFS(tblDaily[Admissions],tblDaily[WardCode],"BF") - SUMIFS(tblDaily[DeathsUnder24Hrs],tblDaily[WardCode],"BF")</f>
        <v>197</v>
      </c>
      <c r="E7" s="51">
        <f>SUMIFS(tblDaily[Discharges],tblDaily[WardCode],"BF")</f>
        <v>198</v>
      </c>
      <c r="F7" s="51">
        <f>SUMIFS(tblDaily[Deaths],tblDaily[WardCode],"BF")</f>
        <v>1</v>
      </c>
      <c r="G7" s="51">
        <f>SUMIFS(tblDaily[DeathsUnder24Hrs],tblDaily[WardCode],"BF")</f>
        <v>0</v>
      </c>
      <c r="H7" s="51">
        <f>SUMIFS(tblDaily[Remaining],tblDaily[WardCode],"BF")</f>
        <v>813</v>
      </c>
      <c r="I7" s="51">
        <f>SUMIFS(tblDaily[TransfersIn],tblDaily[WardCode],"BF")</f>
        <v>6</v>
      </c>
      <c r="J7" s="51">
        <f>SUMIFS(tblDaily[TransfersOut],tblDaily[WardCode],"BF")</f>
        <v>8</v>
      </c>
      <c r="K7" s="52">
        <f t="shared" si="0"/>
        <v>2.2273972602739724</v>
      </c>
      <c r="L7" s="52">
        <f t="shared" si="1"/>
        <v>4.0854271356783922</v>
      </c>
      <c r="M7" s="52">
        <f t="shared" si="2"/>
        <v>32.597989949748744</v>
      </c>
      <c r="N7" s="52">
        <f t="shared" si="3"/>
        <v>9.9499999999999993</v>
      </c>
      <c r="O7" s="52">
        <f t="shared" si="4"/>
        <v>11.136986301369863</v>
      </c>
      <c r="P7" s="52">
        <f t="shared" si="5"/>
        <v>0.48543689320388345</v>
      </c>
    </row>
    <row r="8" spans="1:16" x14ac:dyDescent="0.25">
      <c r="A8" s="49" t="s">
        <v>38</v>
      </c>
      <c r="B8" s="50">
        <f>IFERROR(INDEX(tblWardConfig[PrevYearRemaining],MATCH("BG",tblWardConfig[WardCode],0)),0)</f>
        <v>9</v>
      </c>
      <c r="C8" s="50">
        <f>IFERROR(INDEX(tblWardConfig[BedComplement],MATCH("BG",tblWardConfig[WardCode],0)),0)</f>
        <v>14</v>
      </c>
      <c r="D8" s="51">
        <f>SUMIFS(tblDaily[Admissions],tblDaily[WardCode],"BG") - SUMIFS(tblDaily[DeathsUnder24Hrs],tblDaily[WardCode],"BG")</f>
        <v>416</v>
      </c>
      <c r="E8" s="51">
        <f>SUMIFS(tblDaily[Discharges],tblDaily[WardCode],"BG")</f>
        <v>412</v>
      </c>
      <c r="F8" s="51">
        <f>SUMIFS(tblDaily[Deaths],tblDaily[WardCode],"BG")</f>
        <v>0</v>
      </c>
      <c r="G8" s="51">
        <f>SUMIFS(tblDaily[DeathsUnder24Hrs],tblDaily[WardCode],"BG")</f>
        <v>0</v>
      </c>
      <c r="H8" s="51">
        <f>SUMIFS(tblDaily[Remaining],tblDaily[WardCode],"BG")</f>
        <v>1212</v>
      </c>
      <c r="I8" s="51">
        <f>SUMIFS(tblDaily[TransfersIn],tblDaily[WardCode],"BG")</f>
        <v>118</v>
      </c>
      <c r="J8" s="51">
        <f>SUMIFS(tblDaily[TransfersOut],tblDaily[WardCode],"BG")</f>
        <v>114</v>
      </c>
      <c r="K8" s="52">
        <f t="shared" si="0"/>
        <v>3.3205479452054796</v>
      </c>
      <c r="L8" s="52">
        <f t="shared" si="1"/>
        <v>2.941747572815534</v>
      </c>
      <c r="M8" s="52">
        <f t="shared" si="2"/>
        <v>9.4611650485436893</v>
      </c>
      <c r="N8" s="52">
        <f t="shared" si="3"/>
        <v>29.428571428571427</v>
      </c>
      <c r="O8" s="52">
        <f t="shared" si="4"/>
        <v>23.718199608610568</v>
      </c>
      <c r="P8" s="52">
        <f t="shared" si="5"/>
        <v>0</v>
      </c>
    </row>
    <row r="9" spans="1:16" x14ac:dyDescent="0.25">
      <c r="A9" s="49" t="s">
        <v>40</v>
      </c>
      <c r="B9" s="50">
        <f>IFERROR(INDEX(tblWardConfig[PrevYearRemaining],MATCH("BH",tblWardConfig[WardCode],0)),0)</f>
        <v>12</v>
      </c>
      <c r="C9" s="50">
        <f>IFERROR(INDEX(tblWardConfig[BedComplement],MATCH("BH",tblWardConfig[WardCode],0)),0)</f>
        <v>22</v>
      </c>
      <c r="D9" s="51">
        <f>SUMIFS(tblDaily[Admissions],tblDaily[WardCode],"BH") - SUMIFS(tblDaily[DeathsUnder24Hrs],tblDaily[WardCode],"BH")</f>
        <v>275</v>
      </c>
      <c r="E9" s="51">
        <f>SUMIFS(tblDaily[Discharges],tblDaily[WardCode],"BH")</f>
        <v>275</v>
      </c>
      <c r="F9" s="51">
        <f>SUMIFS(tblDaily[Deaths],tblDaily[WardCode],"BH")</f>
        <v>0</v>
      </c>
      <c r="G9" s="51">
        <f>SUMIFS(tblDaily[DeathsUnder24Hrs],tblDaily[WardCode],"BH")</f>
        <v>0</v>
      </c>
      <c r="H9" s="51">
        <f>SUMIFS(tblDaily[Remaining],tblDaily[WardCode],"BH")</f>
        <v>1585</v>
      </c>
      <c r="I9" s="51">
        <f>SUMIFS(tblDaily[TransfersIn],tblDaily[WardCode],"BH")</f>
        <v>118</v>
      </c>
      <c r="J9" s="51">
        <f>SUMIFS(tblDaily[TransfersOut],tblDaily[WardCode],"BH")</f>
        <v>117</v>
      </c>
      <c r="K9" s="52">
        <f t="shared" si="0"/>
        <v>4.3424657534246576</v>
      </c>
      <c r="L9" s="52">
        <f t="shared" si="1"/>
        <v>5.7636363636363637</v>
      </c>
      <c r="M9" s="52">
        <f t="shared" si="2"/>
        <v>23.436363636363637</v>
      </c>
      <c r="N9" s="52">
        <f t="shared" si="3"/>
        <v>12.5</v>
      </c>
      <c r="O9" s="52">
        <f t="shared" si="4"/>
        <v>19.738480697384809</v>
      </c>
      <c r="P9" s="52">
        <f t="shared" si="5"/>
        <v>0</v>
      </c>
    </row>
    <row r="10" spans="1:16" x14ac:dyDescent="0.25">
      <c r="A10" s="49" t="s">
        <v>42</v>
      </c>
      <c r="B10" s="50">
        <f>IFERROR(INDEX(tblWardConfig[PrevYearRemaining],MATCH("NICU",tblWardConfig[WardCode],0)),0)</f>
        <v>14</v>
      </c>
      <c r="C10" s="50">
        <f>IFERROR(INDEX(tblWardConfig[BedComplement],MATCH("NICU",tblWardConfig[WardCode],0)),0)</f>
        <v>15</v>
      </c>
      <c r="D10" s="51">
        <f>SUMIFS(tblDaily[Admissions],tblDaily[WardCode],"NICU") - SUMIFS(tblDaily[DeathsUnder24Hrs],tblDaily[WardCode],"NICU")</f>
        <v>161</v>
      </c>
      <c r="E10" s="51">
        <f>SUMIFS(tblDaily[Discharges],tblDaily[WardCode],"NICU")</f>
        <v>153</v>
      </c>
      <c r="F10" s="51">
        <f>SUMIFS(tblDaily[Deaths],tblDaily[WardCode],"NICU")</f>
        <v>15</v>
      </c>
      <c r="G10" s="51">
        <f>SUMIFS(tblDaily[DeathsUnder24Hrs],tblDaily[WardCode],"NICU")</f>
        <v>0</v>
      </c>
      <c r="H10" s="51">
        <f>SUMIFS(tblDaily[Remaining],tblDaily[WardCode],"NICU")</f>
        <v>1263</v>
      </c>
      <c r="I10" s="51">
        <f>SUMIFS(tblDaily[TransfersIn],tblDaily[WardCode],"NICU")</f>
        <v>0</v>
      </c>
      <c r="J10" s="51">
        <f>SUMIFS(tblDaily[TransfersOut],tblDaily[WardCode],"NICU")</f>
        <v>0</v>
      </c>
      <c r="K10" s="52">
        <f t="shared" si="0"/>
        <v>3.4602739726027396</v>
      </c>
      <c r="L10" s="52">
        <f t="shared" si="1"/>
        <v>7.5178571428571432</v>
      </c>
      <c r="M10" s="52">
        <f t="shared" si="2"/>
        <v>25.071428571428573</v>
      </c>
      <c r="N10" s="52">
        <f t="shared" si="3"/>
        <v>11.2</v>
      </c>
      <c r="O10" s="52">
        <f t="shared" si="4"/>
        <v>23.068493150684933</v>
      </c>
      <c r="P10" s="52">
        <f t="shared" si="5"/>
        <v>8.5714285714285712</v>
      </c>
    </row>
    <row r="11" spans="1:16" x14ac:dyDescent="0.25">
      <c r="A11" s="49" t="s">
        <v>44</v>
      </c>
      <c r="B11" s="50">
        <f>IFERROR(INDEX(tblWardConfig[PrevYearRemaining],MATCH("MAE",tblWardConfig[WardCode],0)),0)</f>
        <v>9</v>
      </c>
      <c r="C11" s="50">
        <f>IFERROR(INDEX(tblWardConfig[BedComplement],MATCH("MAE",tblWardConfig[WardCode],0)),0)</f>
        <v>10</v>
      </c>
      <c r="D11" s="51">
        <f>SUMIFS(tblDaily[Admissions],tblDaily[WardCode],"MAE") - SUMIFS(tblDaily[DeathsUnder24Hrs],tblDaily[WardCode],"MAE")</f>
        <v>223</v>
      </c>
      <c r="E11" s="51">
        <f>SUMIFS(tblDaily[Discharges],tblDaily[WardCode],"MAE")</f>
        <v>99</v>
      </c>
      <c r="F11" s="51">
        <f>SUMIFS(tblDaily[Deaths],tblDaily[WardCode],"MAE")</f>
        <v>13</v>
      </c>
      <c r="G11" s="51">
        <f>SUMIFS(tblDaily[DeathsUnder24Hrs],tblDaily[WardCode],"MAE")</f>
        <v>15</v>
      </c>
      <c r="H11" s="51">
        <f>SUMIFS(tblDaily[Remaining],tblDaily[WardCode],"MAE")</f>
        <v>319</v>
      </c>
      <c r="I11" s="51">
        <f>SUMIFS(tblDaily[TransfersIn],tblDaily[WardCode],"MAE")</f>
        <v>0</v>
      </c>
      <c r="J11" s="51">
        <f>SUMIFS(tblDaily[TransfersOut],tblDaily[WardCode],"MAE")</f>
        <v>116</v>
      </c>
      <c r="K11" s="52">
        <f t="shared" si="0"/>
        <v>0.87397260273972599</v>
      </c>
      <c r="L11" s="52">
        <f t="shared" si="1"/>
        <v>2.8482142857142856</v>
      </c>
      <c r="M11" s="52">
        <f t="shared" si="2"/>
        <v>29.741071428571427</v>
      </c>
      <c r="N11" s="52">
        <f t="shared" si="3"/>
        <v>11.2</v>
      </c>
      <c r="O11" s="52">
        <f t="shared" si="4"/>
        <v>8.7397260273972606</v>
      </c>
      <c r="P11" s="52">
        <f t="shared" si="5"/>
        <v>5.6034482758620694</v>
      </c>
    </row>
    <row r="12" spans="1:16" x14ac:dyDescent="0.25">
      <c r="A12" s="49" t="s">
        <v>46</v>
      </c>
      <c r="B12" s="50">
        <f>IFERROR(INDEX(tblWardConfig[PrevYearRemaining],MATCH("FAE",tblWardConfig[WardCode],0)),0)</f>
        <v>1</v>
      </c>
      <c r="C12" s="50">
        <f>IFERROR(INDEX(tblWardConfig[BedComplement],MATCH("FAE",tblWardConfig[WardCode],0)),0)</f>
        <v>10</v>
      </c>
      <c r="D12" s="51">
        <f>SUMIFS(tblDaily[Admissions],tblDaily[WardCode],"FAE") - SUMIFS(tblDaily[DeathsUnder24Hrs],tblDaily[WardCode],"FAE")</f>
        <v>158</v>
      </c>
      <c r="E12" s="51">
        <f>SUMIFS(tblDaily[Discharges],tblDaily[WardCode],"FAE")</f>
        <v>57</v>
      </c>
      <c r="F12" s="51">
        <f>SUMIFS(tblDaily[Deaths],tblDaily[WardCode],"FAE")</f>
        <v>9</v>
      </c>
      <c r="G12" s="51">
        <f>SUMIFS(tblDaily[DeathsUnder24Hrs],tblDaily[WardCode],"FAE")</f>
        <v>10</v>
      </c>
      <c r="H12" s="51">
        <f>SUMIFS(tblDaily[Remaining],tblDaily[WardCode],"FAE")</f>
        <v>247</v>
      </c>
      <c r="I12" s="51">
        <f>SUMIFS(tblDaily[TransfersIn],tblDaily[WardCode],"FAE")</f>
        <v>0</v>
      </c>
      <c r="J12" s="51">
        <f>SUMIFS(tblDaily[TransfersOut],tblDaily[WardCode],"FAE")</f>
        <v>93</v>
      </c>
      <c r="K12" s="52">
        <f t="shared" si="0"/>
        <v>0.67671232876712328</v>
      </c>
      <c r="L12" s="52">
        <f t="shared" si="1"/>
        <v>3.7424242424242422</v>
      </c>
      <c r="M12" s="52">
        <f t="shared" si="2"/>
        <v>51.560606060606062</v>
      </c>
      <c r="N12" s="52">
        <f t="shared" si="3"/>
        <v>6.6</v>
      </c>
      <c r="O12" s="52">
        <f t="shared" si="4"/>
        <v>6.7671232876712324</v>
      </c>
      <c r="P12" s="52">
        <f t="shared" si="5"/>
        <v>5.6603773584905666</v>
      </c>
    </row>
    <row r="13" spans="1:16" x14ac:dyDescent="0.25">
      <c r="A13" s="49" t="s">
        <v>48</v>
      </c>
      <c r="B13" s="50">
        <f>IFERROR(INDEX(tblWardConfig[PrevYearRemaining],MATCH("ICU",tblWardConfig[WardCode],0)),0)</f>
        <v>0</v>
      </c>
      <c r="C13" s="50">
        <f>IFERROR(INDEX(tblWardConfig[BedComplement],MATCH("ICU",tblWardConfig[WardCode],0)),0)</f>
        <v>4</v>
      </c>
      <c r="D13" s="51">
        <f>SUMIFS(tblDaily[Admissions],tblDaily[WardCode],"ICU") - SUMIFS(tblDaily[DeathsUnder24Hrs],tblDaily[WardCode],"ICU")</f>
        <v>0</v>
      </c>
      <c r="E13" s="51">
        <f>SUMIFS(tblDaily[Discharges],tblDaily[WardCode],"ICU")</f>
        <v>0</v>
      </c>
      <c r="F13" s="51">
        <f>SUMIFS(tblDaily[Deaths],tblDaily[WardCode],"ICU")</f>
        <v>0</v>
      </c>
      <c r="G13" s="51">
        <f>SUMIFS(tblDaily[DeathsUnder24Hrs],tblDaily[WardCode],"ICU")</f>
        <v>0</v>
      </c>
      <c r="H13" s="51">
        <f>SUMIFS(tblDaily[Remaining],tblDaily[WardCode],"ICU")</f>
        <v>0</v>
      </c>
      <c r="I13" s="51">
        <f>SUMIFS(tblDaily[TransfersIn],tblDaily[WardCode],"ICU")</f>
        <v>0</v>
      </c>
      <c r="J13" s="51">
        <f>SUMIFS(tblDaily[TransfersOut],tblDaily[WardCode],"ICU")</f>
        <v>0</v>
      </c>
      <c r="K13" s="52">
        <f t="shared" si="0"/>
        <v>0</v>
      </c>
      <c r="L13" s="52">
        <f t="shared" si="1"/>
        <v>0</v>
      </c>
      <c r="M13" s="52">
        <f t="shared" si="2"/>
        <v>0</v>
      </c>
      <c r="N13" s="52">
        <f t="shared" si="3"/>
        <v>0</v>
      </c>
      <c r="O13" s="52">
        <f t="shared" si="4"/>
        <v>0</v>
      </c>
      <c r="P13" s="52">
        <f t="shared" si="5"/>
        <v>0</v>
      </c>
    </row>
  </sheetData>
  <sheetProtection sheet="1"/>
  <mergeCells count="1">
    <mergeCell ref="A1:P1"/>
  </mergeCell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FFA500"/>
  </sheetPr>
  <dimension ref="A1:J3"/>
  <sheetViews>
    <sheetView workbookViewId="0"/>
  </sheetViews>
  <sheetFormatPr defaultRowHeight="15" x14ac:dyDescent="0.25"/>
  <cols>
    <col min="1" max="1" width="6" style="16" customWidth="1"/>
    <col min="2" max="2" width="12" style="16" customWidth="1"/>
    <col min="3" max="3" width="10" style="16" customWidth="1"/>
    <col min="4" max="4" width="12" style="16" customWidth="1"/>
    <col min="5" max="5" width="15" style="16" customWidth="1"/>
    <col min="6" max="6" width="25" style="16" customWidth="1"/>
    <col min="7" max="7" width="8" style="16" customWidth="1"/>
    <col min="8" max="8" width="6" style="16" customWidth="1"/>
    <col min="9" max="10" width="12" style="16" customWidth="1"/>
    <col min="11" max="16384" width="9.140625" style="16"/>
  </cols>
  <sheetData>
    <row r="1" spans="1:10" ht="18.75" x14ac:dyDescent="0.25">
      <c r="A1" s="21" t="s">
        <v>193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25">
      <c r="A2" s="35" t="s">
        <v>194</v>
      </c>
      <c r="B2" s="35" t="s">
        <v>195</v>
      </c>
      <c r="C2" s="35" t="s">
        <v>76</v>
      </c>
      <c r="D2" s="35" t="s">
        <v>196</v>
      </c>
      <c r="E2" s="35" t="s">
        <v>197</v>
      </c>
      <c r="F2" s="35" t="s">
        <v>198</v>
      </c>
      <c r="G2" s="35" t="s">
        <v>90</v>
      </c>
      <c r="H2" s="35" t="s">
        <v>92</v>
      </c>
      <c r="I2" s="35" t="s">
        <v>199</v>
      </c>
      <c r="J2" s="35" t="s">
        <v>200</v>
      </c>
    </row>
    <row r="3" spans="1:10" x14ac:dyDescent="0.25">
      <c r="A3" s="25" t="s">
        <v>190</v>
      </c>
    </row>
  </sheetData>
  <sheetProtection sheet="1"/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Intenive care ward</vt:lpstr>
      <vt:lpstr>Emergency</vt:lpstr>
      <vt:lpstr>Monthly Summary</vt:lpstr>
      <vt:lpstr>Quarterly Summary</vt:lpstr>
      <vt:lpstr>Half-Year Summary</vt:lpstr>
      <vt:lpstr>Ages Summary</vt:lpstr>
      <vt:lpstr>Deaths Summary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Caro</cp:lastModifiedBy>
  <dcterms:created xsi:type="dcterms:W3CDTF">2026-04-16T08:18:21Z</dcterms:created>
  <dcterms:modified xsi:type="dcterms:W3CDTF">2026-04-16T08:22:30Z</dcterms:modified>
</cp:coreProperties>
</file>